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Quote builder" sheetId="2" r:id="rId5"/>
    <sheet state="visible" name="Kitchen quote builder" sheetId="3" r:id="rId6"/>
    <sheet state="visible" name="Wardrobes_etc quote builder" sheetId="4" r:id="rId7"/>
    <sheet state="visible" name="Kitchens" sheetId="5" r:id="rId8"/>
    <sheet state="visible" name="Wardrobes_etc" sheetId="6" r:id="rId9"/>
    <sheet state="visible" name="ClientNames" sheetId="7" r:id="rId10"/>
    <sheet state="visible" name="Sheet" sheetId="8" r:id="rId11"/>
    <sheet state="visible" name="Solid" sheetId="9" r:id="rId12"/>
    <sheet state="visible" name="Finishing" sheetId="10" r:id="rId13"/>
    <sheet state="visible" name="Furniture" sheetId="11" r:id="rId14"/>
    <sheet state="visible" name="Electrics" sheetId="12" r:id="rId15"/>
    <sheet state="visible" name="Exceptional" sheetId="13" r:id="rId16"/>
    <sheet state="visible" name="Appliances" sheetId="14" r:id="rId17"/>
    <sheet state="visible" name="Worktops" sheetId="15" r:id="rId18"/>
    <sheet state="visible" name="Labour" sheetId="16" r:id="rId19"/>
    <sheet state="visible" name="Overheads" sheetId="17" r:id="rId20"/>
    <sheet state="visible" name="Fixed lists" sheetId="18" r:id="rId21"/>
    <sheet state="visible" name="DynamicLists" sheetId="19" r:id="rId22"/>
  </sheets>
  <definedNames>
    <definedName name="Finishing">Finishing!$A$2:$A$30</definedName>
    <definedName name="KitchenDoorStyle">'Kitchen quote builder'!$E$12</definedName>
    <definedName name="KitchenDrawerType">'Kitchen quote builder'!$C$12</definedName>
    <definedName name="FinishingData">Finishing!$A$2:$K$30</definedName>
    <definedName name="LabourData">Labour!$A$2:$E$20</definedName>
    <definedName name="KitchenLocations">'Kitchen quote builder'!$B$14:$B$100</definedName>
    <definedName name="FixedListsDrawerType">'Fixed lists'!$J$3:$L$200</definedName>
    <definedName name="WardrobeDoorStyle">'Wardrobes_etc quote builder'!$E$12</definedName>
    <definedName name="ExceptionalData">Exceptional!$A$2:$I$50</definedName>
    <definedName name="FixedListsHandleType">'Fixed lists'!$T$3:$W$200</definedName>
    <definedName name="FixedListsFinishes">'Fixed lists'!$M$3:$O$200</definedName>
    <definedName name="WardrobeCarcassFinish">'Wardrobes_etc quote builder'!$C$11</definedName>
    <definedName name="WardrobeDoorFinish">'Wardrobes_etc quote builder'!$E$10</definedName>
    <definedName name="KitchenHandleFinish">'Kitchen quote builder'!$I$11</definedName>
    <definedName name="WardrobeHandleFinish">'Wardrobes_etc quote builder'!$I$11</definedName>
    <definedName name="KitchenDoorMaterial">'Kitchen quote builder'!$E$11</definedName>
    <definedName name="KitchensData">Kitchens!$A$3:$AF$200</definedName>
    <definedName name="FixedListsColours">'Fixed lists'!$P$3:$P$200</definedName>
    <definedName name="FixedListsDoorMaterial">'Fixed lists'!$G$3:$I$200</definedName>
    <definedName name="FixedListsCarcassMaterial">'Fixed lists'!$A$3:$C$200</definedName>
    <definedName name="WardrobeCarcassMaterial">'Wardrobes_etc quote builder'!$C$10</definedName>
    <definedName name="FurnitureData">Furniture!$A$2:$I$50</definedName>
    <definedName name="SheetsData">Sheet!$A$3:$L$51</definedName>
    <definedName name="WardrobeDoorMaterial">'Wardrobes_etc quote builder'!$E$11</definedName>
    <definedName name="KitchenHandleType">'Kitchen quote builder'!$I$10</definedName>
    <definedName name="Exceptional">Exceptional!$A$2:$A$50</definedName>
    <definedName name="KitchenDoorFinish">'Kitchen quote builder'!$E$10</definedName>
    <definedName name="StileSizes">'Fixed lists'!$X$3:$X$100</definedName>
    <definedName name="Furniture">Furniture!$A$2:$A$50</definedName>
    <definedName name="KitchenCarcassMaterial">'Kitchen quote builder'!$C$10</definedName>
    <definedName name="Electrics">Electrics!$A$2:$A$40</definedName>
    <definedName name="Labour">Labour!$A$2:$A$20</definedName>
    <definedName name="Wardrobes_etcData">Wardrobes_etc!$A$3:$AF$200</definedName>
    <definedName name="Appliances">Appliances!$A$2:$A$30</definedName>
    <definedName name="SolidData">Solid!$A$2:$F$20</definedName>
    <definedName name="KitchenCarcassFinish">'Kitchen quote builder'!$C$11</definedName>
    <definedName name="WardrobeLocations">'Wardrobes_etc quote builder'!$B$14:$B$100</definedName>
    <definedName name="WardrobeHandleType">'Wardrobes_etc quote builder'!$I$10</definedName>
    <definedName name="ProjectSelection">ClientNames!$F$2:$F$200</definedName>
    <definedName name="FixedListsDoorStyle">'Fixed lists'!$D$3:$F$200</definedName>
    <definedName name="Sheet">Sheet!$A$2:$A$51</definedName>
    <definedName name="Worktops">Worktops!$A$2:$A$30</definedName>
    <definedName name="ElectricsData">Electrics!$A$2:$I$40</definedName>
    <definedName name="Solid">Solid!$A$2:$A$20</definedName>
    <definedName name="WardrobeDrawerType">'Wardrobes_etc quote builder'!$C$12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Split height applies to top &amp; bottom door layouts only
Stile height applies to 1 mid stile only (input height @ stile centre)
Doors with 2 mid stiles are split equidistantly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Split height applies to top &amp; bottom door layouts only
Stile height applies to 1 mid stile only (input height @ stile centre)
Doors with 2 mid stiles are split equidistantly</t>
      </text>
    </comment>
  </commentList>
</comments>
</file>

<file path=xl/sharedStrings.xml><?xml version="1.0" encoding="utf-8"?>
<sst xmlns="http://schemas.openxmlformats.org/spreadsheetml/2006/main" count="1242" uniqueCount="610">
  <si>
    <t>Customer name:</t>
  </si>
  <si>
    <t>Total (ex VAT)</t>
  </si>
  <si>
    <t>VAT</t>
  </si>
  <si>
    <t>Project description</t>
  </si>
  <si>
    <t>Total (inc VAT)</t>
  </si>
  <si>
    <t>Lead (for calculation of commission):</t>
  </si>
  <si>
    <t>N/A</t>
  </si>
  <si>
    <t>Total labour (ex VAT)</t>
  </si>
  <si>
    <t>Lead commission</t>
  </si>
  <si>
    <t>Quote for
(check box to use project description from cell C3)</t>
  </si>
  <si>
    <t>Description</t>
  </si>
  <si>
    <t>Deposit</t>
  </si>
  <si>
    <t>Manufacturing</t>
  </si>
  <si>
    <t>Installation</t>
  </si>
  <si>
    <t>Final</t>
  </si>
  <si>
    <t>Client reference</t>
  </si>
  <si>
    <t>Sheet names</t>
  </si>
  <si>
    <t>Totals</t>
  </si>
  <si>
    <r>
      <rPr>
        <rFont val="Comfortaa"/>
        <b/>
        <color rgb="FFFFFFFF"/>
        <sz val="8.0"/>
      </rPr>
      <t>La</t>
    </r>
    <r>
      <rPr>
        <rFont val="Comfortaa"/>
        <b/>
        <color rgb="FFFFFFFF"/>
        <sz val="9.0"/>
      </rPr>
      <t>bour</t>
    </r>
  </si>
  <si>
    <t>ClientNames</t>
  </si>
  <si>
    <t>Total materials (ex VAT)</t>
  </si>
  <si>
    <t>Type</t>
  </si>
  <si>
    <t>Material</t>
  </si>
  <si>
    <t>Unit cost</t>
  </si>
  <si>
    <t>Units</t>
  </si>
  <si>
    <t>Total</t>
  </si>
  <si>
    <t>Sheet</t>
  </si>
  <si>
    <t>Total materials markup (ex VAT)</t>
  </si>
  <si>
    <t>Labour</t>
  </si>
  <si>
    <t>Admin</t>
  </si>
  <si>
    <t>Solid</t>
  </si>
  <si>
    <t>Total overheads (ex VAT)</t>
  </si>
  <si>
    <t>Design &amp; Drawings</t>
  </si>
  <si>
    <t>Finishing</t>
  </si>
  <si>
    <t>Total overheads markup (ex VAT)</t>
  </si>
  <si>
    <t>Workshop</t>
  </si>
  <si>
    <t>Furniture</t>
  </si>
  <si>
    <t>Total appliances (ex VAT)</t>
  </si>
  <si>
    <t>Electrics</t>
  </si>
  <si>
    <t>Total appliances markup (ex VAT)</t>
  </si>
  <si>
    <t>Exceptional</t>
  </si>
  <si>
    <t>Total exceptional and worktops (ex VAT)</t>
  </si>
  <si>
    <t>Pre-fit site work</t>
  </si>
  <si>
    <t>Appliances</t>
  </si>
  <si>
    <t>Total exceptional and worktops markup (ex VAT)</t>
  </si>
  <si>
    <t>See individual sheets</t>
  </si>
  <si>
    <t>Delivery</t>
  </si>
  <si>
    <t>Worktops</t>
  </si>
  <si>
    <t>Labour (ex VAT)</t>
  </si>
  <si>
    <t>Fitting</t>
  </si>
  <si>
    <t>Subcontractor</t>
  </si>
  <si>
    <t>Overheads</t>
  </si>
  <si>
    <t>Other markup</t>
  </si>
  <si>
    <t>Discount</t>
  </si>
  <si>
    <t>Location ID</t>
  </si>
  <si>
    <t>Height (mm)</t>
  </si>
  <si>
    <t>Width (mm)</t>
  </si>
  <si>
    <t>Depth (mm) ex back panel</t>
  </si>
  <si>
    <t>Door count</t>
  </si>
  <si>
    <t>Door layout</t>
  </si>
  <si>
    <t>Split/stile height from base (mm)</t>
  </si>
  <si>
    <t>Internal finish</t>
  </si>
  <si>
    <t>External finish</t>
  </si>
  <si>
    <t>Total kitchen materials (ex VAT)</t>
  </si>
  <si>
    <t>Labour (days)</t>
  </si>
  <si>
    <t>Build</t>
  </si>
  <si>
    <t>Carcass material</t>
  </si>
  <si>
    <t>Birch ply (18mm)</t>
  </si>
  <si>
    <t>Door finish</t>
  </si>
  <si>
    <t>Sayerlack AT99 WB Topcoat</t>
  </si>
  <si>
    <t>Handle type</t>
  </si>
  <si>
    <t>Simple</t>
  </si>
  <si>
    <t>Carcass finish</t>
  </si>
  <si>
    <t>Sayerlack AF0072 Interior Clear Self-Sealer</t>
  </si>
  <si>
    <t>Door material</t>
  </si>
  <si>
    <t>H/F (22mm)</t>
  </si>
  <si>
    <t>Handle finish</t>
  </si>
  <si>
    <t>Other</t>
  </si>
  <si>
    <t>Drawer type</t>
  </si>
  <si>
    <t>Match carcass</t>
  </si>
  <si>
    <t>Door style</t>
  </si>
  <si>
    <t>Flat</t>
  </si>
  <si>
    <t>Stile size</t>
  </si>
  <si>
    <t>80mm</t>
  </si>
  <si>
    <t>Item</t>
  </si>
  <si>
    <t>Material cost</t>
  </si>
  <si>
    <t>Labour cost</t>
  </si>
  <si>
    <t>Finishing labour time</t>
  </si>
  <si>
    <t>Build labour time</t>
  </si>
  <si>
    <t>Panel (no mid stile)</t>
  </si>
  <si>
    <t>Materials</t>
  </si>
  <si>
    <t>Labour (time in hours)</t>
  </si>
  <si>
    <t>Total cost</t>
  </si>
  <si>
    <t>Build labour cost multipliers</t>
  </si>
  <si>
    <t>Finishing labour cost multpliers</t>
  </si>
  <si>
    <t>Handle materials</t>
  </si>
  <si>
    <t>Height</t>
  </si>
  <si>
    <t>Width</t>
  </si>
  <si>
    <t>Depth</t>
  </si>
  <si>
    <t>Edge banding</t>
  </si>
  <si>
    <t>Feet</t>
  </si>
  <si>
    <t>Hinges</t>
  </si>
  <si>
    <t>Pegs</t>
  </si>
  <si>
    <t>Shelves</t>
  </si>
  <si>
    <t>Components</t>
  </si>
  <si>
    <t>Area to finish</t>
  </si>
  <si>
    <t>Cost</t>
  </si>
  <si>
    <t>Finish</t>
  </si>
  <si>
    <t>Carcass</t>
  </si>
  <si>
    <t>Handle</t>
  </si>
  <si>
    <t>Channel carcass</t>
  </si>
  <si>
    <t>Base carcass for sink 1200</t>
  </si>
  <si>
    <t>Base carcass for sink 600</t>
  </si>
  <si>
    <t>Base carcass 1200</t>
  </si>
  <si>
    <t>Base carcass 600</t>
  </si>
  <si>
    <t>Base carcass 400</t>
  </si>
  <si>
    <t>Base carcass 300</t>
  </si>
  <si>
    <t>Tower carcass 1200</t>
  </si>
  <si>
    <t>Tower carcass 600</t>
  </si>
  <si>
    <t>Tower carcass 400</t>
  </si>
  <si>
    <t>Tower carcass 300</t>
  </si>
  <si>
    <t>Tower larder unit 600</t>
  </si>
  <si>
    <t>Wall carcass 1200</t>
  </si>
  <si>
    <t>Wall carcass 600</t>
  </si>
  <si>
    <t>Wall carcass 400</t>
  </si>
  <si>
    <t>Wall carcass 300</t>
  </si>
  <si>
    <t>Base lost corner carcass 1200</t>
  </si>
  <si>
    <t>Base lost corner carcass 600</t>
  </si>
  <si>
    <t>Base lost corner carcass 400</t>
  </si>
  <si>
    <t>Base lost corner carcass 300</t>
  </si>
  <si>
    <t>Tower lost corner carcass 1200</t>
  </si>
  <si>
    <t>Tower lost corner carcass 600</t>
  </si>
  <si>
    <t>Tower lost corner carcass 400</t>
  </si>
  <si>
    <t>Tower lost corner carcass 300</t>
  </si>
  <si>
    <t>Wall lost corner carcass 1200</t>
  </si>
  <si>
    <t>Wall lost corner carcass 600</t>
  </si>
  <si>
    <t>Wall lost corner carcass 400</t>
  </si>
  <si>
    <t>Wall lost corner carcass 300</t>
  </si>
  <si>
    <t>Base door 600</t>
  </si>
  <si>
    <t>Base door 400</t>
  </si>
  <si>
    <t>Base door 300</t>
  </si>
  <si>
    <t>Tower door 600</t>
  </si>
  <si>
    <t>Tower door 400</t>
  </si>
  <si>
    <t>Tower door 300</t>
  </si>
  <si>
    <t>Tower split door 600</t>
  </si>
  <si>
    <t>Tower split door 400</t>
  </si>
  <si>
    <t>Tower split door 300</t>
  </si>
  <si>
    <t>Wall door 600</t>
  </si>
  <si>
    <t>Wall door 400</t>
  </si>
  <si>
    <t>Wall door 300</t>
  </si>
  <si>
    <t>Boiler wall carcass 700</t>
  </si>
  <si>
    <t>Boiler door 700</t>
  </si>
  <si>
    <t>Plinth 2400</t>
  </si>
  <si>
    <t>Cornice (stacked) 2400</t>
  </si>
  <si>
    <t>Base end panel 650</t>
  </si>
  <si>
    <t>Wall end panel 350</t>
  </si>
  <si>
    <t>Tower end panel 650</t>
  </si>
  <si>
    <t>Fillers (wall) 2400</t>
  </si>
  <si>
    <t>Pelmet 2400</t>
  </si>
  <si>
    <t>Base corner post 50</t>
  </si>
  <si>
    <t>Wall corner post 50</t>
  </si>
  <si>
    <t>Tower corner post 50</t>
  </si>
  <si>
    <t>Deep shelf 300</t>
  </si>
  <si>
    <t>Deep shelf 400</t>
  </si>
  <si>
    <t>Deep shelf 600</t>
  </si>
  <si>
    <t>Deep shelf 1200</t>
  </si>
  <si>
    <t>Shallow shelf 300</t>
  </si>
  <si>
    <t>Shallow shelf 400</t>
  </si>
  <si>
    <t>Shallow shelf 600</t>
  </si>
  <si>
    <t>Shallow shelf 1200</t>
  </si>
  <si>
    <t>Cornice (flat) 2400</t>
  </si>
  <si>
    <t>Tower fridge/freezer unit 600</t>
  </si>
  <si>
    <t>Tower single oven unit 600</t>
  </si>
  <si>
    <t>Tower double oven unit 600</t>
  </si>
  <si>
    <t>Cutlery (120) drawer box 600</t>
  </si>
  <si>
    <t>Cutlery (120) drawer box 1200</t>
  </si>
  <si>
    <t>Standard (180) drawer box 600</t>
  </si>
  <si>
    <t>Standard (180) drawer box 1200</t>
  </si>
  <si>
    <t>Pan (300) drawer box 600</t>
  </si>
  <si>
    <t>Pan (300) drawer box 1200</t>
  </si>
  <si>
    <t>Cutlery (180) drawer front 600</t>
  </si>
  <si>
    <t>Cutlery (180) drawer front 1200</t>
  </si>
  <si>
    <t>Standard (240) drawer front 600</t>
  </si>
  <si>
    <t>Standard (240) drawer front 1200</t>
  </si>
  <si>
    <t>Pan (360) drawer front 600</t>
  </si>
  <si>
    <t>Pan (360) drawer front 1200</t>
  </si>
  <si>
    <t>Base unit for bins 600</t>
  </si>
  <si>
    <t>Cutlery insert 600</t>
  </si>
  <si>
    <t>Cutlery insert 1200</t>
  </si>
  <si>
    <t>Pan/tray rack 600</t>
  </si>
  <si>
    <t>Pan/tray rack 1200</t>
  </si>
  <si>
    <t>Base carcass shallow 1200</t>
  </si>
  <si>
    <t>Base carcass shallow 600</t>
  </si>
  <si>
    <t>Base carcass shallow 400</t>
  </si>
  <si>
    <t>Base carcass shallow 300</t>
  </si>
  <si>
    <t>Base single oven unit 600</t>
  </si>
  <si>
    <t>Shallow (120) internal drawer box 600</t>
  </si>
  <si>
    <t>Shallow (120) internal drawer box 1200</t>
  </si>
  <si>
    <t>Standard (180) internal drawer box 600</t>
  </si>
  <si>
    <t>Standard (180) internal drawer box 1200</t>
  </si>
  <si>
    <t>Deep (300) internal drawer box 600</t>
  </si>
  <si>
    <t>Deep (300) internal drawer box 1200</t>
  </si>
  <si>
    <t>Shallow (180) internal drawer front 600</t>
  </si>
  <si>
    <t>Shallow (180) internal drawer front 1200</t>
  </si>
  <si>
    <t>Standard (240) internal drawer front 600</t>
  </si>
  <si>
    <t>Standard (240) internal drawer front 1200</t>
  </si>
  <si>
    <t>Deep (360) internal drawer front 600</t>
  </si>
  <si>
    <t>Deep (360) internal drawer front 1200</t>
  </si>
  <si>
    <t>Appliance spacer</t>
  </si>
  <si>
    <t>Appliance filler panel</t>
  </si>
  <si>
    <t>Fillers (ceiling) 2400</t>
  </si>
  <si>
    <t>Base carcass - no shelves - 1200</t>
  </si>
  <si>
    <t>Base carcass - no shelves - 600</t>
  </si>
  <si>
    <t>Base carcass - no shelves - 400</t>
  </si>
  <si>
    <t>Base carcass - no shelves - 300</t>
  </si>
  <si>
    <t>Fillers (plant on) 2400</t>
  </si>
  <si>
    <t>Filler panel 2400</t>
  </si>
  <si>
    <t>End panel 2400*650</t>
  </si>
  <si>
    <t>Wardrobe shelf 2400</t>
  </si>
  <si>
    <t>Wardrobe shelf 1200</t>
  </si>
  <si>
    <t>Wardrobe shelf 600</t>
  </si>
  <si>
    <t>Wardrobe shelf 400</t>
  </si>
  <si>
    <t>Wardrobe shelf 300</t>
  </si>
  <si>
    <t>Wardrobe door 1200</t>
  </si>
  <si>
    <t>Wardrobe door 600</t>
  </si>
  <si>
    <t>Wardrobe door 400</t>
  </si>
  <si>
    <t>Wardrobe door 300</t>
  </si>
  <si>
    <t>Shallow (120) external drawer box 600</t>
  </si>
  <si>
    <t>Shallow (120) external drawer box 1200</t>
  </si>
  <si>
    <t>Standard (180) external drawer box 600</t>
  </si>
  <si>
    <t>Standard (180) external drawer box 1200</t>
  </si>
  <si>
    <t>Deep (300) external drawer box 600</t>
  </si>
  <si>
    <t>Deep (300) external drawer box 1200</t>
  </si>
  <si>
    <t>Shallow (180) external drawer front 600</t>
  </si>
  <si>
    <t>Shallow (180) external drawer front 1200</t>
  </si>
  <si>
    <t>Standard (240) external drawer front 600</t>
  </si>
  <si>
    <t>Standard (240) external drawer front 1200</t>
  </si>
  <si>
    <t>Deep (360) external drawer front 600</t>
  </si>
  <si>
    <t>Deep (360) external drawer front 1200</t>
  </si>
  <si>
    <t>4 board carcass up to 2420*2420*1210</t>
  </si>
  <si>
    <t>3 board carcass up to 2420*1210*1210</t>
  </si>
  <si>
    <t>2 board carcass up to 2420*2420*605</t>
  </si>
  <si>
    <t>1 board carcass up to 1210*1210*605</t>
  </si>
  <si>
    <t>Fireplace up to 1600</t>
  </si>
  <si>
    <t>Fireplace over 1600</t>
  </si>
  <si>
    <t>Hairpin leg birch ply table (1020)</t>
  </si>
  <si>
    <t>Hairpin leg birch ply table (860)</t>
  </si>
  <si>
    <t>Hairpin leg birch ply table (710)</t>
  </si>
  <si>
    <t>End panel 1200*650</t>
  </si>
  <si>
    <t>Worktop up to 600</t>
  </si>
  <si>
    <t>Worktop up to 1200</t>
  </si>
  <si>
    <t>Worktop up to 2400</t>
  </si>
  <si>
    <t>Office pod</t>
  </si>
  <si>
    <t xml:space="preserve"> 4 board lost corner carcass up to 2420*2420*1210</t>
  </si>
  <si>
    <t>3 board lost corner carcass up to 2420*1210*1210</t>
  </si>
  <si>
    <t>2 board lost corner carcass up to 2420*2420*605</t>
  </si>
  <si>
    <t>1 board lost corner carcass up to 1210*1210*605</t>
  </si>
  <si>
    <t>Client names</t>
  </si>
  <si>
    <t>Project names</t>
  </si>
  <si>
    <t>Ref</t>
  </si>
  <si>
    <t>Filtered list based on client selection on Description sheet</t>
  </si>
  <si>
    <t>Sheet Material</t>
  </si>
  <si>
    <t>Supplier</t>
  </si>
  <si>
    <t>Cat. no.</t>
  </si>
  <si>
    <t>Price per</t>
  </si>
  <si>
    <t>Unit price</t>
  </si>
  <si>
    <t>Cost/m2</t>
  </si>
  <si>
    <t>Additional costs</t>
  </si>
  <si>
    <t>Rate</t>
  </si>
  <si>
    <t>Comment</t>
  </si>
  <si>
    <t>Kitchen carcass</t>
  </si>
  <si>
    <t>Kitchen door</t>
  </si>
  <si>
    <t>Oak veneer (26mm)</t>
  </si>
  <si>
    <t>Brooks Bros</t>
  </si>
  <si>
    <t>2440x1220 board</t>
  </si>
  <si>
    <t>Edge band circumference</t>
  </si>
  <si>
    <t>Y</t>
  </si>
  <si>
    <t>N</t>
  </si>
  <si>
    <t>Oak veneer (19mm)</t>
  </si>
  <si>
    <t>Oak veneer (16mm)</t>
  </si>
  <si>
    <t>Oak veneer (13mm)</t>
  </si>
  <si>
    <t>Oak veneer (10mm)</t>
  </si>
  <si>
    <t>Oak veneer (6mm)</t>
  </si>
  <si>
    <t>Walnut veneer (26mm)</t>
  </si>
  <si>
    <t>Walnut veneer (19mm)</t>
  </si>
  <si>
    <t>Walnut veneer (16mm)</t>
  </si>
  <si>
    <t>Walnut veneer (13mm)</t>
  </si>
  <si>
    <t>Walnut veneer (10mm)</t>
  </si>
  <si>
    <t>Walnut veneer (6mm)</t>
  </si>
  <si>
    <t>Edge banding (per M)</t>
  </si>
  <si>
    <t>linear metre</t>
  </si>
  <si>
    <t>H/F (25mm)</t>
  </si>
  <si>
    <t>International Timber</t>
  </si>
  <si>
    <t>H/F (18mm)</t>
  </si>
  <si>
    <t>H/F (15mm)</t>
  </si>
  <si>
    <t>H/F (12mm)</t>
  </si>
  <si>
    <t>H/F (9mm)</t>
  </si>
  <si>
    <t>H/F (6mm)</t>
  </si>
  <si>
    <t>Poplar ply (18mm)</t>
  </si>
  <si>
    <t>BGN</t>
  </si>
  <si>
    <t>Poplar ply (15mm)</t>
  </si>
  <si>
    <t>Poplar ply (12mm)</t>
  </si>
  <si>
    <t>Poplar ply (9mm)</t>
  </si>
  <si>
    <t>T&amp;G (12mm)</t>
  </si>
  <si>
    <t>Birch ply (24mm)</t>
  </si>
  <si>
    <t>Birch ply (15mm)</t>
  </si>
  <si>
    <t>Birch ply (12mm)</t>
  </si>
  <si>
    <t>Birch ply (9mm)</t>
  </si>
  <si>
    <t>Birch ply (6.5mm)</t>
  </si>
  <si>
    <t>Birch ply (4mm)</t>
  </si>
  <si>
    <t>Valchromat - black (19mm)</t>
  </si>
  <si>
    <t>Lathams</t>
  </si>
  <si>
    <t>Valchromat - black (10mm)</t>
  </si>
  <si>
    <t>Solid Timber</t>
  </si>
  <si>
    <t>Cost/m3</t>
  </si>
  <si>
    <t>Length (mm)</t>
  </si>
  <si>
    <t>Comments</t>
  </si>
  <si>
    <t>Oak (solid m3)</t>
  </si>
  <si>
    <t>cubic metre</t>
  </si>
  <si>
    <t>Walnut (solid m3)</t>
  </si>
  <si>
    <t>Tulip (solid m3)</t>
  </si>
  <si>
    <t>3x2 CLS</t>
  </si>
  <si>
    <t>Bence</t>
  </si>
  <si>
    <t>3m</t>
  </si>
  <si>
    <t>Oak (Euro) 200mm x 38mm</t>
  </si>
  <si>
    <t>1m</t>
  </si>
  <si>
    <t>Oak (Euro) 200mm x 32mm</t>
  </si>
  <si>
    <t>Oak (Euro) 200mm x 25mm</t>
  </si>
  <si>
    <t>Sapele 200mm x 38mm</t>
  </si>
  <si>
    <t>Sapele 200mm x 32mm</t>
  </si>
  <si>
    <t>Sapele 200mm x 25mm</t>
  </si>
  <si>
    <t>Walnut 200mm x 38mm</t>
  </si>
  <si>
    <t>Walnut 200mm x 32mm</t>
  </si>
  <si>
    <t>Walnut 200mm x 25mm</t>
  </si>
  <si>
    <t>Tulip 200mm x 38mm</t>
  </si>
  <si>
    <t>Tulip 200mm x 32mm</t>
  </si>
  <si>
    <t>Tulip 200mm x 25mm</t>
  </si>
  <si>
    <t>Finishing (Materials)</t>
  </si>
  <si>
    <t>Coverage (m2/L)</t>
  </si>
  <si>
    <t>£/M2</t>
  </si>
  <si>
    <t>Kitchen finish</t>
  </si>
  <si>
    <t>Morrells lacquer (Coloured, Matt 10%) PP5L</t>
  </si>
  <si>
    <t>Morrells</t>
  </si>
  <si>
    <t>5L</t>
  </si>
  <si>
    <t>1:1 top coat to primer</t>
  </si>
  <si>
    <t>Primer (Coloured) PPL</t>
  </si>
  <si>
    <t>1L</t>
  </si>
  <si>
    <t>Morrells lacquer (Clear, Matt 5%) PPL</t>
  </si>
  <si>
    <t>1:1 top coat to sealer</t>
  </si>
  <si>
    <t>Sealer (Clear) PPL</t>
  </si>
  <si>
    <t>Elmbridge</t>
  </si>
  <si>
    <t>Sayerlack AU474/13 Premium Internal Primer White/Grey</t>
  </si>
  <si>
    <t>25L</t>
  </si>
  <si>
    <t>22L</t>
  </si>
  <si>
    <t>Half coverage rate to allow 2 coats as this is used for primer and topcoat</t>
  </si>
  <si>
    <t>Rubio Monocoat Oil Plus</t>
  </si>
  <si>
    <t>Rubio</t>
  </si>
  <si>
    <t>0.35L</t>
  </si>
  <si>
    <t>Additional costs for sundries (Prep, scrubbers etc)</t>
  </si>
  <si>
    <t>Rubio Wood Cream</t>
  </si>
  <si>
    <t>Filters for paintshop</t>
  </si>
  <si>
    <t>Filter cost per hour</t>
  </si>
  <si>
    <t>Adler raw clear (no hardener)</t>
  </si>
  <si>
    <t>4kg</t>
  </si>
  <si>
    <t xml:space="preserve">Adler Aqua PUR Hardener 82220 </t>
  </si>
  <si>
    <t>200g</t>
  </si>
  <si>
    <t>Adler raw clear (with hardener)</t>
  </si>
  <si>
    <t>1:1 lacquer to hardener</t>
  </si>
  <si>
    <t>Unit Price</t>
  </si>
  <si>
    <t>Hinges &amp; plates (Hettich thick door)</t>
  </si>
  <si>
    <t>Brighton Tools &amp; Fixings</t>
  </si>
  <si>
    <t>Pair</t>
  </si>
  <si>
    <t>Cable outlet (Plain 80mm)</t>
  </si>
  <si>
    <t>Hafele</t>
  </si>
  <si>
    <t>631.23.300</t>
  </si>
  <si>
    <t>Each</t>
  </si>
  <si>
    <t>Cable outlet (Oak, Lac 80mm)</t>
  </si>
  <si>
    <t>631.23.401</t>
  </si>
  <si>
    <t>Plinth foot (2 Parts 120mm)</t>
  </si>
  <si>
    <t>637.76.333 / 637.76.353</t>
  </si>
  <si>
    <t>Set</t>
  </si>
  <si>
    <t>Plinth foot (2 Parts 80mm)</t>
  </si>
  <si>
    <t>637.76.333 / 637.76.351</t>
  </si>
  <si>
    <t>Push door catch (Long buffer)</t>
  </si>
  <si>
    <t>356.12.317</t>
  </si>
  <si>
    <t>Hanging rail (765mm) (Mokka)</t>
  </si>
  <si>
    <t>Buller</t>
  </si>
  <si>
    <t>1499-003</t>
  </si>
  <si>
    <t>Hanging rail (1150mm) (Mokka)</t>
  </si>
  <si>
    <t>1499-004</t>
  </si>
  <si>
    <t>Hanging rail (2300mm) (Mokka)</t>
  </si>
  <si>
    <t>1499-001</t>
  </si>
  <si>
    <t>Rail ends (Mokka)</t>
  </si>
  <si>
    <t>2003-001</t>
  </si>
  <si>
    <t>Rail support center (Mokka )</t>
  </si>
  <si>
    <t>1720-001</t>
  </si>
  <si>
    <t>Rail shelf support (Mokka Pair)</t>
  </si>
  <si>
    <t>1498-001</t>
  </si>
  <si>
    <t>Shelf pegs</t>
  </si>
  <si>
    <t>282.38.708</t>
  </si>
  <si>
    <t>Drawer runners and clip set (750) Dynapro</t>
  </si>
  <si>
    <t>433.20.619</t>
  </si>
  <si>
    <t>Drawer runners and clip set (700) Dynapro</t>
  </si>
  <si>
    <t>433.20.618</t>
  </si>
  <si>
    <t>Drawer runners and clip set (550) Dynapro</t>
  </si>
  <si>
    <t>433.19.692</t>
  </si>
  <si>
    <t>Drawer runners and clip set (500) Dynapro</t>
  </si>
  <si>
    <t>433.19.690</t>
  </si>
  <si>
    <t>Drawer runners and clip set (450) Dynapro</t>
  </si>
  <si>
    <t>433.19.688</t>
  </si>
  <si>
    <t>Drawer runners and clip set (400) Dynapro</t>
  </si>
  <si>
    <t>433.19.686</t>
  </si>
  <si>
    <t>Drawer runners and clip set (350) Dynapro</t>
  </si>
  <si>
    <t>433.19.684</t>
  </si>
  <si>
    <t>Drawer runners and clip set for bin unit (500) Dynapro</t>
  </si>
  <si>
    <t>433.19.610 &amp; 433.19.078</t>
  </si>
  <si>
    <t>Pull out larder unit 600mm</t>
  </si>
  <si>
    <t>549.58.343</t>
  </si>
  <si>
    <t>Pull out larder unit 500mm</t>
  </si>
  <si>
    <t>549.58.333</t>
  </si>
  <si>
    <t>Pull out larder unit 400mm</t>
  </si>
  <si>
    <t>547.49.325</t>
  </si>
  <si>
    <t>Pull out larder unit 300mm</t>
  </si>
  <si>
    <t>547.49.305</t>
  </si>
  <si>
    <t>Drop down door gear - up to 600mm door</t>
  </si>
  <si>
    <t>1 * 372.90.185 &amp; 1 * 372.90.901 &amp; 2 * 342.75.628</t>
  </si>
  <si>
    <t>Kit</t>
  </si>
  <si>
    <t>Drop down door gear - greater than 600mm door</t>
  </si>
  <si>
    <t>2 * 372.90.185 &amp; 2 * 372.90.901 &amp; 3 * 342.75.628</t>
  </si>
  <si>
    <t>Pull Down Rail (450-600mm) (Mokka)</t>
  </si>
  <si>
    <t>1416-001</t>
  </si>
  <si>
    <t>Pull Down Rail (600-830mm) (Mokka)</t>
  </si>
  <si>
    <t>1416-002</t>
  </si>
  <si>
    <t>Pull Down Rail (830-1150mm) (Mokka)</t>
  </si>
  <si>
    <t>1416-003</t>
  </si>
  <si>
    <t>Bin (42L Anthracite)</t>
  </si>
  <si>
    <t>502.90.605</t>
  </si>
  <si>
    <t>Hinge (Hettich, thick door, inset, black)</t>
  </si>
  <si>
    <t>Osteremann</t>
  </si>
  <si>
    <t>32mm thick door max, 52mm drill pattern, 95 opening</t>
  </si>
  <si>
    <t>Hinge mounting plate (Hettich, black)</t>
  </si>
  <si>
    <t>Hinge cover cap 4 arm (Hettich, black)</t>
  </si>
  <si>
    <t>Hinge cover cap 4 cup (Hettich, black)</t>
  </si>
  <si>
    <t>Wingline (Hettich 2 door set)</t>
  </si>
  <si>
    <t>see MW</t>
  </si>
  <si>
    <t>includes 8 hettich unsprung hinges (order separately)</t>
  </si>
  <si>
    <t>Wingline (Hettich 4 door set)</t>
  </si>
  <si>
    <t>Touch to Open Set, Dynapro Tipmatic 40/60 kg</t>
  </si>
  <si>
    <t>433.19.009</t>
  </si>
  <si>
    <t>Synchronisation Rod, Dynapro Tipmatic 40/60 kg</t>
  </si>
  <si>
    <t>433.19.086</t>
  </si>
  <si>
    <t>Push to open drawer kit (750) Dynapro</t>
  </si>
  <si>
    <t>1 *433.20.619 &amp; 1 * 433.19.009 &amp; 1 * 433.19.086</t>
  </si>
  <si>
    <t>Per drawer</t>
  </si>
  <si>
    <t>Push to open drawer kit (700) Dynapro</t>
  </si>
  <si>
    <t>1 *433.20.618 &amp; 1 * 433.19.009 &amp; 1 * 433.19.086</t>
  </si>
  <si>
    <t>Push to open drawer kit (550) Dynapro</t>
  </si>
  <si>
    <t>1 *433.19.692 &amp; 1 * 433.19.009 &amp; 1 * 433.19.086</t>
  </si>
  <si>
    <t>Push to open drawer kit (500) Dynapro</t>
  </si>
  <si>
    <t>1 *433.19.690 &amp; 1 * 433.19.009 &amp; 1 * 433.19.086</t>
  </si>
  <si>
    <t>Push to open drawer kit (450) Dynapro</t>
  </si>
  <si>
    <t>1 *433.19.688 &amp; 1 * 433.19.009 &amp; 1 * 433.19.086</t>
  </si>
  <si>
    <t>Push to open drawer kit (400) Dynapro</t>
  </si>
  <si>
    <t>1 *433.19.686 &amp; 1 * 433.19.009 &amp; 1 * 433.19.086</t>
  </si>
  <si>
    <t>Push to open drawer kit (350) Dynapro</t>
  </si>
  <si>
    <t>1 *433.19.684 &amp; 1 * 433.19.009 &amp; 1 * 433.19.086</t>
  </si>
  <si>
    <t>Electrics (Materials)</t>
  </si>
  <si>
    <t>Mains lead (2m bare)</t>
  </si>
  <si>
    <t>Rocker switch</t>
  </si>
  <si>
    <t>Add lead</t>
  </si>
  <si>
    <t>Door sensor (switch)</t>
  </si>
  <si>
    <t>Switch to driver lead</t>
  </si>
  <si>
    <t>Multi switch box (x 3)</t>
  </si>
  <si>
    <t>Distributor (3 way + switch)</t>
  </si>
  <si>
    <t>Distributor (6 way)</t>
  </si>
  <si>
    <t>PIR switch</t>
  </si>
  <si>
    <t>Driver (40w)</t>
  </si>
  <si>
    <t>Add mains cable</t>
  </si>
  <si>
    <t>Spot light (LED)</t>
  </si>
  <si>
    <t>Add bezel + lead</t>
  </si>
  <si>
    <t>Bezel</t>
  </si>
  <si>
    <t>Tape (LED non dim L/M)</t>
  </si>
  <si>
    <t>CEF</t>
  </si>
  <si>
    <t>Add lead + extension</t>
  </si>
  <si>
    <t>Connecting lead for tape (2M)</t>
  </si>
  <si>
    <t>Connecting lead for tape (2M extension)</t>
  </si>
  <si>
    <t>Aluminium profile (rebated)</t>
  </si>
  <si>
    <t>2.4M</t>
  </si>
  <si>
    <t>Aluminium profile (quadrant)</t>
  </si>
  <si>
    <t>2.5M</t>
  </si>
  <si>
    <t>Fused Spur</t>
  </si>
  <si>
    <t>Double Socket</t>
  </si>
  <si>
    <t>Back Box (Double)</t>
  </si>
  <si>
    <t>Back Box (Single)</t>
  </si>
  <si>
    <t xml:space="preserve">LED Spotlight 65mm 24v Warm </t>
  </si>
  <si>
    <t>833.75.174</t>
  </si>
  <si>
    <t xml:space="preserve">LED Spotlight 32.5mm 24v Warm </t>
  </si>
  <si>
    <t>833.75.170</t>
  </si>
  <si>
    <t xml:space="preserve">LED Spotlight Bezel 65mm Grey </t>
  </si>
  <si>
    <t>833.72.380</t>
  </si>
  <si>
    <t xml:space="preserve">LED Spotlight Bezel 32.5mm Grey </t>
  </si>
  <si>
    <t>833.89.226</t>
  </si>
  <si>
    <t>Exceptional Items</t>
  </si>
  <si>
    <t>Markup</t>
  </si>
  <si>
    <t>Total markup</t>
  </si>
  <si>
    <t>Glass (toughened 4mm m2)</t>
  </si>
  <si>
    <t>Gloucester Glass</t>
  </si>
  <si>
    <t>m2</t>
  </si>
  <si>
    <t>Glass (toughened 6mm m2)</t>
  </si>
  <si>
    <t>Glass (coloured, toughened 6mm m2)</t>
  </si>
  <si>
    <t>Mirror (4mm polished edges m2)</t>
  </si>
  <si>
    <t>Glass (frosted, toughened 4mm m2)</t>
  </si>
  <si>
    <t>Spindle cutter (new)</t>
  </si>
  <si>
    <t>Sink liner - Aluminium 500mm</t>
  </si>
  <si>
    <t>Sink liner - Aluminium 600mm</t>
  </si>
  <si>
    <t>Sink liner - Aluminium 800mm</t>
  </si>
  <si>
    <t>Sink liner - Aluminium 900mm</t>
  </si>
  <si>
    <t>Sink liner - Aluminium 1000mm</t>
  </si>
  <si>
    <t>Sink liner - Aluminium 1200mm</t>
  </si>
  <si>
    <t>Metal fabrication</t>
  </si>
  <si>
    <t>Hairpin Leg (12mm Black 1020mm)</t>
  </si>
  <si>
    <t>Hairpin Leg Co</t>
  </si>
  <si>
    <t>Hairpin Leg (12mm Black 860mm)</t>
  </si>
  <si>
    <t>Hairpin Leg (12mm Black 710mm)</t>
  </si>
  <si>
    <t>Square Industrial Frame (Black 1010x2400x580)</t>
  </si>
  <si>
    <t>Square Industrial Frame (Black 860x2400x580)</t>
  </si>
  <si>
    <t>Square Industrial Frame (Black 710x2400x580)</t>
  </si>
  <si>
    <t>Felf Soundproofing (Black 2400x600x9)</t>
  </si>
  <si>
    <t>Naturewall</t>
  </si>
  <si>
    <t>Felf Soundproofing (Grey 2400x600x9)</t>
  </si>
  <si>
    <t>Acoustic Felt (Roll, Multi Colour)</t>
  </si>
  <si>
    <t>Sonio</t>
  </si>
  <si>
    <t>Mapei renovation screed (25kg 6m2)</t>
  </si>
  <si>
    <t>Tile Giant</t>
  </si>
  <si>
    <t xml:space="preserve">Drawer liner 5m roll (Grey) </t>
  </si>
  <si>
    <t>l/m</t>
  </si>
  <si>
    <t xml:space="preserve">Drawer liner 2.2m roll (Black) </t>
  </si>
  <si>
    <t>Fireplace</t>
  </si>
  <si>
    <t>Stovax Gazco</t>
  </si>
  <si>
    <t>Oven</t>
  </si>
  <si>
    <t>KA Distribution</t>
  </si>
  <si>
    <t>Product</t>
  </si>
  <si>
    <t>Silestone</t>
  </si>
  <si>
    <t>Hatherley Worktops</t>
  </si>
  <si>
    <t>Capsule</t>
  </si>
  <si>
    <t>Zenith</t>
  </si>
  <si>
    <t>Wickes</t>
  </si>
  <si>
    <t>3000mm x 610mm</t>
  </si>
  <si>
    <t>Fenix (solid)</t>
  </si>
  <si>
    <t>Wex Trade</t>
  </si>
  <si>
    <t>3000mm x 635mm</t>
  </si>
  <si>
    <t>Fenix (bonded)</t>
  </si>
  <si>
    <t>Day rate</t>
  </si>
  <si>
    <t>Hourly rate</t>
  </si>
  <si>
    <t>ADF</t>
  </si>
  <si>
    <t>Reference</t>
  </si>
  <si>
    <t>Overhead</t>
  </si>
  <si>
    <t>cost each</t>
  </si>
  <si>
    <t>Number required</t>
  </si>
  <si>
    <t>Capacity</t>
  </si>
  <si>
    <t>Conversion</t>
  </si>
  <si>
    <t>Cost per overhead unit</t>
  </si>
  <si>
    <t>Paintshop</t>
  </si>
  <si>
    <t>per hour</t>
  </si>
  <si>
    <t>Covers replacment filters and disposal of water based paint/wash</t>
  </si>
  <si>
    <t>Booth inlet filters</t>
  </si>
  <si>
    <t>hours</t>
  </si>
  <si>
    <t>Replaced approximately 6 monthly</t>
  </si>
  <si>
    <t>Spindle moulder - channel handle cutter</t>
  </si>
  <si>
    <t>each</t>
  </si>
  <si>
    <t>Replacement blade cost, included if plywood selected</t>
  </si>
  <si>
    <t>Concertina outlet filters</t>
  </si>
  <si>
    <t>Replaced approximately monthly</t>
  </si>
  <si>
    <t>Spindle moulder - sharks tooth cutter</t>
  </si>
  <si>
    <t>Waste disposal (water based)</t>
  </si>
  <si>
    <t>litres</t>
  </si>
  <si>
    <t>Approximately 15 litres of waste per day</t>
  </si>
  <si>
    <t>Spindle moulder channel handle blade</t>
  </si>
  <si>
    <t>Spindle moulder shark's tooth blade</t>
  </si>
  <si>
    <t>Fixed lists</t>
  </si>
  <si>
    <t>Lab ratio build</t>
  </si>
  <si>
    <t>Lab ratio finish</t>
  </si>
  <si>
    <t>Finishes</t>
  </si>
  <si>
    <t>Colours</t>
  </si>
  <si>
    <t>Unit ID</t>
  </si>
  <si>
    <t>Standard descriptives</t>
  </si>
  <si>
    <t>Handle types</t>
  </si>
  <si>
    <t>Lab build split carcass</t>
  </si>
  <si>
    <t>Stile sizes</t>
  </si>
  <si>
    <t>Location</t>
  </si>
  <si>
    <t>Solid dovetail</t>
  </si>
  <si>
    <t>Style</t>
  </si>
  <si>
    <t>Match door</t>
  </si>
  <si>
    <t>Channel</t>
  </si>
  <si>
    <t>Panel (1 mid stile)</t>
  </si>
  <si>
    <t>External Finish</t>
  </si>
  <si>
    <t>Shark's tooth</t>
  </si>
  <si>
    <t>Panel (2 mid stiles)</t>
  </si>
  <si>
    <t>Internal Finish</t>
  </si>
  <si>
    <t>In-frame flat</t>
  </si>
  <si>
    <t>Width (Approximately)</t>
  </si>
  <si>
    <t>In-frame panel (no mid stile)</t>
  </si>
  <si>
    <t>Height (Approximately)</t>
  </si>
  <si>
    <t>In-frame panel (1 mid stile)</t>
  </si>
  <si>
    <t>Depth (Approximately)</t>
  </si>
  <si>
    <t>In-frame panel (2 mid stiles)</t>
  </si>
  <si>
    <t>Lighting</t>
  </si>
  <si>
    <t>Opening Mechanism</t>
  </si>
  <si>
    <t>Doors (Number)</t>
  </si>
  <si>
    <t>Drawers (Number)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</si>
</sst>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£-809]#,##0.00"/>
    <numFmt numFmtId="165" formatCode="[$£]#,##0.00"/>
    <numFmt numFmtId="166" formatCode="0.000"/>
    <numFmt numFmtId="167" formatCode="#,##0.0"/>
    <numFmt numFmtId="168" formatCode="&quot;£&quot;#,##0.00"/>
    <numFmt numFmtId="169" formatCode="#,##0.000"/>
    <numFmt numFmtId="170" formatCode="0.0000000"/>
  </numFmts>
  <fonts count="28">
    <font>
      <sz val="10.0"/>
      <color rgb="FF000000"/>
      <name val="Arial"/>
      <scheme val="minor"/>
    </font>
    <font>
      <b/>
      <color theme="1"/>
      <name val="Comfortaa"/>
    </font>
    <font>
      <color theme="1"/>
      <name val="Arial"/>
    </font>
    <font>
      <color theme="1"/>
      <name val="Comfortaa"/>
    </font>
    <font>
      <color rgb="FFD9D9D9"/>
      <name val="Comfortaa"/>
    </font>
    <font>
      <b/>
      <i/>
      <color theme="1"/>
      <name val="Comfortaa"/>
    </font>
    <font>
      <color rgb="FFFFFFFF"/>
      <name val="Comfortaa"/>
    </font>
    <font>
      <b/>
      <sz val="8.0"/>
      <color rgb="FF000000"/>
      <name val="Helvetica Neue"/>
    </font>
    <font>
      <b/>
      <sz val="9.0"/>
      <color rgb="FFFFFFFF"/>
      <name val="Comfortaa"/>
    </font>
    <font>
      <b/>
      <sz val="8.0"/>
      <color rgb="FFFF0000"/>
      <name val="Comfortaa"/>
    </font>
    <font>
      <b/>
      <sz val="8.0"/>
      <color rgb="FFFFFFFF"/>
      <name val="Comfortaa"/>
    </font>
    <font>
      <sz val="8.0"/>
      <color rgb="FF000000"/>
      <name val="Helvetica Neue"/>
    </font>
    <font>
      <b/>
      <sz val="8.0"/>
      <color rgb="FF000000"/>
      <name val="Comfortaa"/>
    </font>
    <font>
      <b/>
      <sz val="8.0"/>
      <color theme="1"/>
      <name val="Roboto"/>
    </font>
    <font>
      <b/>
      <sz val="8.0"/>
      <color theme="1"/>
      <name val="Comfortaa"/>
    </font>
    <font>
      <sz val="8.0"/>
      <color theme="1"/>
      <name val="Comfortaa"/>
    </font>
    <font>
      <sz val="8.0"/>
      <color theme="1"/>
      <name val="Helvetica Neue"/>
    </font>
    <font>
      <color theme="1"/>
      <name val="Arial"/>
      <scheme val="minor"/>
    </font>
    <font>
      <sz val="8.0"/>
      <color rgb="FF000000"/>
      <name val="Comfortaa"/>
    </font>
    <font>
      <sz val="8.0"/>
      <color rgb="FFD9D9D9"/>
      <name val="Comfortaa"/>
    </font>
    <font>
      <sz val="8.0"/>
      <color rgb="FF990000"/>
      <name val="Comfortaa"/>
    </font>
    <font>
      <sz val="8.0"/>
      <color rgb="FF1F1F1F"/>
      <name val="Comfortaa"/>
    </font>
    <font>
      <b/>
      <sz val="8.0"/>
      <color theme="1"/>
      <name val="&quot;Helvetica Neue&quot;"/>
    </font>
    <font>
      <sz val="8.0"/>
      <color theme="1"/>
      <name val="&quot;Helvetica Neue&quot;"/>
    </font>
    <font>
      <b/>
      <sz val="7.0"/>
      <color theme="1"/>
      <name val="Comfortaa"/>
    </font>
    <font>
      <sz val="7.0"/>
      <color rgb="FF000000"/>
      <name val="Comfortaa"/>
    </font>
    <font>
      <sz val="7.0"/>
      <color theme="1"/>
      <name val="Comfortaa"/>
    </font>
    <font>
      <sz val="7.0"/>
      <color rgb="FF1F1F1F"/>
      <name val="Comfortaa"/>
    </font>
  </fonts>
  <fills count="17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134F5C"/>
        <bgColor rgb="FF134F5C"/>
      </patternFill>
    </fill>
    <fill>
      <patternFill patternType="solid">
        <fgColor rgb="FFB7B7B7"/>
        <bgColor rgb="FFB7B7B7"/>
      </patternFill>
    </fill>
    <fill>
      <patternFill patternType="solid">
        <fgColor rgb="FF45818E"/>
        <bgColor rgb="FF45818E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2" numFmtId="0" xfId="0" applyFill="1" applyFont="1"/>
    <xf borderId="0" fillId="4" fontId="2" numFmtId="0" xfId="0" applyFill="1" applyFont="1"/>
    <xf borderId="0" fillId="5" fontId="1" numFmtId="9" xfId="0" applyAlignment="1" applyFill="1" applyFont="1" applyNumberFormat="1">
      <alignment vertical="bottom"/>
    </xf>
    <xf borderId="0" fillId="5" fontId="1" numFmtId="164" xfId="0" applyAlignment="1" applyFont="1" applyNumberFormat="1">
      <alignment horizontal="center" vertical="bottom"/>
    </xf>
    <xf borderId="0" fillId="5" fontId="1" numFmtId="0" xfId="0" applyAlignment="1" applyFont="1">
      <alignment vertical="bottom"/>
    </xf>
    <xf borderId="0" fillId="5" fontId="1" numFmtId="9" xfId="0" applyAlignment="1" applyFont="1" applyNumberFormat="1">
      <alignment horizontal="right" vertical="bottom"/>
    </xf>
    <xf borderId="0" fillId="3" fontId="3" numFmtId="0" xfId="0" applyAlignment="1" applyFont="1">
      <alignment horizontal="center"/>
    </xf>
    <xf borderId="0" fillId="6" fontId="1" numFmtId="0" xfId="0" applyAlignment="1" applyFill="1" applyFont="1">
      <alignment vertical="bottom"/>
    </xf>
    <xf borderId="0" fillId="6" fontId="4" numFmtId="164" xfId="0" applyAlignment="1" applyFont="1" applyNumberFormat="1">
      <alignment horizontal="center" vertical="bottom"/>
    </xf>
    <xf borderId="0" fillId="6" fontId="1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0" fillId="6" fontId="1" numFmtId="9" xfId="0" applyAlignment="1" applyFont="1" applyNumberFormat="1">
      <alignment horizontal="center" vertical="bottom"/>
    </xf>
    <xf borderId="0" fillId="6" fontId="1" numFmtId="164" xfId="0" applyAlignment="1" applyFont="1" applyNumberFormat="1">
      <alignment horizontal="center" vertical="bottom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horizontal="center" readingOrder="0" shrinkToFit="0" wrapText="1"/>
    </xf>
    <xf borderId="0" fillId="7" fontId="2" numFmtId="0" xfId="0" applyFill="1" applyFont="1"/>
    <xf borderId="0" fillId="4" fontId="2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8" fontId="6" numFmtId="0" xfId="0" applyAlignment="1" applyFill="1" applyFont="1">
      <alignment horizontal="center" vertical="bottom"/>
    </xf>
    <xf borderId="0" fillId="8" fontId="2" numFmtId="0" xfId="0" applyAlignment="1" applyFont="1">
      <alignment vertical="bottom"/>
    </xf>
    <xf borderId="0" fillId="8" fontId="6" numFmtId="9" xfId="0" applyAlignment="1" applyFont="1" applyNumberFormat="1">
      <alignment horizontal="center" readingOrder="0" vertical="bottom"/>
    </xf>
    <xf borderId="0" fillId="8" fontId="6" numFmtId="164" xfId="0" applyAlignment="1" applyFont="1" applyNumberFormat="1">
      <alignment horizontal="center" vertical="bottom"/>
    </xf>
    <xf borderId="0" fillId="7" fontId="2" numFmtId="0" xfId="0" applyAlignment="1" applyFont="1">
      <alignment vertical="bottom"/>
    </xf>
    <xf borderId="0" fillId="8" fontId="6" numFmtId="9" xfId="0" applyAlignment="1" applyFont="1" applyNumberFormat="1">
      <alignment horizontal="center" vertical="bottom"/>
    </xf>
    <xf borderId="0" fillId="2" fontId="3" numFmtId="0" xfId="0" applyAlignment="1" applyFont="1">
      <alignment horizontal="center"/>
    </xf>
    <xf borderId="0" fillId="5" fontId="2" numFmtId="0" xfId="0" applyFont="1"/>
    <xf borderId="0" fillId="9" fontId="7" numFmtId="0" xfId="0" applyAlignment="1" applyFill="1" applyFont="1">
      <alignment readingOrder="0" vertical="top"/>
    </xf>
    <xf borderId="0" fillId="10" fontId="8" numFmtId="0" xfId="0" applyAlignment="1" applyFill="1" applyFont="1">
      <alignment horizontal="center" readingOrder="0" vertical="center"/>
    </xf>
    <xf borderId="0" fillId="4" fontId="9" numFmtId="164" xfId="0" applyAlignment="1" applyFont="1" applyNumberFormat="1">
      <alignment horizontal="center" shrinkToFit="0" vertical="center" wrapText="1"/>
    </xf>
    <xf borderId="0" fillId="8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left" readingOrder="0" vertical="center"/>
    </xf>
    <xf borderId="0" fillId="2" fontId="12" numFmtId="0" xfId="0" applyAlignment="1" applyFont="1">
      <alignment readingOrder="0" vertical="center"/>
    </xf>
    <xf borderId="0" fillId="2" fontId="13" numFmtId="0" xfId="0" applyAlignment="1" applyFont="1">
      <alignment vertical="center"/>
    </xf>
    <xf borderId="0" fillId="2" fontId="14" numFmtId="0" xfId="0" applyAlignment="1" applyFont="1">
      <alignment vertical="center"/>
    </xf>
    <xf borderId="0" fillId="2" fontId="14" numFmtId="0" xfId="0" applyAlignment="1" applyFont="1">
      <alignment horizontal="center" vertical="center"/>
    </xf>
    <xf borderId="0" fillId="2" fontId="14" numFmtId="164" xfId="0" applyAlignment="1" applyFont="1" applyNumberFormat="1">
      <alignment horizontal="center" readingOrder="0" vertical="center"/>
    </xf>
    <xf borderId="0" fillId="11" fontId="14" numFmtId="0" xfId="0" applyAlignment="1" applyFill="1" applyFont="1">
      <alignment horizontal="center"/>
    </xf>
    <xf borderId="0" fillId="11" fontId="14" numFmtId="0" xfId="0" applyAlignment="1" applyFont="1">
      <alignment horizontal="center"/>
    </xf>
    <xf borderId="0" fillId="11" fontId="14" numFmtId="164" xfId="0" applyAlignment="1" applyFont="1" applyNumberFormat="1">
      <alignment horizontal="center"/>
    </xf>
    <xf borderId="0" fillId="2" fontId="12" numFmtId="0" xfId="0" applyAlignment="1" applyFont="1">
      <alignment horizontal="right" readingOrder="0" vertical="center"/>
    </xf>
    <xf borderId="0" fillId="2" fontId="12" numFmtId="9" xfId="0" applyAlignment="1" applyFont="1" applyNumberFormat="1">
      <alignment horizontal="center" readingOrder="0" vertical="center"/>
    </xf>
    <xf borderId="0" fillId="2" fontId="14" numFmtId="164" xfId="0" applyAlignment="1" applyFont="1" applyNumberFormat="1">
      <alignment horizontal="center" vertical="center"/>
    </xf>
    <xf borderId="0" fillId="5" fontId="15" numFmtId="0" xfId="0" applyAlignment="1" applyFont="1">
      <alignment horizontal="center"/>
    </xf>
    <xf borderId="0" fillId="5" fontId="15" numFmtId="165" xfId="0" applyAlignment="1" applyFont="1" applyNumberFormat="1">
      <alignment horizontal="center"/>
    </xf>
    <xf borderId="0" fillId="5" fontId="15" numFmtId="0" xfId="0" applyAlignment="1" applyFont="1">
      <alignment horizontal="center" readingOrder="0"/>
    </xf>
    <xf borderId="0" fillId="5" fontId="15" numFmtId="164" xfId="0" applyAlignment="1" applyFont="1" applyNumberFormat="1">
      <alignment horizontal="center"/>
    </xf>
    <xf borderId="0" fillId="2" fontId="12" numFmtId="164" xfId="0" applyAlignment="1" applyFont="1" applyNumberFormat="1">
      <alignment horizontal="center" readingOrder="0" vertical="center"/>
    </xf>
    <xf borderId="0" fillId="7" fontId="15" numFmtId="0" xfId="0" applyAlignment="1" applyFont="1">
      <alignment horizontal="center" readingOrder="0"/>
    </xf>
    <xf borderId="0" fillId="7" fontId="15" numFmtId="0" xfId="0" applyAlignment="1" applyFont="1">
      <alignment horizontal="center"/>
    </xf>
    <xf borderId="0" fillId="2" fontId="12" numFmtId="164" xfId="0" applyAlignment="1" applyFont="1" applyNumberFormat="1">
      <alignment horizontal="center" vertical="center"/>
    </xf>
    <xf borderId="0" fillId="0" fontId="16" numFmtId="0" xfId="0" applyAlignment="1" applyFont="1">
      <alignment horizontal="left" readingOrder="0" vertical="center"/>
    </xf>
    <xf borderId="0" fillId="12" fontId="12" numFmtId="0" xfId="0" applyAlignment="1" applyFill="1" applyFont="1">
      <alignment readingOrder="0" vertical="center"/>
    </xf>
    <xf borderId="0" fillId="12" fontId="13" numFmtId="0" xfId="0" applyAlignment="1" applyFont="1">
      <alignment vertical="center"/>
    </xf>
    <xf borderId="0" fillId="12" fontId="14" numFmtId="0" xfId="0" applyAlignment="1" applyFont="1">
      <alignment vertical="center"/>
    </xf>
    <xf borderId="0" fillId="12" fontId="14" numFmtId="0" xfId="0" applyAlignment="1" applyFont="1">
      <alignment horizontal="center" vertical="center"/>
    </xf>
    <xf borderId="0" fillId="12" fontId="14" numFmtId="164" xfId="0" applyAlignment="1" applyFont="1" applyNumberFormat="1">
      <alignment horizontal="center" vertical="center"/>
    </xf>
    <xf borderId="0" fillId="5" fontId="15" numFmtId="164" xfId="0" applyAlignment="1" applyFont="1" applyNumberFormat="1">
      <alignment horizontal="center" vertical="top"/>
    </xf>
    <xf borderId="0" fillId="7" fontId="15" numFmtId="164" xfId="0" applyAlignment="1" applyFont="1" applyNumberFormat="1">
      <alignment horizontal="center"/>
    </xf>
    <xf borderId="0" fillId="0" fontId="16" numFmtId="0" xfId="0" applyAlignment="1" applyFont="1">
      <alignment horizontal="left" readingOrder="0"/>
    </xf>
    <xf borderId="0" fillId="8" fontId="8" numFmtId="164" xfId="0" applyAlignment="1" applyFont="1" applyNumberFormat="1">
      <alignment horizontal="center" readingOrder="0" shrinkToFit="0" vertical="center" wrapText="1"/>
    </xf>
    <xf borderId="0" fillId="4" fontId="17" numFmtId="0" xfId="0" applyFont="1"/>
    <xf borderId="0" fillId="11" fontId="14" numFmtId="0" xfId="0" applyAlignment="1" applyFont="1">
      <alignment horizontal="center" readingOrder="0" vertical="center"/>
    </xf>
    <xf borderId="0" fillId="11" fontId="14" numFmtId="164" xfId="0" applyAlignment="1" applyFont="1" applyNumberFormat="1">
      <alignment horizontal="center" readingOrder="0" vertical="center"/>
    </xf>
    <xf borderId="0" fillId="0" fontId="16" numFmtId="0" xfId="0" applyAlignment="1" applyFont="1">
      <alignment horizontal="left"/>
    </xf>
    <xf borderId="0" fillId="5" fontId="15" numFmtId="0" xfId="0" applyAlignment="1" applyFont="1">
      <alignment horizontal="center" readingOrder="0" vertical="center"/>
    </xf>
    <xf borderId="0" fillId="5" fontId="15" numFmtId="164" xfId="0" applyAlignment="1" applyFont="1" applyNumberFormat="1">
      <alignment horizontal="center" vertical="center"/>
    </xf>
    <xf borderId="0" fillId="5" fontId="15" numFmtId="4" xfId="0" applyAlignment="1" applyFont="1" applyNumberFormat="1">
      <alignment horizontal="center" readingOrder="0" vertical="center"/>
    </xf>
    <xf borderId="0" fillId="3" fontId="15" numFmtId="0" xfId="0" applyAlignment="1" applyFont="1">
      <alignment horizontal="center" readingOrder="0" vertical="center"/>
    </xf>
    <xf borderId="0" fillId="5" fontId="15" numFmtId="0" xfId="0" applyAlignment="1" applyFont="1">
      <alignment horizontal="center" vertical="center"/>
    </xf>
    <xf borderId="0" fillId="7" fontId="15" numFmtId="0" xfId="0" applyAlignment="1" applyFont="1">
      <alignment horizontal="center" readingOrder="0" vertical="center"/>
    </xf>
    <xf borderId="0" fillId="5" fontId="18" numFmtId="164" xfId="0" applyAlignment="1" applyFont="1" applyNumberFormat="1">
      <alignment horizontal="center" vertical="center"/>
    </xf>
    <xf borderId="0" fillId="5" fontId="18" numFmtId="4" xfId="0" applyAlignment="1" applyFont="1" applyNumberFormat="1">
      <alignment horizontal="center" vertical="center"/>
    </xf>
    <xf borderId="0" fillId="0" fontId="16" numFmtId="0" xfId="0" applyAlignment="1" applyFont="1">
      <alignment horizontal="center"/>
    </xf>
    <xf borderId="0" fillId="3" fontId="18" numFmtId="0" xfId="0" applyAlignment="1" applyFont="1">
      <alignment horizontal="center" readingOrder="0" vertical="top"/>
    </xf>
    <xf borderId="0" fillId="4" fontId="18" numFmtId="164" xfId="0" applyAlignment="1" applyFont="1" applyNumberFormat="1">
      <alignment horizontal="center" vertical="center"/>
    </xf>
    <xf borderId="0" fillId="3" fontId="15" numFmtId="0" xfId="0" applyAlignment="1" applyFont="1">
      <alignment horizontal="center" vertical="center"/>
    </xf>
    <xf borderId="0" fillId="7" fontId="15" numFmtId="0" xfId="0" applyAlignment="1" applyFont="1">
      <alignment horizontal="center" vertical="center"/>
    </xf>
    <xf borderId="0" fillId="9" fontId="12" numFmtId="0" xfId="0" applyAlignment="1" applyFont="1">
      <alignment readingOrder="0" vertical="center"/>
    </xf>
    <xf borderId="0" fillId="4" fontId="15" numFmtId="0" xfId="0" applyAlignment="1" applyFont="1">
      <alignment vertical="center"/>
    </xf>
    <xf borderId="0" fillId="12" fontId="14" numFmtId="164" xfId="0" applyAlignment="1" applyFont="1" applyNumberFormat="1">
      <alignment horizontal="center" readingOrder="0" vertical="center"/>
    </xf>
    <xf borderId="0" fillId="4" fontId="15" numFmtId="164" xfId="0" applyAlignment="1" applyFont="1" applyNumberFormat="1">
      <alignment vertical="center"/>
    </xf>
    <xf borderId="0" fillId="4" fontId="14" numFmtId="3" xfId="0" applyAlignment="1" applyFont="1" applyNumberFormat="1">
      <alignment horizontal="center" readingOrder="0" shrinkToFit="0" vertical="center" wrapText="1"/>
    </xf>
    <xf borderId="0" fillId="11" fontId="14" numFmtId="3" xfId="0" applyAlignment="1" applyFont="1" applyNumberFormat="1">
      <alignment horizontal="center" readingOrder="0" shrinkToFit="0" vertical="center" wrapText="1"/>
    </xf>
    <xf borderId="0" fillId="0" fontId="18" numFmtId="0" xfId="0" applyAlignment="1" applyFont="1">
      <alignment readingOrder="0" vertical="center"/>
    </xf>
    <xf borderId="0" fillId="2" fontId="14" numFmtId="0" xfId="0" applyAlignment="1" applyFont="1">
      <alignment shrinkToFit="0" vertical="center" wrapText="0"/>
    </xf>
    <xf borderId="0" fillId="2" fontId="15" numFmtId="0" xfId="0" applyAlignment="1" applyFont="1">
      <alignment vertical="center"/>
    </xf>
    <xf borderId="0" fillId="7" fontId="15" numFmtId="9" xfId="0" applyAlignment="1" applyFont="1" applyNumberFormat="1">
      <alignment horizontal="center" readingOrder="0" vertical="center"/>
    </xf>
    <xf borderId="0" fillId="12" fontId="14" numFmtId="164" xfId="0" applyAlignment="1" applyFont="1" applyNumberFormat="1">
      <alignment horizontal="center"/>
    </xf>
    <xf borderId="0" fillId="5" fontId="15" numFmtId="3" xfId="0" applyAlignment="1" applyFont="1" applyNumberFormat="1">
      <alignment horizontal="center" vertical="center"/>
    </xf>
    <xf borderId="0" fillId="7" fontId="15" numFmtId="3" xfId="0" applyAlignment="1" applyFont="1" applyNumberFormat="1">
      <alignment horizontal="center" readingOrder="0" vertical="center"/>
    </xf>
    <xf borderId="0" fillId="3" fontId="15" numFmtId="3" xfId="0" applyAlignment="1" applyFont="1" applyNumberFormat="1">
      <alignment horizontal="center" readingOrder="0" vertical="center"/>
    </xf>
    <xf borderId="0" fillId="2" fontId="14" numFmtId="0" xfId="0" applyAlignment="1" applyFont="1">
      <alignment readingOrder="0" vertical="center"/>
    </xf>
    <xf borderId="0" fillId="2" fontId="15" numFmtId="0" xfId="0" applyAlignment="1" applyFont="1">
      <alignment readingOrder="0" vertical="center"/>
    </xf>
    <xf borderId="0" fillId="7" fontId="14" numFmtId="9" xfId="0" applyAlignment="1" applyFont="1" applyNumberFormat="1">
      <alignment horizontal="center" readingOrder="0" vertical="center"/>
    </xf>
    <xf borderId="0" fillId="4" fontId="15" numFmtId="9" xfId="0" applyAlignment="1" applyFont="1" applyNumberFormat="1">
      <alignment horizontal="center" vertical="center"/>
    </xf>
    <xf borderId="0" fillId="5" fontId="15" numFmtId="3" xfId="0" applyAlignment="1" applyFont="1" applyNumberFormat="1">
      <alignment horizontal="center" readingOrder="0" vertical="center"/>
    </xf>
    <xf borderId="0" fillId="2" fontId="14" numFmtId="0" xfId="0" applyAlignment="1" applyFont="1">
      <alignment vertical="center"/>
    </xf>
    <xf borderId="0" fillId="2" fontId="15" numFmtId="4" xfId="0" applyAlignment="1" applyFont="1" applyNumberFormat="1">
      <alignment horizontal="center"/>
    </xf>
    <xf borderId="0" fillId="12" fontId="14" numFmtId="0" xfId="0" applyAlignment="1" applyFont="1">
      <alignment vertical="center"/>
    </xf>
    <xf borderId="0" fillId="12" fontId="15" numFmtId="0" xfId="0" applyAlignment="1" applyFont="1">
      <alignment vertical="center"/>
    </xf>
    <xf borderId="0" fillId="12" fontId="15" numFmtId="0" xfId="0" applyAlignment="1" applyFont="1">
      <alignment vertical="center"/>
    </xf>
    <xf borderId="0" fillId="2" fontId="12" numFmtId="0" xfId="0" applyAlignment="1" applyFont="1">
      <alignment horizontal="left" vertical="center"/>
    </xf>
    <xf borderId="0" fillId="2" fontId="12" numFmtId="0" xfId="0" applyAlignment="1" applyFont="1">
      <alignment horizontal="center" vertical="center"/>
    </xf>
    <xf borderId="0" fillId="2" fontId="12" numFmtId="0" xfId="0" applyAlignment="1" applyFont="1">
      <alignment horizontal="right" vertical="center"/>
    </xf>
    <xf borderId="0" fillId="13" fontId="14" numFmtId="0" xfId="0" applyAlignment="1" applyFill="1" applyFont="1">
      <alignment vertical="center"/>
    </xf>
    <xf borderId="0" fillId="3" fontId="15" numFmtId="0" xfId="0" applyAlignment="1" applyFont="1">
      <alignment readingOrder="0" vertical="center"/>
    </xf>
    <xf borderId="0" fillId="13" fontId="14" numFmtId="0" xfId="0" applyAlignment="1" applyFont="1">
      <alignment vertical="center"/>
    </xf>
    <xf borderId="0" fillId="3" fontId="15" numFmtId="164" xfId="0" applyAlignment="1" applyFont="1" applyNumberFormat="1">
      <alignment readingOrder="0" vertical="center"/>
    </xf>
    <xf borderId="0" fillId="13" fontId="14" numFmtId="164" xfId="0" applyAlignment="1" applyFont="1" applyNumberFormat="1">
      <alignment readingOrder="0" vertical="center"/>
    </xf>
    <xf borderId="0" fillId="0" fontId="15" numFmtId="0" xfId="0" applyAlignment="1" applyFont="1">
      <alignment readingOrder="0" vertical="center"/>
    </xf>
    <xf borderId="0" fillId="13" fontId="14" numFmtId="0" xfId="0" applyAlignment="1" applyFont="1">
      <alignment readingOrder="0" vertical="center"/>
    </xf>
    <xf borderId="0" fillId="0" fontId="15" numFmtId="0" xfId="0" applyAlignment="1" applyFont="1">
      <alignment vertical="center"/>
    </xf>
    <xf borderId="0" fillId="4" fontId="19" numFmtId="0" xfId="0" applyAlignment="1" applyFont="1">
      <alignment readingOrder="0" vertical="center"/>
    </xf>
    <xf borderId="0" fillId="0" fontId="15" numFmtId="0" xfId="0" applyAlignment="1" applyFont="1">
      <alignment horizontal="center" vertical="center"/>
    </xf>
    <xf borderId="0" fillId="11" fontId="14" numFmtId="0" xfId="0" applyAlignment="1" applyFont="1">
      <alignment horizontal="center" vertical="center"/>
    </xf>
    <xf borderId="0" fillId="11" fontId="14" numFmtId="4" xfId="0" applyAlignment="1" applyFont="1" applyNumberFormat="1">
      <alignment horizontal="center" readingOrder="0" vertical="center"/>
    </xf>
    <xf borderId="0" fillId="11" fontId="14" numFmtId="4" xfId="0" applyAlignment="1" applyFont="1" applyNumberFormat="1">
      <alignment horizontal="center" vertical="center"/>
    </xf>
    <xf borderId="0" fillId="5" fontId="14" numFmtId="3" xfId="0" applyAlignment="1" applyFont="1" applyNumberFormat="1">
      <alignment horizontal="center" readingOrder="0" vertical="center"/>
    </xf>
    <xf borderId="0" fillId="7" fontId="14" numFmtId="3" xfId="0" applyAlignment="1" applyFont="1" applyNumberFormat="1">
      <alignment horizontal="center" readingOrder="0" vertical="center"/>
    </xf>
    <xf borderId="0" fillId="3" fontId="14" numFmtId="3" xfId="0" applyAlignment="1" applyFont="1" applyNumberFormat="1">
      <alignment horizontal="center" readingOrder="0" vertical="center"/>
    </xf>
    <xf borderId="0" fillId="5" fontId="15" numFmtId="165" xfId="0" applyAlignment="1" applyFont="1" applyNumberFormat="1">
      <alignment horizontal="center" vertical="center"/>
    </xf>
    <xf borderId="0" fillId="3" fontId="20" numFmtId="0" xfId="0" applyAlignment="1" applyFont="1">
      <alignment horizontal="center" readingOrder="0"/>
    </xf>
    <xf borderId="0" fillId="5" fontId="15" numFmtId="4" xfId="0" applyAlignment="1" applyFont="1" applyNumberFormat="1">
      <alignment horizontal="center" vertical="center"/>
    </xf>
    <xf borderId="0" fillId="7" fontId="15" numFmtId="3" xfId="0" applyAlignment="1" applyFont="1" applyNumberFormat="1">
      <alignment horizontal="center" vertical="center"/>
    </xf>
    <xf borderId="0" fillId="3" fontId="20" numFmtId="0" xfId="0" applyAlignment="1" applyFont="1">
      <alignment horizontal="center"/>
    </xf>
    <xf borderId="0" fillId="3" fontId="15" numFmtId="3" xfId="0" applyAlignment="1" applyFont="1" applyNumberFormat="1">
      <alignment horizontal="center" vertical="center"/>
    </xf>
    <xf borderId="0" fillId="4" fontId="15" numFmtId="4" xfId="0" applyAlignment="1" applyFont="1" applyNumberFormat="1">
      <alignment horizontal="center" vertical="center"/>
    </xf>
    <xf borderId="0" fillId="3" fontId="20" numFmtId="0" xfId="0" applyAlignment="1" applyFont="1">
      <alignment horizontal="center" readingOrder="0" vertical="center"/>
    </xf>
    <xf borderId="0" fillId="3" fontId="15" numFmtId="0" xfId="0" applyAlignment="1" applyFont="1">
      <alignment horizontal="center" vertical="center"/>
    </xf>
    <xf borderId="0" fillId="9" fontId="12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2" fontId="14" numFmtId="0" xfId="0" applyAlignment="1" applyFont="1">
      <alignment readingOrder="0" shrinkToFit="0" vertical="center" wrapText="0"/>
    </xf>
    <xf borderId="0" fillId="4" fontId="15" numFmtId="164" xfId="0" applyAlignment="1" applyFont="1" applyNumberFormat="1">
      <alignment horizontal="center" vertical="center"/>
    </xf>
    <xf borderId="0" fillId="0" fontId="15" numFmtId="0" xfId="0" applyAlignment="1" applyFont="1">
      <alignment horizontal="center"/>
    </xf>
    <xf borderId="0" fillId="3" fontId="18" numFmtId="0" xfId="0" applyAlignment="1" applyFont="1">
      <alignment horizontal="center" readingOrder="0" vertical="center"/>
    </xf>
    <xf borderId="0" fillId="3" fontId="12" numFmtId="0" xfId="0" applyAlignment="1" applyFont="1">
      <alignment horizontal="center" readingOrder="0" vertical="center"/>
    </xf>
    <xf borderId="0" fillId="9" fontId="14" numFmtId="0" xfId="0" applyAlignment="1" applyFont="1">
      <alignment horizontal="center" readingOrder="0" vertical="center"/>
    </xf>
    <xf borderId="0" fillId="2" fontId="12" numFmtId="166" xfId="0" applyAlignment="1" applyFont="1" applyNumberFormat="1">
      <alignment horizontal="center" readingOrder="0" vertical="center"/>
    </xf>
    <xf borderId="0" fillId="7" fontId="12" numFmtId="167" xfId="0" applyAlignment="1" applyFont="1" applyNumberFormat="1">
      <alignment horizontal="center" readingOrder="0" vertical="center"/>
    </xf>
    <xf borderId="0" fillId="5" fontId="12" numFmtId="166" xfId="0" applyAlignment="1" applyFont="1" applyNumberFormat="1">
      <alignment horizontal="center" readingOrder="0" vertical="center"/>
    </xf>
    <xf borderId="0" fillId="13" fontId="12" numFmtId="167" xfId="0" applyAlignment="1" applyFont="1" applyNumberFormat="1">
      <alignment horizontal="center" readingOrder="0" vertical="center"/>
    </xf>
    <xf borderId="0" fillId="14" fontId="12" numFmtId="167" xfId="0" applyAlignment="1" applyFill="1" applyFont="1" applyNumberFormat="1">
      <alignment horizontal="center" readingOrder="0" vertical="center"/>
    </xf>
    <xf borderId="0" fillId="15" fontId="12" numFmtId="164" xfId="0" applyAlignment="1" applyFill="1" applyFont="1" applyNumberFormat="1">
      <alignment horizontal="center" readingOrder="0" vertical="center"/>
    </xf>
    <xf borderId="0" fillId="9" fontId="14" numFmtId="165" xfId="0" applyAlignment="1" applyFont="1" applyNumberFormat="1">
      <alignment horizontal="center" readingOrder="0" vertical="center"/>
    </xf>
    <xf borderId="0" fillId="9" fontId="15" numFmtId="0" xfId="0" applyAlignment="1" applyFont="1">
      <alignment horizontal="center" readingOrder="0" vertical="center"/>
    </xf>
    <xf borderId="0" fillId="9" fontId="14" numFmtId="0" xfId="0" applyAlignment="1" applyFont="1">
      <alignment horizontal="center" vertical="center"/>
    </xf>
    <xf borderId="0" fillId="2" fontId="14" numFmtId="165" xfId="0" applyAlignment="1" applyFont="1" applyNumberFormat="1">
      <alignment horizontal="center" readingOrder="0" vertical="center"/>
    </xf>
    <xf borderId="0" fillId="7" fontId="12" numFmtId="166" xfId="0" applyAlignment="1" applyFont="1" applyNumberForma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0" fillId="0" fontId="15" numFmtId="165" xfId="0" applyAlignment="1" applyFont="1" applyNumberFormat="1">
      <alignment horizontal="center" vertical="center"/>
    </xf>
    <xf borderId="0" fillId="0" fontId="15" numFmtId="168" xfId="0" applyAlignment="1" applyFont="1" applyNumberFormat="1">
      <alignment horizontal="center" vertical="center"/>
    </xf>
    <xf borderId="0" fillId="16" fontId="15" numFmtId="166" xfId="0" applyAlignment="1" applyFill="1" applyFont="1" applyNumberFormat="1">
      <alignment horizontal="center" vertical="center"/>
    </xf>
    <xf borderId="0" fillId="0" fontId="15" numFmtId="167" xfId="0" applyAlignment="1" applyFont="1" applyNumberFormat="1">
      <alignment horizontal="center" vertical="center"/>
    </xf>
    <xf borderId="0" fillId="16" fontId="15" numFmtId="167" xfId="0" applyAlignment="1" applyFont="1" applyNumberFormat="1">
      <alignment horizontal="center" vertical="center"/>
    </xf>
    <xf borderId="0" fillId="16" fontId="15" numFmtId="164" xfId="0" applyAlignment="1" applyFont="1" applyNumberFormat="1">
      <alignment horizontal="center" vertical="center"/>
    </xf>
    <xf borderId="0" fillId="16" fontId="21" numFmtId="0" xfId="0" applyAlignment="1" applyFont="1">
      <alignment horizontal="center" readingOrder="0" vertical="center"/>
    </xf>
    <xf borderId="0" fillId="0" fontId="15" numFmtId="167" xfId="0" applyAlignment="1" applyFont="1" applyNumberFormat="1">
      <alignment horizontal="center" readingOrder="0" vertical="center"/>
    </xf>
    <xf borderId="0" fillId="0" fontId="15" numFmtId="4" xfId="0" applyAlignment="1" applyFont="1" applyNumberFormat="1">
      <alignment horizontal="center" vertical="center"/>
    </xf>
    <xf borderId="0" fillId="0" fontId="15" numFmtId="3" xfId="0" applyAlignment="1" applyFont="1" applyNumberFormat="1">
      <alignment horizontal="center" vertical="center"/>
    </xf>
    <xf borderId="0" fillId="4" fontId="22" numFmtId="0" xfId="0" applyAlignment="1" applyFont="1">
      <alignment horizontal="center"/>
    </xf>
    <xf borderId="0" fillId="0" fontId="2" numFmtId="0" xfId="0" applyFont="1"/>
    <xf borderId="0" fillId="5" fontId="23" numFmtId="0" xfId="0" applyAlignment="1" applyFont="1">
      <alignment horizontal="center"/>
    </xf>
    <xf borderId="0" fillId="5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5" fontId="16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5" fontId="17" numFmtId="0" xfId="0" applyFont="1"/>
    <xf borderId="0" fillId="9" fontId="14" numFmtId="0" xfId="0" applyAlignment="1" applyFont="1">
      <alignment horizontal="center" vertical="bottom"/>
    </xf>
    <xf borderId="0" fillId="9" fontId="14" numFmtId="0" xfId="0" applyAlignment="1" applyFont="1">
      <alignment horizontal="center"/>
    </xf>
    <xf borderId="0" fillId="9" fontId="14" numFmtId="165" xfId="0" applyAlignment="1" applyFont="1" applyNumberFormat="1">
      <alignment horizontal="center" vertical="bottom"/>
    </xf>
    <xf borderId="0" fillId="9" fontId="2" numFmtId="165" xfId="0" applyAlignment="1" applyFont="1" applyNumberFormat="1">
      <alignment vertical="bottom"/>
    </xf>
    <xf borderId="0" fillId="0" fontId="15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5" numFmtId="165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15" numFmtId="165" xfId="0" applyAlignment="1" applyFont="1" applyNumberFormat="1">
      <alignment horizontal="center" readingOrder="0" vertical="bottom"/>
    </xf>
    <xf borderId="0" fillId="0" fontId="2" numFmtId="0" xfId="0" applyFont="1"/>
    <xf borderId="0" fillId="9" fontId="14" numFmtId="165" xfId="0" applyAlignment="1" applyFont="1" applyNumberFormat="1">
      <alignment horizontal="center"/>
    </xf>
    <xf borderId="0" fillId="9" fontId="14" numFmtId="164" xfId="0" applyAlignment="1" applyFont="1" applyNumberFormat="1">
      <alignment horizontal="center"/>
    </xf>
    <xf borderId="0" fillId="9" fontId="14" numFmtId="3" xfId="0" applyAlignment="1" applyFont="1" applyNumberFormat="1">
      <alignment horizontal="center"/>
    </xf>
    <xf borderId="0" fillId="9" fontId="14" numFmtId="169" xfId="0" applyAlignment="1" applyFont="1" applyNumberFormat="1">
      <alignment horizontal="center"/>
    </xf>
    <xf borderId="0" fillId="0" fontId="15" numFmtId="165" xfId="0" applyAlignment="1" applyFont="1" applyNumberFormat="1">
      <alignment horizontal="center"/>
    </xf>
    <xf borderId="0" fillId="0" fontId="15" numFmtId="3" xfId="0" applyAlignment="1" applyFont="1" applyNumberFormat="1">
      <alignment horizontal="center"/>
    </xf>
    <xf borderId="0" fillId="0" fontId="2" numFmtId="169" xfId="0" applyFont="1" applyNumberFormat="1"/>
    <xf borderId="0" fillId="0" fontId="15" numFmtId="164" xfId="0" applyAlignment="1" applyFont="1" applyNumberFormat="1">
      <alignment horizontal="center"/>
    </xf>
    <xf borderId="0" fillId="0" fontId="2" numFmtId="165" xfId="0" applyFont="1" applyNumberFormat="1"/>
    <xf borderId="0" fillId="0" fontId="2" numFmtId="164" xfId="0" applyFont="1" applyNumberFormat="1"/>
    <xf borderId="0" fillId="0" fontId="2" numFmtId="3" xfId="0" applyFont="1" applyNumberFormat="1"/>
    <xf borderId="0" fillId="9" fontId="14" numFmtId="0" xfId="0" applyFont="1"/>
    <xf borderId="0" fillId="16" fontId="15" numFmtId="0" xfId="0" applyAlignment="1" applyFont="1">
      <alignment horizontal="center"/>
    </xf>
    <xf borderId="0" fillId="16" fontId="2" numFmtId="0" xfId="0" applyFont="1"/>
    <xf borderId="0" fillId="16" fontId="15" numFmtId="164" xfId="0" applyAlignment="1" applyFont="1" applyNumberFormat="1">
      <alignment horizontal="center"/>
    </xf>
    <xf borderId="0" fillId="16" fontId="15" numFmtId="165" xfId="0" applyAlignment="1" applyFont="1" applyNumberFormat="1">
      <alignment horizontal="center"/>
    </xf>
    <xf borderId="0" fillId="16" fontId="15" numFmtId="0" xfId="0" applyAlignment="1" applyFont="1">
      <alignment horizontal="center" shrinkToFit="0" wrapText="1"/>
    </xf>
    <xf borderId="0" fillId="16" fontId="2" numFmtId="164" xfId="0" applyFont="1" applyNumberFormat="1"/>
    <xf borderId="0" fillId="9" fontId="14" numFmtId="170" xfId="0" applyAlignment="1" applyFont="1" applyNumberFormat="1">
      <alignment horizontal="center"/>
    </xf>
    <xf borderId="0" fillId="9" fontId="15" numFmtId="165" xfId="0" applyAlignment="1" applyFont="1" applyNumberFormat="1">
      <alignment horizontal="center"/>
    </xf>
    <xf borderId="0" fillId="0" fontId="15" numFmtId="170" xfId="0" applyAlignment="1" applyFont="1" applyNumberFormat="1">
      <alignment horizontal="center"/>
    </xf>
    <xf borderId="0" fillId="0" fontId="15" numFmtId="168" xfId="0" applyAlignment="1" applyFont="1" applyNumberFormat="1">
      <alignment horizontal="center"/>
    </xf>
    <xf borderId="0" fillId="0" fontId="15" numFmtId="168" xfId="0" applyAlignment="1" applyFont="1" applyNumberFormat="1">
      <alignment horizontal="center" vertical="bottom"/>
    </xf>
    <xf borderId="0" fillId="0" fontId="15" numFmtId="3" xfId="0" applyAlignment="1" applyFont="1" applyNumberFormat="1">
      <alignment horizontal="center" vertical="bottom"/>
    </xf>
    <xf borderId="0" fillId="0" fontId="15" numFmtId="170" xfId="0" applyAlignment="1" applyFont="1" applyNumberFormat="1">
      <alignment horizontal="center" vertical="bottom"/>
    </xf>
    <xf borderId="0" fillId="0" fontId="15" numFmtId="49" xfId="0" applyAlignment="1" applyFont="1" applyNumberFormat="1">
      <alignment horizontal="center" readingOrder="0"/>
    </xf>
    <xf borderId="0" fillId="0" fontId="15" numFmtId="168" xfId="0" applyAlignment="1" applyFont="1" applyNumberFormat="1">
      <alignment horizontal="center" readingOrder="0"/>
    </xf>
    <xf borderId="0" fillId="0" fontId="15" numFmtId="165" xfId="0" applyAlignment="1" applyFont="1" applyNumberFormat="1">
      <alignment horizontal="center" readingOrder="0"/>
    </xf>
    <xf borderId="0" fillId="0" fontId="15" numFmtId="3" xfId="0" applyAlignment="1" applyFont="1" applyNumberFormat="1">
      <alignment horizontal="center" readingOrder="0"/>
    </xf>
    <xf borderId="0" fillId="0" fontId="15" numFmtId="49" xfId="0" applyAlignment="1" applyFont="1" applyNumberFormat="1">
      <alignment horizontal="center"/>
    </xf>
    <xf borderId="0" fillId="9" fontId="14" numFmtId="164" xfId="0" applyAlignment="1" applyFont="1" applyNumberFormat="1">
      <alignment horizontal="center" vertical="bottom"/>
    </xf>
    <xf borderId="0" fillId="9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16" fontId="15" numFmtId="164" xfId="0" applyAlignment="1" applyFont="1" applyNumberFormat="1">
      <alignment horizontal="center" vertical="bottom"/>
    </xf>
    <xf borderId="0" fillId="0" fontId="15" numFmtId="164" xfId="0" applyAlignment="1" applyFont="1" applyNumberFormat="1">
      <alignment horizontal="center" vertical="bottom"/>
    </xf>
    <xf borderId="0" fillId="0" fontId="15" numFmtId="0" xfId="0" applyAlignment="1" applyFont="1">
      <alignment vertical="bottom"/>
    </xf>
    <xf borderId="0" fillId="0" fontId="15" numFmtId="164" xfId="0" applyAlignment="1" applyFont="1" applyNumberFormat="1">
      <alignment vertical="bottom"/>
    </xf>
    <xf borderId="0" fillId="16" fontId="2" numFmtId="164" xfId="0" applyAlignment="1" applyFont="1" applyNumberFormat="1">
      <alignment vertical="bottom"/>
    </xf>
    <xf borderId="0" fillId="9" fontId="2" numFmtId="9" xfId="0" applyAlignment="1" applyFont="1" applyNumberFormat="1">
      <alignment vertical="bottom"/>
    </xf>
    <xf borderId="0" fillId="4" fontId="14" numFmtId="9" xfId="0" applyAlignment="1" applyFont="1" applyNumberFormat="1">
      <alignment horizontal="center"/>
    </xf>
    <xf borderId="0" fillId="4" fontId="14" numFmtId="165" xfId="0" applyAlignment="1" applyFont="1" applyNumberFormat="1">
      <alignment horizontal="center" vertical="bottom"/>
    </xf>
    <xf borderId="0" fillId="0" fontId="2" numFmtId="168" xfId="0" applyAlignment="1" applyFont="1" applyNumberFormat="1">
      <alignment vertical="bottom"/>
    </xf>
    <xf borderId="0" fillId="0" fontId="15" numFmtId="9" xfId="0" applyAlignment="1" applyFont="1" applyNumberFormat="1">
      <alignment horizontal="center"/>
    </xf>
    <xf borderId="0" fillId="0" fontId="2" numFmtId="9" xfId="0" applyAlignment="1" applyFont="1" applyNumberFormat="1">
      <alignment vertical="bottom"/>
    </xf>
    <xf borderId="0" fillId="0" fontId="15" numFmtId="9" xfId="0" applyAlignment="1" applyFont="1" applyNumberFormat="1">
      <alignment horizontal="center" vertical="bottom"/>
    </xf>
    <xf borderId="0" fillId="0" fontId="2" numFmtId="9" xfId="0" applyFont="1" applyNumberFormat="1"/>
    <xf borderId="0" fillId="0" fontId="15" numFmtId="9" xfId="0" applyAlignment="1" applyFont="1" applyNumberFormat="1">
      <alignment horizontal="center" vertical="center"/>
    </xf>
    <xf borderId="0" fillId="9" fontId="14" numFmtId="0" xfId="0" applyAlignment="1" applyFont="1">
      <alignment vertical="top"/>
    </xf>
    <xf borderId="0" fillId="9" fontId="14" numFmtId="0" xfId="0" applyAlignment="1" applyFont="1">
      <alignment horizontal="center" vertical="top"/>
    </xf>
    <xf borderId="0" fillId="9" fontId="14" numFmtId="165" xfId="0" applyAlignment="1" applyFont="1" applyNumberFormat="1">
      <alignment horizontal="center" vertical="top"/>
    </xf>
    <xf borderId="0" fillId="0" fontId="15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15" numFmtId="165" xfId="0" applyAlignment="1" applyFont="1" applyNumberFormat="1">
      <alignment horizontal="right" vertical="top"/>
    </xf>
    <xf borderId="0" fillId="0" fontId="2" numFmtId="168" xfId="0" applyAlignment="1" applyFont="1" applyNumberFormat="1">
      <alignment vertical="top"/>
    </xf>
    <xf borderId="0" fillId="9" fontId="2" numFmtId="165" xfId="0" applyFont="1" applyNumberFormat="1"/>
    <xf borderId="0" fillId="4" fontId="14" numFmtId="0" xfId="0" applyAlignment="1" applyFont="1">
      <alignment horizontal="center"/>
    </xf>
    <xf borderId="0" fillId="4" fontId="14" numFmtId="0" xfId="0" applyAlignment="1" applyFont="1">
      <alignment horizontal="center" readingOrder="0"/>
    </xf>
    <xf borderId="0" fillId="0" fontId="2" numFmtId="0" xfId="0" applyAlignment="1" applyFont="1">
      <alignment vertical="top"/>
    </xf>
    <xf borderId="0" fillId="9" fontId="12" numFmtId="0" xfId="0" applyAlignment="1" applyFont="1">
      <alignment horizontal="center" readingOrder="0" vertical="top"/>
    </xf>
    <xf borderId="0" fillId="9" fontId="12" numFmtId="165" xfId="0" applyAlignment="1" applyFont="1" applyNumberFormat="1">
      <alignment horizontal="center" readingOrder="0" vertical="top"/>
    </xf>
    <xf borderId="0" fillId="0" fontId="3" numFmtId="0" xfId="0" applyAlignment="1" applyFont="1">
      <alignment vertical="top"/>
    </xf>
    <xf borderId="0" fillId="0" fontId="18" numFmtId="165" xfId="0" applyAlignment="1" applyFont="1" applyNumberFormat="1">
      <alignment horizontal="center" readingOrder="0" vertical="top"/>
    </xf>
    <xf borderId="0" fillId="0" fontId="18" numFmtId="168" xfId="0" applyAlignment="1" applyFont="1" applyNumberFormat="1">
      <alignment horizontal="center" readingOrder="0" vertical="top"/>
    </xf>
    <xf borderId="0" fillId="0" fontId="15" numFmtId="165" xfId="0" applyAlignment="1" applyFont="1" applyNumberFormat="1">
      <alignment horizontal="center" readingOrder="0" vertical="top"/>
    </xf>
    <xf borderId="0" fillId="0" fontId="3" numFmtId="0" xfId="0" applyFont="1"/>
    <xf borderId="0" fillId="0" fontId="3" numFmtId="165" xfId="0" applyAlignment="1" applyFont="1" applyNumberFormat="1">
      <alignment horizontal="center"/>
    </xf>
    <xf borderId="0" fillId="9" fontId="14" numFmtId="164" xfId="0" applyAlignment="1" applyFont="1" applyNumberFormat="1">
      <alignment horizontal="center" readingOrder="0" vertical="center"/>
    </xf>
    <xf borderId="0" fillId="4" fontId="14" numFmtId="164" xfId="0" applyAlignment="1" applyFont="1" applyNumberFormat="1">
      <alignment horizontal="center" readingOrder="0" vertical="center"/>
    </xf>
    <xf borderId="0" fillId="0" fontId="14" numFmtId="165" xfId="0" applyAlignment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15" fontId="14" numFmtId="164" xfId="0" applyAlignment="1" applyFont="1" applyNumberFormat="1">
      <alignment horizontal="center" readingOrder="0" vertical="center"/>
    </xf>
    <xf borderId="0" fillId="15" fontId="14" numFmtId="0" xfId="0" applyAlignment="1" applyFont="1">
      <alignment horizontal="center" readingOrder="0" vertical="center"/>
    </xf>
    <xf borderId="0" fillId="15" fontId="14" numFmtId="0" xfId="0" applyAlignment="1" applyFont="1">
      <alignment horizontal="center" readingOrder="0"/>
    </xf>
    <xf borderId="0" fillId="15" fontId="14" numFmtId="164" xfId="0" applyAlignment="1" applyFont="1" applyNumberFormat="1">
      <alignment horizontal="center" readingOrder="0"/>
    </xf>
    <xf borderId="0" fillId="0" fontId="15" numFmtId="164" xfId="0" applyAlignment="1" applyFont="1" applyNumberFormat="1">
      <alignment horizontal="center" readingOrder="0"/>
    </xf>
    <xf borderId="0" fillId="5" fontId="15" numFmtId="164" xfId="0" applyAlignment="1" applyFont="1" applyNumberFormat="1">
      <alignment horizontal="center" readingOrder="0"/>
    </xf>
    <xf borderId="0" fillId="4" fontId="24" numFmtId="0" xfId="0" applyAlignment="1" applyFont="1">
      <alignment horizontal="center" readingOrder="0" vertical="center"/>
    </xf>
    <xf borderId="0" fillId="5" fontId="25" numFmtId="0" xfId="0" applyAlignment="1" applyFont="1">
      <alignment horizontal="center" vertical="center"/>
    </xf>
    <xf borderId="0" fillId="7" fontId="26" numFmtId="0" xfId="0" applyAlignment="1" applyFont="1">
      <alignment horizontal="center" readingOrder="0" vertical="center"/>
    </xf>
    <xf borderId="0" fillId="7" fontId="25" numFmtId="0" xfId="0" applyAlignment="1" applyFont="1">
      <alignment horizontal="center" readingOrder="0" vertical="center"/>
    </xf>
    <xf borderId="0" fillId="5" fontId="25" numFmtId="0" xfId="0" applyAlignment="1" applyFont="1">
      <alignment horizontal="center" readingOrder="0" vertical="center"/>
    </xf>
    <xf borderId="0" fillId="5" fontId="26" numFmtId="0" xfId="0" applyAlignment="1" applyFont="1">
      <alignment horizontal="center" readingOrder="0" vertical="center"/>
    </xf>
    <xf borderId="0" fillId="7" fontId="26" numFmtId="0" xfId="0" applyAlignment="1" applyFont="1">
      <alignment horizontal="center" vertical="center"/>
    </xf>
    <xf borderId="0" fillId="7" fontId="27" numFmtId="0" xfId="0" applyAlignment="1" applyFont="1">
      <alignment horizontal="center" readingOrder="0" vertical="center"/>
    </xf>
    <xf borderId="0" fillId="5" fontId="26" numFmtId="0" xfId="0" applyAlignment="1" applyFont="1">
      <alignment horizontal="center" vertical="center"/>
    </xf>
    <xf borderId="0" fillId="7" fontId="25" numFmtId="0" xfId="0" applyAlignment="1" applyFont="1">
      <alignment readingOrder="0"/>
    </xf>
    <xf borderId="0" fillId="7" fontId="25" numFmtId="0" xfId="0" applyFont="1"/>
    <xf borderId="0" fillId="0" fontId="17" numFmtId="0" xfId="0" applyAlignment="1" applyFont="1">
      <alignment readingOrder="0"/>
    </xf>
    <xf borderId="0" fillId="0" fontId="17" numFmtId="0" xfId="0" applyFont="1"/>
  </cellXfs>
  <cellStyles count="1">
    <cellStyle xfId="0" name="Normal" builtinId="0"/>
  </cellStyles>
  <dxfs count="8">
    <dxf>
      <font/>
      <fill>
        <patternFill patternType="solid">
          <fgColor rgb="FFFF0000"/>
          <bgColor rgb="FFFF0000"/>
        </patternFill>
      </fill>
      <border/>
    </dxf>
    <dxf>
      <font>
        <color rgb="FFA2C4C9"/>
      </font>
      <fill>
        <patternFill patternType="solid">
          <fgColor rgb="FFA2C4C9"/>
          <bgColor rgb="FFA2C4C9"/>
        </patternFill>
      </fill>
      <border/>
    </dxf>
    <dxf>
      <font>
        <b/>
        <color rgb="FFFF0000"/>
      </font>
      <fill>
        <patternFill patternType="solid">
          <fgColor rgb="FFD9D9D9"/>
          <bgColor rgb="FFD9D9D9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CC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17.88"/>
    <col customWidth="1" min="3" max="3" width="30.25"/>
    <col customWidth="1" min="4" max="4" width="9.0"/>
    <col customWidth="1" min="5" max="5" width="13.0"/>
    <col customWidth="1" min="6" max="6" width="3.0"/>
    <col customWidth="1" min="7" max="7" width="4.38"/>
    <col customWidth="1" min="8" max="8" width="8.5"/>
  </cols>
  <sheetData>
    <row r="1">
      <c r="A1" s="1" t="s">
        <v>0</v>
      </c>
      <c r="C1" s="2"/>
      <c r="D1" s="3"/>
      <c r="E1" s="4" t="s">
        <v>1</v>
      </c>
      <c r="H1" s="5">
        <f>'Quote builder'!F11+'Kitchen quote builder'!F5+'Wardrobes_etc quote builder'!F5+H5</f>
        <v>350</v>
      </c>
    </row>
    <row r="2">
      <c r="D2" s="3"/>
      <c r="E2" s="6" t="s">
        <v>2</v>
      </c>
      <c r="G2" s="7">
        <v>0.2</v>
      </c>
      <c r="H2" s="5">
        <f>H1*G2</f>
        <v>70</v>
      </c>
    </row>
    <row r="3">
      <c r="A3" s="1" t="s">
        <v>3</v>
      </c>
      <c r="C3" s="2"/>
      <c r="D3" s="3"/>
      <c r="E3" s="4" t="s">
        <v>4</v>
      </c>
      <c r="H3" s="5">
        <f>SUM(H1:H2)</f>
        <v>420</v>
      </c>
    </row>
    <row r="4">
      <c r="A4" s="1" t="s">
        <v>5</v>
      </c>
      <c r="C4" s="8" t="s">
        <v>6</v>
      </c>
      <c r="D4" s="3"/>
      <c r="E4" s="9" t="s">
        <v>7</v>
      </c>
      <c r="H4" s="10">
        <f>'Quote builder'!F10+'Kitchen quote builder'!F4+'Wardrobes_etc quote builder'!F4</f>
        <v>350</v>
      </c>
    </row>
    <row r="5">
      <c r="A5" s="3"/>
      <c r="B5" s="3"/>
      <c r="C5" s="3"/>
      <c r="D5" s="3"/>
      <c r="E5" s="11" t="s">
        <v>8</v>
      </c>
      <c r="F5" s="12"/>
      <c r="G5" s="13">
        <v>0.1</v>
      </c>
      <c r="H5" s="14">
        <f>IF(C4="N/A",0,G5*('Quote builder'!F10+'Kitchen quote builder'!F4+'Wardrobes_etc quote builder'!F4))</f>
        <v>0</v>
      </c>
    </row>
    <row r="6">
      <c r="A6" s="15" t="s">
        <v>9</v>
      </c>
      <c r="B6" s="16" t="b">
        <v>1</v>
      </c>
      <c r="C6" s="17"/>
      <c r="D6" s="3"/>
      <c r="E6" s="18"/>
    </row>
    <row r="7">
      <c r="A7" s="19" t="s">
        <v>10</v>
      </c>
      <c r="D7" s="3"/>
      <c r="E7" s="20" t="s">
        <v>11</v>
      </c>
      <c r="F7" s="21"/>
      <c r="G7" s="22">
        <v>0.2</v>
      </c>
      <c r="H7" s="23">
        <f t="shared" ref="H7:H10" si="1">$H$3*G7</f>
        <v>84</v>
      </c>
    </row>
    <row r="8">
      <c r="A8" s="24"/>
      <c r="B8" s="17"/>
      <c r="C8" s="17"/>
      <c r="D8" s="3"/>
      <c r="E8" s="20" t="s">
        <v>12</v>
      </c>
      <c r="F8" s="21"/>
      <c r="G8" s="25">
        <v>0.6</v>
      </c>
      <c r="H8" s="23">
        <f t="shared" si="1"/>
        <v>252</v>
      </c>
    </row>
    <row r="9">
      <c r="A9" s="24"/>
      <c r="B9" s="17"/>
      <c r="C9" s="17"/>
      <c r="D9" s="3"/>
      <c r="E9" s="20" t="s">
        <v>13</v>
      </c>
      <c r="F9" s="21"/>
      <c r="G9" s="25">
        <v>0.0</v>
      </c>
      <c r="H9" s="23">
        <f t="shared" si="1"/>
        <v>0</v>
      </c>
    </row>
    <row r="10">
      <c r="A10" s="24"/>
      <c r="B10" s="17"/>
      <c r="C10" s="17"/>
      <c r="D10" s="3"/>
      <c r="E10" s="20" t="s">
        <v>14</v>
      </c>
      <c r="F10" s="21"/>
      <c r="G10" s="25">
        <v>0.2</v>
      </c>
      <c r="H10" s="23">
        <f t="shared" si="1"/>
        <v>84</v>
      </c>
    </row>
    <row r="11">
      <c r="A11" s="24"/>
      <c r="B11" s="17"/>
      <c r="C11" s="17"/>
      <c r="D11" s="3"/>
      <c r="E11" s="3"/>
      <c r="F11" s="3"/>
      <c r="G11" s="3"/>
      <c r="H11" s="3"/>
    </row>
    <row r="12">
      <c r="A12" s="24"/>
      <c r="B12" s="17"/>
      <c r="C12" s="17"/>
      <c r="D12" s="3"/>
      <c r="E12" s="26" t="s">
        <v>15</v>
      </c>
    </row>
    <row r="13">
      <c r="A13" s="24"/>
      <c r="B13" s="17"/>
      <c r="C13" s="17"/>
      <c r="D13" s="3"/>
      <c r="E13" s="27" t="str">
        <f>IFERROR(__xludf.DUMMYFUNCTION("IF(OR(C1="""",C3=""""),"""",FILTER(ClientNames!$G$2:$G$200,ClientNames!$E$2:$E$200 = $C$1,ClientNames!$F$2:$F$200 = $C$3))"),"")</f>
        <v/>
      </c>
    </row>
    <row r="14">
      <c r="A14" s="24"/>
      <c r="B14" s="17"/>
      <c r="C14" s="17"/>
      <c r="D14" s="3"/>
      <c r="E14" s="3"/>
      <c r="F14" s="3"/>
      <c r="G14" s="3"/>
      <c r="H14" s="3"/>
    </row>
    <row r="15">
      <c r="A15" s="24"/>
      <c r="B15" s="17"/>
      <c r="C15" s="17"/>
      <c r="D15" s="3"/>
      <c r="E15" s="3"/>
      <c r="F15" s="3"/>
      <c r="G15" s="3"/>
      <c r="H15" s="3"/>
    </row>
    <row r="16">
      <c r="A16" s="24"/>
      <c r="B16" s="17"/>
      <c r="C16" s="17"/>
      <c r="D16" s="3"/>
      <c r="E16" s="3"/>
      <c r="F16" s="3"/>
      <c r="G16" s="3"/>
      <c r="H16" s="3"/>
    </row>
    <row r="17">
      <c r="A17" s="24"/>
      <c r="B17" s="17"/>
      <c r="C17" s="17"/>
      <c r="D17" s="3"/>
      <c r="E17" s="3"/>
      <c r="F17" s="3"/>
      <c r="G17" s="3"/>
      <c r="H17" s="3"/>
    </row>
    <row r="18">
      <c r="A18" s="17"/>
      <c r="B18" s="17"/>
      <c r="C18" s="17"/>
      <c r="D18" s="3"/>
      <c r="E18" s="3"/>
      <c r="F18" s="3"/>
      <c r="G18" s="3"/>
      <c r="H18" s="3"/>
    </row>
    <row r="19">
      <c r="A19" s="17"/>
      <c r="B19" s="17"/>
      <c r="C19" s="17"/>
      <c r="D19" s="3"/>
      <c r="E19" s="3"/>
      <c r="F19" s="3"/>
      <c r="G19" s="3"/>
      <c r="H19" s="3"/>
    </row>
    <row r="20">
      <c r="A20" s="17"/>
      <c r="B20" s="17"/>
      <c r="C20" s="17"/>
      <c r="D20" s="3"/>
      <c r="E20" s="3"/>
      <c r="F20" s="3"/>
      <c r="G20" s="3"/>
      <c r="H20" s="3"/>
    </row>
    <row r="21">
      <c r="A21" s="17"/>
      <c r="B21" s="17"/>
      <c r="C21" s="17"/>
      <c r="D21" s="3"/>
      <c r="E21" s="3"/>
      <c r="F21" s="3"/>
      <c r="G21" s="3"/>
      <c r="H21" s="3"/>
    </row>
    <row r="22">
      <c r="A22" s="17"/>
      <c r="B22" s="17"/>
      <c r="C22" s="17"/>
      <c r="D22" s="3"/>
      <c r="E22" s="3"/>
      <c r="F22" s="3"/>
      <c r="G22" s="3"/>
      <c r="H22" s="3"/>
    </row>
    <row r="23">
      <c r="A23" s="17"/>
      <c r="B23" s="17"/>
      <c r="C23" s="17"/>
      <c r="D23" s="3"/>
      <c r="E23" s="3"/>
      <c r="F23" s="3"/>
      <c r="G23" s="3"/>
      <c r="H23" s="3"/>
    </row>
    <row r="24">
      <c r="A24" s="17"/>
      <c r="B24" s="17"/>
      <c r="C24" s="17"/>
      <c r="D24" s="3"/>
      <c r="E24" s="3"/>
      <c r="F24" s="3"/>
      <c r="G24" s="3"/>
      <c r="H24" s="3"/>
    </row>
    <row r="25">
      <c r="A25" s="17"/>
      <c r="B25" s="17"/>
      <c r="C25" s="17"/>
      <c r="D25" s="3"/>
      <c r="E25" s="3"/>
      <c r="F25" s="3"/>
      <c r="G25" s="3"/>
      <c r="H25" s="3"/>
    </row>
    <row r="26">
      <c r="A26" s="17"/>
      <c r="B26" s="17"/>
      <c r="C26" s="17"/>
      <c r="D26" s="3"/>
      <c r="E26" s="3"/>
      <c r="F26" s="3"/>
      <c r="G26" s="3"/>
      <c r="H26" s="3"/>
    </row>
    <row r="27">
      <c r="A27" s="17"/>
      <c r="B27" s="17"/>
      <c r="C27" s="17"/>
      <c r="D27" s="3"/>
      <c r="E27" s="3"/>
      <c r="F27" s="3"/>
      <c r="G27" s="3"/>
      <c r="H27" s="3"/>
    </row>
    <row r="28">
      <c r="A28" s="17"/>
      <c r="B28" s="17"/>
      <c r="C28" s="17"/>
      <c r="D28" s="3"/>
      <c r="E28" s="3"/>
      <c r="F28" s="3"/>
      <c r="G28" s="3"/>
      <c r="H28" s="3"/>
    </row>
    <row r="29">
      <c r="A29" s="17"/>
      <c r="B29" s="17"/>
      <c r="C29" s="17"/>
      <c r="D29" s="3"/>
      <c r="E29" s="3"/>
      <c r="F29" s="3"/>
      <c r="G29" s="3"/>
      <c r="H29" s="3"/>
    </row>
    <row r="30">
      <c r="A30" s="17"/>
      <c r="B30" s="17"/>
      <c r="C30" s="17"/>
      <c r="D30" s="3"/>
      <c r="E30" s="3"/>
      <c r="F30" s="3"/>
      <c r="G30" s="3"/>
      <c r="H30" s="3"/>
    </row>
    <row r="31">
      <c r="A31" s="17"/>
      <c r="B31" s="17"/>
      <c r="C31" s="17"/>
      <c r="D31" s="3"/>
      <c r="E31" s="3"/>
      <c r="F31" s="3"/>
      <c r="G31" s="3"/>
      <c r="H31" s="3"/>
    </row>
    <row r="32">
      <c r="A32" s="17"/>
      <c r="B32" s="17"/>
      <c r="C32" s="17"/>
      <c r="D32" s="3"/>
      <c r="E32" s="3"/>
      <c r="F32" s="3"/>
      <c r="G32" s="3"/>
      <c r="H32" s="3"/>
    </row>
    <row r="33">
      <c r="A33" s="17"/>
      <c r="B33" s="17"/>
      <c r="C33" s="17"/>
      <c r="D33" s="3"/>
      <c r="E33" s="3"/>
      <c r="F33" s="3"/>
      <c r="G33" s="3"/>
      <c r="H33" s="3"/>
    </row>
    <row r="34">
      <c r="A34" s="17"/>
      <c r="B34" s="17"/>
      <c r="C34" s="17"/>
      <c r="D34" s="3"/>
      <c r="E34" s="3"/>
      <c r="F34" s="3"/>
      <c r="G34" s="3"/>
      <c r="H34" s="3"/>
    </row>
    <row r="35">
      <c r="A35" s="17"/>
      <c r="B35" s="17"/>
      <c r="C35" s="17"/>
      <c r="D35" s="3"/>
      <c r="E35" s="3"/>
      <c r="F35" s="3"/>
      <c r="G35" s="3"/>
      <c r="H35" s="3"/>
    </row>
    <row r="36">
      <c r="A36" s="17"/>
      <c r="B36" s="17"/>
      <c r="C36" s="17"/>
      <c r="D36" s="3"/>
      <c r="E36" s="3"/>
      <c r="F36" s="3"/>
      <c r="G36" s="3"/>
      <c r="H36" s="3"/>
    </row>
    <row r="37">
      <c r="A37" s="17"/>
      <c r="B37" s="17"/>
      <c r="C37" s="17"/>
      <c r="D37" s="3"/>
      <c r="E37" s="3"/>
      <c r="F37" s="3"/>
      <c r="G37" s="3"/>
      <c r="H37" s="3"/>
    </row>
    <row r="38">
      <c r="A38" s="17"/>
      <c r="B38" s="17"/>
      <c r="C38" s="17"/>
      <c r="D38" s="3"/>
      <c r="E38" s="3"/>
      <c r="F38" s="3"/>
      <c r="G38" s="3"/>
      <c r="H38" s="3"/>
    </row>
    <row r="39">
      <c r="A39" s="17"/>
      <c r="B39" s="17"/>
      <c r="C39" s="17"/>
      <c r="D39" s="3"/>
      <c r="E39" s="3"/>
      <c r="F39" s="3"/>
      <c r="G39" s="3"/>
      <c r="H39" s="3"/>
    </row>
    <row r="40">
      <c r="A40" s="17"/>
      <c r="B40" s="17"/>
      <c r="C40" s="17"/>
      <c r="D40" s="3"/>
      <c r="E40" s="3"/>
      <c r="F40" s="3"/>
      <c r="G40" s="3"/>
      <c r="H40" s="3"/>
    </row>
    <row r="41">
      <c r="A41" s="17"/>
      <c r="B41" s="17"/>
      <c r="C41" s="17"/>
      <c r="D41" s="3"/>
      <c r="E41" s="3"/>
      <c r="F41" s="3"/>
      <c r="G41" s="3"/>
      <c r="H41" s="3"/>
    </row>
    <row r="42">
      <c r="A42" s="17"/>
      <c r="B42" s="17"/>
      <c r="C42" s="17"/>
      <c r="D42" s="3"/>
      <c r="E42" s="3"/>
      <c r="F42" s="3"/>
      <c r="G42" s="3"/>
      <c r="H42" s="3"/>
    </row>
  </sheetData>
  <mergeCells count="12">
    <mergeCell ref="E4:G4"/>
    <mergeCell ref="E6:H6"/>
    <mergeCell ref="A7:C7"/>
    <mergeCell ref="E12:H12"/>
    <mergeCell ref="E13:H13"/>
    <mergeCell ref="A1:B2"/>
    <mergeCell ref="C1:C2"/>
    <mergeCell ref="E1:G1"/>
    <mergeCell ref="E2:F2"/>
    <mergeCell ref="A3:B3"/>
    <mergeCell ref="E3:G3"/>
    <mergeCell ref="A4:B4"/>
  </mergeCells>
  <conditionalFormatting sqref="G7:G10">
    <cfRule type="expression" dxfId="0" priority="1">
      <formula>SUM($G$7:$G$10)&lt;&gt;1</formula>
    </cfRule>
  </conditionalFormatting>
  <conditionalFormatting sqref="C6">
    <cfRule type="expression" dxfId="1" priority="2">
      <formula>$B6=TRUE</formula>
    </cfRule>
  </conditionalFormatting>
  <dataValidations>
    <dataValidation type="list" allowBlank="1" showErrorMessage="1" sqref="C4">
      <formula1>"N/A,Georgie Rose Interior Design,Culina + Balneo,Luna Design,The House Ministry"</formula1>
    </dataValidation>
    <dataValidation type="list" allowBlank="1" showErrorMessage="1" sqref="C3">
      <formula1>ProjectSelection</formula1>
    </dataValidation>
    <dataValidation type="list" allowBlank="1" showErrorMessage="1" sqref="C1">
      <formula1>ClientNames!$A$2:$A$199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8.13"/>
    <col customWidth="1" min="3" max="3" width="4.38"/>
    <col customWidth="1" min="4" max="4" width="6.75"/>
    <col customWidth="1" min="5" max="5" width="7.13"/>
    <col customWidth="1" min="6" max="6" width="11.25"/>
    <col customWidth="1" min="7" max="7" width="4.0"/>
    <col customWidth="1" min="8" max="8" width="11.5"/>
    <col customWidth="1" min="9" max="9" width="5.13"/>
    <col customWidth="1" min="10" max="10" width="35.5"/>
    <col customWidth="1" min="11" max="12" width="10.5"/>
  </cols>
  <sheetData>
    <row r="1">
      <c r="A1" s="173" t="s">
        <v>337</v>
      </c>
      <c r="B1" s="173" t="s">
        <v>262</v>
      </c>
      <c r="C1" s="173" t="s">
        <v>263</v>
      </c>
      <c r="D1" s="187" t="s">
        <v>24</v>
      </c>
      <c r="E1" s="187" t="s">
        <v>264</v>
      </c>
      <c r="F1" s="186" t="s">
        <v>265</v>
      </c>
      <c r="G1" s="186" t="s">
        <v>267</v>
      </c>
      <c r="H1" s="173" t="s">
        <v>268</v>
      </c>
      <c r="I1" s="187" t="s">
        <v>338</v>
      </c>
      <c r="J1" s="187" t="s">
        <v>339</v>
      </c>
      <c r="K1" s="197" t="s">
        <v>269</v>
      </c>
      <c r="L1" s="173" t="s">
        <v>340</v>
      </c>
    </row>
    <row r="2">
      <c r="A2" s="198" t="s">
        <v>341</v>
      </c>
      <c r="B2" s="198" t="s">
        <v>342</v>
      </c>
      <c r="C2" s="199"/>
      <c r="D2" s="200" t="s">
        <v>343</v>
      </c>
      <c r="E2" s="200">
        <f t="shared" ref="E2:E20" si="1">IF(F2="","",F2+(G2*H2))</f>
        <v>76.11</v>
      </c>
      <c r="F2" s="201">
        <v>50.71</v>
      </c>
      <c r="G2" s="190">
        <f>$F$3</f>
        <v>5.08</v>
      </c>
      <c r="H2" s="191">
        <v>5.0</v>
      </c>
      <c r="I2" s="193">
        <v>7.5</v>
      </c>
      <c r="J2" s="200">
        <f>IFERROR(__xludf.DUMMYFUNCTION("IF(OR(I2=0,I2=""""),"""",E2/(I2*(LEFT(D2,FINDB(REGEXEXTRACT(D2, ""[:k,L,g:]""), D2)-1))))"),2.0296)</f>
        <v>2.0296</v>
      </c>
      <c r="K2" s="180" t="s">
        <v>344</v>
      </c>
      <c r="L2" s="180" t="s">
        <v>276</v>
      </c>
    </row>
    <row r="3">
      <c r="A3" s="198" t="s">
        <v>345</v>
      </c>
      <c r="B3" s="198" t="s">
        <v>342</v>
      </c>
      <c r="C3" s="199"/>
      <c r="D3" s="200" t="s">
        <v>346</v>
      </c>
      <c r="E3" s="200">
        <f t="shared" si="1"/>
        <v>5.08</v>
      </c>
      <c r="F3" s="201">
        <v>5.08</v>
      </c>
      <c r="G3" s="190">
        <v>0.0</v>
      </c>
      <c r="H3" s="191">
        <v>0.0</v>
      </c>
      <c r="I3" s="193">
        <v>7.5</v>
      </c>
      <c r="J3" s="200">
        <f>IFERROR(__xludf.DUMMYFUNCTION("IF(OR(I3=0,I3=""""),"""",E3/(I3*(LEFT(D3,FINDB(REGEXEXTRACT(D3, ""[:k,L:]""), D3)-1))))"),0.6773333333333333)</f>
        <v>0.6773333333</v>
      </c>
      <c r="K3" s="199"/>
      <c r="L3" s="198" t="s">
        <v>277</v>
      </c>
    </row>
    <row r="4">
      <c r="A4" s="198" t="s">
        <v>347</v>
      </c>
      <c r="B4" s="180" t="s">
        <v>342</v>
      </c>
      <c r="C4" s="163"/>
      <c r="D4" s="193" t="s">
        <v>346</v>
      </c>
      <c r="E4" s="200">
        <f t="shared" si="1"/>
        <v>10.59</v>
      </c>
      <c r="F4" s="190">
        <v>5.29</v>
      </c>
      <c r="G4" s="190">
        <f>$F$5</f>
        <v>5.3</v>
      </c>
      <c r="H4" s="191">
        <v>1.0</v>
      </c>
      <c r="I4" s="193">
        <v>7.5</v>
      </c>
      <c r="J4" s="200">
        <f>IFERROR(__xludf.DUMMYFUNCTION("IF(OR(I4=0,I4=""""),"""",E4/(I4*(LEFT(D4,FINDB(REGEXEXTRACT(D4, ""[:k,L:]""), D4)-1))))"),1.412)</f>
        <v>1.412</v>
      </c>
      <c r="K4" s="180" t="s">
        <v>348</v>
      </c>
      <c r="L4" s="180" t="s">
        <v>276</v>
      </c>
    </row>
    <row r="5">
      <c r="A5" s="198" t="s">
        <v>349</v>
      </c>
      <c r="B5" s="180" t="s">
        <v>342</v>
      </c>
      <c r="C5" s="163"/>
      <c r="D5" s="193" t="s">
        <v>346</v>
      </c>
      <c r="E5" s="200">
        <f t="shared" si="1"/>
        <v>5.3</v>
      </c>
      <c r="F5" s="190">
        <v>5.3</v>
      </c>
      <c r="G5" s="190">
        <v>0.0</v>
      </c>
      <c r="H5" s="191">
        <v>0.0</v>
      </c>
      <c r="I5" s="193">
        <v>7.5</v>
      </c>
      <c r="J5" s="200">
        <f>IFERROR(__xludf.DUMMYFUNCTION("IF(OR(I5=0,I5=""""),"""",E5/(I5*(LEFT(D5,FINDB(REGEXEXTRACT(D5, ""[:k,L:]""), D5)-1))))"),0.7066666666666667)</f>
        <v>0.7066666667</v>
      </c>
      <c r="K5" s="199"/>
      <c r="L5" s="198" t="s">
        <v>277</v>
      </c>
    </row>
    <row r="6">
      <c r="A6" s="135" t="s">
        <v>69</v>
      </c>
      <c r="B6" s="135" t="s">
        <v>350</v>
      </c>
      <c r="C6" s="185"/>
      <c r="D6" s="193" t="s">
        <v>343</v>
      </c>
      <c r="E6" s="200">
        <f t="shared" si="1"/>
        <v>101.68</v>
      </c>
      <c r="F6" s="190">
        <v>59.45</v>
      </c>
      <c r="G6" s="190">
        <f>$F$7/LEFT(D7,LEN(D7)-1)</f>
        <v>8.446</v>
      </c>
      <c r="H6" s="191">
        <v>5.0</v>
      </c>
      <c r="I6" s="193">
        <v>7.5</v>
      </c>
      <c r="J6" s="200">
        <f>IFERROR(__xludf.DUMMYFUNCTION("IF(OR(I6=0,I6=""""),"""",E6/(I6*(LEFT(D6,FINDB(REGEXEXTRACT(D6, ""[:k,L:]""), D6)-1))))"),2.711466666666667)</f>
        <v>2.711466667</v>
      </c>
      <c r="K6" s="180" t="s">
        <v>344</v>
      </c>
      <c r="L6" s="180" t="s">
        <v>276</v>
      </c>
    </row>
    <row r="7">
      <c r="A7" s="180" t="s">
        <v>351</v>
      </c>
      <c r="B7" s="135" t="s">
        <v>350</v>
      </c>
      <c r="C7" s="163"/>
      <c r="D7" s="193" t="s">
        <v>352</v>
      </c>
      <c r="E7" s="200">
        <f t="shared" si="1"/>
        <v>211.15</v>
      </c>
      <c r="F7" s="190">
        <v>211.15</v>
      </c>
      <c r="G7" s="190">
        <v>0.0</v>
      </c>
      <c r="H7" s="191">
        <v>0.0</v>
      </c>
      <c r="I7" s="193">
        <v>7.5</v>
      </c>
      <c r="J7" s="200">
        <f>IFERROR(__xludf.DUMMYFUNCTION("IF(OR(I7=0,I7=""""),"""",E7/(I7*(LEFT(D7,FINDB(REGEXEXTRACT(D7, ""[:k,L:]""), D7)-1))))"),1.1261333333333334)</f>
        <v>1.126133333</v>
      </c>
      <c r="K7" s="199"/>
      <c r="L7" s="198" t="s">
        <v>277</v>
      </c>
    </row>
    <row r="8">
      <c r="A8" s="135" t="s">
        <v>73</v>
      </c>
      <c r="B8" s="135" t="s">
        <v>350</v>
      </c>
      <c r="C8" s="163"/>
      <c r="D8" s="193" t="s">
        <v>353</v>
      </c>
      <c r="E8" s="200">
        <f t="shared" si="1"/>
        <v>280</v>
      </c>
      <c r="F8" s="190">
        <v>280.0</v>
      </c>
      <c r="G8" s="190">
        <v>0.0</v>
      </c>
      <c r="H8" s="191">
        <v>0.0</v>
      </c>
      <c r="I8" s="193">
        <v>3.75</v>
      </c>
      <c r="J8" s="200">
        <f>IFERROR(__xludf.DUMMYFUNCTION("IF(OR(I8=0,I8=""""),"""",E8/(I8*(LEFT(D8,FINDB(REGEXEXTRACT(D8, ""[:k,L:]""), D8)-1))))"),3.393939393939394)</f>
        <v>3.393939394</v>
      </c>
      <c r="K8" s="202" t="s">
        <v>354</v>
      </c>
      <c r="L8" s="198" t="s">
        <v>276</v>
      </c>
    </row>
    <row r="9">
      <c r="A9" s="135" t="s">
        <v>355</v>
      </c>
      <c r="B9" s="135" t="s">
        <v>356</v>
      </c>
      <c r="C9" s="185"/>
      <c r="D9" s="193" t="s">
        <v>357</v>
      </c>
      <c r="E9" s="200">
        <f t="shared" si="1"/>
        <v>52.12</v>
      </c>
      <c r="F9" s="190">
        <v>49.62</v>
      </c>
      <c r="G9" s="190">
        <v>2.5</v>
      </c>
      <c r="H9" s="191">
        <v>1.0</v>
      </c>
      <c r="I9" s="193">
        <v>7.5</v>
      </c>
      <c r="J9" s="200">
        <f>IFERROR(__xludf.DUMMYFUNCTION("IF(OR(I9=0,I9=""""),"""",E9/(I9*(LEFT(D9,FINDB(REGEXEXTRACT(D9, ""[:k,L:]""), D9)-1))))"),19.855238095238093)</f>
        <v>19.8552381</v>
      </c>
      <c r="K9" s="180" t="s">
        <v>358</v>
      </c>
      <c r="L9" s="180" t="s">
        <v>276</v>
      </c>
    </row>
    <row r="10">
      <c r="A10" s="135" t="s">
        <v>359</v>
      </c>
      <c r="B10" s="135" t="s">
        <v>356</v>
      </c>
      <c r="C10" s="185"/>
      <c r="D10" s="193" t="s">
        <v>346</v>
      </c>
      <c r="E10" s="200">
        <f t="shared" si="1"/>
        <v>55.12</v>
      </c>
      <c r="F10" s="190">
        <v>52.62</v>
      </c>
      <c r="G10" s="190">
        <v>2.5</v>
      </c>
      <c r="H10" s="191">
        <v>1.0</v>
      </c>
      <c r="I10" s="193">
        <v>7.5</v>
      </c>
      <c r="J10" s="200">
        <f>IFERROR(__xludf.DUMMYFUNCTION("IF(OR(I10=0,I10=""""),"""",E10/(I10*(LEFT(D10,FINDB(REGEXEXTRACT(D10, ""[:k,L:]""), D10)-1))))"),7.349333333333333)</f>
        <v>7.349333333</v>
      </c>
      <c r="K10" s="180" t="s">
        <v>358</v>
      </c>
      <c r="L10" s="180" t="s">
        <v>276</v>
      </c>
    </row>
    <row r="11">
      <c r="A11" s="135" t="s">
        <v>360</v>
      </c>
      <c r="B11" s="135" t="s">
        <v>350</v>
      </c>
      <c r="C11" s="185"/>
      <c r="D11" s="193">
        <v>1.0</v>
      </c>
      <c r="E11" s="200">
        <f t="shared" si="1"/>
        <v>4</v>
      </c>
      <c r="F11" s="190">
        <v>4.0</v>
      </c>
      <c r="G11" s="190">
        <v>0.0</v>
      </c>
      <c r="H11" s="191">
        <v>0.0</v>
      </c>
      <c r="I11" s="193">
        <v>0.0</v>
      </c>
      <c r="J11" s="203" t="str">
        <f>IFERROR(__xludf.DUMMYFUNCTION("IF(OR(I11=0,I11=""""),"""",E11/(I11*(LEFT(D11,FINDB(REGEXEXTRACT(D11, ""[:k,L:]""), D11)-1))))"),"")</f>
        <v/>
      </c>
      <c r="K11" s="180" t="s">
        <v>361</v>
      </c>
      <c r="L11" s="180" t="s">
        <v>277</v>
      </c>
    </row>
    <row r="12">
      <c r="A12" s="180" t="s">
        <v>362</v>
      </c>
      <c r="B12" s="180" t="s">
        <v>350</v>
      </c>
      <c r="C12" s="185"/>
      <c r="D12" s="193" t="s">
        <v>363</v>
      </c>
      <c r="E12" s="200">
        <f t="shared" si="1"/>
        <v>50</v>
      </c>
      <c r="F12" s="190">
        <v>50.0</v>
      </c>
      <c r="G12" s="190">
        <v>0.0</v>
      </c>
      <c r="H12" s="191">
        <v>0.0</v>
      </c>
      <c r="I12" s="193">
        <v>3.75</v>
      </c>
      <c r="J12" s="200">
        <f>IFERROR(__xludf.DUMMYFUNCTION("IF(OR(I12=0,I12=""""),"""",E12/(I12*(LEFT(D12,FINDB(REGEXEXTRACT(D12, ""[:k,L:]""), D12)-1))))"),3.3333333333333335)</f>
        <v>3.333333333</v>
      </c>
      <c r="K12" s="202" t="s">
        <v>354</v>
      </c>
      <c r="L12" s="180" t="s">
        <v>276</v>
      </c>
    </row>
    <row r="13">
      <c r="A13" s="135" t="s">
        <v>364</v>
      </c>
      <c r="B13" s="135" t="s">
        <v>350</v>
      </c>
      <c r="C13" s="185"/>
      <c r="D13" s="193" t="s">
        <v>365</v>
      </c>
      <c r="E13" s="200">
        <f t="shared" si="1"/>
        <v>11.35</v>
      </c>
      <c r="F13" s="190">
        <v>11.35</v>
      </c>
      <c r="G13" s="190">
        <v>0.0</v>
      </c>
      <c r="H13" s="191">
        <v>0.0</v>
      </c>
      <c r="I13" s="193">
        <v>0.0</v>
      </c>
      <c r="J13" s="203" t="str">
        <f>IFERROR(__xludf.DUMMYFUNCTION("IF(OR(I13=0,I13=""""),"""",E13/(I13*(LEFT(D13,FINDB(REGEXEXTRACT(D13, ""[:k,L:]""), D13)-1))))"),"")</f>
        <v/>
      </c>
      <c r="K13" s="163"/>
      <c r="L13" s="180" t="s">
        <v>277</v>
      </c>
    </row>
    <row r="14">
      <c r="A14" s="135" t="s">
        <v>366</v>
      </c>
      <c r="B14" s="135" t="s">
        <v>350</v>
      </c>
      <c r="C14" s="185"/>
      <c r="D14" s="193" t="s">
        <v>363</v>
      </c>
      <c r="E14" s="200">
        <f t="shared" si="1"/>
        <v>61.35</v>
      </c>
      <c r="F14" s="190">
        <v>50.0</v>
      </c>
      <c r="G14" s="190">
        <f>E13</f>
        <v>11.35</v>
      </c>
      <c r="H14" s="191">
        <v>1.0</v>
      </c>
      <c r="I14" s="193">
        <v>3.75</v>
      </c>
      <c r="J14" s="200">
        <f>IFERROR(__xludf.DUMMYFUNCTION("IF(OR(I14=0,I14=""""),"""",E14/(I14*(LEFT(D14,FINDB(REGEXEXTRACT(D14, ""[:k,L:]""), D14)-1))))"),4.09)</f>
        <v>4.09</v>
      </c>
      <c r="K14" s="180" t="s">
        <v>367</v>
      </c>
      <c r="L14" s="180" t="s">
        <v>276</v>
      </c>
    </row>
    <row r="15">
      <c r="A15" s="185"/>
      <c r="B15" s="185"/>
      <c r="C15" s="185"/>
      <c r="D15" s="195"/>
      <c r="E15" s="203" t="str">
        <f t="shared" si="1"/>
        <v/>
      </c>
      <c r="F15" s="194"/>
      <c r="G15" s="194"/>
      <c r="H15" s="196"/>
      <c r="I15" s="195"/>
      <c r="J15" s="203"/>
      <c r="K15" s="163"/>
      <c r="L15" s="163"/>
    </row>
    <row r="16">
      <c r="A16" s="185"/>
      <c r="B16" s="185"/>
      <c r="C16" s="185"/>
      <c r="D16" s="195"/>
      <c r="E16" s="203" t="str">
        <f t="shared" si="1"/>
        <v/>
      </c>
      <c r="F16" s="194"/>
      <c r="G16" s="194"/>
      <c r="H16" s="196"/>
      <c r="I16" s="195"/>
      <c r="J16" s="203"/>
      <c r="K16" s="163"/>
      <c r="L16" s="163"/>
    </row>
    <row r="17">
      <c r="A17" s="185"/>
      <c r="B17" s="185"/>
      <c r="C17" s="185"/>
      <c r="D17" s="195"/>
      <c r="E17" s="203" t="str">
        <f t="shared" si="1"/>
        <v/>
      </c>
      <c r="F17" s="194"/>
      <c r="G17" s="194"/>
      <c r="H17" s="196"/>
      <c r="I17" s="195"/>
      <c r="J17" s="203"/>
      <c r="K17" s="163"/>
      <c r="L17" s="163"/>
    </row>
    <row r="18">
      <c r="A18" s="185"/>
      <c r="B18" s="185"/>
      <c r="C18" s="185"/>
      <c r="D18" s="195"/>
      <c r="E18" s="203" t="str">
        <f t="shared" si="1"/>
        <v/>
      </c>
      <c r="F18" s="194"/>
      <c r="G18" s="194"/>
      <c r="H18" s="196"/>
      <c r="I18" s="195"/>
      <c r="J18" s="203"/>
      <c r="K18" s="163"/>
      <c r="L18" s="163"/>
    </row>
    <row r="19">
      <c r="A19" s="185"/>
      <c r="B19" s="185"/>
      <c r="C19" s="185"/>
      <c r="D19" s="195"/>
      <c r="E19" s="203" t="str">
        <f t="shared" si="1"/>
        <v/>
      </c>
      <c r="F19" s="194"/>
      <c r="G19" s="194"/>
      <c r="H19" s="196"/>
      <c r="I19" s="195"/>
      <c r="J19" s="203"/>
      <c r="K19" s="163"/>
      <c r="L19" s="163"/>
    </row>
    <row r="20">
      <c r="A20" s="185"/>
      <c r="B20" s="185"/>
      <c r="C20" s="185"/>
      <c r="D20" s="195"/>
      <c r="E20" s="203" t="str">
        <f t="shared" si="1"/>
        <v/>
      </c>
      <c r="F20" s="194"/>
      <c r="G20" s="194"/>
      <c r="H20" s="196"/>
      <c r="I20" s="195"/>
      <c r="J20" s="203"/>
      <c r="K20" s="163"/>
      <c r="L20" s="163"/>
    </row>
    <row r="21">
      <c r="A21" s="185"/>
      <c r="B21" s="185"/>
      <c r="C21" s="185"/>
      <c r="D21" s="195"/>
      <c r="E21" s="203"/>
      <c r="F21" s="194"/>
      <c r="G21" s="194"/>
      <c r="H21" s="196"/>
      <c r="I21" s="195"/>
      <c r="J21" s="203"/>
      <c r="K21" s="163"/>
      <c r="L21" s="163"/>
    </row>
    <row r="22">
      <c r="A22" s="185"/>
      <c r="B22" s="185"/>
      <c r="C22" s="185"/>
      <c r="D22" s="195"/>
      <c r="E22" s="203"/>
      <c r="F22" s="194"/>
      <c r="G22" s="194"/>
      <c r="H22" s="196"/>
      <c r="I22" s="195"/>
      <c r="J22" s="203"/>
      <c r="K22" s="163"/>
      <c r="L22" s="163"/>
    </row>
    <row r="23">
      <c r="A23" s="185"/>
      <c r="B23" s="185"/>
      <c r="C23" s="185"/>
      <c r="D23" s="195"/>
      <c r="E23" s="203"/>
      <c r="F23" s="194"/>
      <c r="G23" s="194"/>
      <c r="H23" s="196"/>
      <c r="I23" s="195"/>
      <c r="J23" s="203"/>
      <c r="K23" s="163"/>
      <c r="L23" s="163"/>
    </row>
    <row r="24">
      <c r="A24" s="185"/>
      <c r="B24" s="185"/>
      <c r="C24" s="185"/>
      <c r="D24" s="195"/>
      <c r="E24" s="203"/>
      <c r="F24" s="194"/>
      <c r="G24" s="194"/>
      <c r="H24" s="196"/>
      <c r="I24" s="195"/>
      <c r="J24" s="203"/>
      <c r="K24" s="163"/>
      <c r="L24" s="163"/>
    </row>
    <row r="25">
      <c r="A25" s="185"/>
      <c r="B25" s="185"/>
      <c r="C25" s="185"/>
      <c r="D25" s="195"/>
      <c r="E25" s="203"/>
      <c r="F25" s="194"/>
      <c r="G25" s="194"/>
      <c r="H25" s="196"/>
      <c r="I25" s="195"/>
      <c r="J25" s="203"/>
      <c r="K25" s="163"/>
      <c r="L25" s="163"/>
    </row>
    <row r="26">
      <c r="A26" s="185"/>
      <c r="B26" s="185"/>
      <c r="C26" s="185"/>
      <c r="D26" s="195"/>
      <c r="E26" s="203"/>
      <c r="F26" s="194"/>
      <c r="G26" s="194"/>
      <c r="H26" s="196"/>
      <c r="I26" s="195"/>
      <c r="J26" s="203"/>
      <c r="K26" s="163"/>
      <c r="L26" s="163"/>
    </row>
    <row r="27">
      <c r="A27" s="185"/>
      <c r="B27" s="185"/>
      <c r="C27" s="185"/>
      <c r="D27" s="195"/>
      <c r="E27" s="203"/>
      <c r="F27" s="194"/>
      <c r="G27" s="194"/>
      <c r="H27" s="196"/>
      <c r="I27" s="195"/>
      <c r="J27" s="203"/>
      <c r="K27" s="163"/>
      <c r="L27" s="163"/>
    </row>
    <row r="28">
      <c r="A28" s="185"/>
      <c r="B28" s="185"/>
      <c r="C28" s="185"/>
      <c r="D28" s="195"/>
      <c r="E28" s="203"/>
      <c r="F28" s="194"/>
      <c r="G28" s="194"/>
      <c r="H28" s="196"/>
      <c r="I28" s="195"/>
      <c r="J28" s="203"/>
      <c r="K28" s="163"/>
      <c r="L28" s="163"/>
    </row>
    <row r="29">
      <c r="A29" s="185"/>
      <c r="B29" s="185"/>
      <c r="C29" s="185"/>
      <c r="D29" s="195"/>
      <c r="E29" s="203"/>
      <c r="F29" s="194"/>
      <c r="G29" s="194"/>
      <c r="H29" s="196"/>
      <c r="I29" s="195"/>
      <c r="J29" s="203"/>
      <c r="K29" s="163"/>
      <c r="L29" s="163"/>
    </row>
    <row r="30">
      <c r="A30" s="185"/>
      <c r="B30" s="185"/>
      <c r="C30" s="185"/>
      <c r="D30" s="195"/>
      <c r="E30" s="203"/>
      <c r="F30" s="194"/>
      <c r="G30" s="194"/>
      <c r="H30" s="196"/>
      <c r="I30" s="195"/>
      <c r="J30" s="203"/>
      <c r="K30" s="163"/>
      <c r="L30" s="16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17.63"/>
    <col customWidth="1" min="3" max="3" width="37.13"/>
    <col customWidth="1" min="4" max="4" width="9.13"/>
    <col customWidth="1" min="5" max="5" width="7.25"/>
    <col customWidth="1" min="6" max="7" width="7.88"/>
    <col customWidth="1" min="8" max="8" width="12.25"/>
    <col customWidth="1" min="9" max="9" width="4.13"/>
    <col customWidth="1" min="10" max="10" width="38.0"/>
  </cols>
  <sheetData>
    <row r="1">
      <c r="A1" s="173" t="s">
        <v>36</v>
      </c>
      <c r="B1" s="173" t="s">
        <v>262</v>
      </c>
      <c r="C1" s="204" t="s">
        <v>263</v>
      </c>
      <c r="D1" s="173" t="s">
        <v>24</v>
      </c>
      <c r="E1" s="173" t="s">
        <v>264</v>
      </c>
      <c r="F1" s="205"/>
      <c r="G1" s="186" t="s">
        <v>368</v>
      </c>
      <c r="H1" s="186" t="s">
        <v>267</v>
      </c>
      <c r="I1" s="188" t="s">
        <v>268</v>
      </c>
      <c r="J1" s="173" t="s">
        <v>269</v>
      </c>
    </row>
    <row r="2">
      <c r="A2" s="180" t="s">
        <v>369</v>
      </c>
      <c r="B2" s="180" t="s">
        <v>370</v>
      </c>
      <c r="C2" s="206"/>
      <c r="D2" s="207" t="s">
        <v>371</v>
      </c>
      <c r="E2" s="207">
        <f t="shared" ref="E2:E3" si="1">IF(G2="","",G2+(H2*I2))</f>
        <v>3.47</v>
      </c>
      <c r="F2" s="207"/>
      <c r="G2" s="190">
        <v>3.47</v>
      </c>
      <c r="H2" s="190">
        <v>0.0</v>
      </c>
      <c r="I2" s="191">
        <v>0.0</v>
      </c>
      <c r="J2" s="207"/>
    </row>
    <row r="3">
      <c r="A3" s="180" t="s">
        <v>372</v>
      </c>
      <c r="B3" s="180" t="s">
        <v>373</v>
      </c>
      <c r="C3" s="206" t="s">
        <v>374</v>
      </c>
      <c r="D3" s="207" t="s">
        <v>375</v>
      </c>
      <c r="E3" s="207">
        <f t="shared" si="1"/>
        <v>30</v>
      </c>
      <c r="F3" s="207"/>
      <c r="G3" s="190">
        <v>7.93</v>
      </c>
      <c r="H3" s="190">
        <v>22.07</v>
      </c>
      <c r="I3" s="191">
        <v>1.0</v>
      </c>
      <c r="J3" s="207"/>
    </row>
    <row r="4">
      <c r="A4" s="180" t="s">
        <v>376</v>
      </c>
      <c r="B4" s="180" t="s">
        <v>373</v>
      </c>
      <c r="C4" s="206" t="s">
        <v>377</v>
      </c>
      <c r="D4" s="207" t="s">
        <v>375</v>
      </c>
      <c r="E4" s="207">
        <v>9.83</v>
      </c>
      <c r="F4" s="207"/>
      <c r="G4" s="190">
        <v>9.83</v>
      </c>
      <c r="H4" s="190">
        <v>0.0</v>
      </c>
      <c r="I4" s="191">
        <v>0.0</v>
      </c>
      <c r="J4" s="207"/>
    </row>
    <row r="5">
      <c r="A5" s="180" t="s">
        <v>378</v>
      </c>
      <c r="B5" s="180" t="s">
        <v>373</v>
      </c>
      <c r="C5" s="206" t="s">
        <v>379</v>
      </c>
      <c r="D5" s="207" t="s">
        <v>380</v>
      </c>
      <c r="E5" s="207">
        <f t="shared" ref="E5:E7" si="2">IF(G5="","",G5+(H5*I5))</f>
        <v>0.97</v>
      </c>
      <c r="F5" s="207"/>
      <c r="G5" s="190">
        <v>0.97</v>
      </c>
      <c r="H5" s="190">
        <v>0.0</v>
      </c>
      <c r="I5" s="191">
        <v>0.0</v>
      </c>
      <c r="J5" s="207"/>
    </row>
    <row r="6">
      <c r="A6" s="180" t="s">
        <v>381</v>
      </c>
      <c r="B6" s="180" t="s">
        <v>373</v>
      </c>
      <c r="C6" s="206" t="s">
        <v>382</v>
      </c>
      <c r="D6" s="207" t="s">
        <v>380</v>
      </c>
      <c r="E6" s="207">
        <f t="shared" si="2"/>
        <v>0.95</v>
      </c>
      <c r="F6" s="207"/>
      <c r="G6" s="190">
        <v>0.95</v>
      </c>
      <c r="H6" s="190">
        <v>0.0</v>
      </c>
      <c r="I6" s="191">
        <v>0.0</v>
      </c>
      <c r="J6" s="207"/>
    </row>
    <row r="7">
      <c r="A7" s="180" t="s">
        <v>383</v>
      </c>
      <c r="B7" s="180" t="s">
        <v>373</v>
      </c>
      <c r="C7" s="206" t="s">
        <v>384</v>
      </c>
      <c r="D7" s="207" t="s">
        <v>375</v>
      </c>
      <c r="E7" s="207">
        <f t="shared" si="2"/>
        <v>10</v>
      </c>
      <c r="F7" s="207"/>
      <c r="G7" s="190">
        <v>1.53</v>
      </c>
      <c r="H7" s="190">
        <v>8.47</v>
      </c>
      <c r="I7" s="191">
        <v>1.0</v>
      </c>
      <c r="J7" s="207"/>
    </row>
    <row r="8">
      <c r="A8" s="180" t="s">
        <v>385</v>
      </c>
      <c r="B8" s="180" t="s">
        <v>386</v>
      </c>
      <c r="C8" s="206" t="s">
        <v>387</v>
      </c>
      <c r="D8" s="207" t="s">
        <v>375</v>
      </c>
      <c r="E8" s="207">
        <v>5.8</v>
      </c>
      <c r="F8" s="207"/>
      <c r="G8" s="190">
        <v>5.8</v>
      </c>
      <c r="H8" s="190">
        <v>0.0</v>
      </c>
      <c r="I8" s="191">
        <v>0.0</v>
      </c>
      <c r="J8" s="207"/>
    </row>
    <row r="9">
      <c r="A9" s="180" t="s">
        <v>388</v>
      </c>
      <c r="B9" s="180" t="s">
        <v>386</v>
      </c>
      <c r="C9" s="206" t="s">
        <v>389</v>
      </c>
      <c r="D9" s="207" t="s">
        <v>375</v>
      </c>
      <c r="E9" s="207">
        <v>8.44</v>
      </c>
      <c r="F9" s="207"/>
      <c r="G9" s="190">
        <v>8.44</v>
      </c>
      <c r="H9" s="190">
        <v>0.0</v>
      </c>
      <c r="I9" s="191">
        <v>0.0</v>
      </c>
      <c r="J9" s="207"/>
    </row>
    <row r="10">
      <c r="A10" s="180" t="s">
        <v>390</v>
      </c>
      <c r="B10" s="180" t="s">
        <v>386</v>
      </c>
      <c r="C10" s="206" t="s">
        <v>391</v>
      </c>
      <c r="D10" s="207" t="s">
        <v>375</v>
      </c>
      <c r="E10" s="207">
        <v>20.38</v>
      </c>
      <c r="F10" s="207"/>
      <c r="G10" s="190">
        <v>20.38</v>
      </c>
      <c r="H10" s="190">
        <v>0.0</v>
      </c>
      <c r="I10" s="191">
        <v>0.0</v>
      </c>
      <c r="J10" s="207"/>
    </row>
    <row r="11">
      <c r="A11" s="180" t="s">
        <v>392</v>
      </c>
      <c r="B11" s="180" t="s">
        <v>386</v>
      </c>
      <c r="C11" s="206" t="s">
        <v>393</v>
      </c>
      <c r="D11" s="207" t="s">
        <v>375</v>
      </c>
      <c r="E11" s="207">
        <f t="shared" ref="E11:E21" si="3">IF(G11="","",G11+(H11*I11))</f>
        <v>0.75</v>
      </c>
      <c r="F11" s="207"/>
      <c r="G11" s="190">
        <v>0.75</v>
      </c>
      <c r="H11" s="190">
        <v>0.0</v>
      </c>
      <c r="I11" s="191">
        <v>0.0</v>
      </c>
      <c r="J11" s="207"/>
    </row>
    <row r="12">
      <c r="A12" s="180" t="s">
        <v>394</v>
      </c>
      <c r="B12" s="180" t="s">
        <v>386</v>
      </c>
      <c r="C12" s="206" t="s">
        <v>395</v>
      </c>
      <c r="D12" s="207" t="s">
        <v>375</v>
      </c>
      <c r="E12" s="207">
        <f t="shared" si="3"/>
        <v>2.14</v>
      </c>
      <c r="F12" s="207"/>
      <c r="G12" s="190">
        <v>2.14</v>
      </c>
      <c r="H12" s="190">
        <v>0.0</v>
      </c>
      <c r="I12" s="191">
        <v>0.0</v>
      </c>
      <c r="J12" s="207"/>
    </row>
    <row r="13">
      <c r="A13" s="180" t="s">
        <v>396</v>
      </c>
      <c r="B13" s="180" t="s">
        <v>386</v>
      </c>
      <c r="C13" s="206" t="s">
        <v>397</v>
      </c>
      <c r="D13" s="207" t="s">
        <v>371</v>
      </c>
      <c r="E13" s="207">
        <f t="shared" si="3"/>
        <v>3.59</v>
      </c>
      <c r="F13" s="207"/>
      <c r="G13" s="190">
        <v>3.59</v>
      </c>
      <c r="H13" s="190">
        <v>0.0</v>
      </c>
      <c r="I13" s="191">
        <v>0.0</v>
      </c>
      <c r="J13" s="207"/>
    </row>
    <row r="14">
      <c r="A14" s="180" t="s">
        <v>398</v>
      </c>
      <c r="B14" s="180" t="s">
        <v>373</v>
      </c>
      <c r="C14" s="206" t="s">
        <v>399</v>
      </c>
      <c r="D14" s="207">
        <v>100.0</v>
      </c>
      <c r="E14" s="207">
        <f t="shared" si="3"/>
        <v>6.56</v>
      </c>
      <c r="F14" s="207"/>
      <c r="G14" s="190">
        <v>6.56</v>
      </c>
      <c r="H14" s="190">
        <v>0.0</v>
      </c>
      <c r="I14" s="191">
        <v>0.0</v>
      </c>
      <c r="J14" s="207"/>
    </row>
    <row r="15">
      <c r="A15" s="180" t="s">
        <v>400</v>
      </c>
      <c r="B15" s="180" t="s">
        <v>373</v>
      </c>
      <c r="C15" s="206" t="s">
        <v>401</v>
      </c>
      <c r="D15" s="207" t="s">
        <v>371</v>
      </c>
      <c r="E15" s="207">
        <f t="shared" si="3"/>
        <v>99.86</v>
      </c>
      <c r="F15" s="207"/>
      <c r="G15" s="190">
        <v>99.86</v>
      </c>
      <c r="H15" s="190">
        <v>0.0</v>
      </c>
      <c r="I15" s="191">
        <v>0.0</v>
      </c>
      <c r="J15" s="207"/>
    </row>
    <row r="16">
      <c r="A16" s="180" t="s">
        <v>402</v>
      </c>
      <c r="B16" s="180" t="s">
        <v>373</v>
      </c>
      <c r="C16" s="206" t="s">
        <v>403</v>
      </c>
      <c r="D16" s="207" t="s">
        <v>371</v>
      </c>
      <c r="E16" s="207">
        <f t="shared" si="3"/>
        <v>93.78</v>
      </c>
      <c r="F16" s="207"/>
      <c r="G16" s="190">
        <v>93.78</v>
      </c>
      <c r="H16" s="190">
        <v>0.0</v>
      </c>
      <c r="I16" s="191">
        <v>0.0</v>
      </c>
      <c r="J16" s="207"/>
    </row>
    <row r="17">
      <c r="A17" s="180" t="s">
        <v>404</v>
      </c>
      <c r="B17" s="180" t="s">
        <v>373</v>
      </c>
      <c r="C17" s="206" t="s">
        <v>405</v>
      </c>
      <c r="D17" s="207" t="s">
        <v>371</v>
      </c>
      <c r="E17" s="207">
        <f t="shared" si="3"/>
        <v>52.54</v>
      </c>
      <c r="F17" s="207"/>
      <c r="G17" s="190">
        <v>52.54</v>
      </c>
      <c r="H17" s="190">
        <v>0.0</v>
      </c>
      <c r="I17" s="191">
        <v>0.0</v>
      </c>
      <c r="J17" s="207"/>
    </row>
    <row r="18">
      <c r="A18" s="180" t="s">
        <v>406</v>
      </c>
      <c r="B18" s="180" t="s">
        <v>373</v>
      </c>
      <c r="C18" s="206" t="s">
        <v>407</v>
      </c>
      <c r="D18" s="207" t="s">
        <v>371</v>
      </c>
      <c r="E18" s="207">
        <f t="shared" si="3"/>
        <v>48.58</v>
      </c>
      <c r="F18" s="207"/>
      <c r="G18" s="190">
        <v>48.58</v>
      </c>
      <c r="H18" s="190">
        <v>0.0</v>
      </c>
      <c r="I18" s="191">
        <v>0.0</v>
      </c>
      <c r="J18" s="207"/>
    </row>
    <row r="19">
      <c r="A19" s="180" t="s">
        <v>408</v>
      </c>
      <c r="B19" s="180" t="s">
        <v>373</v>
      </c>
      <c r="C19" s="206" t="s">
        <v>409</v>
      </c>
      <c r="D19" s="207" t="s">
        <v>371</v>
      </c>
      <c r="E19" s="207">
        <f t="shared" si="3"/>
        <v>39.72</v>
      </c>
      <c r="F19" s="207"/>
      <c r="G19" s="190">
        <v>39.72</v>
      </c>
      <c r="H19" s="190">
        <v>0.0</v>
      </c>
      <c r="I19" s="191">
        <v>0.0</v>
      </c>
      <c r="J19" s="207"/>
    </row>
    <row r="20">
      <c r="A20" s="180" t="s">
        <v>410</v>
      </c>
      <c r="B20" s="180" t="s">
        <v>373</v>
      </c>
      <c r="C20" s="206" t="s">
        <v>411</v>
      </c>
      <c r="D20" s="207" t="s">
        <v>371</v>
      </c>
      <c r="E20" s="207">
        <f t="shared" si="3"/>
        <v>39.93</v>
      </c>
      <c r="F20" s="207"/>
      <c r="G20" s="190">
        <v>39.93</v>
      </c>
      <c r="H20" s="190">
        <v>0.0</v>
      </c>
      <c r="I20" s="191">
        <v>0.0</v>
      </c>
      <c r="J20" s="207"/>
    </row>
    <row r="21">
      <c r="A21" s="180" t="s">
        <v>412</v>
      </c>
      <c r="B21" s="180" t="s">
        <v>373</v>
      </c>
      <c r="C21" s="206" t="s">
        <v>413</v>
      </c>
      <c r="D21" s="207" t="s">
        <v>371</v>
      </c>
      <c r="E21" s="207">
        <f t="shared" si="3"/>
        <v>46.97</v>
      </c>
      <c r="F21" s="207"/>
      <c r="G21" s="190">
        <v>46.97</v>
      </c>
      <c r="H21" s="190">
        <v>0.0</v>
      </c>
      <c r="I21" s="191">
        <v>0.0</v>
      </c>
      <c r="J21" s="207"/>
    </row>
    <row r="22">
      <c r="A22" s="180" t="s">
        <v>414</v>
      </c>
      <c r="B22" s="180" t="s">
        <v>373</v>
      </c>
      <c r="C22" s="206" t="s">
        <v>415</v>
      </c>
      <c r="D22" s="207" t="s">
        <v>371</v>
      </c>
      <c r="E22" s="207">
        <f>IF(G22="","",G22+($H$22*$I$22))</f>
        <v>47.46</v>
      </c>
      <c r="F22" s="190"/>
      <c r="G22" s="190">
        <v>47.46</v>
      </c>
      <c r="H22" s="190">
        <v>0.0</v>
      </c>
      <c r="I22" s="191">
        <v>0.0</v>
      </c>
      <c r="J22" s="180"/>
    </row>
    <row r="23">
      <c r="A23" s="180" t="s">
        <v>416</v>
      </c>
      <c r="B23" s="180" t="s">
        <v>373</v>
      </c>
      <c r="C23" s="206" t="s">
        <v>417</v>
      </c>
      <c r="D23" s="207" t="s">
        <v>375</v>
      </c>
      <c r="E23" s="207">
        <f>IF(G23="","",G23+(H23*I23))</f>
        <v>350</v>
      </c>
      <c r="F23" s="190"/>
      <c r="G23" s="190">
        <v>350.0</v>
      </c>
      <c r="H23" s="190">
        <v>0.0</v>
      </c>
      <c r="I23" s="191">
        <v>0.0</v>
      </c>
      <c r="J23" s="180"/>
    </row>
    <row r="24">
      <c r="A24" s="135" t="s">
        <v>418</v>
      </c>
      <c r="B24" s="135" t="s">
        <v>373</v>
      </c>
      <c r="C24" s="206" t="s">
        <v>419</v>
      </c>
      <c r="D24" s="207" t="s">
        <v>375</v>
      </c>
      <c r="E24" s="207"/>
      <c r="F24" s="190"/>
      <c r="G24" s="190"/>
      <c r="H24" s="190">
        <v>0.0</v>
      </c>
      <c r="I24" s="191">
        <v>0.0</v>
      </c>
      <c r="J24" s="135"/>
    </row>
    <row r="25">
      <c r="A25" s="135" t="s">
        <v>420</v>
      </c>
      <c r="B25" s="135" t="s">
        <v>373</v>
      </c>
      <c r="C25" s="206" t="s">
        <v>421</v>
      </c>
      <c r="D25" s="207" t="s">
        <v>375</v>
      </c>
      <c r="E25" s="207"/>
      <c r="F25" s="190"/>
      <c r="G25" s="190"/>
      <c r="H25" s="190">
        <v>0.0</v>
      </c>
      <c r="I25" s="191">
        <v>0.0</v>
      </c>
      <c r="J25" s="135"/>
    </row>
    <row r="26">
      <c r="A26" s="135" t="s">
        <v>422</v>
      </c>
      <c r="B26" s="135" t="s">
        <v>373</v>
      </c>
      <c r="C26" s="206" t="s">
        <v>423</v>
      </c>
      <c r="D26" s="207" t="s">
        <v>375</v>
      </c>
      <c r="E26" s="207"/>
      <c r="F26" s="190"/>
      <c r="G26" s="190"/>
      <c r="H26" s="190">
        <v>0.0</v>
      </c>
      <c r="I26" s="191">
        <v>0.0</v>
      </c>
      <c r="J26" s="135"/>
    </row>
    <row r="27">
      <c r="A27" s="135" t="s">
        <v>424</v>
      </c>
      <c r="B27" s="135" t="s">
        <v>373</v>
      </c>
      <c r="C27" s="206" t="s">
        <v>425</v>
      </c>
      <c r="D27" s="207" t="s">
        <v>426</v>
      </c>
      <c r="E27" s="207">
        <f t="shared" ref="E27:E28" si="4">IF(G27="","",G27+(H27*I27))</f>
        <v>26.43</v>
      </c>
      <c r="F27" s="190"/>
      <c r="G27" s="190">
        <v>22.23</v>
      </c>
      <c r="H27" s="190">
        <v>4.2</v>
      </c>
      <c r="I27" s="191">
        <v>1.0</v>
      </c>
      <c r="J27" s="135"/>
    </row>
    <row r="28">
      <c r="A28" s="135" t="s">
        <v>427</v>
      </c>
      <c r="B28" s="135" t="s">
        <v>373</v>
      </c>
      <c r="C28" s="206" t="s">
        <v>428</v>
      </c>
      <c r="D28" s="207" t="s">
        <v>426</v>
      </c>
      <c r="E28" s="207">
        <f t="shared" si="4"/>
        <v>51.51</v>
      </c>
      <c r="F28" s="190"/>
      <c r="G28" s="190">
        <v>44.46</v>
      </c>
      <c r="H28" s="190">
        <v>7.05</v>
      </c>
      <c r="I28" s="191">
        <v>1.0</v>
      </c>
      <c r="J28" s="135"/>
    </row>
    <row r="29">
      <c r="A29" s="181" t="s">
        <v>429</v>
      </c>
      <c r="B29" s="181" t="s">
        <v>386</v>
      </c>
      <c r="C29" s="206" t="s">
        <v>430</v>
      </c>
      <c r="D29" s="208" t="s">
        <v>375</v>
      </c>
      <c r="E29" s="208">
        <v>41.92</v>
      </c>
      <c r="F29" s="178"/>
      <c r="G29" s="208">
        <v>41.92</v>
      </c>
      <c r="H29" s="178">
        <v>0.0</v>
      </c>
      <c r="I29" s="209">
        <v>0.0</v>
      </c>
      <c r="J29" s="135"/>
    </row>
    <row r="30">
      <c r="A30" s="181" t="s">
        <v>431</v>
      </c>
      <c r="B30" s="135" t="s">
        <v>386</v>
      </c>
      <c r="C30" s="206" t="s">
        <v>432</v>
      </c>
      <c r="D30" s="207" t="s">
        <v>375</v>
      </c>
      <c r="E30" s="207">
        <v>41.94</v>
      </c>
      <c r="F30" s="190"/>
      <c r="G30" s="207">
        <v>41.94</v>
      </c>
      <c r="H30" s="190">
        <v>0.0</v>
      </c>
      <c r="I30" s="191">
        <v>0.0</v>
      </c>
      <c r="J30" s="135"/>
    </row>
    <row r="31">
      <c r="A31" s="181" t="s">
        <v>433</v>
      </c>
      <c r="B31" s="135" t="s">
        <v>386</v>
      </c>
      <c r="C31" s="206" t="s">
        <v>434</v>
      </c>
      <c r="D31" s="207" t="s">
        <v>375</v>
      </c>
      <c r="E31" s="207">
        <v>41.94</v>
      </c>
      <c r="F31" s="190"/>
      <c r="G31" s="207">
        <v>41.94</v>
      </c>
      <c r="H31" s="190">
        <v>0.0</v>
      </c>
      <c r="I31" s="191">
        <v>0.0</v>
      </c>
      <c r="J31" s="135"/>
    </row>
    <row r="32">
      <c r="A32" s="181" t="s">
        <v>435</v>
      </c>
      <c r="B32" s="181" t="s">
        <v>373</v>
      </c>
      <c r="C32" s="210" t="s">
        <v>436</v>
      </c>
      <c r="D32" s="208" t="s">
        <v>375</v>
      </c>
      <c r="E32" s="178">
        <v>31.21</v>
      </c>
      <c r="F32" s="208"/>
      <c r="G32" s="178">
        <v>31.21</v>
      </c>
      <c r="H32" s="190">
        <v>0.0</v>
      </c>
      <c r="I32" s="191">
        <v>0.0</v>
      </c>
      <c r="J32" s="178"/>
    </row>
    <row r="33">
      <c r="A33" s="135" t="s">
        <v>437</v>
      </c>
      <c r="B33" s="135" t="s">
        <v>438</v>
      </c>
      <c r="C33" s="206">
        <v>999.9091756</v>
      </c>
      <c r="D33" s="207" t="s">
        <v>375</v>
      </c>
      <c r="E33" s="207">
        <v>4.5</v>
      </c>
      <c r="F33" s="190"/>
      <c r="G33" s="207">
        <v>4.5</v>
      </c>
      <c r="H33" s="190">
        <v>0.0</v>
      </c>
      <c r="I33" s="191">
        <v>0.0</v>
      </c>
      <c r="J33" s="135" t="s">
        <v>439</v>
      </c>
    </row>
    <row r="34">
      <c r="A34" s="135" t="s">
        <v>440</v>
      </c>
      <c r="B34" s="135" t="s">
        <v>438</v>
      </c>
      <c r="C34" s="206">
        <v>999.9091812</v>
      </c>
      <c r="D34" s="207" t="s">
        <v>375</v>
      </c>
      <c r="E34" s="207">
        <v>0.86</v>
      </c>
      <c r="F34" s="190"/>
      <c r="G34" s="207">
        <v>0.86</v>
      </c>
      <c r="H34" s="190">
        <v>0.0</v>
      </c>
      <c r="I34" s="191">
        <v>0.0</v>
      </c>
      <c r="J34" s="135"/>
    </row>
    <row r="35">
      <c r="A35" s="135" t="s">
        <v>441</v>
      </c>
      <c r="B35" s="135" t="s">
        <v>438</v>
      </c>
      <c r="C35" s="206">
        <v>999.909182</v>
      </c>
      <c r="D35" s="207" t="s">
        <v>375</v>
      </c>
      <c r="E35" s="207">
        <v>0.16</v>
      </c>
      <c r="F35" s="190"/>
      <c r="G35" s="207">
        <v>0.16</v>
      </c>
      <c r="H35" s="190">
        <v>0.0</v>
      </c>
      <c r="I35" s="191">
        <v>0.0</v>
      </c>
      <c r="J35" s="135"/>
    </row>
    <row r="36">
      <c r="A36" s="135" t="s">
        <v>442</v>
      </c>
      <c r="B36" s="135" t="s">
        <v>438</v>
      </c>
      <c r="C36" s="206">
        <v>999.9091822</v>
      </c>
      <c r="D36" s="207" t="s">
        <v>375</v>
      </c>
      <c r="E36" s="207">
        <v>0.2</v>
      </c>
      <c r="F36" s="190"/>
      <c r="G36" s="207">
        <v>0.2</v>
      </c>
      <c r="H36" s="190">
        <v>0.0</v>
      </c>
      <c r="I36" s="191">
        <v>0.0</v>
      </c>
      <c r="J36" s="135"/>
    </row>
    <row r="37">
      <c r="A37" s="135" t="s">
        <v>443</v>
      </c>
      <c r="B37" s="135" t="s">
        <v>438</v>
      </c>
      <c r="C37" s="206" t="s">
        <v>444</v>
      </c>
      <c r="D37" s="207" t="s">
        <v>380</v>
      </c>
      <c r="E37" s="207">
        <v>288.91</v>
      </c>
      <c r="F37" s="190"/>
      <c r="G37" s="207">
        <v>288.91</v>
      </c>
      <c r="H37" s="190">
        <v>0.0</v>
      </c>
      <c r="I37" s="191">
        <v>0.0</v>
      </c>
      <c r="J37" s="135" t="s">
        <v>445</v>
      </c>
    </row>
    <row r="38">
      <c r="A38" s="135" t="s">
        <v>446</v>
      </c>
      <c r="B38" s="135" t="s">
        <v>438</v>
      </c>
      <c r="C38" s="206" t="s">
        <v>444</v>
      </c>
      <c r="D38" s="207" t="s">
        <v>380</v>
      </c>
      <c r="E38" s="207">
        <v>453.66</v>
      </c>
      <c r="F38" s="190"/>
      <c r="G38" s="207">
        <v>453.66</v>
      </c>
      <c r="H38" s="190">
        <v>0.0</v>
      </c>
      <c r="I38" s="191">
        <v>0.0</v>
      </c>
      <c r="J38" s="135" t="s">
        <v>445</v>
      </c>
    </row>
    <row r="39">
      <c r="A39" s="182" t="s">
        <v>447</v>
      </c>
      <c r="B39" s="182" t="s">
        <v>373</v>
      </c>
      <c r="C39" s="211" t="s">
        <v>448</v>
      </c>
      <c r="D39" s="212" t="s">
        <v>380</v>
      </c>
      <c r="E39" s="212">
        <v>39.9</v>
      </c>
      <c r="F39" s="190"/>
      <c r="G39" s="213">
        <v>39.9</v>
      </c>
      <c r="H39" s="213">
        <v>0.0</v>
      </c>
      <c r="I39" s="214">
        <v>0.0</v>
      </c>
      <c r="J39" s="135"/>
    </row>
    <row r="40">
      <c r="A40" s="182" t="s">
        <v>449</v>
      </c>
      <c r="B40" s="182" t="s">
        <v>373</v>
      </c>
      <c r="C40" s="211" t="s">
        <v>450</v>
      </c>
      <c r="D40" s="212" t="s">
        <v>375</v>
      </c>
      <c r="E40" s="212">
        <v>3.93</v>
      </c>
      <c r="F40" s="190"/>
      <c r="G40" s="213">
        <v>3.93</v>
      </c>
      <c r="H40" s="213">
        <v>0.0</v>
      </c>
      <c r="I40" s="214">
        <v>0.0</v>
      </c>
      <c r="J40" s="135"/>
    </row>
    <row r="41">
      <c r="A41" s="182" t="s">
        <v>451</v>
      </c>
      <c r="B41" s="182" t="s">
        <v>373</v>
      </c>
      <c r="C41" s="211" t="s">
        <v>452</v>
      </c>
      <c r="D41" s="212" t="s">
        <v>453</v>
      </c>
      <c r="E41" s="212">
        <v>143.69</v>
      </c>
      <c r="F41" s="190"/>
      <c r="G41" s="213">
        <v>99.86</v>
      </c>
      <c r="H41" s="213">
        <v>43.83</v>
      </c>
      <c r="I41" s="214">
        <v>1.0</v>
      </c>
      <c r="J41" s="135"/>
    </row>
    <row r="42">
      <c r="A42" s="182" t="s">
        <v>454</v>
      </c>
      <c r="B42" s="182" t="s">
        <v>373</v>
      </c>
      <c r="C42" s="211" t="s">
        <v>455</v>
      </c>
      <c r="D42" s="212" t="s">
        <v>453</v>
      </c>
      <c r="E42" s="212">
        <v>137.61</v>
      </c>
      <c r="F42" s="190"/>
      <c r="G42" s="213">
        <v>93.78</v>
      </c>
      <c r="H42" s="213">
        <v>43.83</v>
      </c>
      <c r="I42" s="214">
        <v>1.0</v>
      </c>
      <c r="J42" s="135"/>
    </row>
    <row r="43">
      <c r="A43" s="182" t="s">
        <v>456</v>
      </c>
      <c r="B43" s="182" t="s">
        <v>373</v>
      </c>
      <c r="C43" s="211" t="s">
        <v>457</v>
      </c>
      <c r="D43" s="212" t="s">
        <v>453</v>
      </c>
      <c r="E43" s="212">
        <v>96.37</v>
      </c>
      <c r="F43" s="190"/>
      <c r="G43" s="213">
        <v>52.54</v>
      </c>
      <c r="H43" s="213">
        <v>43.83</v>
      </c>
      <c r="I43" s="214">
        <v>1.0</v>
      </c>
      <c r="J43" s="135"/>
    </row>
    <row r="44">
      <c r="A44" s="182" t="s">
        <v>458</v>
      </c>
      <c r="B44" s="182" t="s">
        <v>373</v>
      </c>
      <c r="C44" s="211" t="s">
        <v>459</v>
      </c>
      <c r="D44" s="212" t="s">
        <v>453</v>
      </c>
      <c r="E44" s="212">
        <v>92.41</v>
      </c>
      <c r="F44" s="190"/>
      <c r="G44" s="213">
        <v>48.58</v>
      </c>
      <c r="H44" s="213">
        <v>43.83</v>
      </c>
      <c r="I44" s="214">
        <v>1.0</v>
      </c>
      <c r="J44" s="135"/>
    </row>
    <row r="45">
      <c r="A45" s="182" t="s">
        <v>460</v>
      </c>
      <c r="B45" s="182" t="s">
        <v>373</v>
      </c>
      <c r="C45" s="211" t="s">
        <v>461</v>
      </c>
      <c r="D45" s="212" t="s">
        <v>453</v>
      </c>
      <c r="E45" s="212">
        <v>83.55</v>
      </c>
      <c r="F45" s="190"/>
      <c r="G45" s="213">
        <v>39.72</v>
      </c>
      <c r="H45" s="213">
        <v>43.83</v>
      </c>
      <c r="I45" s="214">
        <v>1.0</v>
      </c>
      <c r="J45" s="135"/>
    </row>
    <row r="46">
      <c r="A46" s="182" t="s">
        <v>462</v>
      </c>
      <c r="B46" s="182" t="s">
        <v>373</v>
      </c>
      <c r="C46" s="211" t="s">
        <v>463</v>
      </c>
      <c r="D46" s="212" t="s">
        <v>453</v>
      </c>
      <c r="E46" s="212">
        <v>83.76</v>
      </c>
      <c r="F46" s="190"/>
      <c r="G46" s="213">
        <v>39.93</v>
      </c>
      <c r="H46" s="213">
        <v>43.83</v>
      </c>
      <c r="I46" s="214">
        <v>1.0</v>
      </c>
      <c r="J46" s="135"/>
    </row>
    <row r="47">
      <c r="A47" s="182" t="s">
        <v>464</v>
      </c>
      <c r="B47" s="182" t="s">
        <v>373</v>
      </c>
      <c r="C47" s="211" t="s">
        <v>465</v>
      </c>
      <c r="D47" s="212" t="s">
        <v>453</v>
      </c>
      <c r="E47" s="212">
        <v>90.8</v>
      </c>
      <c r="F47" s="190"/>
      <c r="G47" s="213">
        <v>46.97</v>
      </c>
      <c r="H47" s="213">
        <v>43.83</v>
      </c>
      <c r="I47" s="214">
        <v>1.0</v>
      </c>
      <c r="J47" s="135"/>
    </row>
    <row r="48">
      <c r="A48" s="135"/>
      <c r="B48" s="135"/>
      <c r="C48" s="215"/>
      <c r="D48" s="207"/>
      <c r="E48" s="207"/>
      <c r="F48" s="190"/>
      <c r="G48" s="190"/>
      <c r="H48" s="190"/>
      <c r="I48" s="191"/>
      <c r="J48" s="135"/>
    </row>
    <row r="49">
      <c r="A49" s="135"/>
      <c r="B49" s="135"/>
      <c r="C49" s="215"/>
      <c r="D49" s="207"/>
      <c r="E49" s="207"/>
      <c r="F49" s="190"/>
      <c r="G49" s="190"/>
      <c r="H49" s="190"/>
      <c r="I49" s="191"/>
      <c r="J49" s="135"/>
    </row>
    <row r="50">
      <c r="A50" s="135"/>
      <c r="B50" s="135"/>
      <c r="C50" s="215"/>
      <c r="D50" s="207"/>
      <c r="E50" s="207"/>
      <c r="F50" s="190"/>
      <c r="G50" s="190"/>
      <c r="H50" s="190"/>
      <c r="I50" s="191"/>
      <c r="J50" s="135"/>
    </row>
    <row r="51">
      <c r="A51" s="135"/>
      <c r="B51" s="135"/>
      <c r="C51" s="215"/>
      <c r="D51" s="207"/>
      <c r="E51" s="207"/>
      <c r="F51" s="190"/>
      <c r="G51" s="190"/>
      <c r="H51" s="190"/>
      <c r="I51" s="191"/>
      <c r="J51" s="135"/>
    </row>
    <row r="52">
      <c r="A52" s="135"/>
      <c r="B52" s="135"/>
      <c r="C52" s="215"/>
      <c r="D52" s="207"/>
      <c r="E52" s="207"/>
      <c r="F52" s="190"/>
      <c r="G52" s="190"/>
      <c r="H52" s="190"/>
      <c r="I52" s="191"/>
      <c r="J52" s="135"/>
    </row>
    <row r="53">
      <c r="A53" s="135"/>
      <c r="B53" s="135"/>
      <c r="C53" s="215"/>
      <c r="D53" s="207"/>
      <c r="E53" s="207"/>
      <c r="F53" s="190"/>
      <c r="G53" s="190"/>
      <c r="H53" s="190"/>
      <c r="I53" s="191"/>
      <c r="J53" s="135"/>
    </row>
    <row r="54">
      <c r="A54" s="135"/>
      <c r="B54" s="135"/>
      <c r="C54" s="215"/>
      <c r="D54" s="207"/>
      <c r="E54" s="207"/>
      <c r="F54" s="190"/>
      <c r="G54" s="190"/>
      <c r="H54" s="190"/>
      <c r="I54" s="191"/>
      <c r="J54" s="135"/>
    </row>
    <row r="55">
      <c r="A55" s="135"/>
      <c r="B55" s="135"/>
      <c r="C55" s="215"/>
      <c r="D55" s="207"/>
      <c r="E55" s="207"/>
      <c r="F55" s="190"/>
      <c r="G55" s="190"/>
      <c r="H55" s="190"/>
      <c r="I55" s="191"/>
      <c r="J55" s="13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6.25"/>
    <col customWidth="1" min="3" max="3" width="7.75"/>
    <col customWidth="1" min="4" max="4" width="6.75"/>
    <col customWidth="1" min="5" max="5" width="4.38"/>
    <col customWidth="1" min="6" max="6" width="7.13"/>
    <col customWidth="1" min="8" max="8" width="4.0"/>
    <col customWidth="1" min="9" max="10" width="21.63"/>
  </cols>
  <sheetData>
    <row r="1">
      <c r="A1" s="172" t="s">
        <v>466</v>
      </c>
      <c r="B1" s="172" t="s">
        <v>262</v>
      </c>
      <c r="C1" s="173" t="s">
        <v>263</v>
      </c>
      <c r="D1" s="216" t="s">
        <v>24</v>
      </c>
      <c r="E1" s="216" t="s">
        <v>264</v>
      </c>
      <c r="F1" s="217"/>
      <c r="G1" s="216" t="s">
        <v>265</v>
      </c>
      <c r="H1" s="216" t="s">
        <v>267</v>
      </c>
      <c r="I1" s="172" t="s">
        <v>268</v>
      </c>
      <c r="J1" s="172" t="s">
        <v>269</v>
      </c>
    </row>
    <row r="2">
      <c r="A2" s="176" t="s">
        <v>467</v>
      </c>
      <c r="B2" s="176" t="s">
        <v>373</v>
      </c>
      <c r="C2" s="183"/>
      <c r="D2" s="218"/>
      <c r="E2" s="219">
        <f t="shared" ref="E2:E21" si="1">IF(A2="","",G2+(H2*I2))</f>
        <v>1.57</v>
      </c>
      <c r="F2" s="218"/>
      <c r="G2" s="220">
        <v>1.57</v>
      </c>
      <c r="H2" s="220">
        <v>0.0</v>
      </c>
      <c r="I2" s="181">
        <v>0.0</v>
      </c>
      <c r="J2" s="183"/>
    </row>
    <row r="3">
      <c r="A3" s="176" t="s">
        <v>468</v>
      </c>
      <c r="B3" s="176" t="s">
        <v>373</v>
      </c>
      <c r="C3" s="183"/>
      <c r="D3" s="218"/>
      <c r="E3" s="219">
        <f t="shared" si="1"/>
        <v>4.56</v>
      </c>
      <c r="F3" s="218"/>
      <c r="G3" s="220">
        <v>2.34</v>
      </c>
      <c r="H3" s="220">
        <f t="shared" ref="H3:H4" si="2">$G$5</f>
        <v>2.22</v>
      </c>
      <c r="I3" s="176">
        <v>1.0</v>
      </c>
      <c r="J3" s="176" t="s">
        <v>469</v>
      </c>
    </row>
    <row r="4">
      <c r="A4" s="176" t="s">
        <v>470</v>
      </c>
      <c r="B4" s="176" t="s">
        <v>373</v>
      </c>
      <c r="C4" s="183"/>
      <c r="D4" s="218"/>
      <c r="E4" s="219">
        <f t="shared" si="1"/>
        <v>7.85</v>
      </c>
      <c r="F4" s="218"/>
      <c r="G4" s="220">
        <v>5.63</v>
      </c>
      <c r="H4" s="220">
        <f t="shared" si="2"/>
        <v>2.22</v>
      </c>
      <c r="I4" s="176">
        <v>1.0</v>
      </c>
      <c r="J4" s="176" t="s">
        <v>469</v>
      </c>
    </row>
    <row r="5">
      <c r="A5" s="176" t="s">
        <v>471</v>
      </c>
      <c r="B5" s="176" t="s">
        <v>373</v>
      </c>
      <c r="C5" s="183"/>
      <c r="D5" s="218"/>
      <c r="E5" s="219">
        <f t="shared" si="1"/>
        <v>2.22</v>
      </c>
      <c r="F5" s="218"/>
      <c r="G5" s="220">
        <v>2.22</v>
      </c>
      <c r="H5" s="220">
        <v>0.0</v>
      </c>
      <c r="I5" s="181">
        <v>0.0</v>
      </c>
      <c r="J5" s="183"/>
    </row>
    <row r="6">
      <c r="A6" s="176" t="s">
        <v>472</v>
      </c>
      <c r="B6" s="176" t="s">
        <v>373</v>
      </c>
      <c r="C6" s="183"/>
      <c r="D6" s="218"/>
      <c r="E6" s="219">
        <f t="shared" si="1"/>
        <v>5.31</v>
      </c>
      <c r="F6" s="218"/>
      <c r="G6" s="220">
        <v>5.31</v>
      </c>
      <c r="H6" s="220">
        <v>0.0</v>
      </c>
      <c r="I6" s="181">
        <v>0.0</v>
      </c>
      <c r="J6" s="183"/>
    </row>
    <row r="7">
      <c r="A7" s="176" t="s">
        <v>473</v>
      </c>
      <c r="B7" s="176" t="s">
        <v>373</v>
      </c>
      <c r="C7" s="183"/>
      <c r="D7" s="218"/>
      <c r="E7" s="219">
        <f t="shared" si="1"/>
        <v>2.77</v>
      </c>
      <c r="F7" s="218"/>
      <c r="G7" s="220">
        <v>2.77</v>
      </c>
      <c r="H7" s="220">
        <v>0.0</v>
      </c>
      <c r="I7" s="181">
        <v>0.0</v>
      </c>
      <c r="J7" s="183"/>
    </row>
    <row r="8">
      <c r="A8" s="176" t="s">
        <v>474</v>
      </c>
      <c r="B8" s="176" t="s">
        <v>373</v>
      </c>
      <c r="C8" s="183"/>
      <c r="D8" s="218"/>
      <c r="E8" s="219">
        <f t="shared" si="1"/>
        <v>2.53</v>
      </c>
      <c r="F8" s="218"/>
      <c r="G8" s="220">
        <v>2.53</v>
      </c>
      <c r="H8" s="220">
        <v>0.0</v>
      </c>
      <c r="I8" s="181">
        <v>0.0</v>
      </c>
      <c r="J8" s="183"/>
    </row>
    <row r="9">
      <c r="A9" s="176" t="s">
        <v>475</v>
      </c>
      <c r="B9" s="176" t="s">
        <v>373</v>
      </c>
      <c r="C9" s="183"/>
      <c r="D9" s="218"/>
      <c r="E9" s="219">
        <f t="shared" si="1"/>
        <v>8.66</v>
      </c>
      <c r="F9" s="218"/>
      <c r="G9" s="220">
        <v>6.44</v>
      </c>
      <c r="H9" s="220">
        <f>$G$5</f>
        <v>2.22</v>
      </c>
      <c r="I9" s="176">
        <v>1.0</v>
      </c>
      <c r="J9" s="176" t="s">
        <v>469</v>
      </c>
    </row>
    <row r="10">
      <c r="A10" s="176" t="s">
        <v>476</v>
      </c>
      <c r="B10" s="176" t="s">
        <v>373</v>
      </c>
      <c r="C10" s="183"/>
      <c r="D10" s="218"/>
      <c r="E10" s="219">
        <f t="shared" si="1"/>
        <v>16.71</v>
      </c>
      <c r="F10" s="218"/>
      <c r="G10" s="220">
        <v>15.14</v>
      </c>
      <c r="H10" s="220">
        <f>$G$2</f>
        <v>1.57</v>
      </c>
      <c r="I10" s="176">
        <v>1.0</v>
      </c>
      <c r="J10" s="176" t="s">
        <v>477</v>
      </c>
    </row>
    <row r="11">
      <c r="A11" s="176" t="s">
        <v>478</v>
      </c>
      <c r="B11" s="176" t="s">
        <v>373</v>
      </c>
      <c r="C11" s="183"/>
      <c r="D11" s="218"/>
      <c r="E11" s="219">
        <f t="shared" si="1"/>
        <v>8.11</v>
      </c>
      <c r="F11" s="218"/>
      <c r="G11" s="220">
        <v>5.16</v>
      </c>
      <c r="H11" s="220">
        <f>$G$12+$G$5</f>
        <v>2.95</v>
      </c>
      <c r="I11" s="176">
        <v>1.0</v>
      </c>
      <c r="J11" s="176" t="s">
        <v>479</v>
      </c>
    </row>
    <row r="12">
      <c r="A12" s="176" t="s">
        <v>480</v>
      </c>
      <c r="B12" s="176" t="s">
        <v>373</v>
      </c>
      <c r="C12" s="183"/>
      <c r="D12" s="218"/>
      <c r="E12" s="219">
        <f t="shared" si="1"/>
        <v>0.73</v>
      </c>
      <c r="F12" s="218"/>
      <c r="G12" s="220">
        <v>0.73</v>
      </c>
      <c r="H12" s="220">
        <v>0.0</v>
      </c>
      <c r="I12" s="181">
        <v>0.0</v>
      </c>
      <c r="J12" s="183"/>
    </row>
    <row r="13">
      <c r="A13" s="176" t="s">
        <v>481</v>
      </c>
      <c r="B13" s="176" t="s">
        <v>482</v>
      </c>
      <c r="C13" s="183"/>
      <c r="D13" s="218"/>
      <c r="E13" s="219">
        <f t="shared" si="1"/>
        <v>7.87</v>
      </c>
      <c r="F13" s="218"/>
      <c r="G13" s="220">
        <v>4.95</v>
      </c>
      <c r="H13" s="220">
        <f>$E$14+$E$15</f>
        <v>2.92</v>
      </c>
      <c r="I13" s="176">
        <v>1.0</v>
      </c>
      <c r="J13" s="176" t="s">
        <v>483</v>
      </c>
    </row>
    <row r="14">
      <c r="A14" s="176" t="s">
        <v>484</v>
      </c>
      <c r="B14" s="176" t="s">
        <v>373</v>
      </c>
      <c r="C14" s="183"/>
      <c r="D14" s="218"/>
      <c r="E14" s="219">
        <f t="shared" si="1"/>
        <v>1.71</v>
      </c>
      <c r="F14" s="218"/>
      <c r="G14" s="220">
        <v>1.71</v>
      </c>
      <c r="H14" s="220">
        <v>0.0</v>
      </c>
      <c r="I14" s="181">
        <v>0.0</v>
      </c>
      <c r="J14" s="183"/>
    </row>
    <row r="15">
      <c r="A15" s="176" t="s">
        <v>485</v>
      </c>
      <c r="B15" s="176" t="s">
        <v>373</v>
      </c>
      <c r="C15" s="183"/>
      <c r="D15" s="218"/>
      <c r="E15" s="219">
        <f t="shared" si="1"/>
        <v>1.21</v>
      </c>
      <c r="F15" s="218"/>
      <c r="G15" s="220">
        <v>1.21</v>
      </c>
      <c r="H15" s="220">
        <v>0.0</v>
      </c>
      <c r="I15" s="181">
        <v>0.0</v>
      </c>
      <c r="J15" s="183"/>
    </row>
    <row r="16">
      <c r="A16" s="176" t="s">
        <v>486</v>
      </c>
      <c r="B16" s="176" t="s">
        <v>373</v>
      </c>
      <c r="C16" s="177"/>
      <c r="D16" s="220" t="s">
        <v>487</v>
      </c>
      <c r="E16" s="219">
        <f t="shared" si="1"/>
        <v>12.71</v>
      </c>
      <c r="F16" s="218"/>
      <c r="G16" s="220">
        <v>12.71</v>
      </c>
      <c r="H16" s="220">
        <v>0.0</v>
      </c>
      <c r="I16" s="176">
        <v>0.0</v>
      </c>
      <c r="J16" s="177"/>
    </row>
    <row r="17">
      <c r="A17" s="176" t="s">
        <v>488</v>
      </c>
      <c r="B17" s="176" t="s">
        <v>373</v>
      </c>
      <c r="C17" s="177"/>
      <c r="D17" s="220" t="s">
        <v>489</v>
      </c>
      <c r="E17" s="219">
        <f t="shared" si="1"/>
        <v>14.13</v>
      </c>
      <c r="F17" s="218"/>
      <c r="G17" s="220">
        <v>14.13</v>
      </c>
      <c r="H17" s="220">
        <v>0.0</v>
      </c>
      <c r="I17" s="176">
        <v>0.0</v>
      </c>
      <c r="J17" s="177"/>
    </row>
    <row r="18">
      <c r="A18" s="176" t="s">
        <v>490</v>
      </c>
      <c r="B18" s="176" t="s">
        <v>482</v>
      </c>
      <c r="C18" s="183"/>
      <c r="D18" s="218"/>
      <c r="E18" s="219">
        <f t="shared" si="1"/>
        <v>4.2</v>
      </c>
      <c r="F18" s="218"/>
      <c r="G18" s="220">
        <v>4.2</v>
      </c>
      <c r="H18" s="220">
        <v>0.0</v>
      </c>
      <c r="I18" s="181">
        <v>0.0</v>
      </c>
      <c r="J18" s="183"/>
    </row>
    <row r="19">
      <c r="A19" s="176" t="s">
        <v>491</v>
      </c>
      <c r="B19" s="176" t="s">
        <v>482</v>
      </c>
      <c r="C19" s="183"/>
      <c r="D19" s="218"/>
      <c r="E19" s="219">
        <f t="shared" si="1"/>
        <v>2.19</v>
      </c>
      <c r="F19" s="218"/>
      <c r="G19" s="220">
        <v>2.19</v>
      </c>
      <c r="H19" s="220">
        <v>0.0</v>
      </c>
      <c r="I19" s="181">
        <v>0.0</v>
      </c>
      <c r="J19" s="183"/>
    </row>
    <row r="20">
      <c r="A20" s="176" t="s">
        <v>492</v>
      </c>
      <c r="B20" s="176" t="s">
        <v>482</v>
      </c>
      <c r="C20" s="183"/>
      <c r="D20" s="218"/>
      <c r="E20" s="219">
        <f t="shared" si="1"/>
        <v>0.75</v>
      </c>
      <c r="F20" s="218"/>
      <c r="G20" s="220">
        <v>0.75</v>
      </c>
      <c r="H20" s="220">
        <v>0.0</v>
      </c>
      <c r="I20" s="181">
        <v>0.0</v>
      </c>
      <c r="J20" s="183"/>
    </row>
    <row r="21">
      <c r="A21" s="176" t="s">
        <v>493</v>
      </c>
      <c r="B21" s="176" t="s">
        <v>482</v>
      </c>
      <c r="C21" s="183"/>
      <c r="D21" s="218"/>
      <c r="E21" s="219">
        <f t="shared" si="1"/>
        <v>0.5</v>
      </c>
      <c r="F21" s="218"/>
      <c r="G21" s="220">
        <v>0.5</v>
      </c>
      <c r="H21" s="220">
        <v>0.0</v>
      </c>
      <c r="I21" s="181">
        <v>0.0</v>
      </c>
      <c r="J21" s="183"/>
    </row>
    <row r="22">
      <c r="A22" s="181" t="s">
        <v>494</v>
      </c>
      <c r="B22" s="221" t="s">
        <v>373</v>
      </c>
      <c r="C22" s="221" t="s">
        <v>495</v>
      </c>
      <c r="D22" s="222" t="s">
        <v>375</v>
      </c>
      <c r="E22" s="178">
        <v>8.18</v>
      </c>
      <c r="F22" s="218"/>
      <c r="G22" s="178">
        <v>8.18</v>
      </c>
      <c r="H22" s="220">
        <v>0.0</v>
      </c>
      <c r="I22" s="181">
        <v>0.0</v>
      </c>
      <c r="J22" s="183"/>
    </row>
    <row r="23">
      <c r="A23" s="181" t="s">
        <v>496</v>
      </c>
      <c r="B23" s="221" t="s">
        <v>373</v>
      </c>
      <c r="C23" s="221" t="s">
        <v>497</v>
      </c>
      <c r="D23" s="222" t="s">
        <v>375</v>
      </c>
      <c r="E23" s="178">
        <v>5.34</v>
      </c>
      <c r="F23" s="218"/>
      <c r="G23" s="178">
        <v>5.34</v>
      </c>
      <c r="H23" s="220">
        <v>0.0</v>
      </c>
      <c r="I23" s="181">
        <v>0.0</v>
      </c>
      <c r="J23" s="183"/>
    </row>
    <row r="24">
      <c r="A24" s="181" t="s">
        <v>498</v>
      </c>
      <c r="B24" s="221" t="s">
        <v>373</v>
      </c>
      <c r="C24" s="221" t="s">
        <v>499</v>
      </c>
      <c r="D24" s="222" t="s">
        <v>375</v>
      </c>
      <c r="E24" s="178">
        <v>0.6</v>
      </c>
      <c r="F24" s="218"/>
      <c r="G24" s="178">
        <v>0.6</v>
      </c>
      <c r="H24" s="220">
        <v>0.0</v>
      </c>
      <c r="I24" s="181">
        <v>0.0</v>
      </c>
      <c r="J24" s="183"/>
    </row>
    <row r="25">
      <c r="A25" s="181" t="s">
        <v>500</v>
      </c>
      <c r="B25" s="221" t="s">
        <v>373</v>
      </c>
      <c r="C25" s="221" t="s">
        <v>501</v>
      </c>
      <c r="D25" s="222" t="s">
        <v>375</v>
      </c>
      <c r="E25" s="178">
        <v>0.76</v>
      </c>
      <c r="F25" s="218"/>
      <c r="G25" s="178">
        <v>0.76</v>
      </c>
      <c r="H25" s="220">
        <v>0.0</v>
      </c>
      <c r="I25" s="181">
        <v>0.0</v>
      </c>
      <c r="J25" s="183"/>
    </row>
    <row r="26">
      <c r="A26" s="183"/>
      <c r="B26" s="183"/>
      <c r="C26" s="183"/>
      <c r="D26" s="218"/>
      <c r="E26" s="223" t="str">
        <f t="shared" ref="E26:E30" si="3">IF(A26="","",G26+(H26*I26))</f>
        <v/>
      </c>
      <c r="F26" s="218"/>
      <c r="G26" s="218"/>
      <c r="H26" s="218"/>
      <c r="I26" s="183"/>
      <c r="J26" s="183"/>
    </row>
    <row r="27">
      <c r="A27" s="183"/>
      <c r="B27" s="183"/>
      <c r="C27" s="183"/>
      <c r="D27" s="218"/>
      <c r="E27" s="223" t="str">
        <f t="shared" si="3"/>
        <v/>
      </c>
      <c r="F27" s="218"/>
      <c r="G27" s="218"/>
      <c r="H27" s="218"/>
      <c r="I27" s="183"/>
      <c r="J27" s="183"/>
    </row>
    <row r="28">
      <c r="A28" s="183"/>
      <c r="B28" s="183"/>
      <c r="C28" s="183"/>
      <c r="D28" s="218"/>
      <c r="E28" s="223" t="str">
        <f t="shared" si="3"/>
        <v/>
      </c>
      <c r="F28" s="218"/>
      <c r="G28" s="218"/>
      <c r="H28" s="218"/>
      <c r="I28" s="183"/>
      <c r="J28" s="183"/>
    </row>
    <row r="29">
      <c r="A29" s="183"/>
      <c r="B29" s="183"/>
      <c r="C29" s="183"/>
      <c r="D29" s="218"/>
      <c r="E29" s="223" t="str">
        <f t="shared" si="3"/>
        <v/>
      </c>
      <c r="F29" s="218"/>
      <c r="G29" s="218"/>
      <c r="H29" s="218"/>
      <c r="I29" s="183"/>
      <c r="J29" s="183"/>
    </row>
    <row r="30">
      <c r="A30" s="183"/>
      <c r="B30" s="183"/>
      <c r="C30" s="183"/>
      <c r="D30" s="218"/>
      <c r="E30" s="223" t="str">
        <f t="shared" si="3"/>
        <v/>
      </c>
      <c r="F30" s="218"/>
      <c r="G30" s="218"/>
      <c r="H30" s="218"/>
      <c r="I30" s="183"/>
      <c r="J30" s="183"/>
    </row>
    <row r="31">
      <c r="A31" s="183"/>
      <c r="B31" s="183"/>
      <c r="C31" s="183"/>
      <c r="D31" s="218"/>
      <c r="E31" s="223"/>
      <c r="F31" s="218"/>
      <c r="G31" s="218"/>
      <c r="H31" s="218"/>
      <c r="I31" s="183"/>
      <c r="J31" s="183"/>
    </row>
    <row r="32">
      <c r="A32" s="183"/>
      <c r="B32" s="183"/>
      <c r="C32" s="183"/>
      <c r="D32" s="218"/>
      <c r="E32" s="223"/>
      <c r="F32" s="218"/>
      <c r="G32" s="218"/>
      <c r="H32" s="218"/>
      <c r="I32" s="183"/>
      <c r="J32" s="183"/>
    </row>
    <row r="33">
      <c r="A33" s="183"/>
      <c r="B33" s="183"/>
      <c r="C33" s="183"/>
      <c r="D33" s="218"/>
      <c r="E33" s="223"/>
      <c r="F33" s="218"/>
      <c r="G33" s="218"/>
      <c r="H33" s="218"/>
      <c r="I33" s="183"/>
      <c r="J33" s="183"/>
    </row>
    <row r="34">
      <c r="A34" s="183"/>
      <c r="B34" s="183"/>
      <c r="C34" s="183"/>
      <c r="D34" s="218"/>
      <c r="E34" s="223"/>
      <c r="F34" s="218"/>
      <c r="G34" s="218"/>
      <c r="H34" s="218"/>
      <c r="I34" s="183"/>
      <c r="J34" s="183"/>
    </row>
    <row r="35">
      <c r="A35" s="183"/>
      <c r="B35" s="183"/>
      <c r="C35" s="183"/>
      <c r="D35" s="218"/>
      <c r="E35" s="223"/>
      <c r="F35" s="218"/>
      <c r="G35" s="218"/>
      <c r="H35" s="218"/>
      <c r="I35" s="183"/>
      <c r="J35" s="183"/>
    </row>
    <row r="36">
      <c r="A36" s="183"/>
      <c r="B36" s="183"/>
      <c r="C36" s="183"/>
      <c r="D36" s="218"/>
      <c r="E36" s="223"/>
      <c r="F36" s="218"/>
      <c r="G36" s="218"/>
      <c r="H36" s="218"/>
      <c r="I36" s="183"/>
      <c r="J36" s="183"/>
    </row>
    <row r="37">
      <c r="A37" s="183"/>
      <c r="B37" s="183"/>
      <c r="C37" s="183"/>
      <c r="D37" s="218"/>
      <c r="E37" s="223"/>
      <c r="F37" s="218"/>
      <c r="G37" s="218"/>
      <c r="H37" s="218"/>
      <c r="I37" s="183"/>
      <c r="J37" s="183"/>
    </row>
    <row r="38">
      <c r="A38" s="183"/>
      <c r="B38" s="183"/>
      <c r="C38" s="183"/>
      <c r="D38" s="218"/>
      <c r="E38" s="223"/>
      <c r="F38" s="218"/>
      <c r="G38" s="218"/>
      <c r="H38" s="218"/>
      <c r="I38" s="183"/>
      <c r="J38" s="183"/>
    </row>
    <row r="39">
      <c r="A39" s="183"/>
      <c r="B39" s="183"/>
      <c r="C39" s="183"/>
      <c r="D39" s="218"/>
      <c r="E39" s="223"/>
      <c r="F39" s="218"/>
      <c r="G39" s="218"/>
      <c r="H39" s="218"/>
      <c r="I39" s="183"/>
      <c r="J39" s="183"/>
    </row>
    <row r="40">
      <c r="A40" s="183"/>
      <c r="B40" s="183"/>
      <c r="C40" s="183"/>
      <c r="D40" s="218"/>
      <c r="E40" s="223"/>
      <c r="F40" s="218"/>
      <c r="G40" s="218"/>
      <c r="H40" s="218"/>
      <c r="I40" s="183"/>
      <c r="J40" s="18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12.5"/>
    <col customWidth="1" min="3" max="3" width="4.75"/>
    <col customWidth="1" min="4" max="4" width="7.25"/>
    <col customWidth="1" min="5" max="5" width="4.38"/>
    <col customWidth="1" min="6" max="6" width="6.5"/>
    <col customWidth="1" min="7" max="7" width="2.13"/>
    <col customWidth="1" min="8" max="8" width="10.25"/>
    <col customWidth="1" min="9" max="10" width="16.25"/>
  </cols>
  <sheetData>
    <row r="1">
      <c r="A1" s="172" t="s">
        <v>502</v>
      </c>
      <c r="B1" s="172" t="s">
        <v>262</v>
      </c>
      <c r="C1" s="172" t="s">
        <v>263</v>
      </c>
      <c r="D1" s="174" t="s">
        <v>24</v>
      </c>
      <c r="E1" s="174" t="s">
        <v>264</v>
      </c>
      <c r="F1" s="224"/>
      <c r="G1" s="225" t="s">
        <v>503</v>
      </c>
      <c r="I1" s="226" t="s">
        <v>504</v>
      </c>
      <c r="J1" s="226" t="s">
        <v>269</v>
      </c>
    </row>
    <row r="2">
      <c r="A2" s="176" t="s">
        <v>505</v>
      </c>
      <c r="B2" s="176" t="s">
        <v>506</v>
      </c>
      <c r="C2" s="177"/>
      <c r="D2" s="178" t="s">
        <v>507</v>
      </c>
      <c r="E2" s="178">
        <v>72.68</v>
      </c>
      <c r="F2" s="227"/>
      <c r="G2" s="228">
        <v>1.0</v>
      </c>
      <c r="H2" s="179"/>
      <c r="I2" s="178">
        <f t="shared" ref="I2:I13" si="1">IF(OR(G2="",E2=""),"",(E2*G2))</f>
        <v>72.68</v>
      </c>
      <c r="J2" s="179"/>
    </row>
    <row r="3">
      <c r="A3" s="176" t="s">
        <v>508</v>
      </c>
      <c r="B3" s="176" t="s">
        <v>506</v>
      </c>
      <c r="C3" s="177"/>
      <c r="D3" s="178" t="s">
        <v>507</v>
      </c>
      <c r="E3" s="178">
        <v>61.36</v>
      </c>
      <c r="F3" s="227"/>
      <c r="G3" s="228">
        <v>1.0</v>
      </c>
      <c r="H3" s="179"/>
      <c r="I3" s="178">
        <f t="shared" si="1"/>
        <v>61.36</v>
      </c>
      <c r="J3" s="179"/>
    </row>
    <row r="4">
      <c r="A4" s="176" t="s">
        <v>509</v>
      </c>
      <c r="B4" s="176" t="s">
        <v>506</v>
      </c>
      <c r="C4" s="177"/>
      <c r="D4" s="178" t="s">
        <v>507</v>
      </c>
      <c r="E4" s="178">
        <v>235.0</v>
      </c>
      <c r="F4" s="227"/>
      <c r="G4" s="228">
        <v>1.0</v>
      </c>
      <c r="H4" s="179"/>
      <c r="I4" s="178">
        <f t="shared" si="1"/>
        <v>235</v>
      </c>
      <c r="J4" s="179"/>
    </row>
    <row r="5">
      <c r="A5" s="176" t="s">
        <v>510</v>
      </c>
      <c r="B5" s="176" t="s">
        <v>506</v>
      </c>
      <c r="C5" s="177"/>
      <c r="D5" s="178" t="s">
        <v>507</v>
      </c>
      <c r="E5" s="178">
        <v>67.91</v>
      </c>
      <c r="F5" s="227"/>
      <c r="G5" s="228">
        <v>1.0</v>
      </c>
      <c r="H5" s="179"/>
      <c r="I5" s="178">
        <f t="shared" si="1"/>
        <v>67.91</v>
      </c>
      <c r="J5" s="179"/>
    </row>
    <row r="6">
      <c r="A6" s="176" t="s">
        <v>511</v>
      </c>
      <c r="B6" s="176" t="s">
        <v>506</v>
      </c>
      <c r="C6" s="177"/>
      <c r="D6" s="178" t="s">
        <v>507</v>
      </c>
      <c r="E6" s="178">
        <v>57.91</v>
      </c>
      <c r="F6" s="227"/>
      <c r="G6" s="228">
        <v>1.0</v>
      </c>
      <c r="H6" s="179"/>
      <c r="I6" s="178">
        <f t="shared" si="1"/>
        <v>57.91</v>
      </c>
      <c r="J6" s="179"/>
    </row>
    <row r="7">
      <c r="A7" s="176" t="s">
        <v>512</v>
      </c>
      <c r="B7" s="183"/>
      <c r="C7" s="183"/>
      <c r="D7" s="179"/>
      <c r="E7" s="179"/>
      <c r="F7" s="227"/>
      <c r="G7" s="228">
        <v>0.5</v>
      </c>
      <c r="H7" s="179"/>
      <c r="I7" s="179" t="str">
        <f t="shared" si="1"/>
        <v/>
      </c>
      <c r="J7" s="179"/>
    </row>
    <row r="8">
      <c r="A8" s="176" t="s">
        <v>513</v>
      </c>
      <c r="B8" s="176" t="s">
        <v>373</v>
      </c>
      <c r="C8" s="183"/>
      <c r="D8" s="178" t="s">
        <v>375</v>
      </c>
      <c r="E8" s="178">
        <v>16.656</v>
      </c>
      <c r="F8" s="227"/>
      <c r="G8" s="228">
        <v>0.25</v>
      </c>
      <c r="H8" s="179"/>
      <c r="I8" s="178">
        <f t="shared" si="1"/>
        <v>4.164</v>
      </c>
      <c r="J8" s="179"/>
    </row>
    <row r="9">
      <c r="A9" s="176" t="s">
        <v>514</v>
      </c>
      <c r="B9" s="176" t="s">
        <v>373</v>
      </c>
      <c r="C9" s="183"/>
      <c r="D9" s="178" t="s">
        <v>375</v>
      </c>
      <c r="E9" s="178">
        <v>14.892</v>
      </c>
      <c r="F9" s="227"/>
      <c r="G9" s="228">
        <v>0.25</v>
      </c>
      <c r="H9" s="179"/>
      <c r="I9" s="178">
        <f t="shared" si="1"/>
        <v>3.723</v>
      </c>
      <c r="J9" s="179"/>
    </row>
    <row r="10">
      <c r="A10" s="176" t="s">
        <v>515</v>
      </c>
      <c r="B10" s="181" t="s">
        <v>373</v>
      </c>
      <c r="C10" s="183"/>
      <c r="D10" s="178" t="s">
        <v>375</v>
      </c>
      <c r="E10" s="178">
        <v>20.939999999999998</v>
      </c>
      <c r="F10" s="227"/>
      <c r="G10" s="228">
        <v>0.25</v>
      </c>
      <c r="H10" s="179"/>
      <c r="I10" s="178">
        <f t="shared" si="1"/>
        <v>5.235</v>
      </c>
      <c r="J10" s="179"/>
    </row>
    <row r="11">
      <c r="A11" s="181" t="s">
        <v>516</v>
      </c>
      <c r="B11" s="181" t="s">
        <v>373</v>
      </c>
      <c r="C11" s="183"/>
      <c r="D11" s="178" t="s">
        <v>375</v>
      </c>
      <c r="E11" s="178">
        <v>23.412000000000003</v>
      </c>
      <c r="F11" s="227"/>
      <c r="G11" s="228">
        <v>0.25</v>
      </c>
      <c r="H11" s="179"/>
      <c r="I11" s="178">
        <f t="shared" si="1"/>
        <v>5.853</v>
      </c>
      <c r="J11" s="179"/>
    </row>
    <row r="12">
      <c r="A12" s="181" t="s">
        <v>517</v>
      </c>
      <c r="B12" s="181" t="s">
        <v>373</v>
      </c>
      <c r="C12" s="183"/>
      <c r="D12" s="178" t="s">
        <v>375</v>
      </c>
      <c r="E12" s="178">
        <v>26.34</v>
      </c>
      <c r="F12" s="227"/>
      <c r="G12" s="228">
        <v>0.25</v>
      </c>
      <c r="H12" s="179"/>
      <c r="I12" s="178">
        <f t="shared" si="1"/>
        <v>6.585</v>
      </c>
      <c r="J12" s="179"/>
    </row>
    <row r="13">
      <c r="A13" s="181" t="s">
        <v>518</v>
      </c>
      <c r="B13" s="181" t="s">
        <v>373</v>
      </c>
      <c r="C13" s="183"/>
      <c r="D13" s="178" t="s">
        <v>375</v>
      </c>
      <c r="E13" s="178">
        <v>30.168000000000003</v>
      </c>
      <c r="F13" s="227"/>
      <c r="G13" s="228">
        <v>0.25</v>
      </c>
      <c r="H13" s="179"/>
      <c r="I13" s="178">
        <f t="shared" si="1"/>
        <v>7.542</v>
      </c>
      <c r="J13" s="179"/>
    </row>
    <row r="14">
      <c r="A14" s="183"/>
      <c r="B14" s="183"/>
      <c r="C14" s="183"/>
      <c r="D14" s="179"/>
      <c r="E14" s="227"/>
      <c r="F14" s="229"/>
      <c r="G14" s="183"/>
      <c r="H14" s="179"/>
      <c r="I14" s="179"/>
      <c r="J14" s="179"/>
    </row>
    <row r="15">
      <c r="A15" s="181" t="s">
        <v>519</v>
      </c>
      <c r="B15" s="183"/>
      <c r="C15" s="183"/>
      <c r="D15" s="179"/>
      <c r="E15" s="179"/>
      <c r="F15" s="227"/>
      <c r="G15" s="228">
        <v>0.25</v>
      </c>
      <c r="H15" s="179"/>
      <c r="I15" s="179" t="str">
        <f t="shared" ref="I15:I28" si="2">IF(OR(G15="",E15=""),"",(E15*G15))</f>
        <v/>
      </c>
      <c r="J15" s="179"/>
    </row>
    <row r="16">
      <c r="A16" s="176" t="s">
        <v>520</v>
      </c>
      <c r="B16" s="176" t="s">
        <v>521</v>
      </c>
      <c r="C16" s="177"/>
      <c r="D16" s="178">
        <v>4.0</v>
      </c>
      <c r="E16" s="178">
        <v>53.28</v>
      </c>
      <c r="F16" s="229"/>
      <c r="G16" s="230">
        <v>0.25</v>
      </c>
      <c r="H16" s="179"/>
      <c r="I16" s="178">
        <f t="shared" si="2"/>
        <v>13.32</v>
      </c>
      <c r="J16" s="179"/>
    </row>
    <row r="17">
      <c r="A17" s="181" t="s">
        <v>522</v>
      </c>
      <c r="B17" s="181" t="s">
        <v>521</v>
      </c>
      <c r="C17" s="183"/>
      <c r="D17" s="178">
        <v>4.0</v>
      </c>
      <c r="E17" s="178">
        <v>43.2</v>
      </c>
      <c r="F17" s="229"/>
      <c r="G17" s="230">
        <v>0.25</v>
      </c>
      <c r="H17" s="179"/>
      <c r="I17" s="178">
        <f t="shared" si="2"/>
        <v>10.8</v>
      </c>
      <c r="J17" s="179"/>
    </row>
    <row r="18">
      <c r="A18" s="181" t="s">
        <v>523</v>
      </c>
      <c r="B18" s="181" t="s">
        <v>521</v>
      </c>
      <c r="C18" s="183"/>
      <c r="D18" s="178">
        <v>4.0</v>
      </c>
      <c r="E18" s="178">
        <v>38.16</v>
      </c>
      <c r="F18" s="229"/>
      <c r="G18" s="230">
        <v>0.25</v>
      </c>
      <c r="H18" s="179"/>
      <c r="I18" s="178">
        <f t="shared" si="2"/>
        <v>9.54</v>
      </c>
      <c r="J18" s="179"/>
    </row>
    <row r="19">
      <c r="A19" s="181" t="s">
        <v>524</v>
      </c>
      <c r="B19" s="181" t="s">
        <v>521</v>
      </c>
      <c r="C19" s="183"/>
      <c r="D19" s="178">
        <v>1.0</v>
      </c>
      <c r="E19" s="178">
        <v>280.0</v>
      </c>
      <c r="F19" s="229"/>
      <c r="G19" s="230">
        <v>0.25</v>
      </c>
      <c r="H19" s="179"/>
      <c r="I19" s="178">
        <f t="shared" si="2"/>
        <v>70</v>
      </c>
      <c r="J19" s="179"/>
    </row>
    <row r="20">
      <c r="A20" s="181" t="s">
        <v>525</v>
      </c>
      <c r="B20" s="181" t="s">
        <v>521</v>
      </c>
      <c r="C20" s="183"/>
      <c r="D20" s="178">
        <v>1.0</v>
      </c>
      <c r="E20" s="178">
        <v>236.0</v>
      </c>
      <c r="F20" s="229"/>
      <c r="G20" s="230">
        <v>0.25</v>
      </c>
      <c r="H20" s="179"/>
      <c r="I20" s="178">
        <f t="shared" si="2"/>
        <v>59</v>
      </c>
      <c r="J20" s="179"/>
    </row>
    <row r="21">
      <c r="A21" s="181" t="s">
        <v>526</v>
      </c>
      <c r="B21" s="181" t="s">
        <v>521</v>
      </c>
      <c r="C21" s="183"/>
      <c r="D21" s="178">
        <v>1.0</v>
      </c>
      <c r="E21" s="178">
        <v>208.0</v>
      </c>
      <c r="F21" s="229"/>
      <c r="G21" s="230">
        <v>0.25</v>
      </c>
      <c r="H21" s="179"/>
      <c r="I21" s="178">
        <f t="shared" si="2"/>
        <v>52</v>
      </c>
      <c r="J21" s="179"/>
    </row>
    <row r="22">
      <c r="A22" s="181" t="s">
        <v>527</v>
      </c>
      <c r="B22" s="181" t="s">
        <v>528</v>
      </c>
      <c r="C22" s="183"/>
      <c r="D22" s="178">
        <v>1.0</v>
      </c>
      <c r="E22" s="178">
        <v>29.16</v>
      </c>
      <c r="F22" s="229"/>
      <c r="G22" s="230">
        <v>0.25</v>
      </c>
      <c r="H22" s="179"/>
      <c r="I22" s="178">
        <f t="shared" si="2"/>
        <v>7.29</v>
      </c>
      <c r="J22" s="179"/>
    </row>
    <row r="23">
      <c r="A23" s="181" t="s">
        <v>529</v>
      </c>
      <c r="B23" s="181" t="s">
        <v>528</v>
      </c>
      <c r="C23" s="183"/>
      <c r="D23" s="178">
        <v>1.0</v>
      </c>
      <c r="E23" s="178">
        <v>29.16</v>
      </c>
      <c r="F23" s="229"/>
      <c r="G23" s="230">
        <v>0.25</v>
      </c>
      <c r="H23" s="179"/>
      <c r="I23" s="178">
        <f t="shared" si="2"/>
        <v>7.29</v>
      </c>
      <c r="J23" s="179"/>
    </row>
    <row r="24">
      <c r="A24" s="181" t="s">
        <v>530</v>
      </c>
      <c r="B24" s="181" t="s">
        <v>531</v>
      </c>
      <c r="C24" s="183"/>
      <c r="D24" s="178">
        <v>1.0</v>
      </c>
      <c r="E24" s="178">
        <v>25.0</v>
      </c>
      <c r="F24" s="229"/>
      <c r="G24" s="230">
        <v>0.25</v>
      </c>
      <c r="H24" s="179"/>
      <c r="I24" s="178">
        <f t="shared" si="2"/>
        <v>6.25</v>
      </c>
      <c r="J24" s="179"/>
    </row>
    <row r="25">
      <c r="A25" s="181" t="s">
        <v>532</v>
      </c>
      <c r="B25" s="181" t="s">
        <v>533</v>
      </c>
      <c r="C25" s="183"/>
      <c r="D25" s="178">
        <v>1.0</v>
      </c>
      <c r="E25" s="178">
        <v>19.91</v>
      </c>
      <c r="F25" s="229"/>
      <c r="G25" s="230">
        <v>0.25</v>
      </c>
      <c r="H25" s="179"/>
      <c r="I25" s="178">
        <f t="shared" si="2"/>
        <v>4.9775</v>
      </c>
      <c r="J25" s="179"/>
    </row>
    <row r="26">
      <c r="A26" s="181" t="s">
        <v>534</v>
      </c>
      <c r="B26" s="181" t="s">
        <v>373</v>
      </c>
      <c r="C26" s="183"/>
      <c r="D26" s="178" t="s">
        <v>535</v>
      </c>
      <c r="E26" s="178">
        <v>9.6</v>
      </c>
      <c r="F26" s="229"/>
      <c r="G26" s="230">
        <v>0.25</v>
      </c>
      <c r="H26" s="179"/>
      <c r="I26" s="178">
        <f t="shared" si="2"/>
        <v>2.4</v>
      </c>
      <c r="J26" s="179"/>
    </row>
    <row r="27">
      <c r="A27" s="181" t="s">
        <v>536</v>
      </c>
      <c r="B27" s="181" t="s">
        <v>373</v>
      </c>
      <c r="C27" s="183"/>
      <c r="D27" s="178" t="s">
        <v>535</v>
      </c>
      <c r="E27" s="178">
        <v>5.98</v>
      </c>
      <c r="F27" s="229"/>
      <c r="G27" s="230">
        <v>0.25</v>
      </c>
      <c r="H27" s="179"/>
      <c r="I27" s="178">
        <f t="shared" si="2"/>
        <v>1.495</v>
      </c>
      <c r="J27" s="179"/>
    </row>
    <row r="28">
      <c r="A28" s="183"/>
      <c r="B28" s="183"/>
      <c r="C28" s="183"/>
      <c r="D28" s="179"/>
      <c r="E28" s="179"/>
      <c r="F28" s="229"/>
      <c r="G28" s="229"/>
      <c r="H28" s="179"/>
      <c r="I28" s="179" t="str">
        <f t="shared" si="2"/>
        <v/>
      </c>
      <c r="J28" s="179"/>
    </row>
    <row r="29">
      <c r="A29" s="177"/>
      <c r="B29" s="183"/>
      <c r="C29" s="183"/>
      <c r="D29" s="179"/>
      <c r="E29" s="179"/>
      <c r="F29" s="229"/>
      <c r="G29" s="231"/>
      <c r="H29" s="179"/>
      <c r="I29" s="179"/>
      <c r="J29" s="179"/>
    </row>
    <row r="30">
      <c r="A30" s="177"/>
      <c r="B30" s="177"/>
      <c r="C30" s="177"/>
      <c r="D30" s="179"/>
      <c r="E30" s="179"/>
      <c r="F30" s="229"/>
      <c r="G30" s="231"/>
      <c r="H30" s="179"/>
      <c r="I30" s="179"/>
      <c r="J30" s="179"/>
    </row>
    <row r="31">
      <c r="A31" s="177"/>
      <c r="B31" s="177"/>
      <c r="C31" s="177"/>
      <c r="D31" s="179"/>
      <c r="E31" s="179"/>
      <c r="F31" s="229"/>
      <c r="G31" s="231"/>
      <c r="H31" s="179"/>
      <c r="I31" s="179"/>
      <c r="J31" s="179"/>
    </row>
    <row r="32">
      <c r="A32" s="177"/>
      <c r="B32" s="177"/>
      <c r="C32" s="177"/>
      <c r="D32" s="179"/>
      <c r="E32" s="179"/>
      <c r="F32" s="229"/>
      <c r="G32" s="231"/>
      <c r="H32" s="179"/>
      <c r="I32" s="179"/>
      <c r="J32" s="179"/>
    </row>
    <row r="33">
      <c r="A33" s="183"/>
      <c r="B33" s="183"/>
      <c r="C33" s="183"/>
      <c r="D33" s="179"/>
      <c r="E33" s="179"/>
      <c r="F33" s="229"/>
      <c r="G33" s="231"/>
      <c r="H33" s="179"/>
      <c r="I33" s="179"/>
      <c r="J33" s="179"/>
    </row>
    <row r="34">
      <c r="A34" s="183"/>
      <c r="B34" s="183"/>
      <c r="C34" s="183"/>
      <c r="D34" s="179"/>
      <c r="E34" s="179"/>
      <c r="F34" s="229"/>
      <c r="G34" s="231"/>
      <c r="H34" s="179"/>
      <c r="I34" s="179"/>
      <c r="J34" s="179"/>
    </row>
    <row r="35">
      <c r="A35" s="183"/>
      <c r="B35" s="183"/>
      <c r="C35" s="183"/>
      <c r="D35" s="179"/>
      <c r="E35" s="179"/>
      <c r="F35" s="229"/>
      <c r="G35" s="231"/>
      <c r="H35" s="179"/>
      <c r="I35" s="179"/>
      <c r="J35" s="179"/>
    </row>
    <row r="36">
      <c r="A36" s="183"/>
      <c r="B36" s="183"/>
      <c r="C36" s="183"/>
      <c r="D36" s="179"/>
      <c r="E36" s="179"/>
      <c r="F36" s="229"/>
      <c r="G36" s="231"/>
      <c r="H36" s="179"/>
      <c r="I36" s="179"/>
      <c r="J36" s="179"/>
    </row>
    <row r="37">
      <c r="A37" s="183"/>
      <c r="B37" s="183"/>
      <c r="C37" s="183"/>
      <c r="D37" s="179"/>
      <c r="E37" s="179"/>
      <c r="F37" s="229"/>
      <c r="G37" s="231"/>
      <c r="H37" s="179"/>
      <c r="I37" s="179"/>
      <c r="J37" s="179"/>
    </row>
    <row r="38">
      <c r="A38" s="183"/>
      <c r="B38" s="183"/>
      <c r="C38" s="183"/>
      <c r="D38" s="179"/>
      <c r="E38" s="179"/>
      <c r="F38" s="229"/>
      <c r="G38" s="231"/>
      <c r="H38" s="179"/>
      <c r="I38" s="179"/>
      <c r="J38" s="179"/>
    </row>
    <row r="39">
      <c r="A39" s="183"/>
      <c r="B39" s="183"/>
      <c r="C39" s="183"/>
      <c r="D39" s="179"/>
      <c r="E39" s="179"/>
      <c r="F39" s="229"/>
      <c r="G39" s="231"/>
      <c r="H39" s="179"/>
      <c r="I39" s="179"/>
      <c r="J39" s="179"/>
    </row>
    <row r="40">
      <c r="A40" s="183"/>
      <c r="B40" s="183"/>
      <c r="C40" s="183"/>
      <c r="D40" s="179"/>
      <c r="E40" s="179"/>
      <c r="F40" s="229"/>
      <c r="G40" s="231"/>
      <c r="H40" s="179"/>
      <c r="I40" s="179"/>
      <c r="J40" s="179"/>
    </row>
    <row r="41">
      <c r="A41" s="183"/>
      <c r="B41" s="183"/>
      <c r="C41" s="183"/>
      <c r="D41" s="179"/>
      <c r="E41" s="179"/>
      <c r="F41" s="229"/>
      <c r="G41" s="231"/>
      <c r="H41" s="179"/>
      <c r="I41" s="179"/>
      <c r="J41" s="179"/>
    </row>
    <row r="42">
      <c r="A42" s="183"/>
      <c r="B42" s="183"/>
      <c r="C42" s="183"/>
      <c r="D42" s="179"/>
      <c r="E42" s="179"/>
      <c r="F42" s="229"/>
      <c r="G42" s="231"/>
      <c r="H42" s="179"/>
      <c r="I42" s="179"/>
      <c r="J42" s="179"/>
    </row>
    <row r="43">
      <c r="A43" s="183"/>
      <c r="B43" s="183"/>
      <c r="C43" s="183"/>
      <c r="D43" s="179"/>
      <c r="E43" s="179"/>
      <c r="F43" s="229"/>
      <c r="G43" s="231"/>
      <c r="H43" s="179"/>
      <c r="I43" s="179"/>
      <c r="J43" s="179"/>
    </row>
    <row r="44">
      <c r="A44" s="183"/>
      <c r="B44" s="183"/>
      <c r="C44" s="183"/>
      <c r="D44" s="179"/>
      <c r="E44" s="179"/>
      <c r="F44" s="229"/>
      <c r="G44" s="231"/>
      <c r="H44" s="179"/>
      <c r="I44" s="179"/>
      <c r="J44" s="179"/>
    </row>
    <row r="45">
      <c r="A45" s="183"/>
      <c r="B45" s="183"/>
      <c r="C45" s="183"/>
      <c r="D45" s="179"/>
      <c r="E45" s="179"/>
      <c r="F45" s="229"/>
      <c r="G45" s="231"/>
      <c r="H45" s="179"/>
      <c r="I45" s="179"/>
      <c r="J45" s="179"/>
    </row>
    <row r="46">
      <c r="A46" s="183"/>
      <c r="B46" s="183"/>
      <c r="C46" s="183"/>
      <c r="D46" s="179"/>
      <c r="E46" s="179"/>
      <c r="F46" s="229"/>
      <c r="G46" s="231"/>
      <c r="H46" s="179"/>
      <c r="I46" s="179"/>
      <c r="J46" s="179"/>
    </row>
    <row r="47">
      <c r="A47" s="135"/>
      <c r="B47" s="135"/>
      <c r="C47" s="135"/>
      <c r="D47" s="190"/>
      <c r="E47" s="135"/>
      <c r="F47" s="232"/>
      <c r="G47" s="135"/>
      <c r="H47" s="190"/>
      <c r="I47" s="190"/>
      <c r="J47" s="190"/>
    </row>
    <row r="48">
      <c r="A48" s="135"/>
      <c r="B48" s="135"/>
      <c r="C48" s="135"/>
      <c r="D48" s="190"/>
      <c r="E48" s="135"/>
      <c r="F48" s="232"/>
      <c r="G48" s="135"/>
      <c r="H48" s="190"/>
      <c r="I48" s="190"/>
      <c r="J48" s="190"/>
    </row>
    <row r="49">
      <c r="A49" s="135"/>
      <c r="B49" s="135"/>
      <c r="C49" s="135"/>
      <c r="D49" s="190"/>
      <c r="E49" s="135"/>
      <c r="F49" s="232"/>
      <c r="G49" s="135"/>
      <c r="H49" s="190"/>
      <c r="I49" s="190"/>
      <c r="J49" s="190"/>
    </row>
    <row r="50">
      <c r="A50" s="135"/>
      <c r="B50" s="135"/>
      <c r="C50" s="135"/>
      <c r="D50" s="190"/>
      <c r="E50" s="135"/>
      <c r="F50" s="232"/>
      <c r="G50" s="135"/>
      <c r="H50" s="190"/>
      <c r="I50" s="190"/>
      <c r="J50" s="190"/>
    </row>
  </sheetData>
  <mergeCells count="1">
    <mergeCell ref="G1:H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22.25"/>
  </cols>
  <sheetData>
    <row r="1">
      <c r="A1" s="233" t="s">
        <v>43</v>
      </c>
      <c r="B1" s="233" t="s">
        <v>262</v>
      </c>
      <c r="C1" s="234" t="s">
        <v>263</v>
      </c>
      <c r="D1" s="235" t="s">
        <v>24</v>
      </c>
      <c r="E1" s="235" t="s">
        <v>264</v>
      </c>
      <c r="F1" s="234" t="s">
        <v>316</v>
      </c>
    </row>
    <row r="2">
      <c r="A2" s="236" t="s">
        <v>537</v>
      </c>
      <c r="B2" s="236" t="s">
        <v>538</v>
      </c>
      <c r="C2" s="237"/>
      <c r="D2" s="238">
        <v>1.0</v>
      </c>
      <c r="E2" s="238">
        <v>1000.0</v>
      </c>
      <c r="F2" s="239"/>
    </row>
    <row r="3">
      <c r="A3" s="236" t="s">
        <v>539</v>
      </c>
      <c r="B3" s="236" t="s">
        <v>540</v>
      </c>
      <c r="C3" s="237"/>
      <c r="D3" s="238">
        <v>1.0</v>
      </c>
      <c r="E3" s="238">
        <v>1500.0</v>
      </c>
      <c r="F3" s="239"/>
    </row>
    <row r="4">
      <c r="A4" s="177"/>
      <c r="B4" s="183"/>
      <c r="C4" s="183"/>
      <c r="D4" s="179"/>
      <c r="E4" s="179"/>
      <c r="F4" s="183"/>
    </row>
    <row r="5">
      <c r="A5" s="177"/>
      <c r="B5" s="183"/>
      <c r="C5" s="183"/>
      <c r="D5" s="179"/>
      <c r="E5" s="179"/>
      <c r="F5" s="183"/>
    </row>
    <row r="6">
      <c r="A6" s="183"/>
      <c r="B6" s="183"/>
      <c r="C6" s="183"/>
      <c r="D6" s="179"/>
      <c r="E6" s="179"/>
      <c r="F6" s="183"/>
    </row>
    <row r="7">
      <c r="A7" s="183"/>
      <c r="B7" s="183"/>
      <c r="C7" s="183"/>
      <c r="D7" s="179"/>
      <c r="E7" s="179"/>
      <c r="F7" s="183"/>
    </row>
    <row r="8">
      <c r="A8" s="183"/>
      <c r="B8" s="183"/>
      <c r="C8" s="183"/>
      <c r="D8" s="179"/>
      <c r="E8" s="179"/>
      <c r="F8" s="183"/>
    </row>
    <row r="9">
      <c r="A9" s="183"/>
      <c r="B9" s="183"/>
      <c r="C9" s="183"/>
      <c r="D9" s="179"/>
      <c r="E9" s="179"/>
      <c r="F9" s="183"/>
    </row>
    <row r="10">
      <c r="A10" s="183"/>
      <c r="B10" s="183"/>
      <c r="C10" s="183"/>
      <c r="D10" s="179"/>
      <c r="E10" s="179"/>
      <c r="F10" s="183"/>
    </row>
    <row r="11">
      <c r="A11" s="183"/>
      <c r="B11" s="183"/>
      <c r="C11" s="183"/>
      <c r="D11" s="179"/>
      <c r="E11" s="179"/>
      <c r="F11" s="183"/>
    </row>
    <row r="12">
      <c r="A12" s="183"/>
      <c r="B12" s="183"/>
      <c r="C12" s="183"/>
      <c r="D12" s="179"/>
      <c r="E12" s="179"/>
      <c r="F12" s="183"/>
    </row>
    <row r="13">
      <c r="A13" s="183"/>
      <c r="B13" s="183"/>
      <c r="C13" s="183"/>
      <c r="D13" s="179"/>
      <c r="E13" s="179"/>
      <c r="F13" s="183"/>
    </row>
    <row r="14">
      <c r="A14" s="183"/>
      <c r="B14" s="183"/>
      <c r="C14" s="183"/>
      <c r="D14" s="179"/>
      <c r="E14" s="179"/>
      <c r="F14" s="183"/>
    </row>
    <row r="15">
      <c r="A15" s="183"/>
      <c r="B15" s="183"/>
      <c r="C15" s="183"/>
      <c r="D15" s="179"/>
      <c r="E15" s="179"/>
      <c r="F15" s="183"/>
    </row>
    <row r="16">
      <c r="A16" s="183"/>
      <c r="B16" s="183"/>
      <c r="C16" s="183"/>
      <c r="D16" s="179"/>
      <c r="E16" s="179"/>
      <c r="F16" s="183"/>
    </row>
    <row r="17">
      <c r="A17" s="183"/>
      <c r="B17" s="183"/>
      <c r="C17" s="183"/>
      <c r="D17" s="179"/>
      <c r="E17" s="179"/>
      <c r="F17" s="183"/>
    </row>
    <row r="18">
      <c r="A18" s="183"/>
      <c r="B18" s="183"/>
      <c r="C18" s="183"/>
      <c r="D18" s="179"/>
      <c r="E18" s="179"/>
      <c r="F18" s="183"/>
    </row>
    <row r="19">
      <c r="A19" s="183"/>
      <c r="B19" s="183"/>
      <c r="C19" s="183"/>
      <c r="D19" s="179"/>
      <c r="E19" s="179"/>
      <c r="F19" s="183"/>
    </row>
    <row r="20">
      <c r="A20" s="183"/>
      <c r="B20" s="183"/>
      <c r="C20" s="183"/>
      <c r="D20" s="179"/>
      <c r="E20" s="179"/>
      <c r="F20" s="183"/>
    </row>
    <row r="21">
      <c r="A21" s="183"/>
      <c r="B21" s="183"/>
      <c r="C21" s="183"/>
      <c r="D21" s="179"/>
      <c r="E21" s="179"/>
      <c r="F21" s="183"/>
    </row>
    <row r="22">
      <c r="A22" s="183"/>
      <c r="B22" s="183"/>
      <c r="C22" s="183"/>
      <c r="D22" s="179"/>
      <c r="E22" s="179"/>
      <c r="F22" s="183"/>
    </row>
    <row r="23">
      <c r="A23" s="183"/>
      <c r="B23" s="183"/>
      <c r="C23" s="183"/>
      <c r="D23" s="179"/>
      <c r="E23" s="179"/>
      <c r="F23" s="183"/>
    </row>
    <row r="24">
      <c r="A24" s="183"/>
      <c r="B24" s="183"/>
      <c r="C24" s="183"/>
      <c r="D24" s="179"/>
      <c r="E24" s="179"/>
      <c r="F24" s="183"/>
    </row>
    <row r="25">
      <c r="A25" s="183"/>
      <c r="B25" s="183"/>
      <c r="C25" s="183"/>
      <c r="D25" s="179"/>
      <c r="E25" s="179"/>
      <c r="F25" s="183"/>
    </row>
    <row r="26">
      <c r="A26" s="183"/>
      <c r="B26" s="183"/>
      <c r="C26" s="183"/>
      <c r="D26" s="179"/>
      <c r="E26" s="179"/>
      <c r="F26" s="183"/>
    </row>
    <row r="27">
      <c r="A27" s="183"/>
      <c r="B27" s="183"/>
      <c r="C27" s="183"/>
      <c r="D27" s="179"/>
      <c r="E27" s="179"/>
      <c r="F27" s="183"/>
    </row>
    <row r="28">
      <c r="A28" s="183"/>
      <c r="B28" s="183"/>
      <c r="C28" s="183"/>
      <c r="D28" s="179"/>
      <c r="E28" s="179"/>
      <c r="F28" s="183"/>
    </row>
    <row r="29">
      <c r="A29" s="183"/>
      <c r="B29" s="183"/>
      <c r="C29" s="183"/>
      <c r="D29" s="179"/>
      <c r="E29" s="179"/>
      <c r="F29" s="183"/>
    </row>
    <row r="30">
      <c r="A30" s="183"/>
      <c r="B30" s="183"/>
      <c r="C30" s="183"/>
      <c r="D30" s="179"/>
      <c r="E30" s="179"/>
      <c r="F30" s="18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4.63"/>
    <col customWidth="1" min="3" max="3" width="12.13"/>
    <col customWidth="1" min="4" max="4" width="6.75"/>
    <col customWidth="1" min="5" max="5" width="4.38"/>
    <col customWidth="1" min="6" max="6" width="5.88"/>
    <col customWidth="1" min="7" max="7" width="6.5"/>
    <col customWidth="1" min="8" max="10" width="9.25"/>
  </cols>
  <sheetData>
    <row r="1">
      <c r="A1" s="233" t="s">
        <v>541</v>
      </c>
      <c r="B1" s="233" t="s">
        <v>262</v>
      </c>
      <c r="C1" s="173" t="s">
        <v>263</v>
      </c>
      <c r="D1" s="186" t="s">
        <v>24</v>
      </c>
      <c r="E1" s="186" t="s">
        <v>264</v>
      </c>
      <c r="F1" s="240"/>
      <c r="G1" s="225" t="s">
        <v>503</v>
      </c>
      <c r="I1" s="241" t="s">
        <v>504</v>
      </c>
      <c r="J1" s="242" t="s">
        <v>316</v>
      </c>
    </row>
    <row r="2">
      <c r="A2" s="236" t="s">
        <v>542</v>
      </c>
      <c r="B2" s="236" t="s">
        <v>543</v>
      </c>
      <c r="C2" s="163"/>
      <c r="D2" s="190">
        <v>1.0</v>
      </c>
      <c r="E2" s="190">
        <v>1000.0</v>
      </c>
      <c r="F2" s="194"/>
      <c r="G2" s="228">
        <v>0.4</v>
      </c>
      <c r="H2" s="185"/>
      <c r="I2" s="190">
        <f t="shared" ref="I2:I30" si="1">IF(OR(G2="",E2=""),"",(E2*G2))</f>
        <v>400</v>
      </c>
      <c r="J2" s="190"/>
    </row>
    <row r="3">
      <c r="A3" s="243"/>
      <c r="B3" s="236" t="s">
        <v>544</v>
      </c>
      <c r="C3" s="185"/>
      <c r="D3" s="194"/>
      <c r="E3" s="194"/>
      <c r="F3" s="194"/>
      <c r="G3" s="231"/>
      <c r="H3" s="185"/>
      <c r="I3" s="185" t="str">
        <f t="shared" si="1"/>
        <v/>
      </c>
      <c r="J3" s="185"/>
    </row>
    <row r="4">
      <c r="A4" s="221" t="s">
        <v>545</v>
      </c>
      <c r="B4" s="221" t="s">
        <v>546</v>
      </c>
      <c r="C4" s="183"/>
      <c r="D4" s="178" t="s">
        <v>547</v>
      </c>
      <c r="E4" s="178">
        <v>400.0</v>
      </c>
      <c r="F4" s="179"/>
      <c r="G4" s="230">
        <v>0.4</v>
      </c>
      <c r="H4" s="183"/>
      <c r="I4" s="190">
        <f t="shared" si="1"/>
        <v>160</v>
      </c>
      <c r="J4" s="190"/>
    </row>
    <row r="5">
      <c r="A5" s="221" t="s">
        <v>548</v>
      </c>
      <c r="B5" s="221" t="s">
        <v>549</v>
      </c>
      <c r="C5" s="183"/>
      <c r="D5" s="178" t="s">
        <v>550</v>
      </c>
      <c r="E5" s="178">
        <v>412.5</v>
      </c>
      <c r="F5" s="179"/>
      <c r="G5" s="230">
        <v>0.4</v>
      </c>
      <c r="H5" s="183"/>
      <c r="I5" s="190">
        <f t="shared" si="1"/>
        <v>165</v>
      </c>
      <c r="J5" s="190"/>
    </row>
    <row r="6">
      <c r="A6" s="221" t="s">
        <v>551</v>
      </c>
      <c r="B6" s="221" t="s">
        <v>549</v>
      </c>
      <c r="C6" s="183"/>
      <c r="D6" s="178" t="s">
        <v>550</v>
      </c>
      <c r="E6" s="178">
        <v>304.17</v>
      </c>
      <c r="F6" s="179"/>
      <c r="G6" s="230">
        <v>0.4</v>
      </c>
      <c r="H6" s="183"/>
      <c r="I6" s="190">
        <f t="shared" si="1"/>
        <v>121.668</v>
      </c>
      <c r="J6" s="190"/>
    </row>
    <row r="7">
      <c r="A7" s="183"/>
      <c r="B7" s="183"/>
      <c r="C7" s="185"/>
      <c r="D7" s="194"/>
      <c r="E7" s="194"/>
      <c r="F7" s="194"/>
      <c r="G7" s="231"/>
      <c r="H7" s="185"/>
      <c r="I7" s="185" t="str">
        <f t="shared" si="1"/>
        <v/>
      </c>
      <c r="J7" s="185"/>
    </row>
    <row r="8">
      <c r="A8" s="183"/>
      <c r="B8" s="183"/>
      <c r="C8" s="185"/>
      <c r="D8" s="194"/>
      <c r="E8" s="194"/>
      <c r="F8" s="194"/>
      <c r="G8" s="231"/>
      <c r="H8" s="185"/>
      <c r="I8" s="185" t="str">
        <f t="shared" si="1"/>
        <v/>
      </c>
      <c r="J8" s="185"/>
    </row>
    <row r="9">
      <c r="A9" s="183"/>
      <c r="B9" s="183"/>
      <c r="C9" s="185"/>
      <c r="D9" s="194"/>
      <c r="E9" s="194"/>
      <c r="F9" s="194"/>
      <c r="G9" s="231"/>
      <c r="H9" s="185"/>
      <c r="I9" s="185" t="str">
        <f t="shared" si="1"/>
        <v/>
      </c>
      <c r="J9" s="185"/>
    </row>
    <row r="10">
      <c r="A10" s="183"/>
      <c r="B10" s="183"/>
      <c r="C10" s="185"/>
      <c r="D10" s="194"/>
      <c r="E10" s="194"/>
      <c r="F10" s="194"/>
      <c r="G10" s="231"/>
      <c r="H10" s="185"/>
      <c r="I10" s="185" t="str">
        <f t="shared" si="1"/>
        <v/>
      </c>
      <c r="J10" s="185"/>
    </row>
    <row r="11">
      <c r="A11" s="183"/>
      <c r="B11" s="183"/>
      <c r="C11" s="185"/>
      <c r="D11" s="194"/>
      <c r="E11" s="194"/>
      <c r="F11" s="194"/>
      <c r="G11" s="231"/>
      <c r="H11" s="185"/>
      <c r="I11" s="185" t="str">
        <f t="shared" si="1"/>
        <v/>
      </c>
      <c r="J11" s="185"/>
    </row>
    <row r="12">
      <c r="A12" s="183"/>
      <c r="B12" s="183"/>
      <c r="C12" s="185"/>
      <c r="D12" s="194"/>
      <c r="E12" s="194"/>
      <c r="F12" s="194"/>
      <c r="G12" s="231"/>
      <c r="H12" s="185"/>
      <c r="I12" s="185" t="str">
        <f t="shared" si="1"/>
        <v/>
      </c>
      <c r="J12" s="185"/>
    </row>
    <row r="13">
      <c r="A13" s="183"/>
      <c r="B13" s="183"/>
      <c r="C13" s="185"/>
      <c r="D13" s="194"/>
      <c r="E13" s="194"/>
      <c r="F13" s="194"/>
      <c r="G13" s="231"/>
      <c r="H13" s="185"/>
      <c r="I13" s="185" t="str">
        <f t="shared" si="1"/>
        <v/>
      </c>
      <c r="J13" s="185"/>
    </row>
    <row r="14">
      <c r="A14" s="183"/>
      <c r="B14" s="183"/>
      <c r="C14" s="185"/>
      <c r="D14" s="194"/>
      <c r="E14" s="194"/>
      <c r="F14" s="194"/>
      <c r="G14" s="231"/>
      <c r="H14" s="185"/>
      <c r="I14" s="185" t="str">
        <f t="shared" si="1"/>
        <v/>
      </c>
      <c r="J14" s="185"/>
    </row>
    <row r="15">
      <c r="A15" s="183"/>
      <c r="B15" s="183"/>
      <c r="C15" s="185"/>
      <c r="D15" s="194"/>
      <c r="E15" s="194"/>
      <c r="F15" s="194"/>
      <c r="G15" s="231"/>
      <c r="H15" s="185"/>
      <c r="I15" s="185" t="str">
        <f t="shared" si="1"/>
        <v/>
      </c>
      <c r="J15" s="185"/>
    </row>
    <row r="16">
      <c r="A16" s="183"/>
      <c r="B16" s="183"/>
      <c r="C16" s="185"/>
      <c r="D16" s="194"/>
      <c r="E16" s="194"/>
      <c r="F16" s="194"/>
      <c r="G16" s="231"/>
      <c r="H16" s="185"/>
      <c r="I16" s="185" t="str">
        <f t="shared" si="1"/>
        <v/>
      </c>
      <c r="J16" s="185"/>
    </row>
    <row r="17">
      <c r="A17" s="183"/>
      <c r="B17" s="183"/>
      <c r="C17" s="185"/>
      <c r="D17" s="194"/>
      <c r="E17" s="194"/>
      <c r="F17" s="194"/>
      <c r="G17" s="231"/>
      <c r="H17" s="185"/>
      <c r="I17" s="185" t="str">
        <f t="shared" si="1"/>
        <v/>
      </c>
      <c r="J17" s="185"/>
    </row>
    <row r="18">
      <c r="A18" s="183"/>
      <c r="B18" s="183"/>
      <c r="C18" s="185"/>
      <c r="D18" s="194"/>
      <c r="E18" s="194"/>
      <c r="F18" s="194"/>
      <c r="G18" s="231"/>
      <c r="H18" s="185"/>
      <c r="I18" s="185" t="str">
        <f t="shared" si="1"/>
        <v/>
      </c>
      <c r="J18" s="185"/>
    </row>
    <row r="19">
      <c r="A19" s="183"/>
      <c r="B19" s="183"/>
      <c r="C19" s="185"/>
      <c r="D19" s="194"/>
      <c r="E19" s="194"/>
      <c r="F19" s="194"/>
      <c r="G19" s="231"/>
      <c r="H19" s="185"/>
      <c r="I19" s="185" t="str">
        <f t="shared" si="1"/>
        <v/>
      </c>
      <c r="J19" s="185"/>
    </row>
    <row r="20">
      <c r="A20" s="183"/>
      <c r="B20" s="183"/>
      <c r="C20" s="185"/>
      <c r="D20" s="194"/>
      <c r="E20" s="194"/>
      <c r="F20" s="194"/>
      <c r="G20" s="231"/>
      <c r="H20" s="185"/>
      <c r="I20" s="185" t="str">
        <f t="shared" si="1"/>
        <v/>
      </c>
      <c r="J20" s="185"/>
    </row>
    <row r="21">
      <c r="A21" s="183"/>
      <c r="B21" s="183"/>
      <c r="C21" s="185"/>
      <c r="D21" s="194"/>
      <c r="E21" s="194"/>
      <c r="F21" s="194"/>
      <c r="G21" s="231"/>
      <c r="H21" s="185"/>
      <c r="I21" s="185" t="str">
        <f t="shared" si="1"/>
        <v/>
      </c>
      <c r="J21" s="185"/>
    </row>
    <row r="22">
      <c r="A22" s="183"/>
      <c r="B22" s="183"/>
      <c r="C22" s="185"/>
      <c r="D22" s="194"/>
      <c r="E22" s="194"/>
      <c r="F22" s="194"/>
      <c r="G22" s="231"/>
      <c r="H22" s="185"/>
      <c r="I22" s="185" t="str">
        <f t="shared" si="1"/>
        <v/>
      </c>
      <c r="J22" s="185"/>
    </row>
    <row r="23">
      <c r="A23" s="183"/>
      <c r="B23" s="183"/>
      <c r="C23" s="185"/>
      <c r="D23" s="194"/>
      <c r="E23" s="194"/>
      <c r="F23" s="194"/>
      <c r="G23" s="231"/>
      <c r="H23" s="185"/>
      <c r="I23" s="185" t="str">
        <f t="shared" si="1"/>
        <v/>
      </c>
      <c r="J23" s="185"/>
    </row>
    <row r="24">
      <c r="A24" s="183"/>
      <c r="B24" s="183"/>
      <c r="C24" s="185"/>
      <c r="D24" s="194"/>
      <c r="E24" s="194"/>
      <c r="F24" s="194"/>
      <c r="G24" s="231"/>
      <c r="H24" s="185"/>
      <c r="I24" s="185" t="str">
        <f t="shared" si="1"/>
        <v/>
      </c>
      <c r="J24" s="185"/>
    </row>
    <row r="25">
      <c r="A25" s="183"/>
      <c r="B25" s="183"/>
      <c r="C25" s="185"/>
      <c r="D25" s="194"/>
      <c r="E25" s="194"/>
      <c r="F25" s="194"/>
      <c r="G25" s="231"/>
      <c r="H25" s="185"/>
      <c r="I25" s="185" t="str">
        <f t="shared" si="1"/>
        <v/>
      </c>
      <c r="J25" s="185"/>
    </row>
    <row r="26">
      <c r="A26" s="183"/>
      <c r="B26" s="183"/>
      <c r="C26" s="185"/>
      <c r="D26" s="194"/>
      <c r="E26" s="194"/>
      <c r="F26" s="194"/>
      <c r="G26" s="231"/>
      <c r="H26" s="185"/>
      <c r="I26" s="185" t="str">
        <f t="shared" si="1"/>
        <v/>
      </c>
      <c r="J26" s="185"/>
    </row>
    <row r="27">
      <c r="A27" s="183"/>
      <c r="B27" s="183"/>
      <c r="C27" s="185"/>
      <c r="D27" s="194"/>
      <c r="E27" s="194"/>
      <c r="F27" s="194"/>
      <c r="G27" s="231"/>
      <c r="H27" s="185"/>
      <c r="I27" s="185" t="str">
        <f t="shared" si="1"/>
        <v/>
      </c>
      <c r="J27" s="185"/>
    </row>
    <row r="28">
      <c r="A28" s="183"/>
      <c r="B28" s="183"/>
      <c r="C28" s="185"/>
      <c r="D28" s="194"/>
      <c r="E28" s="194"/>
      <c r="F28" s="194"/>
      <c r="G28" s="231"/>
      <c r="H28" s="185"/>
      <c r="I28" s="185" t="str">
        <f t="shared" si="1"/>
        <v/>
      </c>
      <c r="J28" s="185"/>
    </row>
    <row r="29">
      <c r="A29" s="183"/>
      <c r="B29" s="183"/>
      <c r="C29" s="185"/>
      <c r="D29" s="194"/>
      <c r="E29" s="194"/>
      <c r="F29" s="194"/>
      <c r="G29" s="231"/>
      <c r="H29" s="185"/>
      <c r="I29" s="185" t="str">
        <f t="shared" si="1"/>
        <v/>
      </c>
      <c r="J29" s="185"/>
    </row>
    <row r="30">
      <c r="A30" s="183"/>
      <c r="B30" s="183"/>
      <c r="C30" s="185"/>
      <c r="D30" s="194"/>
      <c r="E30" s="194"/>
      <c r="F30" s="194"/>
      <c r="G30" s="231"/>
      <c r="H30" s="185"/>
      <c r="I30" s="185" t="str">
        <f t="shared" si="1"/>
        <v/>
      </c>
      <c r="J30" s="185"/>
    </row>
  </sheetData>
  <mergeCells count="1">
    <mergeCell ref="G1:H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6.75"/>
    <col customWidth="1" min="3" max="3" width="4.25"/>
    <col customWidth="1" min="4" max="4" width="8.88"/>
    <col customWidth="1" min="5" max="5" width="8.0"/>
  </cols>
  <sheetData>
    <row r="1">
      <c r="A1" s="131" t="s">
        <v>28</v>
      </c>
      <c r="B1" s="131" t="s">
        <v>262</v>
      </c>
      <c r="C1" s="244" t="s">
        <v>24</v>
      </c>
      <c r="D1" s="245" t="s">
        <v>552</v>
      </c>
      <c r="E1" s="244" t="s">
        <v>553</v>
      </c>
    </row>
    <row r="2">
      <c r="A2" s="132" t="s">
        <v>29</v>
      </c>
      <c r="B2" s="132" t="s">
        <v>554</v>
      </c>
      <c r="C2" s="246"/>
      <c r="D2" s="247">
        <v>350.0</v>
      </c>
      <c r="E2" s="248">
        <f t="shared" ref="E2:E20" si="1">IF(D2="","",D2/8)</f>
        <v>43.75</v>
      </c>
    </row>
    <row r="3">
      <c r="A3" s="132" t="s">
        <v>32</v>
      </c>
      <c r="B3" s="132" t="s">
        <v>554</v>
      </c>
      <c r="C3" s="246"/>
      <c r="D3" s="247">
        <v>350.0</v>
      </c>
      <c r="E3" s="248">
        <f t="shared" si="1"/>
        <v>43.75</v>
      </c>
    </row>
    <row r="4">
      <c r="A4" s="132" t="s">
        <v>35</v>
      </c>
      <c r="B4" s="132" t="s">
        <v>554</v>
      </c>
      <c r="C4" s="246"/>
      <c r="D4" s="247">
        <v>350.0</v>
      </c>
      <c r="E4" s="248">
        <f t="shared" si="1"/>
        <v>43.75</v>
      </c>
    </row>
    <row r="5">
      <c r="A5" s="132" t="s">
        <v>38</v>
      </c>
      <c r="B5" s="132" t="s">
        <v>554</v>
      </c>
      <c r="C5" s="246"/>
      <c r="D5" s="247">
        <v>250.0</v>
      </c>
      <c r="E5" s="248">
        <f t="shared" si="1"/>
        <v>31.25</v>
      </c>
    </row>
    <row r="6">
      <c r="A6" s="132" t="s">
        <v>33</v>
      </c>
      <c r="B6" s="132" t="s">
        <v>554</v>
      </c>
      <c r="C6" s="246"/>
      <c r="D6" s="247">
        <v>224.0</v>
      </c>
      <c r="E6" s="248">
        <f t="shared" si="1"/>
        <v>28</v>
      </c>
    </row>
    <row r="7">
      <c r="A7" s="132" t="s">
        <v>42</v>
      </c>
      <c r="B7" s="132" t="s">
        <v>554</v>
      </c>
      <c r="C7" s="246"/>
      <c r="D7" s="247">
        <v>350.0</v>
      </c>
      <c r="E7" s="248">
        <f t="shared" si="1"/>
        <v>43.75</v>
      </c>
    </row>
    <row r="8">
      <c r="A8" s="132" t="s">
        <v>46</v>
      </c>
      <c r="B8" s="132" t="s">
        <v>554</v>
      </c>
      <c r="C8" s="246"/>
      <c r="D8" s="247">
        <v>200.0</v>
      </c>
      <c r="E8" s="248">
        <f t="shared" si="1"/>
        <v>25</v>
      </c>
    </row>
    <row r="9">
      <c r="A9" s="132" t="s">
        <v>49</v>
      </c>
      <c r="B9" s="132" t="s">
        <v>554</v>
      </c>
      <c r="C9" s="246"/>
      <c r="D9" s="247">
        <v>350.0</v>
      </c>
      <c r="E9" s="248">
        <f t="shared" si="1"/>
        <v>43.75</v>
      </c>
    </row>
    <row r="10">
      <c r="A10" s="132" t="s">
        <v>50</v>
      </c>
      <c r="B10" s="132"/>
      <c r="C10" s="246"/>
      <c r="D10" s="249">
        <v>350.0</v>
      </c>
      <c r="E10" s="248">
        <f t="shared" si="1"/>
        <v>43.75</v>
      </c>
    </row>
    <row r="11">
      <c r="A11" s="250"/>
      <c r="B11" s="250"/>
      <c r="C11" s="250"/>
      <c r="D11" s="251"/>
      <c r="E11" s="248" t="str">
        <f t="shared" si="1"/>
        <v/>
      </c>
    </row>
    <row r="12">
      <c r="A12" s="250"/>
      <c r="B12" s="250"/>
      <c r="C12" s="250"/>
      <c r="D12" s="251"/>
      <c r="E12" s="248" t="str">
        <f t="shared" si="1"/>
        <v/>
      </c>
    </row>
    <row r="13">
      <c r="A13" s="250"/>
      <c r="B13" s="250"/>
      <c r="C13" s="250"/>
      <c r="D13" s="251"/>
      <c r="E13" s="248" t="str">
        <f t="shared" si="1"/>
        <v/>
      </c>
    </row>
    <row r="14">
      <c r="A14" s="250"/>
      <c r="B14" s="250"/>
      <c r="C14" s="250"/>
      <c r="D14" s="251"/>
      <c r="E14" s="248" t="str">
        <f t="shared" si="1"/>
        <v/>
      </c>
    </row>
    <row r="15">
      <c r="A15" s="250"/>
      <c r="B15" s="250"/>
      <c r="C15" s="250"/>
      <c r="D15" s="251"/>
      <c r="E15" s="248" t="str">
        <f t="shared" si="1"/>
        <v/>
      </c>
    </row>
    <row r="16">
      <c r="A16" s="250"/>
      <c r="B16" s="250"/>
      <c r="C16" s="250"/>
      <c r="D16" s="251"/>
      <c r="E16" s="248" t="str">
        <f t="shared" si="1"/>
        <v/>
      </c>
    </row>
    <row r="17">
      <c r="A17" s="250"/>
      <c r="B17" s="250"/>
      <c r="C17" s="250"/>
      <c r="D17" s="251"/>
      <c r="E17" s="248" t="str">
        <f t="shared" si="1"/>
        <v/>
      </c>
    </row>
    <row r="18">
      <c r="A18" s="250"/>
      <c r="B18" s="250"/>
      <c r="C18" s="250"/>
      <c r="D18" s="251"/>
      <c r="E18" s="248" t="str">
        <f t="shared" si="1"/>
        <v/>
      </c>
    </row>
    <row r="19">
      <c r="A19" s="250"/>
      <c r="B19" s="250"/>
      <c r="C19" s="250"/>
      <c r="D19" s="251"/>
      <c r="E19" s="248" t="str">
        <f t="shared" si="1"/>
        <v/>
      </c>
    </row>
    <row r="20">
      <c r="A20" s="250"/>
      <c r="B20" s="250"/>
      <c r="C20" s="250"/>
      <c r="D20" s="251"/>
      <c r="E20" s="248" t="str">
        <f t="shared" si="1"/>
        <v/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9.0"/>
    <col customWidth="1" min="3" max="3" width="7.13"/>
    <col customWidth="1" min="4" max="4" width="5.75"/>
    <col customWidth="1" min="5" max="5" width="46.5"/>
    <col customWidth="1" min="8" max="8" width="7.88"/>
    <col customWidth="1" min="9" max="9" width="27.88"/>
    <col customWidth="1" min="10" max="10" width="8.38"/>
    <col customWidth="1" min="11" max="11" width="13.5"/>
    <col customWidth="1" min="12" max="12" width="7.13"/>
    <col customWidth="1" min="13" max="13" width="5.13"/>
    <col customWidth="1" min="14" max="14" width="8.88"/>
    <col customWidth="1" min="15" max="15" width="17.88"/>
    <col customWidth="1" min="16" max="16" width="30.63"/>
  </cols>
  <sheetData>
    <row r="1">
      <c r="A1" s="138" t="s">
        <v>555</v>
      </c>
      <c r="B1" s="138" t="s">
        <v>556</v>
      </c>
      <c r="C1" s="138" t="s">
        <v>24</v>
      </c>
      <c r="D1" s="252" t="s">
        <v>106</v>
      </c>
      <c r="E1" s="253" t="s">
        <v>10</v>
      </c>
      <c r="F1" s="254"/>
      <c r="G1" s="255"/>
      <c r="H1" s="256" t="s">
        <v>555</v>
      </c>
      <c r="I1" s="257" t="s">
        <v>10</v>
      </c>
      <c r="J1" s="256" t="s">
        <v>557</v>
      </c>
      <c r="K1" s="258" t="s">
        <v>558</v>
      </c>
      <c r="L1" s="258" t="s">
        <v>559</v>
      </c>
      <c r="M1" s="258" t="s">
        <v>24</v>
      </c>
      <c r="N1" s="258" t="s">
        <v>560</v>
      </c>
      <c r="O1" s="259" t="s">
        <v>561</v>
      </c>
      <c r="P1" s="258" t="s">
        <v>316</v>
      </c>
    </row>
    <row r="2">
      <c r="A2" s="46">
        <f>IF(OR(B2="",C2=""),"",ROW(A1))</f>
        <v>1</v>
      </c>
      <c r="B2" s="182" t="s">
        <v>562</v>
      </c>
      <c r="C2" s="182" t="s">
        <v>563</v>
      </c>
      <c r="D2" s="47">
        <f t="shared" ref="D2:D30" si="1">IF(B2="","",SUMIF(H2:H30,A2,O2:O30))</f>
        <v>1.1892</v>
      </c>
      <c r="E2" s="182" t="s">
        <v>564</v>
      </c>
      <c r="H2" s="182">
        <v>1.0</v>
      </c>
      <c r="I2" s="182" t="s">
        <v>565</v>
      </c>
      <c r="J2" s="260">
        <v>7.65</v>
      </c>
      <c r="K2" s="182">
        <v>28.0</v>
      </c>
      <c r="L2" s="182">
        <v>1000.0</v>
      </c>
      <c r="M2" s="182" t="s">
        <v>566</v>
      </c>
      <c r="N2" s="182">
        <v>1.0</v>
      </c>
      <c r="O2" s="261">
        <f t="shared" ref="O2:O30" si="2">IF(OR(J2="",K2="",L2="",N2=""),"",((J2*K2)/L2)*N2)</f>
        <v>0.2142</v>
      </c>
      <c r="P2" s="182" t="s">
        <v>567</v>
      </c>
    </row>
    <row r="3">
      <c r="A3" s="46">
        <v>2.0</v>
      </c>
      <c r="B3" s="182" t="s">
        <v>568</v>
      </c>
      <c r="C3" s="182" t="s">
        <v>569</v>
      </c>
      <c r="D3" s="47">
        <f t="shared" si="1"/>
        <v>350</v>
      </c>
      <c r="E3" s="182" t="s">
        <v>570</v>
      </c>
      <c r="H3" s="182">
        <v>1.0</v>
      </c>
      <c r="I3" s="182" t="s">
        <v>571</v>
      </c>
      <c r="J3" s="260">
        <v>36.0</v>
      </c>
      <c r="K3" s="182">
        <v>1.0</v>
      </c>
      <c r="L3" s="182">
        <v>160.0</v>
      </c>
      <c r="M3" s="182" t="s">
        <v>566</v>
      </c>
      <c r="N3" s="182">
        <v>1.0</v>
      </c>
      <c r="O3" s="261">
        <f t="shared" si="2"/>
        <v>0.225</v>
      </c>
      <c r="P3" s="182" t="s">
        <v>572</v>
      </c>
    </row>
    <row r="4">
      <c r="A4" s="46">
        <v>3.0</v>
      </c>
      <c r="B4" s="182" t="s">
        <v>573</v>
      </c>
      <c r="C4" s="182" t="s">
        <v>569</v>
      </c>
      <c r="D4" s="47">
        <f t="shared" si="1"/>
        <v>300</v>
      </c>
      <c r="E4" s="182" t="s">
        <v>570</v>
      </c>
      <c r="H4" s="182">
        <v>1.0</v>
      </c>
      <c r="I4" s="182" t="s">
        <v>574</v>
      </c>
      <c r="J4" s="260">
        <v>400.0</v>
      </c>
      <c r="K4" s="182">
        <v>1.0</v>
      </c>
      <c r="L4" s="182">
        <v>1000.0</v>
      </c>
      <c r="M4" s="182" t="s">
        <v>575</v>
      </c>
      <c r="N4" s="182">
        <f>(15/8)</f>
        <v>1.875</v>
      </c>
      <c r="O4" s="261">
        <f t="shared" si="2"/>
        <v>0.75</v>
      </c>
      <c r="P4" s="182" t="s">
        <v>576</v>
      </c>
    </row>
    <row r="5">
      <c r="A5" s="46" t="str">
        <f t="shared" ref="A5:A30" si="3">IF(OR(B5="",C5=""),"",ROW(A4))</f>
        <v/>
      </c>
      <c r="B5" s="135"/>
      <c r="C5" s="135"/>
      <c r="D5" s="47" t="str">
        <f t="shared" si="1"/>
        <v/>
      </c>
      <c r="E5" s="135"/>
      <c r="H5" s="182">
        <v>2.0</v>
      </c>
      <c r="I5" s="182" t="s">
        <v>577</v>
      </c>
      <c r="J5" s="260">
        <v>350.0</v>
      </c>
      <c r="K5" s="182">
        <v>1.0</v>
      </c>
      <c r="L5" s="182">
        <v>1.0</v>
      </c>
      <c r="M5" s="182" t="s">
        <v>569</v>
      </c>
      <c r="N5" s="182">
        <v>1.0</v>
      </c>
      <c r="O5" s="261">
        <f t="shared" si="2"/>
        <v>350</v>
      </c>
      <c r="P5" s="135"/>
    </row>
    <row r="6">
      <c r="A6" s="46" t="str">
        <f t="shared" si="3"/>
        <v/>
      </c>
      <c r="B6" s="135"/>
      <c r="C6" s="135"/>
      <c r="D6" s="47" t="str">
        <f t="shared" si="1"/>
        <v/>
      </c>
      <c r="E6" s="135"/>
      <c r="H6" s="182">
        <v>3.0</v>
      </c>
      <c r="I6" s="182" t="s">
        <v>578</v>
      </c>
      <c r="J6" s="260">
        <v>300.0</v>
      </c>
      <c r="K6" s="182">
        <v>1.0</v>
      </c>
      <c r="L6" s="182">
        <v>1.0</v>
      </c>
      <c r="M6" s="182" t="s">
        <v>569</v>
      </c>
      <c r="N6" s="182">
        <v>1.0</v>
      </c>
      <c r="O6" s="261">
        <f t="shared" si="2"/>
        <v>300</v>
      </c>
      <c r="P6" s="135"/>
    </row>
    <row r="7">
      <c r="A7" s="46" t="str">
        <f t="shared" si="3"/>
        <v/>
      </c>
      <c r="B7" s="135"/>
      <c r="C7" s="135"/>
      <c r="D7" s="47" t="str">
        <f t="shared" si="1"/>
        <v/>
      </c>
      <c r="E7" s="135"/>
      <c r="H7" s="135"/>
      <c r="I7" s="135"/>
      <c r="J7" s="193"/>
      <c r="K7" s="135"/>
      <c r="L7" s="135"/>
      <c r="M7" s="135"/>
      <c r="N7" s="180"/>
      <c r="O7" s="261" t="str">
        <f t="shared" si="2"/>
        <v/>
      </c>
      <c r="P7" s="135"/>
    </row>
    <row r="8">
      <c r="A8" s="46" t="str">
        <f t="shared" si="3"/>
        <v/>
      </c>
      <c r="B8" s="135"/>
      <c r="C8" s="135"/>
      <c r="D8" s="47" t="str">
        <f t="shared" si="1"/>
        <v/>
      </c>
      <c r="E8" s="135"/>
      <c r="H8" s="135"/>
      <c r="I8" s="135"/>
      <c r="J8" s="193"/>
      <c r="K8" s="135"/>
      <c r="L8" s="135"/>
      <c r="M8" s="135"/>
      <c r="N8" s="180"/>
      <c r="O8" s="261" t="str">
        <f t="shared" si="2"/>
        <v/>
      </c>
      <c r="P8" s="135"/>
    </row>
    <row r="9">
      <c r="A9" s="46" t="str">
        <f t="shared" si="3"/>
        <v/>
      </c>
      <c r="B9" s="135"/>
      <c r="C9" s="135"/>
      <c r="D9" s="47" t="str">
        <f t="shared" si="1"/>
        <v/>
      </c>
      <c r="E9" s="135"/>
      <c r="H9" s="135"/>
      <c r="I9" s="135"/>
      <c r="J9" s="193"/>
      <c r="K9" s="135"/>
      <c r="L9" s="135"/>
      <c r="M9" s="135"/>
      <c r="N9" s="180"/>
      <c r="O9" s="261" t="str">
        <f t="shared" si="2"/>
        <v/>
      </c>
      <c r="P9" s="135"/>
    </row>
    <row r="10">
      <c r="A10" s="46" t="str">
        <f t="shared" si="3"/>
        <v/>
      </c>
      <c r="B10" s="135"/>
      <c r="C10" s="135"/>
      <c r="D10" s="47" t="str">
        <f t="shared" si="1"/>
        <v/>
      </c>
      <c r="E10" s="135"/>
      <c r="H10" s="135"/>
      <c r="I10" s="135"/>
      <c r="J10" s="193"/>
      <c r="K10" s="135"/>
      <c r="L10" s="135"/>
      <c r="M10" s="135"/>
      <c r="N10" s="180"/>
      <c r="O10" s="261" t="str">
        <f t="shared" si="2"/>
        <v/>
      </c>
      <c r="P10" s="135"/>
    </row>
    <row r="11">
      <c r="A11" s="46" t="str">
        <f t="shared" si="3"/>
        <v/>
      </c>
      <c r="B11" s="135"/>
      <c r="C11" s="135"/>
      <c r="D11" s="47" t="str">
        <f t="shared" si="1"/>
        <v/>
      </c>
      <c r="E11" s="135"/>
      <c r="H11" s="135"/>
      <c r="I11" s="135"/>
      <c r="J11" s="193"/>
      <c r="K11" s="135"/>
      <c r="L11" s="135"/>
      <c r="M11" s="135"/>
      <c r="N11" s="180"/>
      <c r="O11" s="261" t="str">
        <f t="shared" si="2"/>
        <v/>
      </c>
      <c r="P11" s="135"/>
    </row>
    <row r="12">
      <c r="A12" s="46" t="str">
        <f t="shared" si="3"/>
        <v/>
      </c>
      <c r="B12" s="135"/>
      <c r="C12" s="135"/>
      <c r="D12" s="47" t="str">
        <f t="shared" si="1"/>
        <v/>
      </c>
      <c r="E12" s="135"/>
      <c r="H12" s="135"/>
      <c r="I12" s="135"/>
      <c r="J12" s="193"/>
      <c r="K12" s="135"/>
      <c r="L12" s="135"/>
      <c r="M12" s="135"/>
      <c r="N12" s="180"/>
      <c r="O12" s="261" t="str">
        <f t="shared" si="2"/>
        <v/>
      </c>
      <c r="P12" s="135"/>
    </row>
    <row r="13">
      <c r="A13" s="46" t="str">
        <f t="shared" si="3"/>
        <v/>
      </c>
      <c r="B13" s="135"/>
      <c r="C13" s="135"/>
      <c r="D13" s="47" t="str">
        <f t="shared" si="1"/>
        <v/>
      </c>
      <c r="E13" s="135"/>
      <c r="H13" s="135"/>
      <c r="I13" s="135"/>
      <c r="J13" s="193"/>
      <c r="K13" s="135"/>
      <c r="L13" s="135"/>
      <c r="M13" s="135"/>
      <c r="N13" s="180"/>
      <c r="O13" s="261" t="str">
        <f t="shared" si="2"/>
        <v/>
      </c>
      <c r="P13" s="135"/>
    </row>
    <row r="14">
      <c r="A14" s="46" t="str">
        <f t="shared" si="3"/>
        <v/>
      </c>
      <c r="B14" s="135"/>
      <c r="C14" s="135"/>
      <c r="D14" s="47" t="str">
        <f t="shared" si="1"/>
        <v/>
      </c>
      <c r="E14" s="135"/>
      <c r="H14" s="135"/>
      <c r="I14" s="135"/>
      <c r="J14" s="193"/>
      <c r="K14" s="135"/>
      <c r="L14" s="135"/>
      <c r="M14" s="135"/>
      <c r="N14" s="180"/>
      <c r="O14" s="261" t="str">
        <f t="shared" si="2"/>
        <v/>
      </c>
      <c r="P14" s="135"/>
    </row>
    <row r="15">
      <c r="A15" s="46" t="str">
        <f t="shared" si="3"/>
        <v/>
      </c>
      <c r="B15" s="135"/>
      <c r="C15" s="135"/>
      <c r="D15" s="47" t="str">
        <f t="shared" si="1"/>
        <v/>
      </c>
      <c r="E15" s="135"/>
      <c r="H15" s="135"/>
      <c r="I15" s="135"/>
      <c r="J15" s="193"/>
      <c r="K15" s="135"/>
      <c r="L15" s="135"/>
      <c r="M15" s="135"/>
      <c r="N15" s="180"/>
      <c r="O15" s="261" t="str">
        <f t="shared" si="2"/>
        <v/>
      </c>
      <c r="P15" s="135"/>
    </row>
    <row r="16">
      <c r="A16" s="46" t="str">
        <f t="shared" si="3"/>
        <v/>
      </c>
      <c r="B16" s="135"/>
      <c r="C16" s="135"/>
      <c r="D16" s="47" t="str">
        <f t="shared" si="1"/>
        <v/>
      </c>
      <c r="E16" s="135"/>
      <c r="H16" s="135"/>
      <c r="I16" s="135"/>
      <c r="J16" s="193"/>
      <c r="K16" s="135"/>
      <c r="L16" s="135"/>
      <c r="M16" s="135"/>
      <c r="N16" s="180"/>
      <c r="O16" s="261" t="str">
        <f t="shared" si="2"/>
        <v/>
      </c>
      <c r="P16" s="135"/>
    </row>
    <row r="17">
      <c r="A17" s="46" t="str">
        <f t="shared" si="3"/>
        <v/>
      </c>
      <c r="B17" s="135"/>
      <c r="C17" s="135"/>
      <c r="D17" s="47" t="str">
        <f t="shared" si="1"/>
        <v/>
      </c>
      <c r="E17" s="135"/>
      <c r="H17" s="135"/>
      <c r="I17" s="135"/>
      <c r="J17" s="193"/>
      <c r="K17" s="135"/>
      <c r="L17" s="135"/>
      <c r="M17" s="135"/>
      <c r="N17" s="180"/>
      <c r="O17" s="261" t="str">
        <f t="shared" si="2"/>
        <v/>
      </c>
      <c r="P17" s="135"/>
    </row>
    <row r="18">
      <c r="A18" s="46" t="str">
        <f t="shared" si="3"/>
        <v/>
      </c>
      <c r="B18" s="135"/>
      <c r="C18" s="135"/>
      <c r="D18" s="47" t="str">
        <f t="shared" si="1"/>
        <v/>
      </c>
      <c r="E18" s="135"/>
      <c r="H18" s="135"/>
      <c r="I18" s="135"/>
      <c r="J18" s="193"/>
      <c r="K18" s="135"/>
      <c r="L18" s="135"/>
      <c r="M18" s="135"/>
      <c r="N18" s="180"/>
      <c r="O18" s="261" t="str">
        <f t="shared" si="2"/>
        <v/>
      </c>
      <c r="P18" s="135"/>
    </row>
    <row r="19">
      <c r="A19" s="46" t="str">
        <f t="shared" si="3"/>
        <v/>
      </c>
      <c r="B19" s="135"/>
      <c r="C19" s="135"/>
      <c r="D19" s="47" t="str">
        <f t="shared" si="1"/>
        <v/>
      </c>
      <c r="E19" s="135"/>
      <c r="H19" s="135"/>
      <c r="I19" s="135"/>
      <c r="J19" s="193"/>
      <c r="K19" s="135"/>
      <c r="L19" s="135"/>
      <c r="M19" s="135"/>
      <c r="N19" s="180"/>
      <c r="O19" s="261" t="str">
        <f t="shared" si="2"/>
        <v/>
      </c>
      <c r="P19" s="135"/>
    </row>
    <row r="20">
      <c r="A20" s="46" t="str">
        <f t="shared" si="3"/>
        <v/>
      </c>
      <c r="B20" s="135"/>
      <c r="C20" s="135"/>
      <c r="D20" s="47" t="str">
        <f t="shared" si="1"/>
        <v/>
      </c>
      <c r="E20" s="135"/>
      <c r="H20" s="135"/>
      <c r="I20" s="135"/>
      <c r="J20" s="193"/>
      <c r="K20" s="135"/>
      <c r="L20" s="135"/>
      <c r="M20" s="135"/>
      <c r="N20" s="180"/>
      <c r="O20" s="261" t="str">
        <f t="shared" si="2"/>
        <v/>
      </c>
      <c r="P20" s="135"/>
    </row>
    <row r="21">
      <c r="A21" s="46" t="str">
        <f t="shared" si="3"/>
        <v/>
      </c>
      <c r="B21" s="135"/>
      <c r="C21" s="135"/>
      <c r="D21" s="47" t="str">
        <f t="shared" si="1"/>
        <v/>
      </c>
      <c r="E21" s="135"/>
      <c r="H21" s="135"/>
      <c r="I21" s="135"/>
      <c r="J21" s="193"/>
      <c r="K21" s="135"/>
      <c r="L21" s="135"/>
      <c r="M21" s="135"/>
      <c r="N21" s="180"/>
      <c r="O21" s="261" t="str">
        <f t="shared" si="2"/>
        <v/>
      </c>
      <c r="P21" s="135"/>
    </row>
    <row r="22">
      <c r="A22" s="46" t="str">
        <f t="shared" si="3"/>
        <v/>
      </c>
      <c r="B22" s="135"/>
      <c r="C22" s="135"/>
      <c r="D22" s="47" t="str">
        <f t="shared" si="1"/>
        <v/>
      </c>
      <c r="E22" s="135"/>
      <c r="H22" s="135"/>
      <c r="I22" s="135"/>
      <c r="J22" s="193"/>
      <c r="K22" s="135"/>
      <c r="L22" s="135"/>
      <c r="M22" s="135"/>
      <c r="N22" s="180"/>
      <c r="O22" s="261" t="str">
        <f t="shared" si="2"/>
        <v/>
      </c>
      <c r="P22" s="135"/>
    </row>
    <row r="23">
      <c r="A23" s="46" t="str">
        <f t="shared" si="3"/>
        <v/>
      </c>
      <c r="B23" s="135"/>
      <c r="C23" s="135"/>
      <c r="D23" s="47" t="str">
        <f t="shared" si="1"/>
        <v/>
      </c>
      <c r="E23" s="135"/>
      <c r="H23" s="135"/>
      <c r="I23" s="135"/>
      <c r="J23" s="193"/>
      <c r="K23" s="135"/>
      <c r="L23" s="135"/>
      <c r="M23" s="135"/>
      <c r="N23" s="180"/>
      <c r="O23" s="261" t="str">
        <f t="shared" si="2"/>
        <v/>
      </c>
      <c r="P23" s="135"/>
    </row>
    <row r="24">
      <c r="A24" s="46" t="str">
        <f t="shared" si="3"/>
        <v/>
      </c>
      <c r="B24" s="135"/>
      <c r="C24" s="135"/>
      <c r="D24" s="47" t="str">
        <f t="shared" si="1"/>
        <v/>
      </c>
      <c r="E24" s="135"/>
      <c r="H24" s="135"/>
      <c r="I24" s="135"/>
      <c r="J24" s="193"/>
      <c r="K24" s="135"/>
      <c r="L24" s="135"/>
      <c r="M24" s="135"/>
      <c r="N24" s="180"/>
      <c r="O24" s="261" t="str">
        <f t="shared" si="2"/>
        <v/>
      </c>
      <c r="P24" s="135"/>
    </row>
    <row r="25">
      <c r="A25" s="46" t="str">
        <f t="shared" si="3"/>
        <v/>
      </c>
      <c r="B25" s="135"/>
      <c r="C25" s="135"/>
      <c r="D25" s="47" t="str">
        <f t="shared" si="1"/>
        <v/>
      </c>
      <c r="E25" s="135"/>
      <c r="H25" s="135"/>
      <c r="I25" s="135"/>
      <c r="J25" s="193"/>
      <c r="K25" s="135"/>
      <c r="L25" s="135"/>
      <c r="M25" s="135"/>
      <c r="N25" s="180"/>
      <c r="O25" s="261" t="str">
        <f t="shared" si="2"/>
        <v/>
      </c>
      <c r="P25" s="135"/>
    </row>
    <row r="26">
      <c r="A26" s="46" t="str">
        <f t="shared" si="3"/>
        <v/>
      </c>
      <c r="B26" s="135"/>
      <c r="C26" s="135"/>
      <c r="D26" s="47" t="str">
        <f t="shared" si="1"/>
        <v/>
      </c>
      <c r="E26" s="135"/>
      <c r="H26" s="135"/>
      <c r="I26" s="135"/>
      <c r="J26" s="193"/>
      <c r="K26" s="135"/>
      <c r="L26" s="135"/>
      <c r="M26" s="135"/>
      <c r="N26" s="180"/>
      <c r="O26" s="261" t="str">
        <f t="shared" si="2"/>
        <v/>
      </c>
      <c r="P26" s="135"/>
    </row>
    <row r="27">
      <c r="A27" s="46" t="str">
        <f t="shared" si="3"/>
        <v/>
      </c>
      <c r="B27" s="135"/>
      <c r="C27" s="135"/>
      <c r="D27" s="47" t="str">
        <f t="shared" si="1"/>
        <v/>
      </c>
      <c r="E27" s="135"/>
      <c r="H27" s="135"/>
      <c r="I27" s="135"/>
      <c r="J27" s="193"/>
      <c r="K27" s="135"/>
      <c r="L27" s="135"/>
      <c r="M27" s="135"/>
      <c r="N27" s="180"/>
      <c r="O27" s="261" t="str">
        <f t="shared" si="2"/>
        <v/>
      </c>
      <c r="P27" s="135"/>
    </row>
    <row r="28">
      <c r="A28" s="46" t="str">
        <f t="shared" si="3"/>
        <v/>
      </c>
      <c r="B28" s="135"/>
      <c r="C28" s="135"/>
      <c r="D28" s="47" t="str">
        <f t="shared" si="1"/>
        <v/>
      </c>
      <c r="E28" s="135"/>
      <c r="H28" s="135"/>
      <c r="I28" s="135"/>
      <c r="J28" s="193"/>
      <c r="K28" s="135"/>
      <c r="L28" s="135"/>
      <c r="M28" s="135"/>
      <c r="N28" s="180"/>
      <c r="O28" s="261" t="str">
        <f t="shared" si="2"/>
        <v/>
      </c>
      <c r="P28" s="135"/>
    </row>
    <row r="29">
      <c r="A29" s="46" t="str">
        <f t="shared" si="3"/>
        <v/>
      </c>
      <c r="B29" s="135"/>
      <c r="C29" s="135"/>
      <c r="D29" s="47" t="str">
        <f t="shared" si="1"/>
        <v/>
      </c>
      <c r="E29" s="135"/>
      <c r="H29" s="135"/>
      <c r="I29" s="135"/>
      <c r="J29" s="193"/>
      <c r="K29" s="135"/>
      <c r="L29" s="135"/>
      <c r="M29" s="135"/>
      <c r="N29" s="180"/>
      <c r="O29" s="261" t="str">
        <f t="shared" si="2"/>
        <v/>
      </c>
      <c r="P29" s="135"/>
    </row>
    <row r="30">
      <c r="A30" s="46" t="str">
        <f t="shared" si="3"/>
        <v/>
      </c>
      <c r="B30" s="135"/>
      <c r="C30" s="135"/>
      <c r="D30" s="47" t="str">
        <f t="shared" si="1"/>
        <v/>
      </c>
      <c r="E30" s="135"/>
      <c r="H30" s="135"/>
      <c r="I30" s="135"/>
      <c r="J30" s="193"/>
      <c r="K30" s="135"/>
      <c r="L30" s="135"/>
      <c r="M30" s="135"/>
      <c r="N30" s="180"/>
      <c r="O30" s="261" t="str">
        <f t="shared" si="2"/>
        <v/>
      </c>
      <c r="P30" s="135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25"/>
    <col customWidth="1" min="2" max="2" width="10.13"/>
    <col customWidth="1" min="3" max="3" width="10.5"/>
    <col customWidth="1" min="4" max="4" width="18.63"/>
    <col customWidth="1" min="5" max="5" width="10.13"/>
    <col customWidth="1" min="6" max="6" width="10.5"/>
    <col customWidth="1" min="7" max="7" width="14.25"/>
    <col customWidth="1" min="8" max="8" width="10.13"/>
    <col customWidth="1" min="9" max="9" width="10.5"/>
    <col customWidth="1" min="10" max="10" width="9.75"/>
    <col customWidth="1" min="11" max="11" width="10.13"/>
    <col customWidth="1" min="12" max="12" width="10.5"/>
    <col customWidth="1" min="13" max="13" width="27.88"/>
    <col customWidth="1" min="14" max="14" width="10.13"/>
    <col customWidth="1" min="15" max="15" width="10.5"/>
    <col customWidth="1" min="16" max="16" width="33.13"/>
    <col customWidth="1" min="17" max="17" width="5.38"/>
    <col customWidth="1" min="18" max="18" width="33.13"/>
    <col customWidth="1" min="19" max="20" width="9.25"/>
    <col customWidth="1" min="21" max="21" width="10.13"/>
    <col customWidth="1" min="22" max="22" width="10.5"/>
    <col customWidth="1" min="23" max="24" width="15.25"/>
  </cols>
  <sheetData>
    <row r="1">
      <c r="A1" s="262" t="s">
        <v>579</v>
      </c>
    </row>
    <row r="2">
      <c r="A2" s="262" t="s">
        <v>66</v>
      </c>
      <c r="B2" s="262" t="s">
        <v>580</v>
      </c>
      <c r="C2" s="262" t="s">
        <v>581</v>
      </c>
      <c r="D2" s="262" t="s">
        <v>80</v>
      </c>
      <c r="E2" s="262" t="s">
        <v>580</v>
      </c>
      <c r="F2" s="262" t="s">
        <v>581</v>
      </c>
      <c r="G2" s="262" t="s">
        <v>74</v>
      </c>
      <c r="H2" s="262" t="s">
        <v>580</v>
      </c>
      <c r="I2" s="262" t="s">
        <v>581</v>
      </c>
      <c r="J2" s="262" t="s">
        <v>78</v>
      </c>
      <c r="K2" s="262" t="s">
        <v>580</v>
      </c>
      <c r="L2" s="262" t="s">
        <v>581</v>
      </c>
      <c r="M2" s="262" t="s">
        <v>582</v>
      </c>
      <c r="N2" s="262" t="s">
        <v>580</v>
      </c>
      <c r="O2" s="262" t="s">
        <v>581</v>
      </c>
      <c r="P2" s="262" t="s">
        <v>583</v>
      </c>
      <c r="Q2" s="262" t="s">
        <v>584</v>
      </c>
      <c r="R2" s="262" t="s">
        <v>585</v>
      </c>
      <c r="S2" s="262" t="s">
        <v>76</v>
      </c>
      <c r="T2" s="262" t="s">
        <v>586</v>
      </c>
      <c r="U2" s="262" t="s">
        <v>580</v>
      </c>
      <c r="V2" s="262" t="s">
        <v>581</v>
      </c>
      <c r="W2" s="262" t="s">
        <v>587</v>
      </c>
      <c r="X2" s="262" t="s">
        <v>588</v>
      </c>
    </row>
    <row r="3">
      <c r="A3" s="263" t="str">
        <f>IFERROR(__xludf.DUMMYFUNCTION("FILTER(Sheet!$A$3:$A$50,Sheet!$L$3:$L$50=""Y"")"),"Oak veneer (19mm)")</f>
        <v>Oak veneer (19mm)</v>
      </c>
      <c r="B3" s="264">
        <v>1.0</v>
      </c>
      <c r="C3" s="264">
        <v>1.0</v>
      </c>
      <c r="D3" s="264" t="s">
        <v>81</v>
      </c>
      <c r="E3" s="265">
        <v>1.0</v>
      </c>
      <c r="F3" s="265">
        <v>1.0</v>
      </c>
      <c r="G3" s="263" t="str">
        <f>IFERROR(__xludf.DUMMYFUNCTION("FILTER(Sheet!$A$3:$A$50,Sheet!$M$3:$M$50=""Y"")"),"Oak veneer (19mm)")</f>
        <v>Oak veneer (19mm)</v>
      </c>
      <c r="H3" s="265">
        <v>1.0</v>
      </c>
      <c r="I3" s="265">
        <v>1.0</v>
      </c>
      <c r="J3" s="265" t="s">
        <v>79</v>
      </c>
      <c r="K3" s="265">
        <v>1.0</v>
      </c>
      <c r="L3" s="265">
        <v>1.0</v>
      </c>
      <c r="M3" s="263" t="str">
        <f>IFERROR(__xludf.DUMMYFUNCTION("FILTER(Finishing!$A$2:$A$50,Finishing!L2:L50=""Y"")"),"Morrells lacquer (Coloured, Matt 10%) PP5L")</f>
        <v>Morrells lacquer (Coloured, Matt 10%) PP5L</v>
      </c>
      <c r="N3" s="265" t="s">
        <v>6</v>
      </c>
      <c r="O3" s="265">
        <v>2.0</v>
      </c>
      <c r="P3" s="266" t="str">
        <f>IFERROR(__xludf.DUMMYFUNCTION("UNIQUE(IF(Description!$C$1="""",""Select the client name on the Description sheet"",IF(ISERROR(FILTER(IMPORTRANGE(""https://docs.google.com/spreadsheets/d/1lQ7xAqIxZXHUJVuaCFtVeNpIKdEmZDk3UyvpaPTTqIU"",""Paint orders v2!L2:L1000""),REGEXMATCH(IMPORTRANGE("&amp;"""https://docs.google.com/spreadsheets/d/1lQ7xAqIxZXHUJVuaCFtVeNpIKdEmZDk3UyvpaPTTqIU"",""Paint orders v2!L2:L1000""),Description!$C$1))),({FILTER(IMPORTRANGE(""https://docs.google.com/spreadsheets/d/1lQ7xAqIxZXHUJVuaCFtVeNpIKdEmZDk3UyvpaPTTqIU"",""Colour"&amp;"Codes!A2:A1000""),IMPORTRANGE(""https://docs.google.com/spreadsheets/d/1lQ7xAqIxZXHUJVuaCFtVeNpIKdEmZDk3UyvpaPTTqIU"",""ColourCodes!A2:A1000"")=""No finish required"");FILTER(IMPORTRANGE(""https://docs.google.com/spreadsheets/d/1lQ7xAqIxZXHUJVuaCFtVeNpIKd"&amp;"EmZDk3UyvpaPTTqIU"",""ColourCodes!A2:A1000""),REGEXMATCH(IMPORTRANGE(""https://docs.google.com/spreadsheets/d/1lQ7xAqIxZXHUJVuaCFtVeNpIKdEmZDk3UyvpaPTTqIU"",""ColourCodes!A2:A1000""),""Clear""))}),{FILTER(IMPORTRANGE(""https://docs.google.com/spreadsheets"&amp;"/d/1lQ7xAqIxZXHUJVuaCFtVeNpIKdEmZDk3UyvpaPTTqIU"",""Paint orders v2!Q2:Q1000""),IMPORTRANGE(""https://docs.google.com/spreadsheets/d/1lQ7xAqIxZXHUJVuaCFtVeNpIKdEmZDk3UyvpaPTTqIU"",""Paint orders v2!L2:L1000"")=Description!$C$1);FILTER(IMPORTRANGE(""https:"&amp;"//docs.google.com/spreadsheets/d/1lQ7xAqIxZXHUJVuaCFtVeNpIKdEmZDk3UyvpaPTTqIU"",""ColourCodes!A2:A1000""),IMPORTRANGE(""https://docs.google.com/spreadsheets/d/1lQ7xAqIxZXHUJVuaCFtVeNpIKdEmZDk3UyvpaPTTqIU"",""ColourCodes!A2:A1000"")=""No finish required"")"&amp;";FILTER(IMPORTRANGE(""https://docs.google.com/spreadsheets/d/1lQ7xAqIxZXHUJVuaCFtVeNpIKdEmZDk3UyvpaPTTqIU"",""ColourCodes!A2:A1000""),REGEXMATCH(IMPORTRANGE(""https://docs.google.com/spreadsheets/d/1lQ7xAqIxZXHUJVuaCFtVeNpIKdEmZDk3UyvpaPTTqIU"",""ColourCo"&amp;"des!A2:A1000""),""Clear""))})))"),"Select the client name on the Description sheet")</f>
        <v>Select the client name on the Description sheet</v>
      </c>
      <c r="Q3" s="265">
        <v>1.0</v>
      </c>
      <c r="R3" s="265" t="s">
        <v>589</v>
      </c>
      <c r="S3" s="265" t="s">
        <v>79</v>
      </c>
      <c r="T3" s="265" t="s">
        <v>71</v>
      </c>
      <c r="U3" s="265">
        <v>1.0</v>
      </c>
      <c r="V3" s="265">
        <v>1.0</v>
      </c>
      <c r="W3" s="265">
        <v>1.0</v>
      </c>
      <c r="X3" s="264" t="s">
        <v>83</v>
      </c>
    </row>
    <row r="4">
      <c r="A4" s="267" t="str">
        <f>IFERROR(__xludf.DUMMYFUNCTION("""COMPUTED_VALUE"""),"Walnut veneer (26mm)")</f>
        <v>Walnut veneer (26mm)</v>
      </c>
      <c r="B4" s="264">
        <v>1.0</v>
      </c>
      <c r="C4" s="264">
        <v>1.0</v>
      </c>
      <c r="D4" s="264" t="s">
        <v>89</v>
      </c>
      <c r="E4" s="264">
        <v>1.5</v>
      </c>
      <c r="F4" s="264">
        <v>1.5</v>
      </c>
      <c r="G4" s="267" t="str">
        <f>IFERROR(__xludf.DUMMYFUNCTION("""COMPUTED_VALUE"""),"Walnut veneer (19mm)")</f>
        <v>Walnut veneer (19mm)</v>
      </c>
      <c r="H4" s="265">
        <v>1.0</v>
      </c>
      <c r="I4" s="265">
        <v>1.0</v>
      </c>
      <c r="J4" s="265" t="s">
        <v>590</v>
      </c>
      <c r="K4" s="265">
        <v>3.0</v>
      </c>
      <c r="L4" s="265">
        <v>1.0</v>
      </c>
      <c r="M4" s="266" t="str">
        <f>IFERROR(__xludf.DUMMYFUNCTION("""COMPUTED_VALUE"""),"Morrells lacquer (Clear, Matt 5%) PPL")</f>
        <v>Morrells lacquer (Clear, Matt 5%) PPL</v>
      </c>
      <c r="N4" s="265" t="s">
        <v>6</v>
      </c>
      <c r="O4" s="265">
        <v>1.0</v>
      </c>
      <c r="P4" s="266"/>
      <c r="Q4" s="265">
        <v>2.0</v>
      </c>
      <c r="R4" s="265" t="s">
        <v>591</v>
      </c>
      <c r="S4" s="265" t="s">
        <v>592</v>
      </c>
      <c r="T4" s="265" t="s">
        <v>593</v>
      </c>
      <c r="U4" s="265">
        <v>10.0</v>
      </c>
      <c r="V4" s="265">
        <v>1.5</v>
      </c>
      <c r="W4" s="265">
        <v>0.7</v>
      </c>
      <c r="X4" s="268"/>
    </row>
    <row r="5">
      <c r="A5" s="267" t="str">
        <f>IFERROR(__xludf.DUMMYFUNCTION("""COMPUTED_VALUE"""),"Walnut veneer (19mm)")</f>
        <v>Walnut veneer (19mm)</v>
      </c>
      <c r="B5" s="264">
        <v>1.5</v>
      </c>
      <c r="C5" s="264">
        <v>2.5</v>
      </c>
      <c r="D5" s="269" t="s">
        <v>594</v>
      </c>
      <c r="E5" s="265">
        <v>1.75</v>
      </c>
      <c r="F5" s="265">
        <v>1.75</v>
      </c>
      <c r="G5" s="266" t="str">
        <f>IFERROR(__xludf.DUMMYFUNCTION("""COMPUTED_VALUE"""),"H/F (22mm)")</f>
        <v>H/F (22mm)</v>
      </c>
      <c r="H5" s="264">
        <v>1.0</v>
      </c>
      <c r="I5" s="264">
        <v>2.0</v>
      </c>
      <c r="J5" s="264"/>
      <c r="K5" s="264"/>
      <c r="L5" s="264"/>
      <c r="M5" s="270" t="str">
        <f>IFERROR(__xludf.DUMMYFUNCTION("""COMPUTED_VALUE"""),"Sayerlack AT99 WB Topcoat")</f>
        <v>Sayerlack AT99 WB Topcoat</v>
      </c>
      <c r="N5" s="264" t="s">
        <v>6</v>
      </c>
      <c r="O5" s="264">
        <v>2.0</v>
      </c>
      <c r="P5" s="267"/>
      <c r="Q5" s="265">
        <v>3.0</v>
      </c>
      <c r="R5" s="264" t="s">
        <v>595</v>
      </c>
      <c r="S5" s="265" t="s">
        <v>77</v>
      </c>
      <c r="T5" s="265" t="s">
        <v>596</v>
      </c>
      <c r="U5" s="264">
        <v>10.0</v>
      </c>
      <c r="V5" s="264">
        <v>1.5</v>
      </c>
      <c r="W5" s="264">
        <v>0.7</v>
      </c>
      <c r="X5" s="268"/>
    </row>
    <row r="6">
      <c r="A6" s="266" t="str">
        <f>IFERROR(__xludf.DUMMYFUNCTION("""COMPUTED_VALUE"""),"H/F (22mm)")</f>
        <v>H/F (22mm)</v>
      </c>
      <c r="B6" s="264">
        <v>1.0</v>
      </c>
      <c r="C6" s="264">
        <v>1.0</v>
      </c>
      <c r="D6" s="264" t="s">
        <v>597</v>
      </c>
      <c r="E6" s="265">
        <v>1.75</v>
      </c>
      <c r="F6" s="265">
        <v>1.75</v>
      </c>
      <c r="G6" s="266" t="str">
        <f>IFERROR(__xludf.DUMMYFUNCTION("""COMPUTED_VALUE"""),"H/F (18mm)")</f>
        <v>H/F (18mm)</v>
      </c>
      <c r="H6" s="264">
        <v>1.0</v>
      </c>
      <c r="I6" s="264">
        <v>2.0</v>
      </c>
      <c r="J6" s="264"/>
      <c r="K6" s="264"/>
      <c r="L6" s="264"/>
      <c r="M6" s="270" t="str">
        <f>IFERROR(__xludf.DUMMYFUNCTION("""COMPUTED_VALUE"""),"Sayerlack AF0072 Interior Clear Self-Sealer")</f>
        <v>Sayerlack AF0072 Interior Clear Self-Sealer</v>
      </c>
      <c r="N6" s="264" t="s">
        <v>6</v>
      </c>
      <c r="O6" s="264">
        <v>1.0</v>
      </c>
      <c r="P6" s="267"/>
      <c r="Q6" s="265">
        <v>4.0</v>
      </c>
      <c r="R6" s="264" t="s">
        <v>598</v>
      </c>
      <c r="S6" s="264"/>
      <c r="T6" s="264"/>
      <c r="U6" s="264"/>
      <c r="V6" s="264"/>
      <c r="W6" s="264"/>
      <c r="X6" s="268"/>
    </row>
    <row r="7">
      <c r="A7" s="267" t="str">
        <f>IFERROR(__xludf.DUMMYFUNCTION("""COMPUTED_VALUE"""),"H/F (18mm)")</f>
        <v>H/F (18mm)</v>
      </c>
      <c r="B7" s="264">
        <v>1.0</v>
      </c>
      <c r="C7" s="264">
        <v>1.0</v>
      </c>
      <c r="D7" s="264" t="s">
        <v>599</v>
      </c>
      <c r="E7" s="265">
        <v>2.5</v>
      </c>
      <c r="F7" s="265">
        <v>2.5</v>
      </c>
      <c r="G7" s="266" t="str">
        <f>IFERROR(__xludf.DUMMYFUNCTION("""COMPUTED_VALUE"""),"H/F (15mm)")</f>
        <v>H/F (15mm)</v>
      </c>
      <c r="H7" s="264">
        <v>1.0</v>
      </c>
      <c r="I7" s="264">
        <v>2.0</v>
      </c>
      <c r="J7" s="264"/>
      <c r="K7" s="264"/>
      <c r="L7" s="264"/>
      <c r="M7" s="270" t="str">
        <f>IFERROR(__xludf.DUMMYFUNCTION("""COMPUTED_VALUE"""),"Rubio Monocoat Oil Plus")</f>
        <v>Rubio Monocoat Oil Plus</v>
      </c>
      <c r="N7" s="264" t="s">
        <v>6</v>
      </c>
      <c r="O7" s="264">
        <v>1.0</v>
      </c>
      <c r="P7" s="267"/>
      <c r="Q7" s="265">
        <v>5.0</v>
      </c>
      <c r="R7" s="264" t="s">
        <v>600</v>
      </c>
      <c r="S7" s="264"/>
      <c r="T7" s="264"/>
      <c r="U7" s="264"/>
      <c r="V7" s="264"/>
      <c r="W7" s="264"/>
      <c r="X7" s="268"/>
    </row>
    <row r="8">
      <c r="A8" s="270" t="str">
        <f>IFERROR(__xludf.DUMMYFUNCTION("""COMPUTED_VALUE"""),"Poplar ply (18mm)")</f>
        <v>Poplar ply (18mm)</v>
      </c>
      <c r="B8" s="264">
        <v>1.0</v>
      </c>
      <c r="C8" s="264">
        <v>1.0</v>
      </c>
      <c r="D8" s="264" t="s">
        <v>601</v>
      </c>
      <c r="E8" s="264">
        <v>3.0</v>
      </c>
      <c r="F8" s="264">
        <v>3.0</v>
      </c>
      <c r="G8" s="267" t="str">
        <f>IFERROR(__xludf.DUMMYFUNCTION("""COMPUTED_VALUE"""),"Birch ply (18mm)")</f>
        <v>Birch ply (18mm)</v>
      </c>
      <c r="H8" s="264">
        <v>1.0</v>
      </c>
      <c r="I8" s="264">
        <v>1.0</v>
      </c>
      <c r="J8" s="264"/>
      <c r="K8" s="264"/>
      <c r="L8" s="264"/>
      <c r="M8" s="270" t="str">
        <f>IFERROR(__xludf.DUMMYFUNCTION("""COMPUTED_VALUE"""),"Rubio Wood Cream")</f>
        <v>Rubio Wood Cream</v>
      </c>
      <c r="N8" s="264" t="s">
        <v>6</v>
      </c>
      <c r="O8" s="264">
        <v>1.0</v>
      </c>
      <c r="P8" s="267"/>
      <c r="Q8" s="265">
        <v>6.0</v>
      </c>
      <c r="R8" s="264" t="s">
        <v>602</v>
      </c>
      <c r="S8" s="264"/>
      <c r="T8" s="264"/>
      <c r="U8" s="264"/>
      <c r="V8" s="264"/>
      <c r="W8" s="264"/>
      <c r="X8" s="268"/>
    </row>
    <row r="9">
      <c r="A9" s="270" t="str">
        <f>IFERROR(__xludf.DUMMYFUNCTION("""COMPUTED_VALUE"""),"Birch ply (18mm)")</f>
        <v>Birch ply (18mm)</v>
      </c>
      <c r="B9" s="264">
        <v>1.0</v>
      </c>
      <c r="C9" s="264">
        <v>1.0</v>
      </c>
      <c r="D9" s="264" t="s">
        <v>603</v>
      </c>
      <c r="E9" s="264">
        <v>3.5</v>
      </c>
      <c r="F9" s="264">
        <v>3.5</v>
      </c>
      <c r="G9" s="270" t="str">
        <f>IFERROR(__xludf.DUMMYFUNCTION("""COMPUTED_VALUE"""),"Valchromat - black (19mm)")</f>
        <v>Valchromat - black (19mm)</v>
      </c>
      <c r="H9" s="264">
        <v>1.0</v>
      </c>
      <c r="I9" s="264">
        <v>1.0</v>
      </c>
      <c r="J9" s="268"/>
      <c r="K9" s="268"/>
      <c r="L9" s="268"/>
      <c r="M9" s="270" t="str">
        <f>IFERROR(__xludf.DUMMYFUNCTION("""COMPUTED_VALUE"""),"Adler raw clear (no hardener)")</f>
        <v>Adler raw clear (no hardener)</v>
      </c>
      <c r="N9" s="264" t="s">
        <v>6</v>
      </c>
      <c r="O9" s="264">
        <v>1.0</v>
      </c>
      <c r="P9" s="270"/>
      <c r="Q9" s="265">
        <v>7.0</v>
      </c>
      <c r="R9" s="264" t="s">
        <v>604</v>
      </c>
      <c r="S9" s="264"/>
      <c r="T9" s="264"/>
      <c r="U9" s="264"/>
      <c r="V9" s="264"/>
      <c r="W9" s="264"/>
      <c r="X9" s="268"/>
    </row>
    <row r="10">
      <c r="A10" s="270" t="str">
        <f>IFERROR(__xludf.DUMMYFUNCTION("""COMPUTED_VALUE"""),"Valchromat - black (19mm)")</f>
        <v>Valchromat - black (19mm)</v>
      </c>
      <c r="B10" s="264">
        <v>1.0</v>
      </c>
      <c r="C10" s="264">
        <v>1.0</v>
      </c>
      <c r="D10" s="264" t="s">
        <v>605</v>
      </c>
      <c r="E10" s="264">
        <v>3.5</v>
      </c>
      <c r="F10" s="264">
        <v>3.5</v>
      </c>
      <c r="G10" s="270"/>
      <c r="H10" s="268"/>
      <c r="I10" s="268"/>
      <c r="J10" s="268"/>
      <c r="K10" s="268"/>
      <c r="L10" s="268"/>
      <c r="M10" s="270" t="str">
        <f>IFERROR(__xludf.DUMMYFUNCTION("""COMPUTED_VALUE"""),"Adler raw clear (with hardener)")</f>
        <v>Adler raw clear (with hardener)</v>
      </c>
      <c r="N10" s="264" t="s">
        <v>6</v>
      </c>
      <c r="O10" s="264">
        <v>1.25</v>
      </c>
      <c r="P10" s="270"/>
      <c r="Q10" s="265">
        <v>8.0</v>
      </c>
      <c r="R10" s="264" t="s">
        <v>606</v>
      </c>
      <c r="S10" s="264"/>
      <c r="T10" s="264"/>
      <c r="U10" s="264"/>
      <c r="V10" s="264"/>
      <c r="W10" s="264"/>
      <c r="X10" s="268"/>
    </row>
    <row r="11">
      <c r="A11" s="270"/>
      <c r="B11" s="268"/>
      <c r="C11" s="268"/>
      <c r="D11" s="268"/>
      <c r="E11" s="268"/>
      <c r="F11" s="268"/>
      <c r="G11" s="270"/>
      <c r="H11" s="268"/>
      <c r="I11" s="268"/>
      <c r="J11" s="268"/>
      <c r="K11" s="268"/>
      <c r="L11" s="268"/>
      <c r="M11" s="270"/>
      <c r="N11" s="268"/>
      <c r="O11" s="268"/>
      <c r="P11" s="270"/>
      <c r="Q11" s="265">
        <v>9.0</v>
      </c>
      <c r="R11" s="264" t="s">
        <v>607</v>
      </c>
      <c r="S11" s="264"/>
      <c r="T11" s="264"/>
      <c r="U11" s="264"/>
      <c r="V11" s="264"/>
      <c r="W11" s="264"/>
      <c r="X11" s="268"/>
    </row>
    <row r="12">
      <c r="A12" s="270"/>
      <c r="B12" s="268"/>
      <c r="C12" s="268"/>
      <c r="D12" s="268"/>
      <c r="E12" s="268"/>
      <c r="F12" s="268"/>
      <c r="G12" s="270"/>
      <c r="H12" s="268"/>
      <c r="I12" s="268"/>
      <c r="J12" s="268"/>
      <c r="K12" s="268"/>
      <c r="L12" s="268"/>
      <c r="M12" s="270"/>
      <c r="N12" s="268"/>
      <c r="O12" s="268"/>
      <c r="P12" s="270"/>
      <c r="Q12" s="265">
        <v>10.0</v>
      </c>
      <c r="R12" s="264" t="s">
        <v>608</v>
      </c>
      <c r="S12" s="264"/>
      <c r="T12" s="264"/>
      <c r="U12" s="264"/>
      <c r="V12" s="264"/>
      <c r="W12" s="264"/>
      <c r="X12" s="268"/>
    </row>
    <row r="13">
      <c r="A13" s="270"/>
      <c r="B13" s="268"/>
      <c r="C13" s="268"/>
      <c r="D13" s="268"/>
      <c r="E13" s="268"/>
      <c r="F13" s="268"/>
      <c r="G13" s="270"/>
      <c r="H13" s="268"/>
      <c r="I13" s="268"/>
      <c r="J13" s="268"/>
      <c r="K13" s="268"/>
      <c r="L13" s="268"/>
      <c r="M13" s="270"/>
      <c r="N13" s="268"/>
      <c r="O13" s="268"/>
      <c r="P13" s="270"/>
      <c r="Q13" s="265">
        <v>11.0</v>
      </c>
      <c r="R13" s="264" t="s">
        <v>609</v>
      </c>
      <c r="S13" s="264"/>
      <c r="T13" s="264"/>
      <c r="U13" s="264"/>
      <c r="V13" s="264"/>
      <c r="W13" s="264"/>
      <c r="X13" s="268"/>
    </row>
    <row r="14">
      <c r="A14" s="270"/>
      <c r="B14" s="268"/>
      <c r="C14" s="268"/>
      <c r="D14" s="268"/>
      <c r="E14" s="268"/>
      <c r="F14" s="268"/>
      <c r="G14" s="270"/>
      <c r="H14" s="268"/>
      <c r="I14" s="268"/>
      <c r="J14" s="268"/>
      <c r="K14" s="268"/>
      <c r="L14" s="268"/>
      <c r="M14" s="270"/>
      <c r="N14" s="268"/>
      <c r="O14" s="268"/>
      <c r="P14" s="270"/>
      <c r="Q14" s="265">
        <v>12.0</v>
      </c>
      <c r="R14" s="264"/>
      <c r="S14" s="264"/>
      <c r="T14" s="264"/>
      <c r="U14" s="264"/>
      <c r="V14" s="264"/>
      <c r="W14" s="264"/>
      <c r="X14" s="268"/>
    </row>
    <row r="15">
      <c r="A15" s="270"/>
      <c r="B15" s="268"/>
      <c r="C15" s="268"/>
      <c r="D15" s="268"/>
      <c r="E15" s="268"/>
      <c r="F15" s="268"/>
      <c r="G15" s="270"/>
      <c r="H15" s="268"/>
      <c r="I15" s="268"/>
      <c r="J15" s="268"/>
      <c r="K15" s="268"/>
      <c r="L15" s="268"/>
      <c r="M15" s="270"/>
      <c r="N15" s="268"/>
      <c r="O15" s="268"/>
      <c r="P15" s="270"/>
      <c r="Q15" s="265">
        <v>13.0</v>
      </c>
      <c r="R15" s="268"/>
      <c r="S15" s="268"/>
      <c r="T15" s="268"/>
      <c r="U15" s="268"/>
      <c r="V15" s="268"/>
      <c r="W15" s="268"/>
      <c r="X15" s="268"/>
    </row>
    <row r="16">
      <c r="A16" s="270"/>
      <c r="B16" s="268"/>
      <c r="C16" s="268"/>
      <c r="D16" s="268"/>
      <c r="E16" s="268"/>
      <c r="F16" s="268"/>
      <c r="G16" s="270"/>
      <c r="H16" s="268"/>
      <c r="I16" s="268"/>
      <c r="J16" s="268"/>
      <c r="K16" s="268"/>
      <c r="L16" s="268"/>
      <c r="M16" s="270"/>
      <c r="N16" s="268"/>
      <c r="O16" s="268"/>
      <c r="P16" s="270"/>
      <c r="Q16" s="265">
        <v>14.0</v>
      </c>
      <c r="R16" s="271"/>
      <c r="S16" s="268"/>
      <c r="T16" s="268"/>
      <c r="U16" s="268"/>
      <c r="V16" s="268"/>
      <c r="W16" s="268"/>
      <c r="X16" s="268"/>
    </row>
    <row r="17">
      <c r="A17" s="270"/>
      <c r="B17" s="268"/>
      <c r="C17" s="268"/>
      <c r="D17" s="268"/>
      <c r="E17" s="268"/>
      <c r="F17" s="268"/>
      <c r="G17" s="270"/>
      <c r="H17" s="268"/>
      <c r="I17" s="268"/>
      <c r="J17" s="268"/>
      <c r="K17" s="268"/>
      <c r="L17" s="268"/>
      <c r="M17" s="270"/>
      <c r="N17" s="268"/>
      <c r="O17" s="268"/>
      <c r="P17" s="270"/>
      <c r="Q17" s="265">
        <v>15.0</v>
      </c>
      <c r="R17" s="268"/>
      <c r="S17" s="268"/>
      <c r="T17" s="268"/>
      <c r="U17" s="268"/>
      <c r="V17" s="268"/>
      <c r="W17" s="268"/>
      <c r="X17" s="268"/>
    </row>
    <row r="18">
      <c r="A18" s="270"/>
      <c r="B18" s="268"/>
      <c r="C18" s="268"/>
      <c r="D18" s="268"/>
      <c r="E18" s="268"/>
      <c r="F18" s="268"/>
      <c r="G18" s="270"/>
      <c r="H18" s="268"/>
      <c r="I18" s="268"/>
      <c r="J18" s="268"/>
      <c r="K18" s="268"/>
      <c r="L18" s="268"/>
      <c r="M18" s="270"/>
      <c r="N18" s="268"/>
      <c r="O18" s="268"/>
      <c r="P18" s="270"/>
      <c r="Q18" s="265">
        <v>16.0</v>
      </c>
      <c r="R18" s="268"/>
      <c r="S18" s="268"/>
      <c r="T18" s="268"/>
      <c r="U18" s="268"/>
      <c r="V18" s="268"/>
      <c r="W18" s="268"/>
      <c r="X18" s="268"/>
    </row>
    <row r="19">
      <c r="A19" s="270"/>
      <c r="B19" s="268"/>
      <c r="C19" s="268"/>
      <c r="D19" s="268"/>
      <c r="E19" s="268"/>
      <c r="F19" s="268"/>
      <c r="G19" s="270"/>
      <c r="H19" s="268"/>
      <c r="I19" s="268"/>
      <c r="J19" s="268"/>
      <c r="K19" s="268"/>
      <c r="L19" s="268"/>
      <c r="M19" s="270"/>
      <c r="N19" s="268"/>
      <c r="O19" s="268"/>
      <c r="P19" s="270"/>
      <c r="Q19" s="265">
        <v>17.0</v>
      </c>
      <c r="R19" s="268"/>
      <c r="S19" s="268"/>
      <c r="T19" s="268"/>
      <c r="U19" s="268"/>
      <c r="V19" s="268"/>
      <c r="W19" s="268"/>
      <c r="X19" s="268"/>
    </row>
    <row r="20">
      <c r="A20" s="270"/>
      <c r="B20" s="268"/>
      <c r="C20" s="268"/>
      <c r="D20" s="268"/>
      <c r="E20" s="268"/>
      <c r="F20" s="268"/>
      <c r="G20" s="270"/>
      <c r="H20" s="268"/>
      <c r="I20" s="268"/>
      <c r="J20" s="268"/>
      <c r="K20" s="268"/>
      <c r="L20" s="268"/>
      <c r="M20" s="270"/>
      <c r="N20" s="268"/>
      <c r="O20" s="268"/>
      <c r="P20" s="270"/>
      <c r="Q20" s="265">
        <v>18.0</v>
      </c>
      <c r="R20" s="268"/>
      <c r="S20" s="268"/>
      <c r="T20" s="268"/>
      <c r="U20" s="268"/>
      <c r="V20" s="268"/>
      <c r="W20" s="268"/>
      <c r="X20" s="268"/>
    </row>
    <row r="21">
      <c r="A21" s="270"/>
      <c r="B21" s="268"/>
      <c r="C21" s="268"/>
      <c r="D21" s="268"/>
      <c r="E21" s="268"/>
      <c r="F21" s="268"/>
      <c r="G21" s="270"/>
      <c r="H21" s="268"/>
      <c r="I21" s="268"/>
      <c r="J21" s="268"/>
      <c r="K21" s="268"/>
      <c r="L21" s="268"/>
      <c r="M21" s="270"/>
      <c r="N21" s="268"/>
      <c r="O21" s="268"/>
      <c r="P21" s="270"/>
      <c r="Q21" s="265">
        <v>19.0</v>
      </c>
      <c r="R21" s="268"/>
      <c r="S21" s="268"/>
      <c r="T21" s="268"/>
      <c r="U21" s="268"/>
      <c r="V21" s="268"/>
      <c r="W21" s="268"/>
      <c r="X21" s="268"/>
    </row>
    <row r="22">
      <c r="A22" s="270"/>
      <c r="B22" s="268"/>
      <c r="C22" s="268"/>
      <c r="D22" s="268"/>
      <c r="E22" s="268"/>
      <c r="F22" s="268"/>
      <c r="G22" s="270"/>
      <c r="H22" s="268"/>
      <c r="I22" s="268"/>
      <c r="J22" s="268"/>
      <c r="K22" s="268"/>
      <c r="L22" s="268"/>
      <c r="M22" s="270"/>
      <c r="N22" s="268"/>
      <c r="O22" s="268"/>
      <c r="P22" s="270"/>
      <c r="Q22" s="265">
        <v>20.0</v>
      </c>
      <c r="R22" s="272"/>
      <c r="S22" s="268"/>
      <c r="T22" s="268"/>
      <c r="U22" s="268"/>
      <c r="V22" s="268"/>
      <c r="W22" s="268"/>
      <c r="X22" s="268"/>
    </row>
    <row r="23">
      <c r="A23" s="270"/>
      <c r="B23" s="268"/>
      <c r="C23" s="268"/>
      <c r="D23" s="268"/>
      <c r="E23" s="268"/>
      <c r="F23" s="268"/>
      <c r="G23" s="270"/>
      <c r="H23" s="268"/>
      <c r="I23" s="268"/>
      <c r="J23" s="268"/>
      <c r="K23" s="268"/>
      <c r="L23" s="268"/>
      <c r="M23" s="270"/>
      <c r="N23" s="268"/>
      <c r="O23" s="268"/>
      <c r="P23" s="270"/>
      <c r="Q23" s="265">
        <v>21.0</v>
      </c>
      <c r="R23" s="271"/>
      <c r="S23" s="268"/>
      <c r="T23" s="268"/>
      <c r="U23" s="268"/>
      <c r="V23" s="268"/>
      <c r="W23" s="268"/>
      <c r="X23" s="268"/>
    </row>
    <row r="24">
      <c r="A24" s="270"/>
      <c r="B24" s="268"/>
      <c r="C24" s="268"/>
      <c r="D24" s="268"/>
      <c r="E24" s="268"/>
      <c r="F24" s="268"/>
      <c r="G24" s="270"/>
      <c r="H24" s="268"/>
      <c r="I24" s="268"/>
      <c r="J24" s="268"/>
      <c r="K24" s="268"/>
      <c r="L24" s="268"/>
      <c r="M24" s="270"/>
      <c r="N24" s="268"/>
      <c r="O24" s="268"/>
      <c r="P24" s="270"/>
      <c r="Q24" s="265">
        <v>22.0</v>
      </c>
      <c r="R24" s="268"/>
      <c r="S24" s="268"/>
      <c r="T24" s="268"/>
      <c r="U24" s="268"/>
      <c r="V24" s="268"/>
      <c r="W24" s="268"/>
      <c r="X24" s="268"/>
    </row>
    <row r="25">
      <c r="A25" s="270"/>
      <c r="B25" s="268"/>
      <c r="C25" s="268"/>
      <c r="D25" s="268"/>
      <c r="E25" s="268"/>
      <c r="F25" s="268"/>
      <c r="G25" s="270"/>
      <c r="H25" s="268"/>
      <c r="I25" s="268"/>
      <c r="J25" s="268"/>
      <c r="K25" s="268"/>
      <c r="L25" s="268"/>
      <c r="M25" s="270"/>
      <c r="N25" s="268"/>
      <c r="O25" s="268"/>
      <c r="P25" s="270"/>
      <c r="Q25" s="265">
        <v>23.0</v>
      </c>
      <c r="R25" s="268"/>
      <c r="S25" s="268"/>
      <c r="T25" s="268"/>
      <c r="U25" s="268"/>
      <c r="V25" s="268"/>
      <c r="W25" s="268"/>
      <c r="X25" s="268"/>
    </row>
    <row r="26">
      <c r="A26" s="270"/>
      <c r="B26" s="268"/>
      <c r="C26" s="268"/>
      <c r="D26" s="268"/>
      <c r="E26" s="268"/>
      <c r="F26" s="268"/>
      <c r="G26" s="270"/>
      <c r="H26" s="268"/>
      <c r="I26" s="268"/>
      <c r="J26" s="268"/>
      <c r="K26" s="268"/>
      <c r="L26" s="268"/>
      <c r="M26" s="270"/>
      <c r="N26" s="268"/>
      <c r="O26" s="268"/>
      <c r="P26" s="270"/>
      <c r="Q26" s="265">
        <v>24.0</v>
      </c>
      <c r="R26" s="268"/>
      <c r="S26" s="268"/>
      <c r="T26" s="268"/>
      <c r="U26" s="268"/>
      <c r="V26" s="268"/>
      <c r="W26" s="268"/>
      <c r="X26" s="268"/>
    </row>
    <row r="27">
      <c r="A27" s="270"/>
      <c r="B27" s="268"/>
      <c r="C27" s="268"/>
      <c r="D27" s="268"/>
      <c r="E27" s="268"/>
      <c r="F27" s="268"/>
      <c r="G27" s="270"/>
      <c r="H27" s="268"/>
      <c r="I27" s="268"/>
      <c r="J27" s="268"/>
      <c r="K27" s="268"/>
      <c r="L27" s="268"/>
      <c r="M27" s="270"/>
      <c r="N27" s="268"/>
      <c r="O27" s="268"/>
      <c r="P27" s="270"/>
      <c r="Q27" s="265">
        <v>25.0</v>
      </c>
      <c r="R27" s="268"/>
      <c r="S27" s="268"/>
      <c r="T27" s="268"/>
      <c r="U27" s="268"/>
      <c r="V27" s="268"/>
      <c r="W27" s="268"/>
      <c r="X27" s="268"/>
    </row>
    <row r="28">
      <c r="A28" s="270"/>
      <c r="B28" s="268"/>
      <c r="C28" s="268"/>
      <c r="D28" s="268"/>
      <c r="E28" s="268"/>
      <c r="F28" s="268"/>
      <c r="G28" s="270"/>
      <c r="H28" s="268"/>
      <c r="I28" s="268"/>
      <c r="J28" s="268"/>
      <c r="K28" s="268"/>
      <c r="L28" s="268"/>
      <c r="M28" s="270"/>
      <c r="N28" s="268"/>
      <c r="O28" s="268"/>
      <c r="P28" s="270"/>
      <c r="Q28" s="265">
        <v>26.0</v>
      </c>
      <c r="R28" s="268"/>
      <c r="S28" s="268"/>
      <c r="T28" s="268"/>
      <c r="U28" s="268"/>
      <c r="V28" s="268"/>
      <c r="W28" s="268"/>
      <c r="X28" s="268"/>
    </row>
    <row r="29">
      <c r="A29" s="270"/>
      <c r="B29" s="268"/>
      <c r="C29" s="268"/>
      <c r="D29" s="268"/>
      <c r="E29" s="268"/>
      <c r="F29" s="268"/>
      <c r="G29" s="270"/>
      <c r="H29" s="268"/>
      <c r="I29" s="268"/>
      <c r="J29" s="268"/>
      <c r="K29" s="268"/>
      <c r="L29" s="268"/>
      <c r="M29" s="270"/>
      <c r="N29" s="268"/>
      <c r="O29" s="268"/>
      <c r="P29" s="270"/>
      <c r="Q29" s="265">
        <v>27.0</v>
      </c>
      <c r="R29" s="268"/>
      <c r="S29" s="268"/>
      <c r="T29" s="268"/>
      <c r="U29" s="268"/>
      <c r="V29" s="268"/>
      <c r="W29" s="268"/>
      <c r="X29" s="268"/>
    </row>
    <row r="30">
      <c r="A30" s="270"/>
      <c r="B30" s="268"/>
      <c r="C30" s="268"/>
      <c r="D30" s="268"/>
      <c r="E30" s="268"/>
      <c r="F30" s="268"/>
      <c r="G30" s="270"/>
      <c r="H30" s="268"/>
      <c r="I30" s="268"/>
      <c r="J30" s="268"/>
      <c r="K30" s="268"/>
      <c r="L30" s="268"/>
      <c r="M30" s="270"/>
      <c r="N30" s="268"/>
      <c r="O30" s="268"/>
      <c r="P30" s="270"/>
      <c r="Q30" s="265">
        <v>28.0</v>
      </c>
      <c r="R30" s="268"/>
      <c r="S30" s="268"/>
      <c r="T30" s="268"/>
      <c r="U30" s="268"/>
      <c r="V30" s="268"/>
      <c r="W30" s="268"/>
      <c r="X30" s="268"/>
    </row>
    <row r="31">
      <c r="A31" s="270"/>
      <c r="B31" s="268"/>
      <c r="C31" s="268"/>
      <c r="D31" s="268"/>
      <c r="E31" s="268"/>
      <c r="F31" s="268"/>
      <c r="G31" s="270"/>
      <c r="H31" s="268"/>
      <c r="I31" s="268"/>
      <c r="J31" s="268"/>
      <c r="K31" s="268"/>
      <c r="L31" s="268"/>
      <c r="M31" s="270"/>
      <c r="N31" s="268"/>
      <c r="O31" s="268"/>
      <c r="P31" s="270"/>
      <c r="Q31" s="265">
        <v>29.0</v>
      </c>
      <c r="R31" s="268"/>
      <c r="S31" s="268"/>
      <c r="T31" s="268"/>
      <c r="U31" s="268"/>
      <c r="V31" s="268"/>
      <c r="W31" s="268"/>
      <c r="X31" s="268"/>
    </row>
    <row r="32">
      <c r="A32" s="270"/>
      <c r="B32" s="268"/>
      <c r="C32" s="268"/>
      <c r="D32" s="268"/>
      <c r="E32" s="268"/>
      <c r="F32" s="268"/>
      <c r="G32" s="270"/>
      <c r="H32" s="268"/>
      <c r="I32" s="268"/>
      <c r="J32" s="268"/>
      <c r="K32" s="268"/>
      <c r="L32" s="268"/>
      <c r="M32" s="270"/>
      <c r="N32" s="268"/>
      <c r="O32" s="268"/>
      <c r="P32" s="270"/>
      <c r="Q32" s="265">
        <v>30.0</v>
      </c>
      <c r="R32" s="268"/>
      <c r="S32" s="268"/>
      <c r="T32" s="268"/>
      <c r="U32" s="268"/>
      <c r="V32" s="268"/>
      <c r="W32" s="268"/>
      <c r="X32" s="268"/>
    </row>
    <row r="33">
      <c r="A33" s="270"/>
      <c r="B33" s="268"/>
      <c r="C33" s="268"/>
      <c r="D33" s="268"/>
      <c r="E33" s="268"/>
      <c r="F33" s="268"/>
      <c r="G33" s="270"/>
      <c r="H33" s="268"/>
      <c r="I33" s="268"/>
      <c r="J33" s="268"/>
      <c r="K33" s="268"/>
      <c r="L33" s="268"/>
      <c r="M33" s="270"/>
      <c r="N33" s="268"/>
      <c r="O33" s="268"/>
      <c r="P33" s="270"/>
      <c r="Q33" s="265">
        <v>31.0</v>
      </c>
      <c r="R33" s="268"/>
      <c r="S33" s="268"/>
      <c r="T33" s="268"/>
      <c r="U33" s="268"/>
      <c r="V33" s="268"/>
      <c r="W33" s="268"/>
      <c r="X33" s="268"/>
    </row>
    <row r="34">
      <c r="A34" s="270"/>
      <c r="B34" s="268"/>
      <c r="C34" s="268"/>
      <c r="D34" s="268"/>
      <c r="E34" s="268"/>
      <c r="F34" s="268"/>
      <c r="G34" s="270"/>
      <c r="H34" s="268"/>
      <c r="I34" s="268"/>
      <c r="J34" s="268"/>
      <c r="K34" s="268"/>
      <c r="L34" s="268"/>
      <c r="M34" s="270"/>
      <c r="N34" s="268"/>
      <c r="O34" s="268"/>
      <c r="P34" s="270"/>
      <c r="Q34" s="265">
        <v>32.0</v>
      </c>
      <c r="R34" s="268"/>
      <c r="S34" s="268"/>
      <c r="T34" s="268"/>
      <c r="U34" s="268"/>
      <c r="V34" s="268"/>
      <c r="W34" s="268"/>
      <c r="X34" s="268"/>
    </row>
    <row r="35">
      <c r="A35" s="270"/>
      <c r="B35" s="268"/>
      <c r="C35" s="268"/>
      <c r="D35" s="268"/>
      <c r="E35" s="268"/>
      <c r="F35" s="268"/>
      <c r="G35" s="270"/>
      <c r="H35" s="268"/>
      <c r="I35" s="268"/>
      <c r="J35" s="268"/>
      <c r="K35" s="268"/>
      <c r="L35" s="268"/>
      <c r="M35" s="270"/>
      <c r="N35" s="268"/>
      <c r="O35" s="268"/>
      <c r="P35" s="270"/>
      <c r="Q35" s="265">
        <v>33.0</v>
      </c>
      <c r="R35" s="268"/>
      <c r="S35" s="268"/>
      <c r="T35" s="268"/>
      <c r="U35" s="268"/>
      <c r="V35" s="268"/>
      <c r="W35" s="268"/>
      <c r="X35" s="268"/>
    </row>
    <row r="36">
      <c r="A36" s="270"/>
      <c r="B36" s="268"/>
      <c r="C36" s="268"/>
      <c r="D36" s="268"/>
      <c r="E36" s="268"/>
      <c r="F36" s="268"/>
      <c r="G36" s="270"/>
      <c r="H36" s="268"/>
      <c r="I36" s="268"/>
      <c r="J36" s="268"/>
      <c r="K36" s="268"/>
      <c r="L36" s="268"/>
      <c r="M36" s="270"/>
      <c r="N36" s="268"/>
      <c r="O36" s="268"/>
      <c r="P36" s="270"/>
      <c r="Q36" s="265">
        <v>34.0</v>
      </c>
      <c r="R36" s="268"/>
      <c r="S36" s="268"/>
      <c r="T36" s="268"/>
      <c r="U36" s="268"/>
      <c r="V36" s="268"/>
      <c r="W36" s="268"/>
      <c r="X36" s="268"/>
    </row>
    <row r="37">
      <c r="A37" s="270"/>
      <c r="B37" s="268"/>
      <c r="C37" s="268"/>
      <c r="D37" s="268"/>
      <c r="E37" s="268"/>
      <c r="F37" s="268"/>
      <c r="G37" s="270"/>
      <c r="H37" s="268"/>
      <c r="I37" s="268"/>
      <c r="J37" s="268"/>
      <c r="K37" s="268"/>
      <c r="L37" s="268"/>
      <c r="M37" s="270"/>
      <c r="N37" s="268"/>
      <c r="O37" s="268"/>
      <c r="P37" s="270"/>
      <c r="Q37" s="265">
        <v>35.0</v>
      </c>
      <c r="R37" s="268"/>
      <c r="S37" s="268"/>
      <c r="T37" s="268"/>
      <c r="U37" s="268"/>
      <c r="V37" s="268"/>
      <c r="W37" s="268"/>
      <c r="X37" s="268"/>
    </row>
    <row r="38">
      <c r="A38" s="270"/>
      <c r="B38" s="268"/>
      <c r="C38" s="268"/>
      <c r="D38" s="268"/>
      <c r="E38" s="268"/>
      <c r="F38" s="268"/>
      <c r="G38" s="270"/>
      <c r="H38" s="268"/>
      <c r="I38" s="268"/>
      <c r="J38" s="268"/>
      <c r="K38" s="268"/>
      <c r="L38" s="268"/>
      <c r="M38" s="270"/>
      <c r="N38" s="268"/>
      <c r="O38" s="268"/>
      <c r="P38" s="270"/>
      <c r="Q38" s="265">
        <v>36.0</v>
      </c>
      <c r="R38" s="268"/>
      <c r="S38" s="268"/>
      <c r="T38" s="268"/>
      <c r="U38" s="268"/>
      <c r="V38" s="268"/>
      <c r="W38" s="268"/>
      <c r="X38" s="268"/>
    </row>
    <row r="39">
      <c r="A39" s="270"/>
      <c r="B39" s="268"/>
      <c r="C39" s="268"/>
      <c r="D39" s="268"/>
      <c r="E39" s="268"/>
      <c r="F39" s="268"/>
      <c r="G39" s="270"/>
      <c r="H39" s="268"/>
      <c r="I39" s="268"/>
      <c r="J39" s="268"/>
      <c r="K39" s="268"/>
      <c r="L39" s="268"/>
      <c r="M39" s="270"/>
      <c r="N39" s="268"/>
      <c r="O39" s="268"/>
      <c r="P39" s="270"/>
      <c r="Q39" s="265">
        <v>37.0</v>
      </c>
      <c r="R39" s="268"/>
      <c r="S39" s="268"/>
      <c r="T39" s="268"/>
      <c r="U39" s="268"/>
      <c r="V39" s="268"/>
      <c r="W39" s="268"/>
      <c r="X39" s="268"/>
    </row>
    <row r="40">
      <c r="A40" s="270"/>
      <c r="B40" s="268"/>
      <c r="C40" s="268"/>
      <c r="D40" s="268"/>
      <c r="E40" s="268"/>
      <c r="F40" s="268"/>
      <c r="G40" s="270"/>
      <c r="H40" s="268"/>
      <c r="I40" s="268"/>
      <c r="J40" s="268"/>
      <c r="K40" s="268"/>
      <c r="L40" s="268"/>
      <c r="M40" s="270"/>
      <c r="N40" s="268"/>
      <c r="O40" s="268"/>
      <c r="P40" s="270"/>
      <c r="Q40" s="265">
        <v>38.0</v>
      </c>
      <c r="R40" s="268"/>
      <c r="S40" s="268"/>
      <c r="T40" s="268"/>
      <c r="U40" s="268"/>
      <c r="V40" s="268"/>
      <c r="W40" s="268"/>
      <c r="X40" s="268"/>
    </row>
    <row r="41">
      <c r="A41" s="270"/>
      <c r="B41" s="268"/>
      <c r="C41" s="268"/>
      <c r="D41" s="268"/>
      <c r="E41" s="268"/>
      <c r="F41" s="268"/>
      <c r="G41" s="270"/>
      <c r="H41" s="268"/>
      <c r="I41" s="268"/>
      <c r="J41" s="268"/>
      <c r="K41" s="268"/>
      <c r="L41" s="268"/>
      <c r="M41" s="270"/>
      <c r="N41" s="268"/>
      <c r="O41" s="268"/>
      <c r="P41" s="270"/>
      <c r="Q41" s="265">
        <v>39.0</v>
      </c>
      <c r="R41" s="268"/>
      <c r="S41" s="268"/>
      <c r="T41" s="268"/>
      <c r="U41" s="268"/>
      <c r="V41" s="268"/>
      <c r="W41" s="268"/>
      <c r="X41" s="268"/>
    </row>
    <row r="42">
      <c r="A42" s="270"/>
      <c r="B42" s="268"/>
      <c r="C42" s="268"/>
      <c r="D42" s="268"/>
      <c r="E42" s="268"/>
      <c r="F42" s="268"/>
      <c r="G42" s="270"/>
      <c r="H42" s="268"/>
      <c r="I42" s="268"/>
      <c r="J42" s="268"/>
      <c r="K42" s="268"/>
      <c r="L42" s="268"/>
      <c r="M42" s="270"/>
      <c r="N42" s="268"/>
      <c r="O42" s="268"/>
      <c r="P42" s="270"/>
      <c r="Q42" s="265">
        <v>40.0</v>
      </c>
      <c r="R42" s="268"/>
      <c r="S42" s="268"/>
      <c r="T42" s="268"/>
      <c r="U42" s="268"/>
      <c r="V42" s="268"/>
      <c r="W42" s="268"/>
      <c r="X42" s="268"/>
    </row>
    <row r="43">
      <c r="A43" s="270"/>
      <c r="B43" s="268"/>
      <c r="C43" s="268"/>
      <c r="D43" s="268"/>
      <c r="E43" s="268"/>
      <c r="F43" s="268"/>
      <c r="G43" s="270"/>
      <c r="H43" s="268"/>
      <c r="I43" s="268"/>
      <c r="J43" s="268"/>
      <c r="K43" s="268"/>
      <c r="L43" s="268"/>
      <c r="M43" s="270"/>
      <c r="N43" s="268"/>
      <c r="O43" s="268"/>
      <c r="P43" s="270"/>
      <c r="Q43" s="265">
        <v>41.0</v>
      </c>
      <c r="R43" s="268"/>
      <c r="S43" s="268"/>
      <c r="T43" s="268"/>
      <c r="U43" s="268"/>
      <c r="V43" s="268"/>
      <c r="W43" s="268"/>
      <c r="X43" s="268"/>
    </row>
    <row r="44">
      <c r="A44" s="270"/>
      <c r="B44" s="268"/>
      <c r="C44" s="268"/>
      <c r="D44" s="268"/>
      <c r="E44" s="268"/>
      <c r="F44" s="268"/>
      <c r="G44" s="270"/>
      <c r="H44" s="268"/>
      <c r="I44" s="268"/>
      <c r="J44" s="268"/>
      <c r="K44" s="268"/>
      <c r="L44" s="268"/>
      <c r="M44" s="270"/>
      <c r="N44" s="268"/>
      <c r="O44" s="268"/>
      <c r="P44" s="270"/>
      <c r="Q44" s="265">
        <v>42.0</v>
      </c>
      <c r="R44" s="268"/>
      <c r="S44" s="268"/>
      <c r="T44" s="268"/>
      <c r="U44" s="268"/>
      <c r="V44" s="268"/>
      <c r="W44" s="268"/>
      <c r="X44" s="268"/>
    </row>
    <row r="45">
      <c r="A45" s="270"/>
      <c r="B45" s="268"/>
      <c r="C45" s="268"/>
      <c r="D45" s="268"/>
      <c r="E45" s="268"/>
      <c r="F45" s="268"/>
      <c r="G45" s="270"/>
      <c r="H45" s="268"/>
      <c r="I45" s="268"/>
      <c r="J45" s="268"/>
      <c r="K45" s="268"/>
      <c r="L45" s="268"/>
      <c r="M45" s="270"/>
      <c r="N45" s="268"/>
      <c r="O45" s="268"/>
      <c r="P45" s="270"/>
      <c r="Q45" s="265">
        <v>43.0</v>
      </c>
      <c r="R45" s="268"/>
      <c r="S45" s="268"/>
      <c r="T45" s="268"/>
      <c r="U45" s="268"/>
      <c r="V45" s="268"/>
      <c r="W45" s="268"/>
      <c r="X45" s="268"/>
    </row>
    <row r="46">
      <c r="A46" s="270"/>
      <c r="B46" s="268"/>
      <c r="C46" s="268"/>
      <c r="D46" s="268"/>
      <c r="E46" s="268"/>
      <c r="F46" s="268"/>
      <c r="G46" s="270"/>
      <c r="H46" s="268"/>
      <c r="I46" s="268"/>
      <c r="J46" s="268"/>
      <c r="K46" s="268"/>
      <c r="L46" s="268"/>
      <c r="M46" s="270"/>
      <c r="N46" s="268"/>
      <c r="O46" s="268"/>
      <c r="P46" s="270"/>
      <c r="Q46" s="265">
        <v>44.0</v>
      </c>
      <c r="R46" s="268"/>
      <c r="S46" s="268"/>
      <c r="T46" s="268"/>
      <c r="U46" s="268"/>
      <c r="V46" s="268"/>
      <c r="W46" s="268"/>
      <c r="X46" s="268"/>
    </row>
    <row r="47">
      <c r="A47" s="270"/>
      <c r="B47" s="268"/>
      <c r="C47" s="268"/>
      <c r="D47" s="268"/>
      <c r="E47" s="268"/>
      <c r="F47" s="268"/>
      <c r="G47" s="270"/>
      <c r="H47" s="268"/>
      <c r="I47" s="268"/>
      <c r="J47" s="268"/>
      <c r="K47" s="268"/>
      <c r="L47" s="268"/>
      <c r="M47" s="270"/>
      <c r="N47" s="268"/>
      <c r="O47" s="268"/>
      <c r="P47" s="270"/>
      <c r="Q47" s="265">
        <v>45.0</v>
      </c>
      <c r="R47" s="268"/>
      <c r="S47" s="268"/>
      <c r="T47" s="268"/>
      <c r="U47" s="268"/>
      <c r="V47" s="268"/>
      <c r="W47" s="268"/>
      <c r="X47" s="268"/>
    </row>
    <row r="48">
      <c r="A48" s="270"/>
      <c r="B48" s="268"/>
      <c r="C48" s="268"/>
      <c r="D48" s="268"/>
      <c r="E48" s="268"/>
      <c r="F48" s="268"/>
      <c r="G48" s="270"/>
      <c r="H48" s="268"/>
      <c r="I48" s="268"/>
      <c r="J48" s="268"/>
      <c r="K48" s="268"/>
      <c r="L48" s="268"/>
      <c r="M48" s="270"/>
      <c r="N48" s="268"/>
      <c r="O48" s="268"/>
      <c r="P48" s="270"/>
      <c r="Q48" s="265">
        <v>46.0</v>
      </c>
      <c r="R48" s="268"/>
      <c r="S48" s="268"/>
      <c r="T48" s="268"/>
      <c r="U48" s="268"/>
      <c r="V48" s="268"/>
      <c r="W48" s="268"/>
      <c r="X48" s="268"/>
    </row>
    <row r="49">
      <c r="A49" s="270"/>
      <c r="B49" s="268"/>
      <c r="C49" s="268"/>
      <c r="D49" s="268"/>
      <c r="E49" s="268"/>
      <c r="F49" s="268"/>
      <c r="G49" s="270"/>
      <c r="H49" s="268"/>
      <c r="I49" s="268"/>
      <c r="J49" s="268"/>
      <c r="K49" s="268"/>
      <c r="L49" s="268"/>
      <c r="M49" s="270"/>
      <c r="N49" s="268"/>
      <c r="O49" s="268"/>
      <c r="P49" s="270"/>
      <c r="Q49" s="265">
        <v>47.0</v>
      </c>
      <c r="R49" s="268"/>
      <c r="S49" s="268"/>
      <c r="T49" s="268"/>
      <c r="U49" s="268"/>
      <c r="V49" s="268"/>
      <c r="W49" s="268"/>
      <c r="X49" s="268"/>
    </row>
    <row r="50">
      <c r="A50" s="270"/>
      <c r="B50" s="268"/>
      <c r="C50" s="268"/>
      <c r="D50" s="268"/>
      <c r="E50" s="268"/>
      <c r="F50" s="268"/>
      <c r="G50" s="270"/>
      <c r="H50" s="268"/>
      <c r="I50" s="268"/>
      <c r="J50" s="268"/>
      <c r="K50" s="268"/>
      <c r="L50" s="268"/>
      <c r="M50" s="270"/>
      <c r="N50" s="268"/>
      <c r="O50" s="268"/>
      <c r="P50" s="270"/>
      <c r="Q50" s="265">
        <v>48.0</v>
      </c>
      <c r="R50" s="268"/>
      <c r="S50" s="268"/>
      <c r="T50" s="268"/>
      <c r="U50" s="268"/>
      <c r="V50" s="268"/>
      <c r="W50" s="268"/>
      <c r="X50" s="268"/>
    </row>
    <row r="51">
      <c r="A51" s="270"/>
      <c r="B51" s="268"/>
      <c r="C51" s="268"/>
      <c r="D51" s="268"/>
      <c r="E51" s="268"/>
      <c r="F51" s="268"/>
      <c r="G51" s="270"/>
      <c r="H51" s="268"/>
      <c r="I51" s="268"/>
      <c r="J51" s="268"/>
      <c r="K51" s="268"/>
      <c r="L51" s="268"/>
      <c r="M51" s="270"/>
      <c r="N51" s="268"/>
      <c r="O51" s="268"/>
      <c r="P51" s="270"/>
      <c r="Q51" s="265">
        <v>49.0</v>
      </c>
      <c r="R51" s="268"/>
      <c r="S51" s="268"/>
      <c r="T51" s="268"/>
      <c r="U51" s="268"/>
      <c r="V51" s="268"/>
      <c r="W51" s="268"/>
      <c r="X51" s="268"/>
    </row>
    <row r="52">
      <c r="A52" s="270"/>
      <c r="B52" s="268"/>
      <c r="C52" s="268"/>
      <c r="D52" s="268"/>
      <c r="E52" s="268"/>
      <c r="F52" s="268"/>
      <c r="G52" s="270"/>
      <c r="H52" s="268"/>
      <c r="I52" s="268"/>
      <c r="J52" s="268"/>
      <c r="K52" s="268"/>
      <c r="L52" s="268"/>
      <c r="M52" s="270"/>
      <c r="N52" s="268"/>
      <c r="O52" s="268"/>
      <c r="P52" s="270"/>
      <c r="Q52" s="265">
        <v>50.0</v>
      </c>
      <c r="R52" s="268"/>
      <c r="S52" s="268"/>
      <c r="T52" s="268"/>
      <c r="U52" s="268"/>
      <c r="V52" s="268"/>
      <c r="W52" s="268"/>
      <c r="X52" s="268"/>
    </row>
    <row r="53">
      <c r="A53" s="270"/>
      <c r="B53" s="268"/>
      <c r="C53" s="268"/>
      <c r="D53" s="268"/>
      <c r="E53" s="268"/>
      <c r="F53" s="268"/>
      <c r="G53" s="270"/>
      <c r="H53" s="268"/>
      <c r="I53" s="268"/>
      <c r="J53" s="268"/>
      <c r="K53" s="268"/>
      <c r="L53" s="268"/>
      <c r="M53" s="270"/>
      <c r="N53" s="268"/>
      <c r="O53" s="268"/>
      <c r="P53" s="270"/>
      <c r="Q53" s="265">
        <v>51.0</v>
      </c>
      <c r="R53" s="268"/>
      <c r="S53" s="268"/>
      <c r="T53" s="268"/>
      <c r="U53" s="268"/>
      <c r="V53" s="268"/>
      <c r="W53" s="268"/>
      <c r="X53" s="268"/>
    </row>
    <row r="54">
      <c r="A54" s="270"/>
      <c r="B54" s="268"/>
      <c r="C54" s="268"/>
      <c r="D54" s="268"/>
      <c r="E54" s="268"/>
      <c r="F54" s="268"/>
      <c r="G54" s="270"/>
      <c r="H54" s="268"/>
      <c r="I54" s="268"/>
      <c r="J54" s="268"/>
      <c r="K54" s="268"/>
      <c r="L54" s="268"/>
      <c r="M54" s="270"/>
      <c r="N54" s="268"/>
      <c r="O54" s="268"/>
      <c r="P54" s="270"/>
      <c r="Q54" s="265">
        <v>52.0</v>
      </c>
      <c r="R54" s="268"/>
      <c r="S54" s="268"/>
      <c r="T54" s="268"/>
      <c r="U54" s="268"/>
      <c r="V54" s="268"/>
      <c r="W54" s="268"/>
      <c r="X54" s="268"/>
    </row>
    <row r="55">
      <c r="A55" s="270"/>
      <c r="B55" s="268"/>
      <c r="C55" s="268"/>
      <c r="D55" s="268"/>
      <c r="E55" s="268"/>
      <c r="F55" s="268"/>
      <c r="G55" s="270"/>
      <c r="H55" s="268"/>
      <c r="I55" s="268"/>
      <c r="J55" s="268"/>
      <c r="K55" s="268"/>
      <c r="L55" s="268"/>
      <c r="M55" s="270"/>
      <c r="N55" s="268"/>
      <c r="O55" s="268"/>
      <c r="P55" s="270"/>
      <c r="Q55" s="265">
        <v>53.0</v>
      </c>
      <c r="R55" s="268"/>
      <c r="S55" s="268"/>
      <c r="T55" s="268"/>
      <c r="U55" s="268"/>
      <c r="V55" s="268"/>
      <c r="W55" s="268"/>
      <c r="X55" s="268"/>
    </row>
    <row r="56">
      <c r="A56" s="270"/>
      <c r="B56" s="268"/>
      <c r="C56" s="268"/>
      <c r="D56" s="268"/>
      <c r="E56" s="268"/>
      <c r="F56" s="268"/>
      <c r="G56" s="270"/>
      <c r="H56" s="268"/>
      <c r="I56" s="268"/>
      <c r="J56" s="268"/>
      <c r="K56" s="268"/>
      <c r="L56" s="268"/>
      <c r="M56" s="270"/>
      <c r="N56" s="268"/>
      <c r="O56" s="268"/>
      <c r="P56" s="270"/>
      <c r="Q56" s="265">
        <v>54.0</v>
      </c>
      <c r="R56" s="268"/>
      <c r="S56" s="268"/>
      <c r="T56" s="268"/>
      <c r="U56" s="268"/>
      <c r="V56" s="268"/>
      <c r="W56" s="268"/>
      <c r="X56" s="268"/>
    </row>
    <row r="57">
      <c r="A57" s="270"/>
      <c r="B57" s="268"/>
      <c r="C57" s="268"/>
      <c r="D57" s="268"/>
      <c r="E57" s="268"/>
      <c r="F57" s="268"/>
      <c r="G57" s="270"/>
      <c r="H57" s="268"/>
      <c r="I57" s="268"/>
      <c r="J57" s="268"/>
      <c r="K57" s="268"/>
      <c r="L57" s="268"/>
      <c r="M57" s="270"/>
      <c r="N57" s="268"/>
      <c r="O57" s="268"/>
      <c r="P57" s="270"/>
      <c r="Q57" s="265">
        <v>55.0</v>
      </c>
      <c r="R57" s="268"/>
      <c r="S57" s="268"/>
      <c r="T57" s="268"/>
      <c r="U57" s="268"/>
      <c r="V57" s="268"/>
      <c r="W57" s="268"/>
      <c r="X57" s="268"/>
    </row>
    <row r="58">
      <c r="A58" s="270"/>
      <c r="B58" s="268"/>
      <c r="C58" s="268"/>
      <c r="D58" s="268"/>
      <c r="E58" s="268"/>
      <c r="F58" s="268"/>
      <c r="G58" s="270"/>
      <c r="H58" s="268"/>
      <c r="I58" s="268"/>
      <c r="J58" s="268"/>
      <c r="K58" s="268"/>
      <c r="L58" s="268"/>
      <c r="M58" s="270"/>
      <c r="N58" s="268"/>
      <c r="O58" s="268"/>
      <c r="P58" s="270"/>
      <c r="Q58" s="265">
        <v>56.0</v>
      </c>
      <c r="R58" s="268"/>
      <c r="S58" s="268"/>
      <c r="T58" s="268"/>
      <c r="U58" s="268"/>
      <c r="V58" s="268"/>
      <c r="W58" s="268"/>
      <c r="X58" s="268"/>
    </row>
    <row r="59">
      <c r="A59" s="270"/>
      <c r="B59" s="268"/>
      <c r="C59" s="268"/>
      <c r="D59" s="268"/>
      <c r="E59" s="268"/>
      <c r="F59" s="268"/>
      <c r="G59" s="270"/>
      <c r="H59" s="268"/>
      <c r="I59" s="268"/>
      <c r="J59" s="268"/>
      <c r="K59" s="268"/>
      <c r="L59" s="268"/>
      <c r="M59" s="270"/>
      <c r="N59" s="268"/>
      <c r="O59" s="268"/>
      <c r="P59" s="270"/>
      <c r="Q59" s="265">
        <v>57.0</v>
      </c>
      <c r="R59" s="268"/>
      <c r="S59" s="268"/>
      <c r="T59" s="268"/>
      <c r="U59" s="268"/>
      <c r="V59" s="268"/>
      <c r="W59" s="268"/>
      <c r="X59" s="268"/>
    </row>
    <row r="60">
      <c r="A60" s="270"/>
      <c r="B60" s="268"/>
      <c r="C60" s="268"/>
      <c r="D60" s="268"/>
      <c r="E60" s="268"/>
      <c r="F60" s="268"/>
      <c r="G60" s="270"/>
      <c r="H60" s="268"/>
      <c r="I60" s="268"/>
      <c r="J60" s="268"/>
      <c r="K60" s="268"/>
      <c r="L60" s="268"/>
      <c r="M60" s="270"/>
      <c r="N60" s="268"/>
      <c r="O60" s="268"/>
      <c r="P60" s="270"/>
      <c r="Q60" s="265">
        <v>58.0</v>
      </c>
      <c r="R60" s="268"/>
      <c r="S60" s="268"/>
      <c r="T60" s="268"/>
      <c r="U60" s="268"/>
      <c r="V60" s="268"/>
      <c r="W60" s="268"/>
      <c r="X60" s="268"/>
    </row>
    <row r="61">
      <c r="A61" s="270"/>
      <c r="B61" s="268"/>
      <c r="C61" s="268"/>
      <c r="D61" s="268"/>
      <c r="E61" s="268"/>
      <c r="F61" s="268"/>
      <c r="G61" s="270"/>
      <c r="H61" s="268"/>
      <c r="I61" s="268"/>
      <c r="J61" s="268"/>
      <c r="K61" s="268"/>
      <c r="L61" s="268"/>
      <c r="M61" s="270"/>
      <c r="N61" s="268"/>
      <c r="O61" s="268"/>
      <c r="P61" s="270"/>
      <c r="Q61" s="265">
        <v>59.0</v>
      </c>
      <c r="R61" s="268"/>
      <c r="S61" s="268"/>
      <c r="T61" s="268"/>
      <c r="U61" s="268"/>
      <c r="V61" s="268"/>
      <c r="W61" s="268"/>
      <c r="X61" s="268"/>
    </row>
    <row r="62">
      <c r="A62" s="270"/>
      <c r="B62" s="268"/>
      <c r="C62" s="268"/>
      <c r="D62" s="268"/>
      <c r="E62" s="268"/>
      <c r="F62" s="268"/>
      <c r="G62" s="270"/>
      <c r="H62" s="268"/>
      <c r="I62" s="268"/>
      <c r="J62" s="268"/>
      <c r="K62" s="268"/>
      <c r="L62" s="268"/>
      <c r="M62" s="270"/>
      <c r="N62" s="268"/>
      <c r="O62" s="268"/>
      <c r="P62" s="270"/>
      <c r="Q62" s="265">
        <v>60.0</v>
      </c>
      <c r="R62" s="268"/>
      <c r="S62" s="268"/>
      <c r="T62" s="268"/>
      <c r="U62" s="268"/>
      <c r="V62" s="268"/>
      <c r="W62" s="268"/>
      <c r="X62" s="268"/>
    </row>
    <row r="63">
      <c r="A63" s="270"/>
      <c r="B63" s="268"/>
      <c r="C63" s="268"/>
      <c r="D63" s="268"/>
      <c r="E63" s="268"/>
      <c r="F63" s="268"/>
      <c r="G63" s="270"/>
      <c r="H63" s="268"/>
      <c r="I63" s="268"/>
      <c r="J63" s="268"/>
      <c r="K63" s="268"/>
      <c r="L63" s="268"/>
      <c r="M63" s="270"/>
      <c r="N63" s="268"/>
      <c r="O63" s="268"/>
      <c r="P63" s="270"/>
      <c r="Q63" s="265">
        <v>61.0</v>
      </c>
      <c r="R63" s="268"/>
      <c r="S63" s="268"/>
      <c r="T63" s="268"/>
      <c r="U63" s="268"/>
      <c r="V63" s="268"/>
      <c r="W63" s="268"/>
      <c r="X63" s="268"/>
    </row>
    <row r="64">
      <c r="A64" s="270"/>
      <c r="B64" s="268"/>
      <c r="C64" s="268"/>
      <c r="D64" s="268"/>
      <c r="E64" s="268"/>
      <c r="F64" s="268"/>
      <c r="G64" s="270"/>
      <c r="H64" s="268"/>
      <c r="I64" s="268"/>
      <c r="J64" s="268"/>
      <c r="K64" s="268"/>
      <c r="L64" s="268"/>
      <c r="M64" s="270"/>
      <c r="N64" s="268"/>
      <c r="O64" s="268"/>
      <c r="P64" s="270"/>
      <c r="Q64" s="265">
        <v>62.0</v>
      </c>
      <c r="R64" s="268"/>
      <c r="S64" s="268"/>
      <c r="T64" s="268"/>
      <c r="U64" s="268"/>
      <c r="V64" s="268"/>
      <c r="W64" s="268"/>
      <c r="X64" s="268"/>
    </row>
    <row r="65">
      <c r="A65" s="270"/>
      <c r="B65" s="268"/>
      <c r="C65" s="268"/>
      <c r="D65" s="268"/>
      <c r="E65" s="268"/>
      <c r="F65" s="268"/>
      <c r="G65" s="270"/>
      <c r="H65" s="268"/>
      <c r="I65" s="268"/>
      <c r="J65" s="268"/>
      <c r="K65" s="268"/>
      <c r="L65" s="268"/>
      <c r="M65" s="270"/>
      <c r="N65" s="268"/>
      <c r="O65" s="268"/>
      <c r="P65" s="270"/>
      <c r="Q65" s="265">
        <v>63.0</v>
      </c>
      <c r="R65" s="268"/>
      <c r="S65" s="268"/>
      <c r="T65" s="268"/>
      <c r="U65" s="268"/>
      <c r="V65" s="268"/>
      <c r="W65" s="268"/>
      <c r="X65" s="268"/>
    </row>
    <row r="66">
      <c r="A66" s="270"/>
      <c r="B66" s="268"/>
      <c r="C66" s="268"/>
      <c r="D66" s="268"/>
      <c r="E66" s="268"/>
      <c r="F66" s="268"/>
      <c r="G66" s="270"/>
      <c r="H66" s="268"/>
      <c r="I66" s="268"/>
      <c r="J66" s="268"/>
      <c r="K66" s="268"/>
      <c r="L66" s="268"/>
      <c r="M66" s="270"/>
      <c r="N66" s="268"/>
      <c r="O66" s="268"/>
      <c r="P66" s="270"/>
      <c r="Q66" s="265">
        <v>64.0</v>
      </c>
      <c r="R66" s="268"/>
      <c r="S66" s="268"/>
      <c r="T66" s="268"/>
      <c r="U66" s="268"/>
      <c r="V66" s="268"/>
      <c r="W66" s="268"/>
      <c r="X66" s="268"/>
    </row>
    <row r="67">
      <c r="A67" s="270"/>
      <c r="B67" s="268"/>
      <c r="C67" s="268"/>
      <c r="D67" s="268"/>
      <c r="E67" s="268"/>
      <c r="F67" s="268"/>
      <c r="G67" s="270"/>
      <c r="H67" s="268"/>
      <c r="I67" s="268"/>
      <c r="J67" s="268"/>
      <c r="K67" s="268"/>
      <c r="L67" s="268"/>
      <c r="M67" s="270"/>
      <c r="N67" s="268"/>
      <c r="O67" s="268"/>
      <c r="P67" s="270"/>
      <c r="Q67" s="265">
        <v>65.0</v>
      </c>
      <c r="R67" s="268"/>
      <c r="S67" s="268"/>
      <c r="T67" s="268"/>
      <c r="U67" s="268"/>
      <c r="V67" s="268"/>
      <c r="W67" s="268"/>
      <c r="X67" s="268"/>
    </row>
    <row r="68">
      <c r="A68" s="270"/>
      <c r="B68" s="268"/>
      <c r="C68" s="268"/>
      <c r="D68" s="268"/>
      <c r="E68" s="268"/>
      <c r="F68" s="268"/>
      <c r="G68" s="270"/>
      <c r="H68" s="268"/>
      <c r="I68" s="268"/>
      <c r="J68" s="268"/>
      <c r="K68" s="268"/>
      <c r="L68" s="268"/>
      <c r="M68" s="270"/>
      <c r="N68" s="268"/>
      <c r="O68" s="268"/>
      <c r="P68" s="270"/>
      <c r="Q68" s="265">
        <v>66.0</v>
      </c>
      <c r="R68" s="268"/>
      <c r="S68" s="268"/>
      <c r="T68" s="268"/>
      <c r="U68" s="268"/>
      <c r="V68" s="268"/>
      <c r="W68" s="268"/>
      <c r="X68" s="268"/>
    </row>
    <row r="69">
      <c r="A69" s="270"/>
      <c r="B69" s="268"/>
      <c r="C69" s="268"/>
      <c r="D69" s="268"/>
      <c r="E69" s="268"/>
      <c r="F69" s="268"/>
      <c r="G69" s="270"/>
      <c r="H69" s="268"/>
      <c r="I69" s="268"/>
      <c r="J69" s="268"/>
      <c r="K69" s="268"/>
      <c r="L69" s="268"/>
      <c r="M69" s="270"/>
      <c r="N69" s="268"/>
      <c r="O69" s="268"/>
      <c r="P69" s="270"/>
      <c r="Q69" s="265">
        <v>67.0</v>
      </c>
      <c r="R69" s="268"/>
      <c r="S69" s="268"/>
      <c r="T69" s="268"/>
      <c r="U69" s="268"/>
      <c r="V69" s="268"/>
      <c r="W69" s="268"/>
      <c r="X69" s="268"/>
    </row>
    <row r="70">
      <c r="A70" s="270"/>
      <c r="B70" s="268"/>
      <c r="C70" s="268"/>
      <c r="D70" s="268"/>
      <c r="E70" s="268"/>
      <c r="F70" s="268"/>
      <c r="G70" s="270"/>
      <c r="H70" s="268"/>
      <c r="I70" s="268"/>
      <c r="J70" s="268"/>
      <c r="K70" s="268"/>
      <c r="L70" s="268"/>
      <c r="M70" s="270"/>
      <c r="N70" s="268"/>
      <c r="O70" s="268"/>
      <c r="P70" s="270"/>
      <c r="Q70" s="265">
        <v>68.0</v>
      </c>
      <c r="R70" s="268"/>
      <c r="S70" s="268"/>
      <c r="T70" s="268"/>
      <c r="U70" s="268"/>
      <c r="V70" s="268"/>
      <c r="W70" s="268"/>
      <c r="X70" s="268"/>
    </row>
    <row r="71">
      <c r="A71" s="270"/>
      <c r="B71" s="268"/>
      <c r="C71" s="268"/>
      <c r="D71" s="268"/>
      <c r="E71" s="268"/>
      <c r="F71" s="268"/>
      <c r="G71" s="270"/>
      <c r="H71" s="268"/>
      <c r="I71" s="268"/>
      <c r="J71" s="268"/>
      <c r="K71" s="268"/>
      <c r="L71" s="268"/>
      <c r="M71" s="270"/>
      <c r="N71" s="268"/>
      <c r="O71" s="268"/>
      <c r="P71" s="270"/>
      <c r="Q71" s="265">
        <v>69.0</v>
      </c>
      <c r="R71" s="268"/>
      <c r="S71" s="268"/>
      <c r="T71" s="268"/>
      <c r="U71" s="268"/>
      <c r="V71" s="268"/>
      <c r="W71" s="268"/>
      <c r="X71" s="268"/>
    </row>
    <row r="72">
      <c r="A72" s="270"/>
      <c r="B72" s="268"/>
      <c r="C72" s="268"/>
      <c r="D72" s="268"/>
      <c r="E72" s="268"/>
      <c r="F72" s="268"/>
      <c r="G72" s="270"/>
      <c r="H72" s="268"/>
      <c r="I72" s="268"/>
      <c r="J72" s="268"/>
      <c r="K72" s="268"/>
      <c r="L72" s="268"/>
      <c r="M72" s="270"/>
      <c r="N72" s="268"/>
      <c r="O72" s="268"/>
      <c r="P72" s="270"/>
      <c r="Q72" s="265">
        <v>70.0</v>
      </c>
      <c r="R72" s="268"/>
      <c r="S72" s="268"/>
      <c r="T72" s="268"/>
      <c r="U72" s="268"/>
      <c r="V72" s="268"/>
      <c r="W72" s="268"/>
      <c r="X72" s="268"/>
    </row>
    <row r="73">
      <c r="A73" s="270"/>
      <c r="B73" s="268"/>
      <c r="C73" s="268"/>
      <c r="D73" s="268"/>
      <c r="E73" s="268"/>
      <c r="F73" s="268"/>
      <c r="G73" s="270"/>
      <c r="H73" s="268"/>
      <c r="I73" s="268"/>
      <c r="J73" s="268"/>
      <c r="K73" s="268"/>
      <c r="L73" s="268"/>
      <c r="M73" s="270"/>
      <c r="N73" s="268"/>
      <c r="O73" s="268"/>
      <c r="P73" s="270"/>
      <c r="Q73" s="265">
        <v>71.0</v>
      </c>
      <c r="R73" s="268"/>
      <c r="S73" s="268"/>
      <c r="T73" s="268"/>
      <c r="U73" s="268"/>
      <c r="V73" s="268"/>
      <c r="W73" s="268"/>
      <c r="X73" s="268"/>
    </row>
    <row r="74">
      <c r="A74" s="270"/>
      <c r="B74" s="268"/>
      <c r="C74" s="268"/>
      <c r="D74" s="268"/>
      <c r="E74" s="268"/>
      <c r="F74" s="268"/>
      <c r="G74" s="270"/>
      <c r="H74" s="268"/>
      <c r="I74" s="268"/>
      <c r="J74" s="268"/>
      <c r="K74" s="268"/>
      <c r="L74" s="268"/>
      <c r="M74" s="270"/>
      <c r="N74" s="268"/>
      <c r="O74" s="268"/>
      <c r="P74" s="270"/>
      <c r="Q74" s="265">
        <v>72.0</v>
      </c>
      <c r="R74" s="268"/>
      <c r="S74" s="268"/>
      <c r="T74" s="268"/>
      <c r="U74" s="268"/>
      <c r="V74" s="268"/>
      <c r="W74" s="268"/>
      <c r="X74" s="268"/>
    </row>
    <row r="75">
      <c r="A75" s="270"/>
      <c r="B75" s="268"/>
      <c r="C75" s="268"/>
      <c r="D75" s="268"/>
      <c r="E75" s="268"/>
      <c r="F75" s="268"/>
      <c r="G75" s="270"/>
      <c r="H75" s="268"/>
      <c r="I75" s="268"/>
      <c r="J75" s="268"/>
      <c r="K75" s="268"/>
      <c r="L75" s="268"/>
      <c r="M75" s="270"/>
      <c r="N75" s="268"/>
      <c r="O75" s="268"/>
      <c r="P75" s="270"/>
      <c r="Q75" s="265">
        <v>73.0</v>
      </c>
      <c r="R75" s="268"/>
      <c r="S75" s="268"/>
      <c r="T75" s="268"/>
      <c r="U75" s="268"/>
      <c r="V75" s="268"/>
      <c r="W75" s="268"/>
      <c r="X75" s="268"/>
    </row>
    <row r="76">
      <c r="A76" s="270"/>
      <c r="B76" s="268"/>
      <c r="C76" s="268"/>
      <c r="D76" s="268"/>
      <c r="E76" s="268"/>
      <c r="F76" s="268"/>
      <c r="G76" s="270"/>
      <c r="H76" s="268"/>
      <c r="I76" s="268"/>
      <c r="J76" s="268"/>
      <c r="K76" s="268"/>
      <c r="L76" s="268"/>
      <c r="M76" s="270"/>
      <c r="N76" s="268"/>
      <c r="O76" s="268"/>
      <c r="P76" s="270"/>
      <c r="Q76" s="265">
        <v>74.0</v>
      </c>
      <c r="R76" s="268"/>
      <c r="S76" s="268"/>
      <c r="T76" s="268"/>
      <c r="U76" s="268"/>
      <c r="V76" s="268"/>
      <c r="W76" s="268"/>
      <c r="X76" s="268"/>
    </row>
    <row r="77">
      <c r="A77" s="270"/>
      <c r="B77" s="268"/>
      <c r="C77" s="268"/>
      <c r="D77" s="268"/>
      <c r="E77" s="268"/>
      <c r="F77" s="268"/>
      <c r="G77" s="270"/>
      <c r="H77" s="268"/>
      <c r="I77" s="268"/>
      <c r="J77" s="268"/>
      <c r="K77" s="268"/>
      <c r="L77" s="268"/>
      <c r="M77" s="270"/>
      <c r="N77" s="268"/>
      <c r="O77" s="268"/>
      <c r="P77" s="270"/>
      <c r="Q77" s="265">
        <v>75.0</v>
      </c>
      <c r="R77" s="268"/>
      <c r="S77" s="268"/>
      <c r="T77" s="268"/>
      <c r="U77" s="268"/>
      <c r="V77" s="268"/>
      <c r="W77" s="268"/>
      <c r="X77" s="268"/>
    </row>
    <row r="78">
      <c r="A78" s="270"/>
      <c r="B78" s="268"/>
      <c r="C78" s="268"/>
      <c r="D78" s="268"/>
      <c r="E78" s="268"/>
      <c r="F78" s="268"/>
      <c r="G78" s="270"/>
      <c r="H78" s="268"/>
      <c r="I78" s="268"/>
      <c r="J78" s="268"/>
      <c r="K78" s="268"/>
      <c r="L78" s="268"/>
      <c r="M78" s="270"/>
      <c r="N78" s="268"/>
      <c r="O78" s="268"/>
      <c r="P78" s="270"/>
      <c r="Q78" s="265">
        <v>76.0</v>
      </c>
      <c r="R78" s="268"/>
      <c r="S78" s="268"/>
      <c r="T78" s="268"/>
      <c r="U78" s="268"/>
      <c r="V78" s="268"/>
      <c r="W78" s="268"/>
      <c r="X78" s="268"/>
    </row>
    <row r="79">
      <c r="A79" s="270"/>
      <c r="B79" s="268"/>
      <c r="C79" s="268"/>
      <c r="D79" s="268"/>
      <c r="E79" s="268"/>
      <c r="F79" s="268"/>
      <c r="G79" s="270"/>
      <c r="H79" s="268"/>
      <c r="I79" s="268"/>
      <c r="J79" s="268"/>
      <c r="K79" s="268"/>
      <c r="L79" s="268"/>
      <c r="M79" s="270"/>
      <c r="N79" s="268"/>
      <c r="O79" s="268"/>
      <c r="P79" s="270"/>
      <c r="Q79" s="265">
        <v>77.0</v>
      </c>
      <c r="R79" s="268"/>
      <c r="S79" s="268"/>
      <c r="T79" s="268"/>
      <c r="U79" s="268"/>
      <c r="V79" s="268"/>
      <c r="W79" s="268"/>
      <c r="X79" s="268"/>
    </row>
    <row r="80">
      <c r="A80" s="270"/>
      <c r="B80" s="268"/>
      <c r="C80" s="268"/>
      <c r="D80" s="268"/>
      <c r="E80" s="268"/>
      <c r="F80" s="268"/>
      <c r="G80" s="270"/>
      <c r="H80" s="268"/>
      <c r="I80" s="268"/>
      <c r="J80" s="268"/>
      <c r="K80" s="268"/>
      <c r="L80" s="268"/>
      <c r="M80" s="270"/>
      <c r="N80" s="268"/>
      <c r="O80" s="268"/>
      <c r="P80" s="270"/>
      <c r="Q80" s="265">
        <v>78.0</v>
      </c>
      <c r="R80" s="268"/>
      <c r="S80" s="268"/>
      <c r="T80" s="268"/>
      <c r="U80" s="268"/>
      <c r="V80" s="268"/>
      <c r="W80" s="268"/>
      <c r="X80" s="268"/>
    </row>
    <row r="81">
      <c r="A81" s="270"/>
      <c r="B81" s="268"/>
      <c r="C81" s="268"/>
      <c r="D81" s="268"/>
      <c r="E81" s="268"/>
      <c r="F81" s="268"/>
      <c r="G81" s="270"/>
      <c r="H81" s="268"/>
      <c r="I81" s="268"/>
      <c r="J81" s="268"/>
      <c r="K81" s="268"/>
      <c r="L81" s="268"/>
      <c r="M81" s="270"/>
      <c r="N81" s="268"/>
      <c r="O81" s="268"/>
      <c r="P81" s="270"/>
      <c r="Q81" s="265">
        <v>79.0</v>
      </c>
      <c r="R81" s="268"/>
      <c r="S81" s="268"/>
      <c r="T81" s="268"/>
      <c r="U81" s="268"/>
      <c r="V81" s="268"/>
      <c r="W81" s="268"/>
      <c r="X81" s="268"/>
    </row>
    <row r="82">
      <c r="A82" s="270"/>
      <c r="B82" s="268"/>
      <c r="C82" s="268"/>
      <c r="D82" s="268"/>
      <c r="E82" s="268"/>
      <c r="F82" s="268"/>
      <c r="G82" s="270"/>
      <c r="H82" s="268"/>
      <c r="I82" s="268"/>
      <c r="J82" s="268"/>
      <c r="K82" s="268"/>
      <c r="L82" s="268"/>
      <c r="M82" s="270"/>
      <c r="N82" s="268"/>
      <c r="O82" s="268"/>
      <c r="P82" s="270"/>
      <c r="Q82" s="265">
        <v>80.0</v>
      </c>
      <c r="R82" s="268"/>
      <c r="S82" s="268"/>
      <c r="T82" s="268"/>
      <c r="U82" s="268"/>
      <c r="V82" s="268"/>
      <c r="W82" s="268"/>
      <c r="X82" s="268"/>
    </row>
    <row r="83">
      <c r="A83" s="270"/>
      <c r="B83" s="268"/>
      <c r="C83" s="268"/>
      <c r="D83" s="268"/>
      <c r="E83" s="268"/>
      <c r="F83" s="268"/>
      <c r="G83" s="270"/>
      <c r="H83" s="268"/>
      <c r="I83" s="268"/>
      <c r="J83" s="268"/>
      <c r="K83" s="268"/>
      <c r="L83" s="268"/>
      <c r="M83" s="270"/>
      <c r="N83" s="268"/>
      <c r="O83" s="268"/>
      <c r="P83" s="270"/>
      <c r="Q83" s="265">
        <v>81.0</v>
      </c>
      <c r="R83" s="268"/>
      <c r="S83" s="268"/>
      <c r="T83" s="268"/>
      <c r="U83" s="268"/>
      <c r="V83" s="268"/>
      <c r="W83" s="268"/>
      <c r="X83" s="268"/>
    </row>
    <row r="84">
      <c r="A84" s="270"/>
      <c r="B84" s="268"/>
      <c r="C84" s="268"/>
      <c r="D84" s="268"/>
      <c r="E84" s="268"/>
      <c r="F84" s="268"/>
      <c r="G84" s="270"/>
      <c r="H84" s="268"/>
      <c r="I84" s="268"/>
      <c r="J84" s="268"/>
      <c r="K84" s="268"/>
      <c r="L84" s="268"/>
      <c r="M84" s="270"/>
      <c r="N84" s="268"/>
      <c r="O84" s="268"/>
      <c r="P84" s="270"/>
      <c r="Q84" s="265">
        <v>82.0</v>
      </c>
      <c r="R84" s="268"/>
      <c r="S84" s="268"/>
      <c r="T84" s="268"/>
      <c r="U84" s="268"/>
      <c r="V84" s="268"/>
      <c r="W84" s="268"/>
      <c r="X84" s="268"/>
    </row>
    <row r="85">
      <c r="A85" s="270"/>
      <c r="B85" s="268"/>
      <c r="C85" s="268"/>
      <c r="D85" s="268"/>
      <c r="E85" s="268"/>
      <c r="F85" s="268"/>
      <c r="G85" s="270"/>
      <c r="H85" s="268"/>
      <c r="I85" s="268"/>
      <c r="J85" s="268"/>
      <c r="K85" s="268"/>
      <c r="L85" s="268"/>
      <c r="M85" s="270"/>
      <c r="N85" s="268"/>
      <c r="O85" s="268"/>
      <c r="P85" s="270"/>
      <c r="Q85" s="265">
        <v>83.0</v>
      </c>
      <c r="R85" s="268"/>
      <c r="S85" s="268"/>
      <c r="T85" s="268"/>
      <c r="U85" s="268"/>
      <c r="V85" s="268"/>
      <c r="W85" s="268"/>
      <c r="X85" s="268"/>
    </row>
    <row r="86">
      <c r="A86" s="270"/>
      <c r="B86" s="268"/>
      <c r="C86" s="268"/>
      <c r="D86" s="268"/>
      <c r="E86" s="268"/>
      <c r="F86" s="268"/>
      <c r="G86" s="270"/>
      <c r="H86" s="268"/>
      <c r="I86" s="268"/>
      <c r="J86" s="268"/>
      <c r="K86" s="268"/>
      <c r="L86" s="268"/>
      <c r="M86" s="270"/>
      <c r="N86" s="268"/>
      <c r="O86" s="268"/>
      <c r="P86" s="270"/>
      <c r="Q86" s="265">
        <v>84.0</v>
      </c>
      <c r="R86" s="268"/>
      <c r="S86" s="268"/>
      <c r="T86" s="268"/>
      <c r="U86" s="268"/>
      <c r="V86" s="268"/>
      <c r="W86" s="268"/>
      <c r="X86" s="268"/>
    </row>
    <row r="87">
      <c r="A87" s="270"/>
      <c r="B87" s="268"/>
      <c r="C87" s="268"/>
      <c r="D87" s="268"/>
      <c r="E87" s="268"/>
      <c r="F87" s="268"/>
      <c r="G87" s="270"/>
      <c r="H87" s="268"/>
      <c r="I87" s="268"/>
      <c r="J87" s="268"/>
      <c r="K87" s="268"/>
      <c r="L87" s="268"/>
      <c r="M87" s="270"/>
      <c r="N87" s="268"/>
      <c r="O87" s="268"/>
      <c r="P87" s="270"/>
      <c r="Q87" s="265">
        <v>85.0</v>
      </c>
      <c r="R87" s="268"/>
      <c r="S87" s="268"/>
      <c r="T87" s="268"/>
      <c r="U87" s="268"/>
      <c r="V87" s="268"/>
      <c r="W87" s="268"/>
      <c r="X87" s="268"/>
    </row>
    <row r="88">
      <c r="A88" s="270"/>
      <c r="B88" s="268"/>
      <c r="C88" s="268"/>
      <c r="D88" s="268"/>
      <c r="E88" s="268"/>
      <c r="F88" s="268"/>
      <c r="G88" s="270"/>
      <c r="H88" s="268"/>
      <c r="I88" s="268"/>
      <c r="J88" s="268"/>
      <c r="K88" s="268"/>
      <c r="L88" s="268"/>
      <c r="M88" s="270"/>
      <c r="N88" s="268"/>
      <c r="O88" s="268"/>
      <c r="P88" s="270"/>
      <c r="Q88" s="265">
        <v>86.0</v>
      </c>
      <c r="R88" s="268"/>
      <c r="S88" s="268"/>
      <c r="T88" s="268"/>
      <c r="U88" s="268"/>
      <c r="V88" s="268"/>
      <c r="W88" s="268"/>
      <c r="X88" s="268"/>
    </row>
    <row r="89">
      <c r="A89" s="270"/>
      <c r="B89" s="268"/>
      <c r="C89" s="268"/>
      <c r="D89" s="268"/>
      <c r="E89" s="268"/>
      <c r="F89" s="268"/>
      <c r="G89" s="270"/>
      <c r="H89" s="268"/>
      <c r="I89" s="268"/>
      <c r="J89" s="268"/>
      <c r="K89" s="268"/>
      <c r="L89" s="268"/>
      <c r="M89" s="270"/>
      <c r="N89" s="268"/>
      <c r="O89" s="268"/>
      <c r="P89" s="270"/>
      <c r="Q89" s="265">
        <v>87.0</v>
      </c>
      <c r="R89" s="268"/>
      <c r="S89" s="268"/>
      <c r="T89" s="268"/>
      <c r="U89" s="268"/>
      <c r="V89" s="268"/>
      <c r="W89" s="268"/>
      <c r="X89" s="268"/>
    </row>
    <row r="90">
      <c r="A90" s="270"/>
      <c r="B90" s="268"/>
      <c r="C90" s="268"/>
      <c r="D90" s="268"/>
      <c r="E90" s="268"/>
      <c r="F90" s="268"/>
      <c r="G90" s="270"/>
      <c r="H90" s="268"/>
      <c r="I90" s="268"/>
      <c r="J90" s="268"/>
      <c r="K90" s="268"/>
      <c r="L90" s="268"/>
      <c r="M90" s="270"/>
      <c r="N90" s="268"/>
      <c r="O90" s="268"/>
      <c r="P90" s="270"/>
      <c r="Q90" s="265">
        <v>88.0</v>
      </c>
      <c r="R90" s="268"/>
      <c r="S90" s="268"/>
      <c r="T90" s="268"/>
      <c r="U90" s="268"/>
      <c r="V90" s="268"/>
      <c r="W90" s="268"/>
      <c r="X90" s="268"/>
    </row>
    <row r="91">
      <c r="A91" s="270"/>
      <c r="B91" s="268"/>
      <c r="C91" s="268"/>
      <c r="D91" s="268"/>
      <c r="E91" s="268"/>
      <c r="F91" s="268"/>
      <c r="G91" s="270"/>
      <c r="H91" s="268"/>
      <c r="I91" s="268"/>
      <c r="J91" s="268"/>
      <c r="K91" s="268"/>
      <c r="L91" s="268"/>
      <c r="M91" s="270"/>
      <c r="N91" s="268"/>
      <c r="O91" s="268"/>
      <c r="P91" s="270"/>
      <c r="Q91" s="265">
        <v>89.0</v>
      </c>
      <c r="R91" s="268"/>
      <c r="S91" s="268"/>
      <c r="T91" s="268"/>
      <c r="U91" s="268"/>
      <c r="V91" s="268"/>
      <c r="W91" s="268"/>
      <c r="X91" s="268"/>
    </row>
    <row r="92">
      <c r="A92" s="270"/>
      <c r="B92" s="268"/>
      <c r="C92" s="268"/>
      <c r="D92" s="268"/>
      <c r="E92" s="268"/>
      <c r="F92" s="268"/>
      <c r="G92" s="270"/>
      <c r="H92" s="268"/>
      <c r="I92" s="268"/>
      <c r="J92" s="268"/>
      <c r="K92" s="268"/>
      <c r="L92" s="268"/>
      <c r="M92" s="270"/>
      <c r="N92" s="268"/>
      <c r="O92" s="268"/>
      <c r="P92" s="270"/>
      <c r="Q92" s="265">
        <v>90.0</v>
      </c>
      <c r="R92" s="268"/>
      <c r="S92" s="268"/>
      <c r="T92" s="268"/>
      <c r="U92" s="268"/>
      <c r="V92" s="268"/>
      <c r="W92" s="268"/>
      <c r="X92" s="268"/>
    </row>
    <row r="93">
      <c r="A93" s="270"/>
      <c r="B93" s="268"/>
      <c r="C93" s="268"/>
      <c r="D93" s="268"/>
      <c r="E93" s="268"/>
      <c r="F93" s="268"/>
      <c r="G93" s="270"/>
      <c r="H93" s="268"/>
      <c r="I93" s="268"/>
      <c r="J93" s="268"/>
      <c r="K93" s="268"/>
      <c r="L93" s="268"/>
      <c r="M93" s="270"/>
      <c r="N93" s="268"/>
      <c r="O93" s="268"/>
      <c r="P93" s="270"/>
      <c r="Q93" s="265">
        <v>91.0</v>
      </c>
      <c r="R93" s="268"/>
      <c r="S93" s="268"/>
      <c r="T93" s="268"/>
      <c r="U93" s="268"/>
      <c r="V93" s="268"/>
      <c r="W93" s="268"/>
      <c r="X93" s="268"/>
    </row>
    <row r="94">
      <c r="A94" s="270"/>
      <c r="B94" s="268"/>
      <c r="C94" s="268"/>
      <c r="D94" s="268"/>
      <c r="E94" s="268"/>
      <c r="F94" s="268"/>
      <c r="G94" s="270"/>
      <c r="H94" s="268"/>
      <c r="I94" s="268"/>
      <c r="J94" s="268"/>
      <c r="K94" s="268"/>
      <c r="L94" s="268"/>
      <c r="M94" s="270"/>
      <c r="N94" s="268"/>
      <c r="O94" s="268"/>
      <c r="P94" s="270"/>
      <c r="Q94" s="265">
        <v>92.0</v>
      </c>
      <c r="R94" s="268"/>
      <c r="S94" s="268"/>
      <c r="T94" s="268"/>
      <c r="U94" s="268"/>
      <c r="V94" s="268"/>
      <c r="W94" s="268"/>
      <c r="X94" s="268"/>
    </row>
    <row r="95">
      <c r="A95" s="270"/>
      <c r="B95" s="268"/>
      <c r="C95" s="268"/>
      <c r="D95" s="268"/>
      <c r="E95" s="268"/>
      <c r="F95" s="268"/>
      <c r="G95" s="270"/>
      <c r="H95" s="268"/>
      <c r="I95" s="268"/>
      <c r="J95" s="268"/>
      <c r="K95" s="268"/>
      <c r="L95" s="268"/>
      <c r="M95" s="270"/>
      <c r="N95" s="268"/>
      <c r="O95" s="268"/>
      <c r="P95" s="270"/>
      <c r="Q95" s="265">
        <v>93.0</v>
      </c>
      <c r="R95" s="268"/>
      <c r="S95" s="268"/>
      <c r="T95" s="268"/>
      <c r="U95" s="268"/>
      <c r="V95" s="268"/>
      <c r="W95" s="268"/>
      <c r="X95" s="268"/>
    </row>
    <row r="96">
      <c r="A96" s="270"/>
      <c r="B96" s="268"/>
      <c r="C96" s="268"/>
      <c r="D96" s="268"/>
      <c r="E96" s="268"/>
      <c r="F96" s="268"/>
      <c r="G96" s="270"/>
      <c r="H96" s="268"/>
      <c r="I96" s="268"/>
      <c r="J96" s="268"/>
      <c r="K96" s="268"/>
      <c r="L96" s="268"/>
      <c r="M96" s="270"/>
      <c r="N96" s="268"/>
      <c r="O96" s="268"/>
      <c r="P96" s="270"/>
      <c r="Q96" s="265">
        <v>94.0</v>
      </c>
      <c r="R96" s="268"/>
      <c r="S96" s="268"/>
      <c r="T96" s="268"/>
      <c r="U96" s="268"/>
      <c r="V96" s="268"/>
      <c r="W96" s="268"/>
      <c r="X96" s="268"/>
    </row>
    <row r="97">
      <c r="A97" s="270"/>
      <c r="B97" s="268"/>
      <c r="C97" s="268"/>
      <c r="D97" s="268"/>
      <c r="E97" s="268"/>
      <c r="F97" s="268"/>
      <c r="G97" s="270"/>
      <c r="H97" s="268"/>
      <c r="I97" s="268"/>
      <c r="J97" s="268"/>
      <c r="K97" s="268"/>
      <c r="L97" s="268"/>
      <c r="M97" s="270"/>
      <c r="N97" s="268"/>
      <c r="O97" s="268"/>
      <c r="P97" s="270"/>
      <c r="Q97" s="265">
        <v>95.0</v>
      </c>
      <c r="R97" s="268"/>
      <c r="S97" s="268"/>
      <c r="T97" s="268"/>
      <c r="U97" s="268"/>
      <c r="V97" s="268"/>
      <c r="W97" s="268"/>
      <c r="X97" s="268"/>
    </row>
    <row r="98">
      <c r="A98" s="270"/>
      <c r="B98" s="268"/>
      <c r="C98" s="268"/>
      <c r="D98" s="268"/>
      <c r="E98" s="268"/>
      <c r="F98" s="268"/>
      <c r="G98" s="270"/>
      <c r="H98" s="268"/>
      <c r="I98" s="268"/>
      <c r="J98" s="268"/>
      <c r="K98" s="268"/>
      <c r="L98" s="268"/>
      <c r="M98" s="270"/>
      <c r="N98" s="268"/>
      <c r="O98" s="268"/>
      <c r="P98" s="270"/>
      <c r="Q98" s="265">
        <v>96.0</v>
      </c>
      <c r="R98" s="268"/>
      <c r="S98" s="268"/>
      <c r="T98" s="268"/>
      <c r="U98" s="268"/>
      <c r="V98" s="268"/>
      <c r="W98" s="268"/>
      <c r="X98" s="268"/>
    </row>
    <row r="99">
      <c r="A99" s="270"/>
      <c r="B99" s="268"/>
      <c r="C99" s="268"/>
      <c r="D99" s="268"/>
      <c r="E99" s="268"/>
      <c r="F99" s="268"/>
      <c r="G99" s="270"/>
      <c r="H99" s="268"/>
      <c r="I99" s="268"/>
      <c r="J99" s="268"/>
      <c r="K99" s="268"/>
      <c r="L99" s="268"/>
      <c r="M99" s="270"/>
      <c r="N99" s="268"/>
      <c r="O99" s="268"/>
      <c r="P99" s="270"/>
      <c r="Q99" s="265">
        <v>97.0</v>
      </c>
      <c r="R99" s="268"/>
      <c r="S99" s="268"/>
      <c r="T99" s="268"/>
      <c r="U99" s="268"/>
      <c r="V99" s="268"/>
      <c r="W99" s="268"/>
      <c r="X99" s="268"/>
    </row>
    <row r="100">
      <c r="A100" s="270"/>
      <c r="B100" s="268"/>
      <c r="C100" s="268"/>
      <c r="D100" s="268"/>
      <c r="E100" s="268"/>
      <c r="F100" s="268"/>
      <c r="G100" s="270"/>
      <c r="H100" s="268"/>
      <c r="I100" s="268"/>
      <c r="J100" s="268"/>
      <c r="K100" s="268"/>
      <c r="L100" s="268"/>
      <c r="M100" s="270"/>
      <c r="N100" s="268"/>
      <c r="O100" s="268"/>
      <c r="P100" s="270"/>
      <c r="Q100" s="265">
        <v>98.0</v>
      </c>
      <c r="R100" s="268"/>
      <c r="S100" s="268"/>
      <c r="T100" s="268"/>
      <c r="U100" s="268"/>
      <c r="V100" s="268"/>
      <c r="W100" s="268"/>
      <c r="X100" s="268"/>
    </row>
    <row r="101">
      <c r="A101" s="270"/>
      <c r="B101" s="268"/>
      <c r="C101" s="268"/>
      <c r="D101" s="268"/>
      <c r="E101" s="268"/>
      <c r="F101" s="268"/>
      <c r="G101" s="270"/>
      <c r="H101" s="268"/>
      <c r="I101" s="268"/>
      <c r="J101" s="268"/>
      <c r="K101" s="268"/>
      <c r="L101" s="268"/>
      <c r="M101" s="270"/>
      <c r="N101" s="268"/>
      <c r="O101" s="268"/>
      <c r="P101" s="270"/>
      <c r="Q101" s="265">
        <v>99.0</v>
      </c>
      <c r="R101" s="268"/>
      <c r="S101" s="268"/>
      <c r="T101" s="268"/>
      <c r="U101" s="268"/>
      <c r="V101" s="268"/>
      <c r="W101" s="268"/>
      <c r="X101" s="268"/>
    </row>
    <row r="102">
      <c r="A102" s="270"/>
      <c r="B102" s="268"/>
      <c r="C102" s="268"/>
      <c r="D102" s="268"/>
      <c r="E102" s="268"/>
      <c r="F102" s="268"/>
      <c r="G102" s="270"/>
      <c r="H102" s="268"/>
      <c r="I102" s="268"/>
      <c r="J102" s="268"/>
      <c r="K102" s="268"/>
      <c r="L102" s="268"/>
      <c r="M102" s="270"/>
      <c r="N102" s="268"/>
      <c r="O102" s="268"/>
      <c r="P102" s="270"/>
      <c r="Q102" s="264"/>
      <c r="R102" s="268"/>
      <c r="S102" s="268"/>
      <c r="T102" s="268"/>
      <c r="U102" s="268"/>
      <c r="V102" s="268"/>
      <c r="W102" s="268"/>
      <c r="X102" s="268"/>
    </row>
    <row r="103">
      <c r="A103" s="270"/>
      <c r="B103" s="268"/>
      <c r="C103" s="268"/>
      <c r="D103" s="268"/>
      <c r="E103" s="268"/>
      <c r="F103" s="268"/>
      <c r="G103" s="270"/>
      <c r="H103" s="268"/>
      <c r="I103" s="268"/>
      <c r="J103" s="268"/>
      <c r="K103" s="268"/>
      <c r="L103" s="268"/>
      <c r="M103" s="270"/>
      <c r="N103" s="268"/>
      <c r="O103" s="268"/>
      <c r="P103" s="270"/>
      <c r="Q103" s="268"/>
      <c r="R103" s="268"/>
      <c r="S103" s="268"/>
      <c r="T103" s="268"/>
      <c r="U103" s="268"/>
      <c r="V103" s="268"/>
      <c r="W103" s="268"/>
      <c r="X103" s="268"/>
    </row>
    <row r="104">
      <c r="A104" s="270"/>
      <c r="B104" s="268"/>
      <c r="C104" s="268"/>
      <c r="D104" s="268"/>
      <c r="E104" s="268"/>
      <c r="F104" s="268"/>
      <c r="G104" s="270"/>
      <c r="H104" s="268"/>
      <c r="I104" s="268"/>
      <c r="J104" s="268"/>
      <c r="K104" s="268"/>
      <c r="L104" s="268"/>
      <c r="M104" s="270"/>
      <c r="N104" s="268"/>
      <c r="O104" s="268"/>
      <c r="P104" s="270"/>
      <c r="Q104" s="268"/>
      <c r="R104" s="268"/>
      <c r="S104" s="268"/>
      <c r="T104" s="268"/>
      <c r="U104" s="268"/>
      <c r="V104" s="268"/>
      <c r="W104" s="268"/>
      <c r="X104" s="268"/>
    </row>
    <row r="105">
      <c r="A105" s="270"/>
      <c r="B105" s="268"/>
      <c r="C105" s="268"/>
      <c r="D105" s="268"/>
      <c r="E105" s="268"/>
      <c r="F105" s="268"/>
      <c r="G105" s="270"/>
      <c r="H105" s="268"/>
      <c r="I105" s="268"/>
      <c r="J105" s="268"/>
      <c r="K105" s="268"/>
      <c r="L105" s="268"/>
      <c r="M105" s="270"/>
      <c r="N105" s="268"/>
      <c r="O105" s="268"/>
      <c r="P105" s="270"/>
      <c r="Q105" s="268"/>
      <c r="R105" s="268"/>
      <c r="S105" s="268"/>
      <c r="T105" s="268"/>
      <c r="U105" s="268"/>
      <c r="V105" s="268"/>
      <c r="W105" s="268"/>
      <c r="X105" s="268"/>
    </row>
    <row r="106">
      <c r="A106" s="270"/>
      <c r="B106" s="268"/>
      <c r="C106" s="268"/>
      <c r="D106" s="268"/>
      <c r="E106" s="268"/>
      <c r="F106" s="268"/>
      <c r="G106" s="270"/>
      <c r="H106" s="268"/>
      <c r="I106" s="268"/>
      <c r="J106" s="268"/>
      <c r="K106" s="268"/>
      <c r="L106" s="268"/>
      <c r="M106" s="270"/>
      <c r="N106" s="268"/>
      <c r="O106" s="268"/>
      <c r="P106" s="270"/>
      <c r="Q106" s="268"/>
      <c r="R106" s="268"/>
      <c r="S106" s="268"/>
      <c r="T106" s="268"/>
      <c r="U106" s="268"/>
      <c r="V106" s="268"/>
      <c r="W106" s="268"/>
      <c r="X106" s="268"/>
    </row>
    <row r="107">
      <c r="A107" s="270"/>
      <c r="B107" s="268"/>
      <c r="C107" s="268"/>
      <c r="D107" s="268"/>
      <c r="E107" s="268"/>
      <c r="F107" s="268"/>
      <c r="G107" s="270"/>
      <c r="H107" s="268"/>
      <c r="I107" s="268"/>
      <c r="J107" s="268"/>
      <c r="K107" s="268"/>
      <c r="L107" s="268"/>
      <c r="M107" s="270"/>
      <c r="N107" s="268"/>
      <c r="O107" s="268"/>
      <c r="P107" s="270"/>
      <c r="Q107" s="268"/>
      <c r="R107" s="268"/>
      <c r="S107" s="268"/>
      <c r="T107" s="268"/>
      <c r="U107" s="268"/>
      <c r="V107" s="268"/>
      <c r="W107" s="268"/>
      <c r="X107" s="268"/>
    </row>
    <row r="108">
      <c r="A108" s="270"/>
      <c r="B108" s="268"/>
      <c r="C108" s="268"/>
      <c r="D108" s="268"/>
      <c r="E108" s="268"/>
      <c r="F108" s="268"/>
      <c r="G108" s="270"/>
      <c r="H108" s="268"/>
      <c r="I108" s="268"/>
      <c r="J108" s="268"/>
      <c r="K108" s="268"/>
      <c r="L108" s="268"/>
      <c r="M108" s="270"/>
      <c r="N108" s="268"/>
      <c r="O108" s="268"/>
      <c r="P108" s="270"/>
      <c r="Q108" s="268"/>
      <c r="R108" s="268"/>
      <c r="S108" s="268"/>
      <c r="T108" s="268"/>
      <c r="U108" s="268"/>
      <c r="V108" s="268"/>
      <c r="W108" s="268"/>
      <c r="X108" s="268"/>
    </row>
    <row r="109">
      <c r="A109" s="270"/>
      <c r="B109" s="268"/>
      <c r="C109" s="268"/>
      <c r="D109" s="268"/>
      <c r="E109" s="268"/>
      <c r="F109" s="268"/>
      <c r="G109" s="270"/>
      <c r="H109" s="268"/>
      <c r="I109" s="268"/>
      <c r="J109" s="268"/>
      <c r="K109" s="268"/>
      <c r="L109" s="268"/>
      <c r="M109" s="270"/>
      <c r="N109" s="268"/>
      <c r="O109" s="268"/>
      <c r="P109" s="270"/>
      <c r="Q109" s="268"/>
      <c r="R109" s="268"/>
      <c r="S109" s="268"/>
      <c r="T109" s="268"/>
      <c r="U109" s="268"/>
      <c r="V109" s="268"/>
      <c r="W109" s="268"/>
      <c r="X109" s="268"/>
    </row>
    <row r="110">
      <c r="A110" s="270"/>
      <c r="B110" s="268"/>
      <c r="C110" s="268"/>
      <c r="D110" s="268"/>
      <c r="E110" s="268"/>
      <c r="F110" s="268"/>
      <c r="G110" s="270"/>
      <c r="H110" s="268"/>
      <c r="I110" s="268"/>
      <c r="J110" s="268"/>
      <c r="K110" s="268"/>
      <c r="L110" s="268"/>
      <c r="M110" s="270"/>
      <c r="N110" s="268"/>
      <c r="O110" s="268"/>
      <c r="P110" s="270"/>
      <c r="Q110" s="268"/>
      <c r="R110" s="268"/>
      <c r="S110" s="268"/>
      <c r="T110" s="268"/>
      <c r="U110" s="268"/>
      <c r="V110" s="268"/>
      <c r="W110" s="268"/>
      <c r="X110" s="268"/>
    </row>
    <row r="111">
      <c r="A111" s="270"/>
      <c r="B111" s="268"/>
      <c r="C111" s="268"/>
      <c r="D111" s="268"/>
      <c r="E111" s="268"/>
      <c r="F111" s="268"/>
      <c r="G111" s="270"/>
      <c r="H111" s="268"/>
      <c r="I111" s="268"/>
      <c r="J111" s="268"/>
      <c r="K111" s="268"/>
      <c r="L111" s="268"/>
      <c r="M111" s="270"/>
      <c r="N111" s="268"/>
      <c r="O111" s="268"/>
      <c r="P111" s="270"/>
      <c r="Q111" s="268"/>
      <c r="R111" s="268"/>
      <c r="S111" s="268"/>
      <c r="T111" s="268"/>
      <c r="U111" s="268"/>
      <c r="V111" s="268"/>
      <c r="W111" s="268"/>
      <c r="X111" s="268"/>
    </row>
    <row r="112">
      <c r="A112" s="270"/>
      <c r="B112" s="268"/>
      <c r="C112" s="268"/>
      <c r="D112" s="268"/>
      <c r="E112" s="268"/>
      <c r="F112" s="268"/>
      <c r="G112" s="270"/>
      <c r="H112" s="268"/>
      <c r="I112" s="268"/>
      <c r="J112" s="268"/>
      <c r="K112" s="268"/>
      <c r="L112" s="268"/>
      <c r="M112" s="270"/>
      <c r="N112" s="268"/>
      <c r="O112" s="268"/>
      <c r="P112" s="270"/>
      <c r="Q112" s="268"/>
      <c r="R112" s="268"/>
      <c r="S112" s="268"/>
      <c r="T112" s="268"/>
      <c r="U112" s="268"/>
      <c r="V112" s="268"/>
      <c r="W112" s="268"/>
      <c r="X112" s="268"/>
    </row>
    <row r="113">
      <c r="A113" s="270"/>
      <c r="B113" s="268"/>
      <c r="C113" s="268"/>
      <c r="D113" s="268"/>
      <c r="E113" s="268"/>
      <c r="F113" s="268"/>
      <c r="G113" s="270"/>
      <c r="H113" s="268"/>
      <c r="I113" s="268"/>
      <c r="J113" s="268"/>
      <c r="K113" s="268"/>
      <c r="L113" s="268"/>
      <c r="M113" s="270"/>
      <c r="N113" s="268"/>
      <c r="O113" s="268"/>
      <c r="P113" s="270"/>
      <c r="Q113" s="268"/>
      <c r="R113" s="268"/>
      <c r="S113" s="268"/>
      <c r="T113" s="268"/>
      <c r="U113" s="268"/>
      <c r="V113" s="268"/>
      <c r="W113" s="268"/>
      <c r="X113" s="268"/>
    </row>
    <row r="114">
      <c r="A114" s="270"/>
      <c r="B114" s="268"/>
      <c r="C114" s="268"/>
      <c r="D114" s="268"/>
      <c r="E114" s="268"/>
      <c r="F114" s="268"/>
      <c r="G114" s="270"/>
      <c r="H114" s="268"/>
      <c r="I114" s="268"/>
      <c r="J114" s="268"/>
      <c r="K114" s="268"/>
      <c r="L114" s="268"/>
      <c r="M114" s="270"/>
      <c r="N114" s="268"/>
      <c r="O114" s="268"/>
      <c r="P114" s="270"/>
      <c r="Q114" s="268"/>
      <c r="R114" s="268"/>
      <c r="S114" s="268"/>
      <c r="T114" s="268"/>
      <c r="U114" s="268"/>
      <c r="V114" s="268"/>
      <c r="W114" s="268"/>
      <c r="X114" s="268"/>
    </row>
    <row r="115">
      <c r="A115" s="270"/>
      <c r="B115" s="268"/>
      <c r="C115" s="268"/>
      <c r="D115" s="268"/>
      <c r="E115" s="268"/>
      <c r="F115" s="268"/>
      <c r="G115" s="270"/>
      <c r="H115" s="268"/>
      <c r="I115" s="268"/>
      <c r="J115" s="268"/>
      <c r="K115" s="268"/>
      <c r="L115" s="268"/>
      <c r="M115" s="270"/>
      <c r="N115" s="268"/>
      <c r="O115" s="268"/>
      <c r="P115" s="270"/>
      <c r="Q115" s="268"/>
      <c r="R115" s="268"/>
      <c r="S115" s="268"/>
      <c r="T115" s="268"/>
      <c r="U115" s="268"/>
      <c r="V115" s="268"/>
      <c r="W115" s="268"/>
      <c r="X115" s="268"/>
    </row>
    <row r="116">
      <c r="A116" s="270"/>
      <c r="B116" s="268"/>
      <c r="C116" s="268"/>
      <c r="D116" s="268"/>
      <c r="E116" s="268"/>
      <c r="F116" s="268"/>
      <c r="G116" s="270"/>
      <c r="H116" s="268"/>
      <c r="I116" s="268"/>
      <c r="J116" s="268"/>
      <c r="K116" s="268"/>
      <c r="L116" s="268"/>
      <c r="M116" s="270"/>
      <c r="N116" s="268"/>
      <c r="O116" s="268"/>
      <c r="P116" s="270"/>
      <c r="Q116" s="268"/>
      <c r="R116" s="268"/>
      <c r="S116" s="268"/>
      <c r="T116" s="268"/>
      <c r="U116" s="268"/>
      <c r="V116" s="268"/>
      <c r="W116" s="268"/>
      <c r="X116" s="268"/>
    </row>
    <row r="117">
      <c r="A117" s="270"/>
      <c r="B117" s="268"/>
      <c r="C117" s="268"/>
      <c r="D117" s="268"/>
      <c r="E117" s="268"/>
      <c r="F117" s="268"/>
      <c r="G117" s="270"/>
      <c r="H117" s="268"/>
      <c r="I117" s="268"/>
      <c r="J117" s="268"/>
      <c r="K117" s="268"/>
      <c r="L117" s="268"/>
      <c r="M117" s="270"/>
      <c r="N117" s="268"/>
      <c r="O117" s="268"/>
      <c r="P117" s="270"/>
      <c r="Q117" s="268"/>
      <c r="R117" s="268"/>
      <c r="S117" s="268"/>
      <c r="T117" s="268"/>
      <c r="U117" s="268"/>
      <c r="V117" s="268"/>
      <c r="W117" s="268"/>
      <c r="X117" s="268"/>
    </row>
    <row r="118">
      <c r="A118" s="270"/>
      <c r="B118" s="268"/>
      <c r="C118" s="268"/>
      <c r="D118" s="268"/>
      <c r="E118" s="268"/>
      <c r="F118" s="268"/>
      <c r="G118" s="270"/>
      <c r="H118" s="268"/>
      <c r="I118" s="268"/>
      <c r="J118" s="268"/>
      <c r="K118" s="268"/>
      <c r="L118" s="268"/>
      <c r="M118" s="270"/>
      <c r="N118" s="268"/>
      <c r="O118" s="268"/>
      <c r="P118" s="270"/>
      <c r="Q118" s="268"/>
      <c r="R118" s="268"/>
      <c r="S118" s="268"/>
      <c r="T118" s="268"/>
      <c r="U118" s="268"/>
      <c r="V118" s="268"/>
      <c r="W118" s="268"/>
      <c r="X118" s="268"/>
    </row>
    <row r="119">
      <c r="A119" s="270"/>
      <c r="B119" s="268"/>
      <c r="C119" s="268"/>
      <c r="D119" s="268"/>
      <c r="E119" s="268"/>
      <c r="F119" s="268"/>
      <c r="G119" s="270"/>
      <c r="H119" s="268"/>
      <c r="I119" s="268"/>
      <c r="J119" s="268"/>
      <c r="K119" s="268"/>
      <c r="L119" s="268"/>
      <c r="M119" s="270"/>
      <c r="N119" s="268"/>
      <c r="O119" s="268"/>
      <c r="P119" s="270"/>
      <c r="Q119" s="268"/>
      <c r="R119" s="268"/>
      <c r="S119" s="268"/>
      <c r="T119" s="268"/>
      <c r="U119" s="268"/>
      <c r="V119" s="268"/>
      <c r="W119" s="268"/>
      <c r="X119" s="268"/>
    </row>
    <row r="120">
      <c r="A120" s="270"/>
      <c r="B120" s="268"/>
      <c r="C120" s="268"/>
      <c r="D120" s="268"/>
      <c r="E120" s="268"/>
      <c r="F120" s="268"/>
      <c r="G120" s="270"/>
      <c r="H120" s="268"/>
      <c r="I120" s="268"/>
      <c r="J120" s="268"/>
      <c r="K120" s="268"/>
      <c r="L120" s="268"/>
      <c r="M120" s="270"/>
      <c r="N120" s="268"/>
      <c r="O120" s="268"/>
      <c r="P120" s="270"/>
      <c r="Q120" s="268"/>
      <c r="R120" s="268"/>
      <c r="S120" s="268"/>
      <c r="T120" s="268"/>
      <c r="U120" s="268"/>
      <c r="V120" s="268"/>
      <c r="W120" s="268"/>
      <c r="X120" s="268"/>
    </row>
    <row r="121">
      <c r="A121" s="270"/>
      <c r="B121" s="268"/>
      <c r="C121" s="268"/>
      <c r="D121" s="268"/>
      <c r="E121" s="268"/>
      <c r="F121" s="268"/>
      <c r="G121" s="270"/>
      <c r="H121" s="268"/>
      <c r="I121" s="268"/>
      <c r="J121" s="268"/>
      <c r="K121" s="268"/>
      <c r="L121" s="268"/>
      <c r="M121" s="270"/>
      <c r="N121" s="268"/>
      <c r="O121" s="268"/>
      <c r="P121" s="270"/>
      <c r="Q121" s="268"/>
      <c r="R121" s="268"/>
      <c r="S121" s="268"/>
      <c r="T121" s="268"/>
      <c r="U121" s="268"/>
      <c r="V121" s="268"/>
      <c r="W121" s="268"/>
      <c r="X121" s="268"/>
    </row>
    <row r="122">
      <c r="A122" s="270"/>
      <c r="B122" s="268"/>
      <c r="C122" s="268"/>
      <c r="D122" s="268"/>
      <c r="E122" s="268"/>
      <c r="F122" s="268"/>
      <c r="G122" s="270"/>
      <c r="H122" s="268"/>
      <c r="I122" s="268"/>
      <c r="J122" s="268"/>
      <c r="K122" s="268"/>
      <c r="L122" s="268"/>
      <c r="M122" s="270"/>
      <c r="N122" s="268"/>
      <c r="O122" s="268"/>
      <c r="P122" s="270"/>
      <c r="Q122" s="268"/>
      <c r="R122" s="268"/>
      <c r="S122" s="268"/>
      <c r="T122" s="268"/>
      <c r="U122" s="268"/>
      <c r="V122" s="268"/>
      <c r="W122" s="268"/>
      <c r="X122" s="268"/>
    </row>
    <row r="123">
      <c r="A123" s="270"/>
      <c r="B123" s="268"/>
      <c r="C123" s="268"/>
      <c r="D123" s="268"/>
      <c r="E123" s="268"/>
      <c r="F123" s="268"/>
      <c r="G123" s="270"/>
      <c r="H123" s="268"/>
      <c r="I123" s="268"/>
      <c r="J123" s="268"/>
      <c r="K123" s="268"/>
      <c r="L123" s="268"/>
      <c r="M123" s="270"/>
      <c r="N123" s="268"/>
      <c r="O123" s="268"/>
      <c r="P123" s="270"/>
      <c r="Q123" s="268"/>
      <c r="R123" s="268"/>
      <c r="S123" s="268"/>
      <c r="T123" s="268"/>
      <c r="U123" s="268"/>
      <c r="V123" s="268"/>
      <c r="W123" s="268"/>
      <c r="X123" s="268"/>
    </row>
    <row r="124">
      <c r="A124" s="270"/>
      <c r="B124" s="268"/>
      <c r="C124" s="268"/>
      <c r="D124" s="268"/>
      <c r="E124" s="268"/>
      <c r="F124" s="268"/>
      <c r="G124" s="270"/>
      <c r="H124" s="268"/>
      <c r="I124" s="268"/>
      <c r="J124" s="268"/>
      <c r="K124" s="268"/>
      <c r="L124" s="268"/>
      <c r="M124" s="270"/>
      <c r="N124" s="268"/>
      <c r="O124" s="268"/>
      <c r="P124" s="270"/>
      <c r="Q124" s="268"/>
      <c r="R124" s="268"/>
      <c r="S124" s="268"/>
      <c r="T124" s="268"/>
      <c r="U124" s="268"/>
      <c r="V124" s="268"/>
      <c r="W124" s="268"/>
      <c r="X124" s="268"/>
    </row>
    <row r="125">
      <c r="A125" s="270"/>
      <c r="B125" s="268"/>
      <c r="C125" s="268"/>
      <c r="D125" s="268"/>
      <c r="E125" s="268"/>
      <c r="F125" s="268"/>
      <c r="G125" s="270"/>
      <c r="H125" s="268"/>
      <c r="I125" s="268"/>
      <c r="J125" s="268"/>
      <c r="K125" s="268"/>
      <c r="L125" s="268"/>
      <c r="M125" s="270"/>
      <c r="N125" s="268"/>
      <c r="O125" s="268"/>
      <c r="P125" s="270"/>
      <c r="Q125" s="268"/>
      <c r="R125" s="268"/>
      <c r="S125" s="268"/>
      <c r="T125" s="268"/>
      <c r="U125" s="268"/>
      <c r="V125" s="268"/>
      <c r="W125" s="268"/>
      <c r="X125" s="268"/>
    </row>
    <row r="126">
      <c r="A126" s="270"/>
      <c r="B126" s="268"/>
      <c r="C126" s="268"/>
      <c r="D126" s="268"/>
      <c r="E126" s="268"/>
      <c r="F126" s="268"/>
      <c r="G126" s="270"/>
      <c r="H126" s="268"/>
      <c r="I126" s="268"/>
      <c r="J126" s="268"/>
      <c r="K126" s="268"/>
      <c r="L126" s="268"/>
      <c r="M126" s="270"/>
      <c r="N126" s="268"/>
      <c r="O126" s="268"/>
      <c r="P126" s="270"/>
      <c r="Q126" s="268"/>
      <c r="R126" s="268"/>
      <c r="S126" s="268"/>
      <c r="T126" s="268"/>
      <c r="U126" s="268"/>
      <c r="V126" s="268"/>
      <c r="W126" s="268"/>
      <c r="X126" s="268"/>
    </row>
    <row r="127">
      <c r="A127" s="270"/>
      <c r="B127" s="268"/>
      <c r="C127" s="268"/>
      <c r="D127" s="268"/>
      <c r="E127" s="268"/>
      <c r="F127" s="268"/>
      <c r="G127" s="270"/>
      <c r="H127" s="268"/>
      <c r="I127" s="268"/>
      <c r="J127" s="268"/>
      <c r="K127" s="268"/>
      <c r="L127" s="268"/>
      <c r="M127" s="270"/>
      <c r="N127" s="268"/>
      <c r="O127" s="268"/>
      <c r="P127" s="270"/>
      <c r="Q127" s="268"/>
      <c r="R127" s="268"/>
      <c r="S127" s="268"/>
      <c r="T127" s="268"/>
      <c r="U127" s="268"/>
      <c r="V127" s="268"/>
      <c r="W127" s="268"/>
      <c r="X127" s="268"/>
    </row>
    <row r="128">
      <c r="A128" s="270"/>
      <c r="B128" s="268"/>
      <c r="C128" s="268"/>
      <c r="D128" s="268"/>
      <c r="E128" s="268"/>
      <c r="F128" s="268"/>
      <c r="G128" s="270"/>
      <c r="H128" s="268"/>
      <c r="I128" s="268"/>
      <c r="J128" s="268"/>
      <c r="K128" s="268"/>
      <c r="L128" s="268"/>
      <c r="M128" s="270"/>
      <c r="N128" s="268"/>
      <c r="O128" s="268"/>
      <c r="P128" s="270"/>
      <c r="Q128" s="268"/>
      <c r="R128" s="268"/>
      <c r="S128" s="268"/>
      <c r="T128" s="268"/>
      <c r="U128" s="268"/>
      <c r="V128" s="268"/>
      <c r="W128" s="268"/>
      <c r="X128" s="268"/>
    </row>
    <row r="129">
      <c r="A129" s="270"/>
      <c r="B129" s="268"/>
      <c r="C129" s="268"/>
      <c r="D129" s="268"/>
      <c r="E129" s="268"/>
      <c r="F129" s="268"/>
      <c r="G129" s="270"/>
      <c r="H129" s="268"/>
      <c r="I129" s="268"/>
      <c r="J129" s="268"/>
      <c r="K129" s="268"/>
      <c r="L129" s="268"/>
      <c r="M129" s="270"/>
      <c r="N129" s="268"/>
      <c r="O129" s="268"/>
      <c r="P129" s="270"/>
      <c r="Q129" s="268"/>
      <c r="R129" s="268"/>
      <c r="S129" s="268"/>
      <c r="T129" s="268"/>
      <c r="U129" s="268"/>
      <c r="V129" s="268"/>
      <c r="W129" s="268"/>
      <c r="X129" s="268"/>
    </row>
    <row r="130">
      <c r="A130" s="270"/>
      <c r="B130" s="268"/>
      <c r="C130" s="268"/>
      <c r="D130" s="268"/>
      <c r="E130" s="268"/>
      <c r="F130" s="268"/>
      <c r="G130" s="270"/>
      <c r="H130" s="268"/>
      <c r="I130" s="268"/>
      <c r="J130" s="268"/>
      <c r="K130" s="268"/>
      <c r="L130" s="268"/>
      <c r="M130" s="270"/>
      <c r="N130" s="268"/>
      <c r="O130" s="268"/>
      <c r="P130" s="270"/>
      <c r="Q130" s="268"/>
      <c r="R130" s="268"/>
      <c r="S130" s="268"/>
      <c r="T130" s="268"/>
      <c r="U130" s="268"/>
      <c r="V130" s="268"/>
      <c r="W130" s="268"/>
      <c r="X130" s="268"/>
    </row>
    <row r="131">
      <c r="A131" s="270"/>
      <c r="B131" s="268"/>
      <c r="C131" s="268"/>
      <c r="D131" s="268"/>
      <c r="E131" s="268"/>
      <c r="F131" s="268"/>
      <c r="G131" s="270"/>
      <c r="H131" s="268"/>
      <c r="I131" s="268"/>
      <c r="J131" s="268"/>
      <c r="K131" s="268"/>
      <c r="L131" s="268"/>
      <c r="M131" s="270"/>
      <c r="N131" s="268"/>
      <c r="O131" s="268"/>
      <c r="P131" s="270"/>
      <c r="Q131" s="268"/>
      <c r="R131" s="268"/>
      <c r="S131" s="268"/>
      <c r="T131" s="268"/>
      <c r="U131" s="268"/>
      <c r="V131" s="268"/>
      <c r="W131" s="268"/>
      <c r="X131" s="268"/>
    </row>
    <row r="132">
      <c r="A132" s="270"/>
      <c r="B132" s="268"/>
      <c r="C132" s="268"/>
      <c r="D132" s="268"/>
      <c r="E132" s="268"/>
      <c r="F132" s="268"/>
      <c r="G132" s="270"/>
      <c r="H132" s="268"/>
      <c r="I132" s="268"/>
      <c r="J132" s="268"/>
      <c r="K132" s="268"/>
      <c r="L132" s="268"/>
      <c r="M132" s="270"/>
      <c r="N132" s="268"/>
      <c r="O132" s="268"/>
      <c r="P132" s="270"/>
      <c r="Q132" s="268"/>
      <c r="R132" s="268"/>
      <c r="S132" s="268"/>
      <c r="T132" s="268"/>
      <c r="U132" s="268"/>
      <c r="V132" s="268"/>
      <c r="W132" s="268"/>
      <c r="X132" s="268"/>
    </row>
    <row r="133">
      <c r="A133" s="270"/>
      <c r="B133" s="268"/>
      <c r="C133" s="268"/>
      <c r="D133" s="268"/>
      <c r="E133" s="268"/>
      <c r="F133" s="268"/>
      <c r="G133" s="270"/>
      <c r="H133" s="268"/>
      <c r="I133" s="268"/>
      <c r="J133" s="268"/>
      <c r="K133" s="268"/>
      <c r="L133" s="268"/>
      <c r="M133" s="270"/>
      <c r="N133" s="268"/>
      <c r="O133" s="268"/>
      <c r="P133" s="270"/>
      <c r="Q133" s="268"/>
      <c r="R133" s="268"/>
      <c r="S133" s="268"/>
      <c r="T133" s="268"/>
      <c r="U133" s="268"/>
      <c r="V133" s="268"/>
      <c r="W133" s="268"/>
      <c r="X133" s="268"/>
    </row>
    <row r="134">
      <c r="A134" s="270"/>
      <c r="B134" s="268"/>
      <c r="C134" s="268"/>
      <c r="D134" s="268"/>
      <c r="E134" s="268"/>
      <c r="F134" s="268"/>
      <c r="G134" s="270"/>
      <c r="H134" s="268"/>
      <c r="I134" s="268"/>
      <c r="J134" s="268"/>
      <c r="K134" s="268"/>
      <c r="L134" s="268"/>
      <c r="M134" s="270"/>
      <c r="N134" s="268"/>
      <c r="O134" s="268"/>
      <c r="P134" s="270"/>
      <c r="Q134" s="268"/>
      <c r="R134" s="268"/>
      <c r="S134" s="268"/>
      <c r="T134" s="268"/>
      <c r="U134" s="268"/>
      <c r="V134" s="268"/>
      <c r="W134" s="268"/>
      <c r="X134" s="268"/>
    </row>
    <row r="135">
      <c r="A135" s="270"/>
      <c r="B135" s="268"/>
      <c r="C135" s="268"/>
      <c r="D135" s="268"/>
      <c r="E135" s="268"/>
      <c r="F135" s="268"/>
      <c r="G135" s="270"/>
      <c r="H135" s="268"/>
      <c r="I135" s="268"/>
      <c r="J135" s="268"/>
      <c r="K135" s="268"/>
      <c r="L135" s="268"/>
      <c r="M135" s="270"/>
      <c r="N135" s="268"/>
      <c r="O135" s="268"/>
      <c r="P135" s="270"/>
      <c r="Q135" s="268"/>
      <c r="R135" s="268"/>
      <c r="S135" s="268"/>
      <c r="T135" s="268"/>
      <c r="U135" s="268"/>
      <c r="V135" s="268"/>
      <c r="W135" s="268"/>
      <c r="X135" s="268"/>
    </row>
    <row r="136">
      <c r="A136" s="270"/>
      <c r="B136" s="268"/>
      <c r="C136" s="268"/>
      <c r="D136" s="268"/>
      <c r="E136" s="268"/>
      <c r="F136" s="268"/>
      <c r="G136" s="270"/>
      <c r="H136" s="268"/>
      <c r="I136" s="268"/>
      <c r="J136" s="268"/>
      <c r="K136" s="268"/>
      <c r="L136" s="268"/>
      <c r="M136" s="270"/>
      <c r="N136" s="268"/>
      <c r="O136" s="268"/>
      <c r="P136" s="270"/>
      <c r="Q136" s="268"/>
      <c r="R136" s="268"/>
      <c r="S136" s="268"/>
      <c r="T136" s="268"/>
      <c r="U136" s="268"/>
      <c r="V136" s="268"/>
      <c r="W136" s="268"/>
      <c r="X136" s="268"/>
    </row>
    <row r="137">
      <c r="A137" s="270"/>
      <c r="B137" s="268"/>
      <c r="C137" s="268"/>
      <c r="D137" s="268"/>
      <c r="E137" s="268"/>
      <c r="F137" s="268"/>
      <c r="G137" s="270"/>
      <c r="H137" s="268"/>
      <c r="I137" s="268"/>
      <c r="J137" s="268"/>
      <c r="K137" s="268"/>
      <c r="L137" s="268"/>
      <c r="M137" s="270"/>
      <c r="N137" s="268"/>
      <c r="O137" s="268"/>
      <c r="P137" s="270"/>
      <c r="Q137" s="268"/>
      <c r="R137" s="268"/>
      <c r="S137" s="268"/>
      <c r="T137" s="268"/>
      <c r="U137" s="268"/>
      <c r="V137" s="268"/>
      <c r="W137" s="268"/>
      <c r="X137" s="268"/>
    </row>
    <row r="138">
      <c r="A138" s="270"/>
      <c r="B138" s="268"/>
      <c r="C138" s="268"/>
      <c r="D138" s="268"/>
      <c r="E138" s="268"/>
      <c r="F138" s="268"/>
      <c r="G138" s="270"/>
      <c r="H138" s="268"/>
      <c r="I138" s="268"/>
      <c r="J138" s="268"/>
      <c r="K138" s="268"/>
      <c r="L138" s="268"/>
      <c r="M138" s="270"/>
      <c r="N138" s="268"/>
      <c r="O138" s="268"/>
      <c r="P138" s="270"/>
      <c r="Q138" s="268"/>
      <c r="R138" s="268"/>
      <c r="S138" s="268"/>
      <c r="T138" s="268"/>
      <c r="U138" s="268"/>
      <c r="V138" s="268"/>
      <c r="W138" s="268"/>
      <c r="X138" s="268"/>
    </row>
    <row r="139">
      <c r="A139" s="270"/>
      <c r="B139" s="268"/>
      <c r="C139" s="268"/>
      <c r="D139" s="268"/>
      <c r="E139" s="268"/>
      <c r="F139" s="268"/>
      <c r="G139" s="270"/>
      <c r="H139" s="268"/>
      <c r="I139" s="268"/>
      <c r="J139" s="268"/>
      <c r="K139" s="268"/>
      <c r="L139" s="268"/>
      <c r="M139" s="270"/>
      <c r="N139" s="268"/>
      <c r="O139" s="268"/>
      <c r="P139" s="270"/>
      <c r="Q139" s="268"/>
      <c r="R139" s="268"/>
      <c r="S139" s="268"/>
      <c r="T139" s="268"/>
      <c r="U139" s="268"/>
      <c r="V139" s="268"/>
      <c r="W139" s="268"/>
      <c r="X139" s="268"/>
    </row>
    <row r="140">
      <c r="A140" s="270"/>
      <c r="B140" s="268"/>
      <c r="C140" s="268"/>
      <c r="D140" s="268"/>
      <c r="E140" s="268"/>
      <c r="F140" s="268"/>
      <c r="G140" s="270"/>
      <c r="H140" s="268"/>
      <c r="I140" s="268"/>
      <c r="J140" s="268"/>
      <c r="K140" s="268"/>
      <c r="L140" s="268"/>
      <c r="M140" s="270"/>
      <c r="N140" s="268"/>
      <c r="O140" s="268"/>
      <c r="P140" s="270"/>
      <c r="Q140" s="268"/>
      <c r="R140" s="268"/>
      <c r="S140" s="268"/>
      <c r="T140" s="268"/>
      <c r="U140" s="268"/>
      <c r="V140" s="268"/>
      <c r="W140" s="268"/>
      <c r="X140" s="268"/>
    </row>
    <row r="141">
      <c r="A141" s="270"/>
      <c r="B141" s="268"/>
      <c r="C141" s="268"/>
      <c r="D141" s="268"/>
      <c r="E141" s="268"/>
      <c r="F141" s="268"/>
      <c r="G141" s="270"/>
      <c r="H141" s="268"/>
      <c r="I141" s="268"/>
      <c r="J141" s="268"/>
      <c r="K141" s="268"/>
      <c r="L141" s="268"/>
      <c r="M141" s="270"/>
      <c r="N141" s="268"/>
      <c r="O141" s="268"/>
      <c r="P141" s="270"/>
      <c r="Q141" s="268"/>
      <c r="R141" s="268"/>
      <c r="S141" s="268"/>
      <c r="T141" s="268"/>
      <c r="U141" s="268"/>
      <c r="V141" s="268"/>
      <c r="W141" s="268"/>
      <c r="X141" s="268"/>
    </row>
    <row r="142">
      <c r="A142" s="270"/>
      <c r="B142" s="268"/>
      <c r="C142" s="268"/>
      <c r="D142" s="268"/>
      <c r="E142" s="268"/>
      <c r="F142" s="268"/>
      <c r="G142" s="270"/>
      <c r="H142" s="268"/>
      <c r="I142" s="268"/>
      <c r="J142" s="268"/>
      <c r="K142" s="268"/>
      <c r="L142" s="268"/>
      <c r="M142" s="270"/>
      <c r="N142" s="268"/>
      <c r="O142" s="268"/>
      <c r="P142" s="270"/>
      <c r="Q142" s="268"/>
      <c r="R142" s="268"/>
      <c r="S142" s="268"/>
      <c r="T142" s="268"/>
      <c r="U142" s="268"/>
      <c r="V142" s="268"/>
      <c r="W142" s="268"/>
      <c r="X142" s="268"/>
    </row>
    <row r="143">
      <c r="A143" s="270"/>
      <c r="B143" s="268"/>
      <c r="C143" s="268"/>
      <c r="D143" s="268"/>
      <c r="E143" s="268"/>
      <c r="F143" s="268"/>
      <c r="G143" s="270"/>
      <c r="H143" s="268"/>
      <c r="I143" s="268"/>
      <c r="J143" s="268"/>
      <c r="K143" s="268"/>
      <c r="L143" s="268"/>
      <c r="M143" s="270"/>
      <c r="N143" s="268"/>
      <c r="O143" s="268"/>
      <c r="P143" s="270"/>
      <c r="Q143" s="268"/>
      <c r="R143" s="268"/>
      <c r="S143" s="268"/>
      <c r="T143" s="268"/>
      <c r="U143" s="268"/>
      <c r="V143" s="268"/>
      <c r="W143" s="268"/>
      <c r="X143" s="268"/>
    </row>
    <row r="144">
      <c r="A144" s="270"/>
      <c r="B144" s="268"/>
      <c r="C144" s="268"/>
      <c r="D144" s="268"/>
      <c r="E144" s="268"/>
      <c r="F144" s="268"/>
      <c r="G144" s="270"/>
      <c r="H144" s="268"/>
      <c r="I144" s="268"/>
      <c r="J144" s="268"/>
      <c r="K144" s="268"/>
      <c r="L144" s="268"/>
      <c r="M144" s="270"/>
      <c r="N144" s="268"/>
      <c r="O144" s="268"/>
      <c r="P144" s="270"/>
      <c r="Q144" s="268"/>
      <c r="R144" s="268"/>
      <c r="S144" s="268"/>
      <c r="T144" s="268"/>
      <c r="U144" s="268"/>
      <c r="V144" s="268"/>
      <c r="W144" s="268"/>
      <c r="X144" s="268"/>
    </row>
    <row r="145">
      <c r="A145" s="270"/>
      <c r="B145" s="268"/>
      <c r="C145" s="268"/>
      <c r="D145" s="268"/>
      <c r="E145" s="268"/>
      <c r="F145" s="268"/>
      <c r="G145" s="270"/>
      <c r="H145" s="268"/>
      <c r="I145" s="268"/>
      <c r="J145" s="268"/>
      <c r="K145" s="268"/>
      <c r="L145" s="268"/>
      <c r="M145" s="270"/>
      <c r="N145" s="268"/>
      <c r="O145" s="268"/>
      <c r="P145" s="270"/>
      <c r="Q145" s="268"/>
      <c r="R145" s="268"/>
      <c r="S145" s="268"/>
      <c r="T145" s="268"/>
      <c r="U145" s="268"/>
      <c r="V145" s="268"/>
      <c r="W145" s="268"/>
      <c r="X145" s="268"/>
    </row>
    <row r="146">
      <c r="A146" s="270"/>
      <c r="B146" s="268"/>
      <c r="C146" s="268"/>
      <c r="D146" s="268"/>
      <c r="E146" s="268"/>
      <c r="F146" s="268"/>
      <c r="G146" s="270"/>
      <c r="H146" s="268"/>
      <c r="I146" s="268"/>
      <c r="J146" s="268"/>
      <c r="K146" s="268"/>
      <c r="L146" s="268"/>
      <c r="M146" s="270"/>
      <c r="N146" s="268"/>
      <c r="O146" s="268"/>
      <c r="P146" s="270"/>
      <c r="Q146" s="268"/>
      <c r="R146" s="268"/>
      <c r="S146" s="268"/>
      <c r="T146" s="268"/>
      <c r="U146" s="268"/>
      <c r="V146" s="268"/>
      <c r="W146" s="268"/>
      <c r="X146" s="268"/>
    </row>
    <row r="147">
      <c r="A147" s="270"/>
      <c r="B147" s="268"/>
      <c r="C147" s="268"/>
      <c r="D147" s="268"/>
      <c r="E147" s="268"/>
      <c r="F147" s="268"/>
      <c r="G147" s="270"/>
      <c r="H147" s="268"/>
      <c r="I147" s="268"/>
      <c r="J147" s="268"/>
      <c r="K147" s="268"/>
      <c r="L147" s="268"/>
      <c r="M147" s="270"/>
      <c r="N147" s="268"/>
      <c r="O147" s="268"/>
      <c r="P147" s="270"/>
      <c r="Q147" s="268"/>
      <c r="R147" s="268"/>
      <c r="S147" s="268"/>
      <c r="T147" s="268"/>
      <c r="U147" s="268"/>
      <c r="V147" s="268"/>
      <c r="W147" s="268"/>
      <c r="X147" s="268"/>
    </row>
    <row r="148">
      <c r="A148" s="270"/>
      <c r="B148" s="268"/>
      <c r="C148" s="268"/>
      <c r="D148" s="268"/>
      <c r="E148" s="268"/>
      <c r="F148" s="268"/>
      <c r="G148" s="270"/>
      <c r="H148" s="268"/>
      <c r="I148" s="268"/>
      <c r="J148" s="268"/>
      <c r="K148" s="268"/>
      <c r="L148" s="268"/>
      <c r="M148" s="270"/>
      <c r="N148" s="268"/>
      <c r="O148" s="268"/>
      <c r="P148" s="270"/>
      <c r="Q148" s="268"/>
      <c r="R148" s="268"/>
      <c r="S148" s="268"/>
      <c r="T148" s="268"/>
      <c r="U148" s="268"/>
      <c r="V148" s="268"/>
      <c r="W148" s="268"/>
      <c r="X148" s="268"/>
    </row>
    <row r="149">
      <c r="A149" s="270"/>
      <c r="B149" s="268"/>
      <c r="C149" s="268"/>
      <c r="D149" s="268"/>
      <c r="E149" s="268"/>
      <c r="F149" s="268"/>
      <c r="G149" s="270"/>
      <c r="H149" s="268"/>
      <c r="I149" s="268"/>
      <c r="J149" s="268"/>
      <c r="K149" s="268"/>
      <c r="L149" s="268"/>
      <c r="M149" s="270"/>
      <c r="N149" s="268"/>
      <c r="O149" s="268"/>
      <c r="P149" s="270"/>
      <c r="Q149" s="268"/>
      <c r="R149" s="268"/>
      <c r="S149" s="268"/>
      <c r="T149" s="268"/>
      <c r="U149" s="268"/>
      <c r="V149" s="268"/>
      <c r="W149" s="268"/>
      <c r="X149" s="268"/>
    </row>
    <row r="150">
      <c r="A150" s="270"/>
      <c r="B150" s="268"/>
      <c r="C150" s="268"/>
      <c r="D150" s="268"/>
      <c r="E150" s="268"/>
      <c r="F150" s="268"/>
      <c r="G150" s="270"/>
      <c r="H150" s="268"/>
      <c r="I150" s="268"/>
      <c r="J150" s="268"/>
      <c r="K150" s="268"/>
      <c r="L150" s="268"/>
      <c r="M150" s="270"/>
      <c r="N150" s="268"/>
      <c r="O150" s="268"/>
      <c r="P150" s="270"/>
      <c r="Q150" s="268"/>
      <c r="R150" s="268"/>
      <c r="S150" s="268"/>
      <c r="T150" s="268"/>
      <c r="U150" s="268"/>
      <c r="V150" s="268"/>
      <c r="W150" s="268"/>
      <c r="X150" s="268"/>
    </row>
    <row r="151">
      <c r="A151" s="270"/>
      <c r="B151" s="268"/>
      <c r="C151" s="268"/>
      <c r="D151" s="268"/>
      <c r="E151" s="268"/>
      <c r="F151" s="268"/>
      <c r="G151" s="270"/>
      <c r="H151" s="268"/>
      <c r="I151" s="268"/>
      <c r="J151" s="268"/>
      <c r="K151" s="268"/>
      <c r="L151" s="268"/>
      <c r="M151" s="270"/>
      <c r="N151" s="268"/>
      <c r="O151" s="268"/>
      <c r="P151" s="270"/>
      <c r="Q151" s="268"/>
      <c r="R151" s="268"/>
      <c r="S151" s="268"/>
      <c r="T151" s="268"/>
      <c r="U151" s="268"/>
      <c r="V151" s="268"/>
      <c r="W151" s="268"/>
      <c r="X151" s="268"/>
    </row>
    <row r="152">
      <c r="A152" s="270"/>
      <c r="B152" s="268"/>
      <c r="C152" s="268"/>
      <c r="D152" s="268"/>
      <c r="E152" s="268"/>
      <c r="F152" s="268"/>
      <c r="G152" s="270"/>
      <c r="H152" s="268"/>
      <c r="I152" s="268"/>
      <c r="J152" s="268"/>
      <c r="K152" s="268"/>
      <c r="L152" s="268"/>
      <c r="M152" s="270"/>
      <c r="N152" s="268"/>
      <c r="O152" s="268"/>
      <c r="P152" s="270"/>
      <c r="Q152" s="268"/>
      <c r="R152" s="268"/>
      <c r="S152" s="268"/>
      <c r="T152" s="268"/>
      <c r="U152" s="268"/>
      <c r="V152" s="268"/>
      <c r="W152" s="268"/>
      <c r="X152" s="268"/>
    </row>
    <row r="153">
      <c r="A153" s="270"/>
      <c r="B153" s="268"/>
      <c r="C153" s="268"/>
      <c r="D153" s="268"/>
      <c r="E153" s="268"/>
      <c r="F153" s="268"/>
      <c r="G153" s="270"/>
      <c r="H153" s="268"/>
      <c r="I153" s="268"/>
      <c r="J153" s="268"/>
      <c r="K153" s="268"/>
      <c r="L153" s="268"/>
      <c r="M153" s="270"/>
      <c r="N153" s="268"/>
      <c r="O153" s="268"/>
      <c r="P153" s="270"/>
      <c r="Q153" s="268"/>
      <c r="R153" s="268"/>
      <c r="S153" s="268"/>
      <c r="T153" s="268"/>
      <c r="U153" s="268"/>
      <c r="V153" s="268"/>
      <c r="W153" s="268"/>
      <c r="X153" s="268"/>
    </row>
    <row r="154">
      <c r="A154" s="270"/>
      <c r="B154" s="268"/>
      <c r="C154" s="268"/>
      <c r="D154" s="268"/>
      <c r="E154" s="268"/>
      <c r="F154" s="268"/>
      <c r="G154" s="270"/>
      <c r="H154" s="268"/>
      <c r="I154" s="268"/>
      <c r="J154" s="268"/>
      <c r="K154" s="268"/>
      <c r="L154" s="268"/>
      <c r="M154" s="270"/>
      <c r="N154" s="268"/>
      <c r="O154" s="268"/>
      <c r="P154" s="270"/>
      <c r="Q154" s="268"/>
      <c r="R154" s="268"/>
      <c r="S154" s="268"/>
      <c r="T154" s="268"/>
      <c r="U154" s="268"/>
      <c r="V154" s="268"/>
      <c r="W154" s="268"/>
      <c r="X154" s="268"/>
    </row>
    <row r="155">
      <c r="A155" s="270"/>
      <c r="B155" s="268"/>
      <c r="C155" s="268"/>
      <c r="D155" s="268"/>
      <c r="E155" s="268"/>
      <c r="F155" s="268"/>
      <c r="G155" s="270"/>
      <c r="H155" s="268"/>
      <c r="I155" s="268"/>
      <c r="J155" s="268"/>
      <c r="K155" s="268"/>
      <c r="L155" s="268"/>
      <c r="M155" s="270"/>
      <c r="N155" s="268"/>
      <c r="O155" s="268"/>
      <c r="P155" s="270"/>
      <c r="Q155" s="268"/>
      <c r="R155" s="268"/>
      <c r="S155" s="268"/>
      <c r="T155" s="268"/>
      <c r="U155" s="268"/>
      <c r="V155" s="268"/>
      <c r="W155" s="268"/>
      <c r="X155" s="268"/>
    </row>
    <row r="156">
      <c r="A156" s="270"/>
      <c r="B156" s="268"/>
      <c r="C156" s="268"/>
      <c r="D156" s="268"/>
      <c r="E156" s="268"/>
      <c r="F156" s="268"/>
      <c r="G156" s="270"/>
      <c r="H156" s="268"/>
      <c r="I156" s="268"/>
      <c r="J156" s="268"/>
      <c r="K156" s="268"/>
      <c r="L156" s="268"/>
      <c r="M156" s="270"/>
      <c r="N156" s="268"/>
      <c r="O156" s="268"/>
      <c r="P156" s="270"/>
      <c r="Q156" s="268"/>
      <c r="R156" s="268"/>
      <c r="S156" s="268"/>
      <c r="T156" s="268"/>
      <c r="U156" s="268"/>
      <c r="V156" s="268"/>
      <c r="W156" s="268"/>
      <c r="X156" s="268"/>
    </row>
    <row r="157">
      <c r="A157" s="270"/>
      <c r="B157" s="268"/>
      <c r="C157" s="268"/>
      <c r="D157" s="268"/>
      <c r="E157" s="268"/>
      <c r="F157" s="268"/>
      <c r="G157" s="270"/>
      <c r="H157" s="268"/>
      <c r="I157" s="268"/>
      <c r="J157" s="268"/>
      <c r="K157" s="268"/>
      <c r="L157" s="268"/>
      <c r="M157" s="270"/>
      <c r="N157" s="268"/>
      <c r="O157" s="268"/>
      <c r="P157" s="270"/>
      <c r="Q157" s="268"/>
      <c r="R157" s="268"/>
      <c r="S157" s="268"/>
      <c r="T157" s="268"/>
      <c r="U157" s="268"/>
      <c r="V157" s="268"/>
      <c r="W157" s="268"/>
      <c r="X157" s="268"/>
    </row>
    <row r="158">
      <c r="A158" s="270"/>
      <c r="B158" s="268"/>
      <c r="C158" s="268"/>
      <c r="D158" s="268"/>
      <c r="E158" s="268"/>
      <c r="F158" s="268"/>
      <c r="G158" s="270"/>
      <c r="H158" s="268"/>
      <c r="I158" s="268"/>
      <c r="J158" s="268"/>
      <c r="K158" s="268"/>
      <c r="L158" s="268"/>
      <c r="M158" s="270"/>
      <c r="N158" s="268"/>
      <c r="O158" s="268"/>
      <c r="P158" s="270"/>
      <c r="Q158" s="268"/>
      <c r="R158" s="268"/>
      <c r="S158" s="268"/>
      <c r="T158" s="268"/>
      <c r="U158" s="268"/>
      <c r="V158" s="268"/>
      <c r="W158" s="268"/>
      <c r="X158" s="268"/>
    </row>
    <row r="159">
      <c r="A159" s="270"/>
      <c r="B159" s="268"/>
      <c r="C159" s="268"/>
      <c r="D159" s="268"/>
      <c r="E159" s="268"/>
      <c r="F159" s="268"/>
      <c r="G159" s="270"/>
      <c r="H159" s="268"/>
      <c r="I159" s="268"/>
      <c r="J159" s="268"/>
      <c r="K159" s="268"/>
      <c r="L159" s="268"/>
      <c r="M159" s="270"/>
      <c r="N159" s="268"/>
      <c r="O159" s="268"/>
      <c r="P159" s="270"/>
      <c r="Q159" s="268"/>
      <c r="R159" s="268"/>
      <c r="S159" s="268"/>
      <c r="T159" s="268"/>
      <c r="U159" s="268"/>
      <c r="V159" s="268"/>
      <c r="W159" s="268"/>
      <c r="X159" s="268"/>
    </row>
    <row r="160">
      <c r="A160" s="270"/>
      <c r="B160" s="268"/>
      <c r="C160" s="268"/>
      <c r="D160" s="268"/>
      <c r="E160" s="268"/>
      <c r="F160" s="268"/>
      <c r="G160" s="270"/>
      <c r="H160" s="268"/>
      <c r="I160" s="268"/>
      <c r="J160" s="268"/>
      <c r="K160" s="268"/>
      <c r="L160" s="268"/>
      <c r="M160" s="270"/>
      <c r="N160" s="268"/>
      <c r="O160" s="268"/>
      <c r="P160" s="270"/>
      <c r="Q160" s="268"/>
      <c r="R160" s="268"/>
      <c r="S160" s="268"/>
      <c r="T160" s="268"/>
      <c r="U160" s="268"/>
      <c r="V160" s="268"/>
      <c r="W160" s="268"/>
      <c r="X160" s="268"/>
    </row>
    <row r="161">
      <c r="A161" s="270"/>
      <c r="B161" s="268"/>
      <c r="C161" s="268"/>
      <c r="D161" s="268"/>
      <c r="E161" s="268"/>
      <c r="F161" s="268"/>
      <c r="G161" s="270"/>
      <c r="H161" s="268"/>
      <c r="I161" s="268"/>
      <c r="J161" s="268"/>
      <c r="K161" s="268"/>
      <c r="L161" s="268"/>
      <c r="M161" s="270"/>
      <c r="N161" s="268"/>
      <c r="O161" s="268"/>
      <c r="P161" s="270"/>
      <c r="Q161" s="268"/>
      <c r="R161" s="268"/>
      <c r="S161" s="268"/>
      <c r="T161" s="268"/>
      <c r="U161" s="268"/>
      <c r="V161" s="268"/>
      <c r="W161" s="268"/>
      <c r="X161" s="268"/>
    </row>
    <row r="162">
      <c r="A162" s="270"/>
      <c r="B162" s="268"/>
      <c r="C162" s="268"/>
      <c r="D162" s="268"/>
      <c r="E162" s="268"/>
      <c r="F162" s="268"/>
      <c r="G162" s="270"/>
      <c r="H162" s="268"/>
      <c r="I162" s="268"/>
      <c r="J162" s="268"/>
      <c r="K162" s="268"/>
      <c r="L162" s="268"/>
      <c r="M162" s="270"/>
      <c r="N162" s="268"/>
      <c r="O162" s="268"/>
      <c r="P162" s="270"/>
      <c r="Q162" s="268"/>
      <c r="R162" s="268"/>
      <c r="S162" s="268"/>
      <c r="T162" s="268"/>
      <c r="U162" s="268"/>
      <c r="V162" s="268"/>
      <c r="W162" s="268"/>
      <c r="X162" s="268"/>
    </row>
    <row r="163">
      <c r="A163" s="270"/>
      <c r="B163" s="268"/>
      <c r="C163" s="268"/>
      <c r="D163" s="268"/>
      <c r="E163" s="268"/>
      <c r="F163" s="268"/>
      <c r="G163" s="270"/>
      <c r="H163" s="268"/>
      <c r="I163" s="268"/>
      <c r="J163" s="268"/>
      <c r="K163" s="268"/>
      <c r="L163" s="268"/>
      <c r="M163" s="270"/>
      <c r="N163" s="268"/>
      <c r="O163" s="268"/>
      <c r="P163" s="270"/>
      <c r="Q163" s="268"/>
      <c r="R163" s="268"/>
      <c r="S163" s="268"/>
      <c r="T163" s="268"/>
      <c r="U163" s="268"/>
      <c r="V163" s="268"/>
      <c r="W163" s="268"/>
      <c r="X163" s="268"/>
    </row>
    <row r="164">
      <c r="A164" s="270"/>
      <c r="B164" s="268"/>
      <c r="C164" s="268"/>
      <c r="D164" s="268"/>
      <c r="E164" s="268"/>
      <c r="F164" s="268"/>
      <c r="G164" s="270"/>
      <c r="H164" s="268"/>
      <c r="I164" s="268"/>
      <c r="J164" s="268"/>
      <c r="K164" s="268"/>
      <c r="L164" s="268"/>
      <c r="M164" s="270"/>
      <c r="N164" s="268"/>
      <c r="O164" s="268"/>
      <c r="P164" s="270"/>
      <c r="Q164" s="268"/>
      <c r="R164" s="268"/>
      <c r="S164" s="268"/>
      <c r="T164" s="268"/>
      <c r="U164" s="268"/>
      <c r="V164" s="268"/>
      <c r="W164" s="268"/>
      <c r="X164" s="268"/>
    </row>
    <row r="165">
      <c r="A165" s="270"/>
      <c r="B165" s="268"/>
      <c r="C165" s="268"/>
      <c r="D165" s="268"/>
      <c r="E165" s="268"/>
      <c r="F165" s="268"/>
      <c r="G165" s="270"/>
      <c r="H165" s="268"/>
      <c r="I165" s="268"/>
      <c r="J165" s="268"/>
      <c r="K165" s="268"/>
      <c r="L165" s="268"/>
      <c r="M165" s="270"/>
      <c r="N165" s="268"/>
      <c r="O165" s="268"/>
      <c r="P165" s="270"/>
      <c r="Q165" s="268"/>
      <c r="R165" s="268"/>
      <c r="S165" s="268"/>
      <c r="T165" s="268"/>
      <c r="U165" s="268"/>
      <c r="V165" s="268"/>
      <c r="W165" s="268"/>
      <c r="X165" s="268"/>
    </row>
    <row r="166">
      <c r="A166" s="270"/>
      <c r="B166" s="268"/>
      <c r="C166" s="268"/>
      <c r="D166" s="268"/>
      <c r="E166" s="268"/>
      <c r="F166" s="268"/>
      <c r="G166" s="270"/>
      <c r="H166" s="268"/>
      <c r="I166" s="268"/>
      <c r="J166" s="268"/>
      <c r="K166" s="268"/>
      <c r="L166" s="268"/>
      <c r="M166" s="270"/>
      <c r="N166" s="268"/>
      <c r="O166" s="268"/>
      <c r="P166" s="270"/>
      <c r="Q166" s="268"/>
      <c r="R166" s="268"/>
      <c r="S166" s="268"/>
      <c r="T166" s="268"/>
      <c r="U166" s="268"/>
      <c r="V166" s="268"/>
      <c r="W166" s="268"/>
      <c r="X166" s="268"/>
    </row>
    <row r="167">
      <c r="A167" s="270"/>
      <c r="B167" s="268"/>
      <c r="C167" s="268"/>
      <c r="D167" s="268"/>
      <c r="E167" s="268"/>
      <c r="F167" s="268"/>
      <c r="G167" s="270"/>
      <c r="H167" s="268"/>
      <c r="I167" s="268"/>
      <c r="J167" s="268"/>
      <c r="K167" s="268"/>
      <c r="L167" s="268"/>
      <c r="M167" s="270"/>
      <c r="N167" s="268"/>
      <c r="O167" s="268"/>
      <c r="P167" s="270"/>
      <c r="Q167" s="268"/>
      <c r="R167" s="268"/>
      <c r="S167" s="268"/>
      <c r="T167" s="268"/>
      <c r="U167" s="268"/>
      <c r="V167" s="268"/>
      <c r="W167" s="268"/>
      <c r="X167" s="268"/>
    </row>
    <row r="168">
      <c r="A168" s="270"/>
      <c r="B168" s="268"/>
      <c r="C168" s="268"/>
      <c r="D168" s="268"/>
      <c r="E168" s="268"/>
      <c r="F168" s="268"/>
      <c r="G168" s="270"/>
      <c r="H168" s="268"/>
      <c r="I168" s="268"/>
      <c r="J168" s="268"/>
      <c r="K168" s="268"/>
      <c r="L168" s="268"/>
      <c r="M168" s="270"/>
      <c r="N168" s="268"/>
      <c r="O168" s="268"/>
      <c r="P168" s="270"/>
      <c r="Q168" s="268"/>
      <c r="R168" s="268"/>
      <c r="S168" s="268"/>
      <c r="T168" s="268"/>
      <c r="U168" s="268"/>
      <c r="V168" s="268"/>
      <c r="W168" s="268"/>
      <c r="X168" s="268"/>
    </row>
    <row r="169">
      <c r="A169" s="270"/>
      <c r="B169" s="268"/>
      <c r="C169" s="268"/>
      <c r="D169" s="268"/>
      <c r="E169" s="268"/>
      <c r="F169" s="268"/>
      <c r="G169" s="270"/>
      <c r="H169" s="268"/>
      <c r="I169" s="268"/>
      <c r="J169" s="268"/>
      <c r="K169" s="268"/>
      <c r="L169" s="268"/>
      <c r="M169" s="270"/>
      <c r="N169" s="268"/>
      <c r="O169" s="268"/>
      <c r="P169" s="270"/>
      <c r="Q169" s="268"/>
      <c r="R169" s="268"/>
      <c r="S169" s="268"/>
      <c r="T169" s="268"/>
      <c r="U169" s="268"/>
      <c r="V169" s="268"/>
      <c r="W169" s="268"/>
      <c r="X169" s="268"/>
    </row>
    <row r="170">
      <c r="A170" s="270"/>
      <c r="B170" s="268"/>
      <c r="C170" s="268"/>
      <c r="D170" s="268"/>
      <c r="E170" s="268"/>
      <c r="F170" s="268"/>
      <c r="G170" s="270"/>
      <c r="H170" s="268"/>
      <c r="I170" s="268"/>
      <c r="J170" s="268"/>
      <c r="K170" s="268"/>
      <c r="L170" s="268"/>
      <c r="M170" s="270"/>
      <c r="N170" s="268"/>
      <c r="O170" s="268"/>
      <c r="P170" s="270"/>
      <c r="Q170" s="268"/>
      <c r="R170" s="268"/>
      <c r="S170" s="268"/>
      <c r="T170" s="268"/>
      <c r="U170" s="268"/>
      <c r="V170" s="268"/>
      <c r="W170" s="268"/>
      <c r="X170" s="268"/>
    </row>
    <row r="171">
      <c r="A171" s="270"/>
      <c r="B171" s="268"/>
      <c r="C171" s="268"/>
      <c r="D171" s="268"/>
      <c r="E171" s="268"/>
      <c r="F171" s="268"/>
      <c r="G171" s="270"/>
      <c r="H171" s="268"/>
      <c r="I171" s="268"/>
      <c r="J171" s="268"/>
      <c r="K171" s="268"/>
      <c r="L171" s="268"/>
      <c r="M171" s="270"/>
      <c r="N171" s="268"/>
      <c r="O171" s="268"/>
      <c r="P171" s="270"/>
      <c r="Q171" s="268"/>
      <c r="R171" s="268"/>
      <c r="S171" s="268"/>
      <c r="T171" s="268"/>
      <c r="U171" s="268"/>
      <c r="V171" s="268"/>
      <c r="W171" s="268"/>
      <c r="X171" s="268"/>
    </row>
    <row r="172">
      <c r="A172" s="270"/>
      <c r="B172" s="268"/>
      <c r="C172" s="268"/>
      <c r="D172" s="268"/>
      <c r="E172" s="268"/>
      <c r="F172" s="268"/>
      <c r="G172" s="270"/>
      <c r="H172" s="268"/>
      <c r="I172" s="268"/>
      <c r="J172" s="268"/>
      <c r="K172" s="268"/>
      <c r="L172" s="268"/>
      <c r="M172" s="270"/>
      <c r="N172" s="268"/>
      <c r="O172" s="268"/>
      <c r="P172" s="270"/>
      <c r="Q172" s="268"/>
      <c r="R172" s="268"/>
      <c r="S172" s="268"/>
      <c r="T172" s="268"/>
      <c r="U172" s="268"/>
      <c r="V172" s="268"/>
      <c r="W172" s="268"/>
      <c r="X172" s="268"/>
    </row>
    <row r="173">
      <c r="A173" s="270"/>
      <c r="B173" s="268"/>
      <c r="C173" s="268"/>
      <c r="D173" s="268"/>
      <c r="E173" s="268"/>
      <c r="F173" s="268"/>
      <c r="G173" s="270"/>
      <c r="H173" s="268"/>
      <c r="I173" s="268"/>
      <c r="J173" s="268"/>
      <c r="K173" s="268"/>
      <c r="L173" s="268"/>
      <c r="M173" s="270"/>
      <c r="N173" s="268"/>
      <c r="O173" s="268"/>
      <c r="P173" s="270"/>
      <c r="Q173" s="268"/>
      <c r="R173" s="268"/>
      <c r="S173" s="268"/>
      <c r="T173" s="268"/>
      <c r="U173" s="268"/>
      <c r="V173" s="268"/>
      <c r="W173" s="268"/>
      <c r="X173" s="268"/>
    </row>
    <row r="174">
      <c r="A174" s="270"/>
      <c r="B174" s="268"/>
      <c r="C174" s="268"/>
      <c r="D174" s="268"/>
      <c r="E174" s="268"/>
      <c r="F174" s="268"/>
      <c r="G174" s="270"/>
      <c r="H174" s="268"/>
      <c r="I174" s="268"/>
      <c r="J174" s="268"/>
      <c r="K174" s="268"/>
      <c r="L174" s="268"/>
      <c r="M174" s="270"/>
      <c r="N174" s="268"/>
      <c r="O174" s="268"/>
      <c r="P174" s="270"/>
      <c r="Q174" s="268"/>
      <c r="R174" s="268"/>
      <c r="S174" s="268"/>
      <c r="T174" s="268"/>
      <c r="U174" s="268"/>
      <c r="V174" s="268"/>
      <c r="W174" s="268"/>
      <c r="X174" s="268"/>
    </row>
    <row r="175">
      <c r="A175" s="270"/>
      <c r="B175" s="268"/>
      <c r="C175" s="268"/>
      <c r="D175" s="268"/>
      <c r="E175" s="268"/>
      <c r="F175" s="268"/>
      <c r="G175" s="270"/>
      <c r="H175" s="268"/>
      <c r="I175" s="268"/>
      <c r="J175" s="268"/>
      <c r="K175" s="268"/>
      <c r="L175" s="268"/>
      <c r="M175" s="270"/>
      <c r="N175" s="268"/>
      <c r="O175" s="268"/>
      <c r="P175" s="270"/>
      <c r="Q175" s="268"/>
      <c r="R175" s="268"/>
      <c r="S175" s="268"/>
      <c r="T175" s="268"/>
      <c r="U175" s="268"/>
      <c r="V175" s="268"/>
      <c r="W175" s="268"/>
      <c r="X175" s="268"/>
    </row>
    <row r="176">
      <c r="A176" s="270"/>
      <c r="B176" s="268"/>
      <c r="C176" s="268"/>
      <c r="D176" s="268"/>
      <c r="E176" s="268"/>
      <c r="F176" s="268"/>
      <c r="G176" s="270"/>
      <c r="H176" s="268"/>
      <c r="I176" s="268"/>
      <c r="J176" s="268"/>
      <c r="K176" s="268"/>
      <c r="L176" s="268"/>
      <c r="M176" s="270"/>
      <c r="N176" s="268"/>
      <c r="O176" s="268"/>
      <c r="P176" s="270"/>
      <c r="Q176" s="268"/>
      <c r="R176" s="268"/>
      <c r="S176" s="268"/>
      <c r="T176" s="268"/>
      <c r="U176" s="268"/>
      <c r="V176" s="268"/>
      <c r="W176" s="268"/>
      <c r="X176" s="268"/>
    </row>
    <row r="177">
      <c r="A177" s="270"/>
      <c r="B177" s="268"/>
      <c r="C177" s="268"/>
      <c r="D177" s="268"/>
      <c r="E177" s="268"/>
      <c r="F177" s="268"/>
      <c r="G177" s="270"/>
      <c r="H177" s="268"/>
      <c r="I177" s="268"/>
      <c r="J177" s="268"/>
      <c r="K177" s="268"/>
      <c r="L177" s="268"/>
      <c r="M177" s="270"/>
      <c r="N177" s="268"/>
      <c r="O177" s="268"/>
      <c r="P177" s="270"/>
      <c r="Q177" s="268"/>
      <c r="R177" s="268"/>
      <c r="S177" s="268"/>
      <c r="T177" s="268"/>
      <c r="U177" s="268"/>
      <c r="V177" s="268"/>
      <c r="W177" s="268"/>
      <c r="X177" s="268"/>
    </row>
    <row r="178">
      <c r="A178" s="270"/>
      <c r="B178" s="268"/>
      <c r="C178" s="268"/>
      <c r="D178" s="268"/>
      <c r="E178" s="268"/>
      <c r="F178" s="268"/>
      <c r="G178" s="270"/>
      <c r="H178" s="268"/>
      <c r="I178" s="268"/>
      <c r="J178" s="268"/>
      <c r="K178" s="268"/>
      <c r="L178" s="268"/>
      <c r="M178" s="270"/>
      <c r="N178" s="268"/>
      <c r="O178" s="268"/>
      <c r="P178" s="270"/>
      <c r="Q178" s="268"/>
      <c r="R178" s="268"/>
      <c r="S178" s="268"/>
      <c r="T178" s="268"/>
      <c r="U178" s="268"/>
      <c r="V178" s="268"/>
      <c r="W178" s="268"/>
      <c r="X178" s="268"/>
    </row>
    <row r="179">
      <c r="A179" s="270"/>
      <c r="B179" s="268"/>
      <c r="C179" s="268"/>
      <c r="D179" s="268"/>
      <c r="E179" s="268"/>
      <c r="F179" s="268"/>
      <c r="G179" s="270"/>
      <c r="H179" s="268"/>
      <c r="I179" s="268"/>
      <c r="J179" s="268"/>
      <c r="K179" s="268"/>
      <c r="L179" s="268"/>
      <c r="M179" s="270"/>
      <c r="N179" s="268"/>
      <c r="O179" s="268"/>
      <c r="P179" s="270"/>
      <c r="Q179" s="268"/>
      <c r="R179" s="268"/>
      <c r="S179" s="268"/>
      <c r="T179" s="268"/>
      <c r="U179" s="268"/>
      <c r="V179" s="268"/>
      <c r="W179" s="268"/>
      <c r="X179" s="268"/>
    </row>
    <row r="180">
      <c r="A180" s="270"/>
      <c r="B180" s="268"/>
      <c r="C180" s="268"/>
      <c r="D180" s="268"/>
      <c r="E180" s="268"/>
      <c r="F180" s="268"/>
      <c r="G180" s="270"/>
      <c r="H180" s="268"/>
      <c r="I180" s="268"/>
      <c r="J180" s="268"/>
      <c r="K180" s="268"/>
      <c r="L180" s="268"/>
      <c r="M180" s="270"/>
      <c r="N180" s="268"/>
      <c r="O180" s="268"/>
      <c r="P180" s="270"/>
      <c r="Q180" s="268"/>
      <c r="R180" s="268"/>
      <c r="S180" s="268"/>
      <c r="T180" s="268"/>
      <c r="U180" s="268"/>
      <c r="V180" s="268"/>
      <c r="W180" s="268"/>
      <c r="X180" s="268"/>
    </row>
    <row r="181">
      <c r="A181" s="270"/>
      <c r="B181" s="268"/>
      <c r="C181" s="268"/>
      <c r="D181" s="268"/>
      <c r="E181" s="268"/>
      <c r="F181" s="268"/>
      <c r="G181" s="270"/>
      <c r="H181" s="268"/>
      <c r="I181" s="268"/>
      <c r="J181" s="268"/>
      <c r="K181" s="268"/>
      <c r="L181" s="268"/>
      <c r="M181" s="270"/>
      <c r="N181" s="268"/>
      <c r="O181" s="268"/>
      <c r="P181" s="270"/>
      <c r="Q181" s="268"/>
      <c r="R181" s="268"/>
      <c r="S181" s="268"/>
      <c r="T181" s="268"/>
      <c r="U181" s="268"/>
      <c r="V181" s="268"/>
      <c r="W181" s="268"/>
      <c r="X181" s="268"/>
    </row>
    <row r="182">
      <c r="A182" s="270"/>
      <c r="B182" s="268"/>
      <c r="C182" s="268"/>
      <c r="D182" s="268"/>
      <c r="E182" s="268"/>
      <c r="F182" s="268"/>
      <c r="G182" s="270"/>
      <c r="H182" s="268"/>
      <c r="I182" s="268"/>
      <c r="J182" s="268"/>
      <c r="K182" s="268"/>
      <c r="L182" s="268"/>
      <c r="M182" s="270"/>
      <c r="N182" s="268"/>
      <c r="O182" s="268"/>
      <c r="P182" s="270"/>
      <c r="Q182" s="268"/>
      <c r="R182" s="268"/>
      <c r="S182" s="268"/>
      <c r="T182" s="268"/>
      <c r="U182" s="268"/>
      <c r="V182" s="268"/>
      <c r="W182" s="268"/>
      <c r="X182" s="268"/>
    </row>
    <row r="183">
      <c r="A183" s="270"/>
      <c r="B183" s="268"/>
      <c r="C183" s="268"/>
      <c r="D183" s="268"/>
      <c r="E183" s="268"/>
      <c r="F183" s="268"/>
      <c r="G183" s="270"/>
      <c r="H183" s="268"/>
      <c r="I183" s="268"/>
      <c r="J183" s="268"/>
      <c r="K183" s="268"/>
      <c r="L183" s="268"/>
      <c r="M183" s="270"/>
      <c r="N183" s="268"/>
      <c r="O183" s="268"/>
      <c r="P183" s="270"/>
      <c r="Q183" s="268"/>
      <c r="R183" s="268"/>
      <c r="S183" s="268"/>
      <c r="T183" s="268"/>
      <c r="U183" s="268"/>
      <c r="V183" s="268"/>
      <c r="W183" s="268"/>
      <c r="X183" s="268"/>
    </row>
    <row r="184">
      <c r="A184" s="270"/>
      <c r="B184" s="268"/>
      <c r="C184" s="268"/>
      <c r="D184" s="268"/>
      <c r="E184" s="268"/>
      <c r="F184" s="268"/>
      <c r="G184" s="270"/>
      <c r="H184" s="268"/>
      <c r="I184" s="268"/>
      <c r="J184" s="268"/>
      <c r="K184" s="268"/>
      <c r="L184" s="268"/>
      <c r="M184" s="270"/>
      <c r="N184" s="268"/>
      <c r="O184" s="268"/>
      <c r="P184" s="270"/>
      <c r="Q184" s="268"/>
      <c r="R184" s="268"/>
      <c r="S184" s="268"/>
      <c r="T184" s="268"/>
      <c r="U184" s="268"/>
      <c r="V184" s="268"/>
      <c r="W184" s="268"/>
      <c r="X184" s="268"/>
    </row>
    <row r="185">
      <c r="A185" s="270"/>
      <c r="B185" s="268"/>
      <c r="C185" s="268"/>
      <c r="D185" s="268"/>
      <c r="E185" s="268"/>
      <c r="F185" s="268"/>
      <c r="G185" s="270"/>
      <c r="H185" s="268"/>
      <c r="I185" s="268"/>
      <c r="J185" s="268"/>
      <c r="K185" s="268"/>
      <c r="L185" s="268"/>
      <c r="M185" s="270"/>
      <c r="N185" s="268"/>
      <c r="O185" s="268"/>
      <c r="P185" s="270"/>
      <c r="Q185" s="268"/>
      <c r="R185" s="268"/>
      <c r="S185" s="268"/>
      <c r="T185" s="268"/>
      <c r="U185" s="268"/>
      <c r="V185" s="268"/>
      <c r="W185" s="268"/>
      <c r="X185" s="268"/>
    </row>
    <row r="186">
      <c r="A186" s="270"/>
      <c r="B186" s="268"/>
      <c r="C186" s="268"/>
      <c r="D186" s="268"/>
      <c r="E186" s="268"/>
      <c r="F186" s="268"/>
      <c r="G186" s="270"/>
      <c r="H186" s="268"/>
      <c r="I186" s="268"/>
      <c r="J186" s="268"/>
      <c r="K186" s="268"/>
      <c r="L186" s="268"/>
      <c r="M186" s="270"/>
      <c r="N186" s="268"/>
      <c r="O186" s="268"/>
      <c r="P186" s="270"/>
      <c r="Q186" s="268"/>
      <c r="R186" s="268"/>
      <c r="S186" s="268"/>
      <c r="T186" s="268"/>
      <c r="U186" s="268"/>
      <c r="V186" s="268"/>
      <c r="W186" s="268"/>
      <c r="X186" s="268"/>
    </row>
    <row r="187">
      <c r="A187" s="270"/>
      <c r="B187" s="268"/>
      <c r="C187" s="268"/>
      <c r="D187" s="268"/>
      <c r="E187" s="268"/>
      <c r="F187" s="268"/>
      <c r="G187" s="270"/>
      <c r="H187" s="268"/>
      <c r="I187" s="268"/>
      <c r="J187" s="268"/>
      <c r="K187" s="268"/>
      <c r="L187" s="268"/>
      <c r="M187" s="270"/>
      <c r="N187" s="268"/>
      <c r="O187" s="268"/>
      <c r="P187" s="270"/>
      <c r="Q187" s="268"/>
      <c r="R187" s="268"/>
      <c r="S187" s="268"/>
      <c r="T187" s="268"/>
      <c r="U187" s="268"/>
      <c r="V187" s="268"/>
      <c r="W187" s="268"/>
      <c r="X187" s="268"/>
    </row>
    <row r="188">
      <c r="A188" s="270"/>
      <c r="B188" s="268"/>
      <c r="C188" s="268"/>
      <c r="D188" s="268"/>
      <c r="E188" s="268"/>
      <c r="F188" s="268"/>
      <c r="G188" s="270"/>
      <c r="H188" s="268"/>
      <c r="I188" s="268"/>
      <c r="J188" s="268"/>
      <c r="K188" s="268"/>
      <c r="L188" s="268"/>
      <c r="M188" s="270"/>
      <c r="N188" s="268"/>
      <c r="O188" s="268"/>
      <c r="P188" s="270"/>
      <c r="Q188" s="268"/>
      <c r="R188" s="268"/>
      <c r="S188" s="268"/>
      <c r="T188" s="268"/>
      <c r="U188" s="268"/>
      <c r="V188" s="268"/>
      <c r="W188" s="268"/>
      <c r="X188" s="268"/>
    </row>
    <row r="189">
      <c r="A189" s="270"/>
      <c r="B189" s="268"/>
      <c r="C189" s="268"/>
      <c r="D189" s="268"/>
      <c r="E189" s="268"/>
      <c r="F189" s="268"/>
      <c r="G189" s="270"/>
      <c r="H189" s="268"/>
      <c r="I189" s="268"/>
      <c r="J189" s="268"/>
      <c r="K189" s="268"/>
      <c r="L189" s="268"/>
      <c r="M189" s="270"/>
      <c r="N189" s="268"/>
      <c r="O189" s="268"/>
      <c r="P189" s="270"/>
      <c r="Q189" s="268"/>
      <c r="R189" s="268"/>
      <c r="S189" s="268"/>
      <c r="T189" s="268"/>
      <c r="U189" s="268"/>
      <c r="V189" s="268"/>
      <c r="W189" s="268"/>
      <c r="X189" s="268"/>
    </row>
    <row r="190">
      <c r="A190" s="270"/>
      <c r="B190" s="268"/>
      <c r="C190" s="268"/>
      <c r="D190" s="268"/>
      <c r="E190" s="268"/>
      <c r="F190" s="268"/>
      <c r="G190" s="270"/>
      <c r="H190" s="268"/>
      <c r="I190" s="268"/>
      <c r="J190" s="268"/>
      <c r="K190" s="268"/>
      <c r="L190" s="268"/>
      <c r="M190" s="270"/>
      <c r="N190" s="268"/>
      <c r="O190" s="268"/>
      <c r="P190" s="270"/>
      <c r="Q190" s="268"/>
      <c r="R190" s="268"/>
      <c r="S190" s="268"/>
      <c r="T190" s="268"/>
      <c r="U190" s="268"/>
      <c r="V190" s="268"/>
      <c r="W190" s="268"/>
      <c r="X190" s="268"/>
    </row>
    <row r="191">
      <c r="A191" s="270"/>
      <c r="B191" s="268"/>
      <c r="C191" s="268"/>
      <c r="D191" s="268"/>
      <c r="E191" s="268"/>
      <c r="F191" s="268"/>
      <c r="G191" s="270"/>
      <c r="H191" s="268"/>
      <c r="I191" s="268"/>
      <c r="J191" s="268"/>
      <c r="K191" s="268"/>
      <c r="L191" s="268"/>
      <c r="M191" s="270"/>
      <c r="N191" s="268"/>
      <c r="O191" s="268"/>
      <c r="P191" s="270"/>
      <c r="Q191" s="268"/>
      <c r="R191" s="268"/>
      <c r="S191" s="268"/>
      <c r="T191" s="268"/>
      <c r="U191" s="268"/>
      <c r="V191" s="268"/>
      <c r="W191" s="268"/>
      <c r="X191" s="268"/>
    </row>
    <row r="192">
      <c r="A192" s="270"/>
      <c r="B192" s="268"/>
      <c r="C192" s="268"/>
      <c r="D192" s="268"/>
      <c r="E192" s="268"/>
      <c r="F192" s="268"/>
      <c r="G192" s="270"/>
      <c r="H192" s="268"/>
      <c r="I192" s="268"/>
      <c r="J192" s="268"/>
      <c r="K192" s="268"/>
      <c r="L192" s="268"/>
      <c r="M192" s="270"/>
      <c r="N192" s="268"/>
      <c r="O192" s="268"/>
      <c r="P192" s="270"/>
      <c r="Q192" s="268"/>
      <c r="R192" s="268"/>
      <c r="S192" s="268"/>
      <c r="T192" s="268"/>
      <c r="U192" s="268"/>
      <c r="V192" s="268"/>
      <c r="W192" s="268"/>
      <c r="X192" s="268"/>
    </row>
    <row r="193">
      <c r="A193" s="270"/>
      <c r="B193" s="268"/>
      <c r="C193" s="268"/>
      <c r="D193" s="268"/>
      <c r="E193" s="268"/>
      <c r="F193" s="268"/>
      <c r="G193" s="270"/>
      <c r="H193" s="268"/>
      <c r="I193" s="268"/>
      <c r="J193" s="268"/>
      <c r="K193" s="268"/>
      <c r="L193" s="268"/>
      <c r="M193" s="270"/>
      <c r="N193" s="268"/>
      <c r="O193" s="268"/>
      <c r="P193" s="270"/>
      <c r="Q193" s="268"/>
      <c r="R193" s="268"/>
      <c r="S193" s="268"/>
      <c r="T193" s="268"/>
      <c r="U193" s="268"/>
      <c r="V193" s="268"/>
      <c r="W193" s="268"/>
      <c r="X193" s="268"/>
    </row>
    <row r="194">
      <c r="A194" s="270"/>
      <c r="B194" s="268"/>
      <c r="C194" s="268"/>
      <c r="D194" s="268"/>
      <c r="E194" s="268"/>
      <c r="F194" s="268"/>
      <c r="G194" s="270"/>
      <c r="H194" s="268"/>
      <c r="I194" s="268"/>
      <c r="J194" s="268"/>
      <c r="K194" s="268"/>
      <c r="L194" s="268"/>
      <c r="M194" s="270"/>
      <c r="N194" s="268"/>
      <c r="O194" s="268"/>
      <c r="P194" s="270"/>
      <c r="Q194" s="268"/>
      <c r="R194" s="268"/>
      <c r="S194" s="268"/>
      <c r="T194" s="268"/>
      <c r="U194" s="268"/>
      <c r="V194" s="268"/>
      <c r="W194" s="268"/>
      <c r="X194" s="268"/>
    </row>
    <row r="195">
      <c r="A195" s="270"/>
      <c r="B195" s="268"/>
      <c r="C195" s="268"/>
      <c r="D195" s="268"/>
      <c r="E195" s="268"/>
      <c r="F195" s="268"/>
      <c r="G195" s="270"/>
      <c r="H195" s="268"/>
      <c r="I195" s="268"/>
      <c r="J195" s="268"/>
      <c r="K195" s="268"/>
      <c r="L195" s="268"/>
      <c r="M195" s="270"/>
      <c r="N195" s="268"/>
      <c r="O195" s="268"/>
      <c r="P195" s="270"/>
      <c r="Q195" s="268"/>
      <c r="R195" s="268"/>
      <c r="S195" s="268"/>
      <c r="T195" s="268"/>
      <c r="U195" s="268"/>
      <c r="V195" s="268"/>
      <c r="W195" s="268"/>
      <c r="X195" s="268"/>
    </row>
    <row r="196">
      <c r="A196" s="270"/>
      <c r="B196" s="268"/>
      <c r="C196" s="268"/>
      <c r="D196" s="268"/>
      <c r="E196" s="268"/>
      <c r="F196" s="268"/>
      <c r="G196" s="270"/>
      <c r="H196" s="268"/>
      <c r="I196" s="268"/>
      <c r="J196" s="268"/>
      <c r="K196" s="268"/>
      <c r="L196" s="268"/>
      <c r="M196" s="270"/>
      <c r="N196" s="268"/>
      <c r="O196" s="268"/>
      <c r="P196" s="270"/>
      <c r="Q196" s="268"/>
      <c r="R196" s="268"/>
      <c r="S196" s="268"/>
      <c r="T196" s="268"/>
      <c r="U196" s="268"/>
      <c r="V196" s="268"/>
      <c r="W196" s="268"/>
      <c r="X196" s="268"/>
    </row>
    <row r="197">
      <c r="A197" s="270"/>
      <c r="B197" s="268"/>
      <c r="C197" s="268"/>
      <c r="D197" s="268"/>
      <c r="E197" s="268"/>
      <c r="F197" s="268"/>
      <c r="G197" s="270"/>
      <c r="H197" s="268"/>
      <c r="I197" s="268"/>
      <c r="J197" s="268"/>
      <c r="K197" s="268"/>
      <c r="L197" s="268"/>
      <c r="M197" s="270"/>
      <c r="N197" s="268"/>
      <c r="O197" s="268"/>
      <c r="P197" s="270"/>
      <c r="Q197" s="268"/>
      <c r="R197" s="268"/>
      <c r="S197" s="268"/>
      <c r="T197" s="268"/>
      <c r="U197" s="268"/>
      <c r="V197" s="268"/>
      <c r="W197" s="268"/>
      <c r="X197" s="268"/>
    </row>
    <row r="198">
      <c r="A198" s="270"/>
      <c r="B198" s="268"/>
      <c r="C198" s="268"/>
      <c r="D198" s="268"/>
      <c r="E198" s="268"/>
      <c r="F198" s="268"/>
      <c r="G198" s="270"/>
      <c r="H198" s="268"/>
      <c r="I198" s="268"/>
      <c r="J198" s="268"/>
      <c r="K198" s="268"/>
      <c r="L198" s="268"/>
      <c r="M198" s="270"/>
      <c r="N198" s="268"/>
      <c r="O198" s="268"/>
      <c r="P198" s="270"/>
      <c r="Q198" s="268"/>
      <c r="R198" s="268"/>
      <c r="S198" s="268"/>
      <c r="T198" s="268"/>
      <c r="U198" s="268"/>
      <c r="V198" s="268"/>
      <c r="W198" s="268"/>
      <c r="X198" s="268"/>
    </row>
    <row r="199">
      <c r="A199" s="270"/>
      <c r="B199" s="268"/>
      <c r="C199" s="268"/>
      <c r="D199" s="268"/>
      <c r="E199" s="268"/>
      <c r="F199" s="268"/>
      <c r="G199" s="270"/>
      <c r="H199" s="268"/>
      <c r="I199" s="268"/>
      <c r="J199" s="268"/>
      <c r="K199" s="268"/>
      <c r="L199" s="268"/>
      <c r="M199" s="270"/>
      <c r="N199" s="268"/>
      <c r="O199" s="268"/>
      <c r="P199" s="270"/>
      <c r="Q199" s="268"/>
      <c r="R199" s="268"/>
      <c r="S199" s="268"/>
      <c r="T199" s="268"/>
      <c r="U199" s="268"/>
      <c r="V199" s="268"/>
      <c r="W199" s="268"/>
      <c r="X199" s="268"/>
    </row>
    <row r="200">
      <c r="A200" s="270"/>
      <c r="B200" s="268"/>
      <c r="C200" s="268"/>
      <c r="D200" s="268"/>
      <c r="E200" s="268"/>
      <c r="F200" s="268"/>
      <c r="G200" s="270"/>
      <c r="H200" s="268"/>
      <c r="I200" s="268"/>
      <c r="J200" s="268"/>
      <c r="K200" s="268"/>
      <c r="L200" s="268"/>
      <c r="M200" s="270"/>
      <c r="N200" s="268"/>
      <c r="O200" s="268"/>
      <c r="P200" s="270"/>
      <c r="Q200" s="268"/>
      <c r="R200" s="268"/>
      <c r="S200" s="268"/>
      <c r="T200" s="268"/>
      <c r="U200" s="268"/>
      <c r="V200" s="268"/>
      <c r="W200" s="268"/>
      <c r="X200" s="268"/>
    </row>
    <row r="201">
      <c r="A201" s="270"/>
      <c r="B201" s="268"/>
      <c r="C201" s="268"/>
      <c r="D201" s="268"/>
      <c r="E201" s="268"/>
      <c r="F201" s="268"/>
      <c r="G201" s="270"/>
      <c r="H201" s="268"/>
      <c r="I201" s="268"/>
      <c r="J201" s="268"/>
      <c r="K201" s="268"/>
      <c r="L201" s="268"/>
      <c r="M201" s="270"/>
      <c r="N201" s="268"/>
      <c r="O201" s="268"/>
      <c r="P201" s="270"/>
      <c r="Q201" s="268"/>
      <c r="R201" s="268"/>
      <c r="S201" s="268"/>
      <c r="T201" s="268"/>
      <c r="U201" s="268"/>
      <c r="V201" s="268"/>
      <c r="W201" s="268"/>
      <c r="X201" s="268"/>
    </row>
  </sheetData>
  <mergeCells count="1">
    <mergeCell ref="A1:X1"/>
  </mergeCells>
  <dataValidations>
    <dataValidation type="list" allowBlank="1" showErrorMessage="1" sqref="R3:R6 R10:R11">
      <formula1>"Option 1,Option 2"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25.75"/>
    <col customWidth="1" min="7" max="7" width="23.75"/>
  </cols>
  <sheetData>
    <row r="1">
      <c r="A1" s="273">
        <v>16.0</v>
      </c>
      <c r="B1" s="273">
        <v>17.0</v>
      </c>
      <c r="C1" s="273">
        <v>18.0</v>
      </c>
      <c r="D1" s="273">
        <v>19.0</v>
      </c>
      <c r="E1" s="273">
        <v>20.0</v>
      </c>
      <c r="F1" s="273">
        <v>21.0</v>
      </c>
      <c r="G1" s="273">
        <v>22.0</v>
      </c>
      <c r="H1" s="273">
        <v>23.0</v>
      </c>
      <c r="I1" s="273">
        <v>24.0</v>
      </c>
      <c r="J1" s="273">
        <v>25.0</v>
      </c>
      <c r="K1" s="273">
        <v>26.0</v>
      </c>
      <c r="L1" s="273">
        <v>27.0</v>
      </c>
      <c r="M1" s="273">
        <v>28.0</v>
      </c>
      <c r="N1" s="273">
        <v>29.0</v>
      </c>
      <c r="O1" s="273">
        <v>30.0</v>
      </c>
      <c r="P1" s="273">
        <v>31.0</v>
      </c>
      <c r="Q1" s="273">
        <v>32.0</v>
      </c>
      <c r="R1" s="273">
        <v>33.0</v>
      </c>
      <c r="S1" s="273">
        <v>34.0</v>
      </c>
      <c r="T1" s="273">
        <v>35.0</v>
      </c>
      <c r="U1" s="273">
        <v>36.0</v>
      </c>
      <c r="V1" s="273">
        <v>37.0</v>
      </c>
      <c r="W1" s="273">
        <v>38.0</v>
      </c>
      <c r="X1" s="273">
        <v>39.0</v>
      </c>
      <c r="Y1" s="273">
        <v>40.0</v>
      </c>
      <c r="Z1" s="273">
        <v>41.0</v>
      </c>
      <c r="AA1" s="273">
        <v>42.0</v>
      </c>
      <c r="AB1" s="273">
        <v>43.0</v>
      </c>
      <c r="AC1" s="273">
        <v>44.0</v>
      </c>
      <c r="AD1" s="273">
        <v>45.0</v>
      </c>
      <c r="AE1" s="273">
        <v>46.0</v>
      </c>
      <c r="AF1" s="273">
        <v>47.0</v>
      </c>
      <c r="AG1" s="273">
        <v>48.0</v>
      </c>
      <c r="AH1" s="273">
        <v>49.0</v>
      </c>
      <c r="AI1" s="273">
        <v>50.0</v>
      </c>
      <c r="AJ1" s="273">
        <v>51.0</v>
      </c>
      <c r="AK1" s="273">
        <v>52.0</v>
      </c>
      <c r="AL1" s="273">
        <v>53.0</v>
      </c>
      <c r="AM1" s="273">
        <v>54.0</v>
      </c>
      <c r="AN1" s="273">
        <v>55.0</v>
      </c>
      <c r="AO1" s="273">
        <v>56.0</v>
      </c>
      <c r="AP1" s="273">
        <v>57.0</v>
      </c>
      <c r="AQ1" s="273">
        <v>58.0</v>
      </c>
      <c r="AR1" s="273">
        <v>59.0</v>
      </c>
      <c r="AS1" s="273">
        <v>60.0</v>
      </c>
      <c r="AT1" s="273">
        <v>61.0</v>
      </c>
      <c r="AU1" s="273">
        <v>62.0</v>
      </c>
      <c r="AV1" s="273">
        <v>63.0</v>
      </c>
      <c r="AW1" s="273">
        <v>64.0</v>
      </c>
      <c r="AX1" s="273">
        <v>65.0</v>
      </c>
      <c r="AY1" s="273">
        <v>66.0</v>
      </c>
      <c r="AZ1" s="273">
        <v>67.0</v>
      </c>
      <c r="BA1" s="273">
        <v>68.0</v>
      </c>
      <c r="BB1" s="273">
        <v>69.0</v>
      </c>
      <c r="BC1" s="273">
        <v>70.0</v>
      </c>
      <c r="BD1" s="273">
        <v>71.0</v>
      </c>
      <c r="BE1" s="273">
        <v>72.0</v>
      </c>
      <c r="BF1" s="273">
        <v>73.0</v>
      </c>
      <c r="BG1" s="273">
        <v>74.0</v>
      </c>
      <c r="BH1" s="273">
        <v>75.0</v>
      </c>
      <c r="BI1" s="273">
        <v>76.0</v>
      </c>
      <c r="BJ1" s="273">
        <v>77.0</v>
      </c>
      <c r="BK1" s="273">
        <v>78.0</v>
      </c>
      <c r="BL1" s="273">
        <v>79.0</v>
      </c>
      <c r="BM1" s="273">
        <v>80.0</v>
      </c>
      <c r="BN1" s="273">
        <v>81.0</v>
      </c>
      <c r="BO1" s="273">
        <v>82.0</v>
      </c>
      <c r="BP1" s="273">
        <v>83.0</v>
      </c>
      <c r="BQ1" s="273">
        <v>84.0</v>
      </c>
      <c r="BR1" s="273">
        <v>85.0</v>
      </c>
      <c r="BS1" s="273">
        <v>86.0</v>
      </c>
      <c r="BT1" s="273">
        <v>87.0</v>
      </c>
      <c r="BU1" s="273">
        <v>88.0</v>
      </c>
      <c r="BV1" s="273">
        <v>89.0</v>
      </c>
      <c r="BW1" s="273">
        <v>90.0</v>
      </c>
      <c r="BX1" s="273">
        <v>91.0</v>
      </c>
      <c r="BY1" s="273">
        <v>92.0</v>
      </c>
      <c r="BZ1" s="273">
        <v>93.0</v>
      </c>
      <c r="CA1" s="273">
        <v>94.0</v>
      </c>
      <c r="CB1" s="273">
        <v>95.0</v>
      </c>
      <c r="CC1" s="273">
        <v>96.0</v>
      </c>
      <c r="CD1" s="273">
        <v>97.0</v>
      </c>
      <c r="CE1" s="273">
        <v>98.0</v>
      </c>
      <c r="CF1" s="273">
        <v>99.0</v>
      </c>
      <c r="CG1" s="273">
        <v>100.0</v>
      </c>
    </row>
    <row r="2">
      <c r="A2" s="274" t="str">
        <f t="shared" ref="A2:CA2" si="1">IF(INDIRECT(ADDRESS(A1,2,,,"Quote builder"))="","Select a type first",IF(ISERROR(INDIRECT(INDIRECT(ADDRESS(A1,2,,,"Quote builder")))),"Sheet lookup error",INDIRECT(INDIRECT(ADDRESS(A1,2,,,"Quote builder")))))</f>
        <v>Select a type first</v>
      </c>
      <c r="B2" s="274" t="str">
        <f t="shared" si="1"/>
        <v>Select a type first</v>
      </c>
      <c r="C2" s="274" t="str">
        <f t="shared" si="1"/>
        <v>Select a type first</v>
      </c>
      <c r="D2" s="274" t="str">
        <f t="shared" si="1"/>
        <v>Select a type first</v>
      </c>
      <c r="E2" s="274" t="str">
        <f t="shared" si="1"/>
        <v>Select a type first</v>
      </c>
      <c r="F2" s="274" t="str">
        <f t="shared" si="1"/>
        <v>Select a type first</v>
      </c>
      <c r="G2" s="274" t="str">
        <f t="shared" si="1"/>
        <v>Select a type first</v>
      </c>
      <c r="H2" s="274" t="str">
        <f t="shared" si="1"/>
        <v>Select a type first</v>
      </c>
      <c r="I2" s="274" t="str">
        <f t="shared" si="1"/>
        <v>Select a type first</v>
      </c>
      <c r="J2" s="274" t="str">
        <f t="shared" si="1"/>
        <v>Select a type first</v>
      </c>
      <c r="K2" s="274" t="str">
        <f t="shared" si="1"/>
        <v>Select a type first</v>
      </c>
      <c r="L2" s="274" t="str">
        <f t="shared" si="1"/>
        <v>Select a type first</v>
      </c>
      <c r="M2" s="274" t="str">
        <f t="shared" si="1"/>
        <v>Select a type first</v>
      </c>
      <c r="N2" s="274" t="str">
        <f t="shared" si="1"/>
        <v>Select a type first</v>
      </c>
      <c r="O2" s="274" t="str">
        <f t="shared" si="1"/>
        <v>Select a type first</v>
      </c>
      <c r="P2" s="274" t="str">
        <f t="shared" si="1"/>
        <v>Select a type first</v>
      </c>
      <c r="Q2" s="274" t="str">
        <f t="shared" si="1"/>
        <v>Select a type first</v>
      </c>
      <c r="R2" s="274" t="str">
        <f t="shared" si="1"/>
        <v>Select a type first</v>
      </c>
      <c r="S2" s="274" t="str">
        <f t="shared" si="1"/>
        <v>Select a type first</v>
      </c>
      <c r="T2" s="274" t="str">
        <f t="shared" si="1"/>
        <v>Select a type first</v>
      </c>
      <c r="U2" s="274" t="str">
        <f t="shared" si="1"/>
        <v>Select a type first</v>
      </c>
      <c r="V2" s="274" t="str">
        <f t="shared" si="1"/>
        <v>Select a type first</v>
      </c>
      <c r="W2" s="274" t="str">
        <f t="shared" si="1"/>
        <v>Select a type first</v>
      </c>
      <c r="X2" s="274" t="str">
        <f t="shared" si="1"/>
        <v>Select a type first</v>
      </c>
      <c r="Y2" s="274" t="str">
        <f t="shared" si="1"/>
        <v>Select a type first</v>
      </c>
      <c r="Z2" s="274" t="str">
        <f t="shared" si="1"/>
        <v>Select a type first</v>
      </c>
      <c r="AA2" s="274" t="str">
        <f t="shared" si="1"/>
        <v>Select a type first</v>
      </c>
      <c r="AB2" s="274" t="str">
        <f t="shared" si="1"/>
        <v>Select a type first</v>
      </c>
      <c r="AC2" s="274" t="str">
        <f t="shared" si="1"/>
        <v>Select a type first</v>
      </c>
      <c r="AD2" s="274" t="str">
        <f t="shared" si="1"/>
        <v>Select a type first</v>
      </c>
      <c r="AE2" s="274" t="str">
        <f t="shared" si="1"/>
        <v>Select a type first</v>
      </c>
      <c r="AF2" s="274" t="str">
        <f t="shared" si="1"/>
        <v>Select a type first</v>
      </c>
      <c r="AG2" s="274" t="str">
        <f t="shared" si="1"/>
        <v>Select a type first</v>
      </c>
      <c r="AH2" s="274" t="str">
        <f t="shared" si="1"/>
        <v>Select a type first</v>
      </c>
      <c r="AI2" s="274" t="str">
        <f t="shared" si="1"/>
        <v>Select a type first</v>
      </c>
      <c r="AJ2" s="274" t="str">
        <f t="shared" si="1"/>
        <v>Select a type first</v>
      </c>
      <c r="AK2" s="274" t="str">
        <f t="shared" si="1"/>
        <v>Select a type first</v>
      </c>
      <c r="AL2" s="274" t="str">
        <f t="shared" si="1"/>
        <v>Select a type first</v>
      </c>
      <c r="AM2" s="274" t="str">
        <f t="shared" si="1"/>
        <v>Select a type first</v>
      </c>
      <c r="AN2" s="274" t="str">
        <f t="shared" si="1"/>
        <v>Select a type first</v>
      </c>
      <c r="AO2" s="274" t="str">
        <f t="shared" si="1"/>
        <v>Select a type first</v>
      </c>
      <c r="AP2" s="274" t="str">
        <f t="shared" si="1"/>
        <v>Select a type first</v>
      </c>
      <c r="AQ2" s="274" t="str">
        <f t="shared" si="1"/>
        <v>Select a type first</v>
      </c>
      <c r="AR2" s="274" t="str">
        <f t="shared" si="1"/>
        <v>Select a type first</v>
      </c>
      <c r="AS2" s="274" t="str">
        <f t="shared" si="1"/>
        <v>Select a type first</v>
      </c>
      <c r="AT2" s="274" t="str">
        <f t="shared" si="1"/>
        <v>Select a type first</v>
      </c>
      <c r="AU2" s="274" t="str">
        <f t="shared" si="1"/>
        <v>Select a type first</v>
      </c>
      <c r="AV2" s="274" t="str">
        <f t="shared" si="1"/>
        <v>Select a type first</v>
      </c>
      <c r="AW2" s="274" t="str">
        <f t="shared" si="1"/>
        <v>Select a type first</v>
      </c>
      <c r="AX2" s="274" t="str">
        <f t="shared" si="1"/>
        <v>Select a type first</v>
      </c>
      <c r="AY2" s="274" t="str">
        <f t="shared" si="1"/>
        <v>Select a type first</v>
      </c>
      <c r="AZ2" s="274" t="str">
        <f t="shared" si="1"/>
        <v>Select a type first</v>
      </c>
      <c r="BA2" s="274" t="str">
        <f t="shared" si="1"/>
        <v>Select a type first</v>
      </c>
      <c r="BB2" s="274" t="str">
        <f t="shared" si="1"/>
        <v>Select a type first</v>
      </c>
      <c r="BC2" s="274" t="str">
        <f t="shared" si="1"/>
        <v>Select a type first</v>
      </c>
      <c r="BD2" s="274" t="str">
        <f t="shared" si="1"/>
        <v>Select a type first</v>
      </c>
      <c r="BE2" s="274" t="str">
        <f t="shared" si="1"/>
        <v>Select a type first</v>
      </c>
      <c r="BF2" s="274" t="str">
        <f t="shared" si="1"/>
        <v>Select a type first</v>
      </c>
      <c r="BG2" s="274" t="str">
        <f t="shared" si="1"/>
        <v>Select a type first</v>
      </c>
      <c r="BH2" s="274" t="str">
        <f t="shared" si="1"/>
        <v>Select a type first</v>
      </c>
      <c r="BI2" s="274" t="str">
        <f t="shared" si="1"/>
        <v>Select a type first</v>
      </c>
      <c r="BJ2" s="274" t="str">
        <f t="shared" si="1"/>
        <v>Select a type first</v>
      </c>
      <c r="BK2" s="274" t="str">
        <f t="shared" si="1"/>
        <v>Select a type first</v>
      </c>
      <c r="BL2" s="274" t="str">
        <f t="shared" si="1"/>
        <v>Select a type first</v>
      </c>
      <c r="BM2" s="274" t="str">
        <f t="shared" si="1"/>
        <v>Select a type first</v>
      </c>
      <c r="BN2" s="274" t="str">
        <f t="shared" si="1"/>
        <v>Select a type first</v>
      </c>
      <c r="BO2" s="274" t="str">
        <f t="shared" si="1"/>
        <v>Select a type first</v>
      </c>
      <c r="BP2" s="274" t="str">
        <f t="shared" si="1"/>
        <v>Select a type first</v>
      </c>
      <c r="BQ2" s="274" t="str">
        <f t="shared" si="1"/>
        <v>Select a type first</v>
      </c>
      <c r="BR2" s="274" t="str">
        <f t="shared" si="1"/>
        <v>Select a type first</v>
      </c>
      <c r="BS2" s="274" t="str">
        <f t="shared" si="1"/>
        <v>Select a type first</v>
      </c>
      <c r="BT2" s="274" t="str">
        <f t="shared" si="1"/>
        <v>Select a type first</v>
      </c>
      <c r="BU2" s="274" t="str">
        <f t="shared" si="1"/>
        <v>Select a type first</v>
      </c>
      <c r="BV2" s="274" t="str">
        <f t="shared" si="1"/>
        <v>Select a type first</v>
      </c>
      <c r="BW2" s="274" t="str">
        <f t="shared" si="1"/>
        <v>Select a type first</v>
      </c>
      <c r="BX2" s="274" t="str">
        <f t="shared" si="1"/>
        <v>Select a type first</v>
      </c>
      <c r="BY2" s="274" t="str">
        <f t="shared" si="1"/>
        <v>Select a type first</v>
      </c>
      <c r="BZ2" s="274" t="str">
        <f t="shared" si="1"/>
        <v>Select a type first</v>
      </c>
      <c r="CA2" s="274" t="str">
        <f t="shared" si="1"/>
        <v>Select a type first</v>
      </c>
      <c r="CB2" s="274" t="str">
        <f t="shared" ref="CB2:CG2" si="2">IF(INDIRECT(ADDRESS(CB1,2,,,"Quote builder"))="","Select a type first",IF(ISERROR(INDIRECT(INDIRECT(ADDRESS(CB1,2,,,"Quote builder")))),"Sheet lookup error",INDIRECT(ADDRESS(CB1,2,,,"Quote builder"))))</f>
        <v>Select a type first</v>
      </c>
      <c r="CC2" s="274" t="str">
        <f t="shared" si="2"/>
        <v>Select a type first</v>
      </c>
      <c r="CD2" s="274" t="str">
        <f t="shared" si="2"/>
        <v>Select a type first</v>
      </c>
      <c r="CE2" s="274" t="str">
        <f t="shared" si="2"/>
        <v>Select a type first</v>
      </c>
      <c r="CF2" s="274" t="str">
        <f t="shared" si="2"/>
        <v>Select a type first</v>
      </c>
      <c r="CG2" s="274" t="str">
        <f t="shared" si="2"/>
        <v>Select a type first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20.38"/>
    <col customWidth="1" min="2" max="2" width="20.38"/>
    <col customWidth="1" min="3" max="3" width="43.13"/>
    <col customWidth="1" min="4" max="4" width="9.0"/>
    <col customWidth="1" min="5" max="5" width="6.75"/>
    <col customWidth="1" min="6" max="6" width="8.25"/>
    <col customWidth="1" min="7" max="8" width="11.0"/>
    <col customWidth="1" min="9" max="9" width="16.13"/>
    <col customWidth="1" min="10" max="10" width="29.0"/>
    <col customWidth="1" min="11" max="13" width="11.0"/>
  </cols>
  <sheetData>
    <row r="1">
      <c r="A1" s="28" t="s">
        <v>16</v>
      </c>
      <c r="B1" s="29" t="s">
        <v>17</v>
      </c>
      <c r="G1" s="30"/>
      <c r="H1" s="30"/>
      <c r="I1" s="31" t="s">
        <v>18</v>
      </c>
    </row>
    <row r="2">
      <c r="A2" s="32" t="s">
        <v>19</v>
      </c>
      <c r="B2" s="33" t="s">
        <v>20</v>
      </c>
      <c r="C2" s="34"/>
      <c r="D2" s="35"/>
      <c r="E2" s="36"/>
      <c r="F2" s="37">
        <f>SUMIF($B$16:$B$100,"Sheet",$F$16:$F$100)+SUMIF($B$16:$B$100,"Solid",$F$16:$F$100)+SUMIF($B$16:$B$100,"Furniture",$F$16:$F$100)+SUMIF($B$16:$B$100,"Electrics",$F$16:$F$100)+SUMIF($B$16:$B$100,"Finishing",$F$16:$F$100)</f>
        <v>0</v>
      </c>
      <c r="I2" s="38" t="s">
        <v>21</v>
      </c>
      <c r="J2" s="38" t="s">
        <v>22</v>
      </c>
      <c r="K2" s="39" t="s">
        <v>23</v>
      </c>
      <c r="L2" s="38" t="s">
        <v>24</v>
      </c>
      <c r="M2" s="40" t="s">
        <v>25</v>
      </c>
    </row>
    <row r="3">
      <c r="A3" s="32" t="s">
        <v>26</v>
      </c>
      <c r="B3" s="33" t="s">
        <v>27</v>
      </c>
      <c r="C3" s="34"/>
      <c r="D3" s="41"/>
      <c r="E3" s="42">
        <v>0.25</v>
      </c>
      <c r="F3" s="43">
        <f>$F$2*$E$3</f>
        <v>0</v>
      </c>
      <c r="I3" s="44" t="s">
        <v>28</v>
      </c>
      <c r="J3" s="44" t="s">
        <v>29</v>
      </c>
      <c r="K3" s="45">
        <f t="shared" ref="K3:K11" si="1">if(J3="","",VLOOKUP(J3,INDIRECT("'"&amp;INDIRECT(ADDRESS(ROW(I3),9,,,"Quote builder"))&amp;"'!A2:E100"),4,0))</f>
        <v>350</v>
      </c>
      <c r="L3" s="46">
        <v>1.0</v>
      </c>
      <c r="M3" s="47">
        <f t="shared" ref="M3:M11" si="2">if(L3="","",K3*L3)</f>
        <v>350</v>
      </c>
    </row>
    <row r="4">
      <c r="A4" s="32" t="s">
        <v>30</v>
      </c>
      <c r="B4" s="33" t="s">
        <v>31</v>
      </c>
      <c r="C4" s="34"/>
      <c r="D4" s="41"/>
      <c r="E4" s="42"/>
      <c r="F4" s="48">
        <f>SUM($M$15:$M$30)</f>
        <v>0</v>
      </c>
      <c r="I4" s="44" t="s">
        <v>28</v>
      </c>
      <c r="J4" s="44" t="s">
        <v>32</v>
      </c>
      <c r="K4" s="45">
        <f t="shared" si="1"/>
        <v>350</v>
      </c>
      <c r="L4" s="49"/>
      <c r="M4" s="47" t="str">
        <f t="shared" si="2"/>
        <v/>
      </c>
    </row>
    <row r="5">
      <c r="A5" s="32" t="s">
        <v>33</v>
      </c>
      <c r="B5" s="33" t="s">
        <v>34</v>
      </c>
      <c r="C5" s="34"/>
      <c r="D5" s="41"/>
      <c r="E5" s="42">
        <v>0.1</v>
      </c>
      <c r="F5" s="43">
        <f>$F$4*$E$5</f>
        <v>0</v>
      </c>
      <c r="I5" s="44" t="s">
        <v>28</v>
      </c>
      <c r="J5" s="44" t="s">
        <v>35</v>
      </c>
      <c r="K5" s="45">
        <f t="shared" si="1"/>
        <v>350</v>
      </c>
      <c r="L5" s="50"/>
      <c r="M5" s="47" t="str">
        <f t="shared" si="2"/>
        <v/>
      </c>
    </row>
    <row r="6">
      <c r="A6" s="32" t="s">
        <v>36</v>
      </c>
      <c r="B6" s="33" t="s">
        <v>37</v>
      </c>
      <c r="C6" s="34"/>
      <c r="D6" s="41"/>
      <c r="E6" s="42"/>
      <c r="F6" s="43">
        <f>SUMIF($B$16:$B$100,"=Appliances",$F$16:$F$100)</f>
        <v>0</v>
      </c>
      <c r="I6" s="44" t="s">
        <v>28</v>
      </c>
      <c r="J6" s="44" t="s">
        <v>38</v>
      </c>
      <c r="K6" s="45">
        <f t="shared" si="1"/>
        <v>250</v>
      </c>
      <c r="L6" s="50"/>
      <c r="M6" s="47" t="str">
        <f t="shared" si="2"/>
        <v/>
      </c>
    </row>
    <row r="7">
      <c r="A7" s="32" t="s">
        <v>38</v>
      </c>
      <c r="B7" s="33" t="s">
        <v>39</v>
      </c>
      <c r="C7" s="34"/>
      <c r="D7" s="41"/>
      <c r="E7" s="42">
        <v>0.25</v>
      </c>
      <c r="F7" s="43">
        <f>SUMIF($B$16:$B$100,"=Appliances",$F$16:$F$100)*$E$7</f>
        <v>0</v>
      </c>
      <c r="I7" s="44" t="s">
        <v>28</v>
      </c>
      <c r="J7" s="44" t="s">
        <v>33</v>
      </c>
      <c r="K7" s="45">
        <f t="shared" si="1"/>
        <v>224</v>
      </c>
      <c r="L7" s="49"/>
      <c r="M7" s="47" t="str">
        <f t="shared" si="2"/>
        <v/>
      </c>
    </row>
    <row r="8">
      <c r="A8" s="32" t="s">
        <v>40</v>
      </c>
      <c r="B8" s="33" t="s">
        <v>41</v>
      </c>
      <c r="C8" s="34"/>
      <c r="D8" s="41"/>
      <c r="E8" s="42"/>
      <c r="F8" s="43">
        <f>SUMIF($B$16:$B$100,"=Exceptional",$F$16:$F$100)+SUMIF($B$16:$B$100,"=Worktops",$F$16:$F$100)</f>
        <v>0</v>
      </c>
      <c r="I8" s="44" t="s">
        <v>28</v>
      </c>
      <c r="J8" s="44" t="s">
        <v>42</v>
      </c>
      <c r="K8" s="45">
        <f t="shared" si="1"/>
        <v>350</v>
      </c>
      <c r="L8" s="50"/>
      <c r="M8" s="47" t="str">
        <f t="shared" si="2"/>
        <v/>
      </c>
    </row>
    <row r="9">
      <c r="A9" s="32" t="s">
        <v>43</v>
      </c>
      <c r="B9" s="33" t="s">
        <v>44</v>
      </c>
      <c r="C9" s="34"/>
      <c r="D9" s="41" t="s">
        <v>45</v>
      </c>
      <c r="F9" s="51">
        <f>SUM($G$16:$G$100)</f>
        <v>0</v>
      </c>
      <c r="I9" s="44" t="s">
        <v>28</v>
      </c>
      <c r="J9" s="44" t="s">
        <v>46</v>
      </c>
      <c r="K9" s="45">
        <f t="shared" si="1"/>
        <v>200</v>
      </c>
      <c r="L9" s="49"/>
      <c r="M9" s="47" t="str">
        <f t="shared" si="2"/>
        <v/>
      </c>
    </row>
    <row r="10">
      <c r="A10" s="32" t="s">
        <v>47</v>
      </c>
      <c r="B10" s="33" t="s">
        <v>48</v>
      </c>
      <c r="C10" s="34"/>
      <c r="D10" s="35"/>
      <c r="E10" s="36"/>
      <c r="F10" s="51">
        <f>SUM($M$3:$M$11)</f>
        <v>350</v>
      </c>
      <c r="I10" s="44" t="s">
        <v>28</v>
      </c>
      <c r="J10" s="44" t="s">
        <v>49</v>
      </c>
      <c r="K10" s="45">
        <f t="shared" si="1"/>
        <v>350</v>
      </c>
      <c r="L10" s="49"/>
      <c r="M10" s="47" t="str">
        <f t="shared" si="2"/>
        <v/>
      </c>
    </row>
    <row r="11">
      <c r="A11" s="52" t="s">
        <v>28</v>
      </c>
      <c r="B11" s="53" t="s">
        <v>1</v>
      </c>
      <c r="C11" s="54"/>
      <c r="D11" s="55"/>
      <c r="E11" s="56"/>
      <c r="F11" s="57">
        <f>SUM($F$2:$F$10)</f>
        <v>350</v>
      </c>
      <c r="I11" s="47" t="s">
        <v>28</v>
      </c>
      <c r="J11" s="58" t="s">
        <v>50</v>
      </c>
      <c r="K11" s="45">
        <f t="shared" si="1"/>
        <v>350</v>
      </c>
      <c r="L11" s="59"/>
      <c r="M11" s="47" t="str">
        <f t="shared" si="2"/>
        <v/>
      </c>
    </row>
    <row r="12">
      <c r="A12" s="52"/>
      <c r="B12" s="33" t="s">
        <v>2</v>
      </c>
      <c r="C12" s="34"/>
      <c r="D12" s="41"/>
      <c r="E12" s="42">
        <v>0.2</v>
      </c>
      <c r="F12" s="43">
        <f>$F$11*$E$12</f>
        <v>70</v>
      </c>
      <c r="I12" s="30"/>
    </row>
    <row r="13">
      <c r="A13" s="60"/>
      <c r="B13" s="53" t="s">
        <v>4</v>
      </c>
      <c r="C13" s="54"/>
      <c r="D13" s="55"/>
      <c r="E13" s="56"/>
      <c r="F13" s="57">
        <f>SUM($F$11:$F$12)</f>
        <v>420</v>
      </c>
      <c r="I13" s="61" t="s">
        <v>51</v>
      </c>
    </row>
    <row r="14">
      <c r="A14" s="60"/>
      <c r="B14" s="62"/>
      <c r="C14" s="62"/>
      <c r="D14" s="62"/>
      <c r="E14" s="62"/>
      <c r="F14" s="62"/>
      <c r="I14" s="63" t="s">
        <v>21</v>
      </c>
      <c r="J14" s="63" t="s">
        <v>22</v>
      </c>
      <c r="K14" s="63" t="s">
        <v>23</v>
      </c>
      <c r="L14" s="63" t="s">
        <v>24</v>
      </c>
      <c r="M14" s="64" t="s">
        <v>25</v>
      </c>
    </row>
    <row r="15">
      <c r="A15" s="65"/>
      <c r="B15" s="63" t="s">
        <v>21</v>
      </c>
      <c r="C15" s="63" t="s">
        <v>22</v>
      </c>
      <c r="D15" s="63" t="s">
        <v>23</v>
      </c>
      <c r="E15" s="63" t="s">
        <v>24</v>
      </c>
      <c r="F15" s="64" t="s">
        <v>25</v>
      </c>
      <c r="G15" s="64" t="s">
        <v>52</v>
      </c>
      <c r="I15" s="66" t="s">
        <v>51</v>
      </c>
      <c r="J15" s="66" t="str">
        <f>IFERROR(__xludf.DUMMYFUNCTION("UNIQUE(Overheads!B2:B50)"),"Paintshop")</f>
        <v>Paintshop</v>
      </c>
      <c r="K15" s="67">
        <f t="shared" ref="K15:K17" si="3">if(J15="","",vlookup(J15,INDIRECT("'"&amp;INDIRECT(ADDRESS(Row(I15),9,,,"Quote builder"))&amp;"'!B2:E30"),3,0))</f>
        <v>1.1892</v>
      </c>
      <c r="L15" s="68">
        <f>IF(AND(L7="",'Kitchen quote builder'!I4=0,'Wardrobes_etc quote builder'!I4=0),0,L7+('Kitchen quote builder'!I4+'Wardrobes_etc quote builder'!I4)*8)</f>
        <v>0</v>
      </c>
      <c r="M15" s="67">
        <f t="shared" ref="M15:M23" si="4">if(L15="","",K15*L15)</f>
        <v>0</v>
      </c>
    </row>
    <row r="16">
      <c r="A16" s="65"/>
      <c r="B16" s="69"/>
      <c r="C16" s="69"/>
      <c r="D16" s="70" t="str">
        <f t="shared" ref="D16:D100" si="5">IF(C16="","",VLOOKUP(C16,INDIRECT("'"&amp;INDIRECT(ADDRESS(ROW(B16),2,,,"Quote builder"))&amp;"'!A2:E100"),5,0))</f>
        <v/>
      </c>
      <c r="E16" s="71"/>
      <c r="F16" s="67" t="str">
        <f t="shared" ref="F16:F100" si="6">IF(OR(D16="",E16=""),"",D16*E16)</f>
        <v/>
      </c>
      <c r="G16" s="72" t="str">
        <f t="shared" ref="G16:G100" si="7">IF(OR(B16="Exceptional",B16="Worktops"),IF(C16="","",VLOOKUP(C16,INDIRECT("'"&amp;INDIRECT(ADDRESS(Row(B16),2,,,"Quote builder"))&amp;"'!A2:J100"),9,0)*E16),"")</f>
        <v/>
      </c>
      <c r="I16" s="66" t="s">
        <v>51</v>
      </c>
      <c r="J16" s="72" t="str">
        <f>IFERROR(__xludf.DUMMYFUNCTION("""COMPUTED_VALUE"""),"Spindle moulder - channel handle cutter")</f>
        <v>Spindle moulder - channel handle cutter</v>
      </c>
      <c r="K16" s="67">
        <f t="shared" si="3"/>
        <v>350</v>
      </c>
      <c r="L16" s="73">
        <f>IF(OR(AND('Kitchen quote builder'!I10="Channel",ISERROR(FIND("ply",'Kitchen quote builder'!C10))=FALSE),AND('Wardrobes_etc quote builder'!I10="Channel",ISERROR(FIND("ply",'Wardrobes_etc quote builder'!C10))=FALSE)),1,0)</f>
        <v>0</v>
      </c>
      <c r="M16" s="67">
        <f t="shared" si="4"/>
        <v>0</v>
      </c>
    </row>
    <row r="17">
      <c r="A17" s="60"/>
      <c r="B17" s="69"/>
      <c r="C17" s="69"/>
      <c r="D17" s="70" t="str">
        <f t="shared" si="5"/>
        <v/>
      </c>
      <c r="E17" s="71"/>
      <c r="F17" s="67" t="str">
        <f t="shared" si="6"/>
        <v/>
      </c>
      <c r="G17" s="72" t="str">
        <f t="shared" si="7"/>
        <v/>
      </c>
      <c r="I17" s="66" t="s">
        <v>51</v>
      </c>
      <c r="J17" s="72" t="str">
        <f>IFERROR(__xludf.DUMMYFUNCTION("""COMPUTED_VALUE"""),"Spindle moulder - sharks tooth cutter")</f>
        <v>Spindle moulder - sharks tooth cutter</v>
      </c>
      <c r="K17" s="67">
        <f t="shared" si="3"/>
        <v>300</v>
      </c>
      <c r="L17" s="73">
        <f>IF(OR(AND(KitchenHandleType="Shark's tooth",ISERROR(FIND("ply",KitchenCarcassMaterial))=FALSE),AND(WardrobeHandleType="Shark's tooth",ISERROR(FIND("ply",WardrobeCarcassMaterial))=FALSE)),1,0)</f>
        <v>0</v>
      </c>
      <c r="M17" s="67">
        <f t="shared" si="4"/>
        <v>0</v>
      </c>
    </row>
    <row r="18">
      <c r="A18" s="74"/>
      <c r="B18" s="69"/>
      <c r="C18" s="69"/>
      <c r="D18" s="70" t="str">
        <f t="shared" si="5"/>
        <v/>
      </c>
      <c r="E18" s="71"/>
      <c r="F18" s="67" t="str">
        <f t="shared" si="6"/>
        <v/>
      </c>
      <c r="G18" s="72" t="str">
        <f t="shared" si="7"/>
        <v/>
      </c>
      <c r="I18" s="72"/>
      <c r="J18" s="72"/>
      <c r="K18" s="72"/>
      <c r="L18" s="73"/>
      <c r="M18" s="67" t="str">
        <f t="shared" si="4"/>
        <v/>
      </c>
    </row>
    <row r="19" ht="15.0" customHeight="1">
      <c r="A19" s="74"/>
      <c r="B19" s="69"/>
      <c r="C19" s="69"/>
      <c r="D19" s="70" t="str">
        <f t="shared" si="5"/>
        <v/>
      </c>
      <c r="E19" s="71"/>
      <c r="F19" s="67" t="str">
        <f t="shared" si="6"/>
        <v/>
      </c>
      <c r="G19" s="72" t="str">
        <f t="shared" si="7"/>
        <v/>
      </c>
      <c r="I19" s="72"/>
      <c r="J19" s="72"/>
      <c r="K19" s="72"/>
      <c r="L19" s="73"/>
      <c r="M19" s="67" t="str">
        <f t="shared" si="4"/>
        <v/>
      </c>
    </row>
    <row r="20" ht="15.0" customHeight="1">
      <c r="A20" s="74"/>
      <c r="B20" s="69"/>
      <c r="C20" s="69"/>
      <c r="D20" s="70" t="str">
        <f t="shared" si="5"/>
        <v/>
      </c>
      <c r="E20" s="71"/>
      <c r="F20" s="67" t="str">
        <f t="shared" si="6"/>
        <v/>
      </c>
      <c r="G20" s="72" t="str">
        <f t="shared" si="7"/>
        <v/>
      </c>
      <c r="I20" s="72"/>
      <c r="J20" s="72"/>
      <c r="K20" s="72"/>
      <c r="L20" s="73"/>
      <c r="M20" s="67" t="str">
        <f t="shared" si="4"/>
        <v/>
      </c>
    </row>
    <row r="21" ht="15.0" customHeight="1">
      <c r="A21" s="74"/>
      <c r="B21" s="69"/>
      <c r="C21" s="69"/>
      <c r="D21" s="70" t="str">
        <f t="shared" si="5"/>
        <v/>
      </c>
      <c r="E21" s="71"/>
      <c r="F21" s="67" t="str">
        <f t="shared" si="6"/>
        <v/>
      </c>
      <c r="G21" s="72" t="str">
        <f t="shared" si="7"/>
        <v/>
      </c>
      <c r="I21" s="72"/>
      <c r="J21" s="72"/>
      <c r="K21" s="72"/>
      <c r="L21" s="73"/>
      <c r="M21" s="67" t="str">
        <f t="shared" si="4"/>
        <v/>
      </c>
    </row>
    <row r="22">
      <c r="A22" s="74"/>
      <c r="B22" s="69"/>
      <c r="C22" s="69"/>
      <c r="D22" s="70" t="str">
        <f t="shared" si="5"/>
        <v/>
      </c>
      <c r="E22" s="71"/>
      <c r="F22" s="67" t="str">
        <f t="shared" si="6"/>
        <v/>
      </c>
      <c r="G22" s="72" t="str">
        <f t="shared" si="7"/>
        <v/>
      </c>
      <c r="I22" s="72"/>
      <c r="J22" s="72"/>
      <c r="K22" s="72"/>
      <c r="L22" s="73"/>
      <c r="M22" s="67" t="str">
        <f t="shared" si="4"/>
        <v/>
      </c>
    </row>
    <row r="23">
      <c r="A23" s="74"/>
      <c r="B23" s="69"/>
      <c r="C23" s="69"/>
      <c r="D23" s="70" t="str">
        <f t="shared" si="5"/>
        <v/>
      </c>
      <c r="E23" s="71"/>
      <c r="F23" s="67" t="str">
        <f t="shared" si="6"/>
        <v/>
      </c>
      <c r="G23" s="72" t="str">
        <f t="shared" si="7"/>
        <v/>
      </c>
      <c r="I23" s="72"/>
      <c r="J23" s="72"/>
      <c r="K23" s="72"/>
      <c r="L23" s="73"/>
      <c r="M23" s="67" t="str">
        <f t="shared" si="4"/>
        <v/>
      </c>
    </row>
    <row r="24">
      <c r="A24" s="74"/>
      <c r="B24" s="69"/>
      <c r="C24" s="75"/>
      <c r="D24" s="70" t="str">
        <f t="shared" si="5"/>
        <v/>
      </c>
      <c r="E24" s="71"/>
      <c r="F24" s="67" t="str">
        <f t="shared" si="6"/>
        <v/>
      </c>
      <c r="G24" s="72" t="str">
        <f t="shared" si="7"/>
        <v/>
      </c>
      <c r="I24" s="72"/>
      <c r="J24" s="72"/>
      <c r="K24" s="72"/>
      <c r="L24" s="72"/>
      <c r="M24" s="72"/>
    </row>
    <row r="25">
      <c r="A25" s="74"/>
      <c r="B25" s="69"/>
      <c r="C25" s="69"/>
      <c r="D25" s="70" t="str">
        <f t="shared" si="5"/>
        <v/>
      </c>
      <c r="E25" s="71"/>
      <c r="F25" s="67" t="str">
        <f t="shared" si="6"/>
        <v/>
      </c>
      <c r="G25" s="72" t="str">
        <f t="shared" si="7"/>
        <v/>
      </c>
      <c r="I25" s="72"/>
      <c r="J25" s="72"/>
      <c r="K25" s="72"/>
      <c r="L25" s="72"/>
      <c r="M25" s="72"/>
    </row>
    <row r="26">
      <c r="A26" s="74"/>
      <c r="B26" s="69"/>
      <c r="C26" s="69"/>
      <c r="D26" s="70" t="str">
        <f t="shared" si="5"/>
        <v/>
      </c>
      <c r="E26" s="71"/>
      <c r="F26" s="67" t="str">
        <f t="shared" si="6"/>
        <v/>
      </c>
      <c r="G26" s="72" t="str">
        <f t="shared" si="7"/>
        <v/>
      </c>
      <c r="I26" s="72"/>
      <c r="J26" s="72"/>
      <c r="K26" s="72"/>
      <c r="L26" s="72"/>
      <c r="M26" s="72"/>
    </row>
    <row r="27">
      <c r="A27" s="74"/>
      <c r="B27" s="69"/>
      <c r="C27" s="69"/>
      <c r="D27" s="70" t="str">
        <f t="shared" si="5"/>
        <v/>
      </c>
      <c r="E27" s="71"/>
      <c r="F27" s="67" t="str">
        <f t="shared" si="6"/>
        <v/>
      </c>
      <c r="G27" s="72" t="str">
        <f t="shared" si="7"/>
        <v/>
      </c>
      <c r="I27" s="72"/>
      <c r="J27" s="72"/>
      <c r="K27" s="72"/>
      <c r="L27" s="72"/>
      <c r="M27" s="72"/>
    </row>
    <row r="28">
      <c r="A28" s="74"/>
      <c r="B28" s="69"/>
      <c r="C28" s="69"/>
      <c r="D28" s="70" t="str">
        <f t="shared" si="5"/>
        <v/>
      </c>
      <c r="E28" s="71"/>
      <c r="F28" s="67" t="str">
        <f t="shared" si="6"/>
        <v/>
      </c>
      <c r="G28" s="72" t="str">
        <f t="shared" si="7"/>
        <v/>
      </c>
      <c r="I28" s="72"/>
      <c r="J28" s="72"/>
      <c r="K28" s="72"/>
      <c r="L28" s="72"/>
      <c r="M28" s="72"/>
    </row>
    <row r="29">
      <c r="A29" s="74"/>
      <c r="B29" s="69"/>
      <c r="C29" s="69"/>
      <c r="D29" s="70" t="str">
        <f t="shared" si="5"/>
        <v/>
      </c>
      <c r="E29" s="71"/>
      <c r="F29" s="67" t="str">
        <f t="shared" si="6"/>
        <v/>
      </c>
      <c r="G29" s="72" t="str">
        <f t="shared" si="7"/>
        <v/>
      </c>
      <c r="I29" s="72"/>
      <c r="J29" s="72"/>
      <c r="K29" s="72"/>
      <c r="L29" s="72"/>
      <c r="M29" s="72"/>
    </row>
    <row r="30">
      <c r="A30" s="74"/>
      <c r="B30" s="69"/>
      <c r="C30" s="69"/>
      <c r="D30" s="70" t="str">
        <f t="shared" si="5"/>
        <v/>
      </c>
      <c r="E30" s="71"/>
      <c r="F30" s="67" t="str">
        <f t="shared" si="6"/>
        <v/>
      </c>
      <c r="G30" s="72" t="str">
        <f t="shared" si="7"/>
        <v/>
      </c>
      <c r="I30" s="72"/>
      <c r="J30" s="72"/>
      <c r="K30" s="72"/>
      <c r="L30" s="72"/>
      <c r="M30" s="72"/>
    </row>
    <row r="31">
      <c r="A31" s="74"/>
      <c r="B31" s="69"/>
      <c r="C31" s="69"/>
      <c r="D31" s="70" t="str">
        <f t="shared" si="5"/>
        <v/>
      </c>
      <c r="E31" s="71"/>
      <c r="F31" s="67" t="str">
        <f t="shared" si="6"/>
        <v/>
      </c>
      <c r="G31" s="72" t="str">
        <f t="shared" si="7"/>
        <v/>
      </c>
      <c r="H31" s="76"/>
    </row>
    <row r="32">
      <c r="A32" s="74"/>
      <c r="B32" s="69"/>
      <c r="C32" s="69"/>
      <c r="D32" s="70" t="str">
        <f t="shared" si="5"/>
        <v/>
      </c>
      <c r="E32" s="71"/>
      <c r="F32" s="67" t="str">
        <f t="shared" si="6"/>
        <v/>
      </c>
      <c r="G32" s="72" t="str">
        <f t="shared" si="7"/>
        <v/>
      </c>
    </row>
    <row r="33">
      <c r="A33" s="74"/>
      <c r="B33" s="69"/>
      <c r="C33" s="69"/>
      <c r="D33" s="70" t="str">
        <f t="shared" si="5"/>
        <v/>
      </c>
      <c r="E33" s="71"/>
      <c r="F33" s="67" t="str">
        <f t="shared" si="6"/>
        <v/>
      </c>
      <c r="G33" s="72" t="str">
        <f t="shared" si="7"/>
        <v/>
      </c>
    </row>
    <row r="34">
      <c r="A34" s="74"/>
      <c r="B34" s="69"/>
      <c r="C34" s="69"/>
      <c r="D34" s="70" t="str">
        <f t="shared" si="5"/>
        <v/>
      </c>
      <c r="E34" s="71"/>
      <c r="F34" s="67" t="str">
        <f t="shared" si="6"/>
        <v/>
      </c>
      <c r="G34" s="72" t="str">
        <f t="shared" si="7"/>
        <v/>
      </c>
    </row>
    <row r="35">
      <c r="A35" s="74"/>
      <c r="B35" s="69"/>
      <c r="C35" s="69"/>
      <c r="D35" s="70" t="str">
        <f t="shared" si="5"/>
        <v/>
      </c>
      <c r="E35" s="71"/>
      <c r="F35" s="67" t="str">
        <f t="shared" si="6"/>
        <v/>
      </c>
      <c r="G35" s="72" t="str">
        <f t="shared" si="7"/>
        <v/>
      </c>
    </row>
    <row r="36">
      <c r="A36" s="74"/>
      <c r="B36" s="69"/>
      <c r="C36" s="69"/>
      <c r="D36" s="70" t="str">
        <f t="shared" si="5"/>
        <v/>
      </c>
      <c r="E36" s="71"/>
      <c r="F36" s="67" t="str">
        <f t="shared" si="6"/>
        <v/>
      </c>
      <c r="G36" s="72" t="str">
        <f t="shared" si="7"/>
        <v/>
      </c>
    </row>
    <row r="37">
      <c r="A37" s="74"/>
      <c r="B37" s="69"/>
      <c r="C37" s="69"/>
      <c r="D37" s="70" t="str">
        <f t="shared" si="5"/>
        <v/>
      </c>
      <c r="E37" s="71"/>
      <c r="F37" s="67" t="str">
        <f t="shared" si="6"/>
        <v/>
      </c>
      <c r="G37" s="72" t="str">
        <f t="shared" si="7"/>
        <v/>
      </c>
    </row>
    <row r="38">
      <c r="A38" s="74"/>
      <c r="B38" s="69"/>
      <c r="C38" s="69"/>
      <c r="D38" s="70" t="str">
        <f t="shared" si="5"/>
        <v/>
      </c>
      <c r="E38" s="71"/>
      <c r="F38" s="67" t="str">
        <f t="shared" si="6"/>
        <v/>
      </c>
      <c r="G38" s="72" t="str">
        <f t="shared" si="7"/>
        <v/>
      </c>
    </row>
    <row r="39">
      <c r="A39" s="74"/>
      <c r="B39" s="77"/>
      <c r="C39" s="69"/>
      <c r="D39" s="70" t="str">
        <f t="shared" si="5"/>
        <v/>
      </c>
      <c r="E39" s="71"/>
      <c r="F39" s="67" t="str">
        <f t="shared" si="6"/>
        <v/>
      </c>
      <c r="G39" s="72" t="str">
        <f t="shared" si="7"/>
        <v/>
      </c>
    </row>
    <row r="40">
      <c r="A40" s="74"/>
      <c r="B40" s="77"/>
      <c r="C40" s="69"/>
      <c r="D40" s="70" t="str">
        <f t="shared" si="5"/>
        <v/>
      </c>
      <c r="E40" s="71"/>
      <c r="F40" s="67" t="str">
        <f t="shared" si="6"/>
        <v/>
      </c>
      <c r="G40" s="72" t="str">
        <f t="shared" si="7"/>
        <v/>
      </c>
    </row>
    <row r="41">
      <c r="A41" s="74"/>
      <c r="B41" s="77"/>
      <c r="C41" s="77"/>
      <c r="D41" s="70" t="str">
        <f t="shared" si="5"/>
        <v/>
      </c>
      <c r="E41" s="78"/>
      <c r="F41" s="67" t="str">
        <f t="shared" si="6"/>
        <v/>
      </c>
      <c r="G41" s="72" t="str">
        <f t="shared" si="7"/>
        <v/>
      </c>
    </row>
    <row r="42">
      <c r="A42" s="74"/>
      <c r="B42" s="77"/>
      <c r="C42" s="77"/>
      <c r="D42" s="70" t="str">
        <f t="shared" si="5"/>
        <v/>
      </c>
      <c r="E42" s="78"/>
      <c r="F42" s="67" t="str">
        <f t="shared" si="6"/>
        <v/>
      </c>
      <c r="G42" s="72" t="str">
        <f t="shared" si="7"/>
        <v/>
      </c>
    </row>
    <row r="43">
      <c r="A43" s="74"/>
      <c r="B43" s="77"/>
      <c r="C43" s="77"/>
      <c r="D43" s="70" t="str">
        <f t="shared" si="5"/>
        <v/>
      </c>
      <c r="E43" s="78"/>
      <c r="F43" s="67" t="str">
        <f t="shared" si="6"/>
        <v/>
      </c>
      <c r="G43" s="72" t="str">
        <f t="shared" si="7"/>
        <v/>
      </c>
    </row>
    <row r="44">
      <c r="A44" s="74"/>
      <c r="B44" s="77"/>
      <c r="C44" s="77"/>
      <c r="D44" s="70" t="str">
        <f t="shared" si="5"/>
        <v/>
      </c>
      <c r="E44" s="78"/>
      <c r="F44" s="67" t="str">
        <f t="shared" si="6"/>
        <v/>
      </c>
      <c r="G44" s="72" t="str">
        <f t="shared" si="7"/>
        <v/>
      </c>
    </row>
    <row r="45">
      <c r="A45" s="74"/>
      <c r="B45" s="77"/>
      <c r="C45" s="77"/>
      <c r="D45" s="70" t="str">
        <f t="shared" si="5"/>
        <v/>
      </c>
      <c r="E45" s="78"/>
      <c r="F45" s="67" t="str">
        <f t="shared" si="6"/>
        <v/>
      </c>
      <c r="G45" s="72" t="str">
        <f t="shared" si="7"/>
        <v/>
      </c>
    </row>
    <row r="46">
      <c r="A46" s="74"/>
      <c r="B46" s="77"/>
      <c r="C46" s="77"/>
      <c r="D46" s="70" t="str">
        <f t="shared" si="5"/>
        <v/>
      </c>
      <c r="E46" s="78"/>
      <c r="F46" s="67" t="str">
        <f t="shared" si="6"/>
        <v/>
      </c>
      <c r="G46" s="72" t="str">
        <f t="shared" si="7"/>
        <v/>
      </c>
    </row>
    <row r="47">
      <c r="A47" s="74"/>
      <c r="B47" s="77"/>
      <c r="C47" s="77"/>
      <c r="D47" s="70" t="str">
        <f t="shared" si="5"/>
        <v/>
      </c>
      <c r="E47" s="78"/>
      <c r="F47" s="67" t="str">
        <f t="shared" si="6"/>
        <v/>
      </c>
      <c r="G47" s="72" t="str">
        <f t="shared" si="7"/>
        <v/>
      </c>
    </row>
    <row r="48">
      <c r="A48" s="74"/>
      <c r="B48" s="77"/>
      <c r="C48" s="77"/>
      <c r="D48" s="70" t="str">
        <f t="shared" si="5"/>
        <v/>
      </c>
      <c r="E48" s="78"/>
      <c r="F48" s="67" t="str">
        <f t="shared" si="6"/>
        <v/>
      </c>
      <c r="G48" s="72" t="str">
        <f t="shared" si="7"/>
        <v/>
      </c>
    </row>
    <row r="49">
      <c r="A49" s="74"/>
      <c r="B49" s="77"/>
      <c r="C49" s="77"/>
      <c r="D49" s="70" t="str">
        <f t="shared" si="5"/>
        <v/>
      </c>
      <c r="E49" s="78"/>
      <c r="F49" s="67" t="str">
        <f t="shared" si="6"/>
        <v/>
      </c>
      <c r="G49" s="72" t="str">
        <f t="shared" si="7"/>
        <v/>
      </c>
    </row>
    <row r="50">
      <c r="A50" s="74"/>
      <c r="B50" s="77"/>
      <c r="C50" s="77"/>
      <c r="D50" s="70" t="str">
        <f t="shared" si="5"/>
        <v/>
      </c>
      <c r="E50" s="78"/>
      <c r="F50" s="67" t="str">
        <f t="shared" si="6"/>
        <v/>
      </c>
      <c r="G50" s="72" t="str">
        <f t="shared" si="7"/>
        <v/>
      </c>
    </row>
    <row r="51">
      <c r="A51" s="74"/>
      <c r="B51" s="77"/>
      <c r="C51" s="77"/>
      <c r="D51" s="70" t="str">
        <f t="shared" si="5"/>
        <v/>
      </c>
      <c r="E51" s="78"/>
      <c r="F51" s="67" t="str">
        <f t="shared" si="6"/>
        <v/>
      </c>
      <c r="G51" s="72" t="str">
        <f t="shared" si="7"/>
        <v/>
      </c>
    </row>
    <row r="52">
      <c r="A52" s="74"/>
      <c r="B52" s="77"/>
      <c r="C52" s="77"/>
      <c r="D52" s="70" t="str">
        <f t="shared" si="5"/>
        <v/>
      </c>
      <c r="E52" s="78"/>
      <c r="F52" s="67" t="str">
        <f t="shared" si="6"/>
        <v/>
      </c>
      <c r="G52" s="72" t="str">
        <f t="shared" si="7"/>
        <v/>
      </c>
    </row>
    <row r="53">
      <c r="A53" s="74"/>
      <c r="B53" s="77"/>
      <c r="C53" s="77"/>
      <c r="D53" s="70" t="str">
        <f t="shared" si="5"/>
        <v/>
      </c>
      <c r="E53" s="78"/>
      <c r="F53" s="67" t="str">
        <f t="shared" si="6"/>
        <v/>
      </c>
      <c r="G53" s="72" t="str">
        <f t="shared" si="7"/>
        <v/>
      </c>
    </row>
    <row r="54">
      <c r="A54" s="74"/>
      <c r="B54" s="77"/>
      <c r="C54" s="77"/>
      <c r="D54" s="70" t="str">
        <f t="shared" si="5"/>
        <v/>
      </c>
      <c r="E54" s="78"/>
      <c r="F54" s="67" t="str">
        <f t="shared" si="6"/>
        <v/>
      </c>
      <c r="G54" s="72" t="str">
        <f t="shared" si="7"/>
        <v/>
      </c>
    </row>
    <row r="55">
      <c r="A55" s="74"/>
      <c r="B55" s="77"/>
      <c r="C55" s="77"/>
      <c r="D55" s="70" t="str">
        <f t="shared" si="5"/>
        <v/>
      </c>
      <c r="E55" s="78"/>
      <c r="F55" s="67" t="str">
        <f t="shared" si="6"/>
        <v/>
      </c>
      <c r="G55" s="72" t="str">
        <f t="shared" si="7"/>
        <v/>
      </c>
    </row>
    <row r="56">
      <c r="A56" s="74"/>
      <c r="B56" s="77"/>
      <c r="C56" s="77"/>
      <c r="D56" s="70" t="str">
        <f t="shared" si="5"/>
        <v/>
      </c>
      <c r="E56" s="78"/>
      <c r="F56" s="67" t="str">
        <f t="shared" si="6"/>
        <v/>
      </c>
      <c r="G56" s="72" t="str">
        <f t="shared" si="7"/>
        <v/>
      </c>
    </row>
    <row r="57">
      <c r="A57" s="74"/>
      <c r="B57" s="77"/>
      <c r="C57" s="77"/>
      <c r="D57" s="70" t="str">
        <f t="shared" si="5"/>
        <v/>
      </c>
      <c r="E57" s="78"/>
      <c r="F57" s="67" t="str">
        <f t="shared" si="6"/>
        <v/>
      </c>
      <c r="G57" s="72" t="str">
        <f t="shared" si="7"/>
        <v/>
      </c>
    </row>
    <row r="58">
      <c r="A58" s="74"/>
      <c r="B58" s="77"/>
      <c r="C58" s="77"/>
      <c r="D58" s="70" t="str">
        <f t="shared" si="5"/>
        <v/>
      </c>
      <c r="E58" s="78"/>
      <c r="F58" s="67" t="str">
        <f t="shared" si="6"/>
        <v/>
      </c>
      <c r="G58" s="72" t="str">
        <f t="shared" si="7"/>
        <v/>
      </c>
    </row>
    <row r="59">
      <c r="A59" s="74"/>
      <c r="B59" s="77"/>
      <c r="C59" s="77"/>
      <c r="D59" s="70" t="str">
        <f t="shared" si="5"/>
        <v/>
      </c>
      <c r="E59" s="78"/>
      <c r="F59" s="67" t="str">
        <f t="shared" si="6"/>
        <v/>
      </c>
      <c r="G59" s="72" t="str">
        <f t="shared" si="7"/>
        <v/>
      </c>
    </row>
    <row r="60">
      <c r="A60" s="74"/>
      <c r="B60" s="77"/>
      <c r="C60" s="77"/>
      <c r="D60" s="70" t="str">
        <f t="shared" si="5"/>
        <v/>
      </c>
      <c r="E60" s="78"/>
      <c r="F60" s="67" t="str">
        <f t="shared" si="6"/>
        <v/>
      </c>
      <c r="G60" s="72" t="str">
        <f t="shared" si="7"/>
        <v/>
      </c>
    </row>
    <row r="61">
      <c r="A61" s="74"/>
      <c r="B61" s="77"/>
      <c r="C61" s="77"/>
      <c r="D61" s="70" t="str">
        <f t="shared" si="5"/>
        <v/>
      </c>
      <c r="E61" s="78"/>
      <c r="F61" s="67" t="str">
        <f t="shared" si="6"/>
        <v/>
      </c>
      <c r="G61" s="72" t="str">
        <f t="shared" si="7"/>
        <v/>
      </c>
    </row>
    <row r="62">
      <c r="A62" s="74"/>
      <c r="B62" s="77"/>
      <c r="C62" s="77"/>
      <c r="D62" s="70" t="str">
        <f t="shared" si="5"/>
        <v/>
      </c>
      <c r="E62" s="78"/>
      <c r="F62" s="67" t="str">
        <f t="shared" si="6"/>
        <v/>
      </c>
      <c r="G62" s="72" t="str">
        <f t="shared" si="7"/>
        <v/>
      </c>
    </row>
    <row r="63">
      <c r="A63" s="74"/>
      <c r="B63" s="77"/>
      <c r="C63" s="77"/>
      <c r="D63" s="70" t="str">
        <f t="shared" si="5"/>
        <v/>
      </c>
      <c r="E63" s="78"/>
      <c r="F63" s="67" t="str">
        <f t="shared" si="6"/>
        <v/>
      </c>
      <c r="G63" s="72" t="str">
        <f t="shared" si="7"/>
        <v/>
      </c>
    </row>
    <row r="64">
      <c r="A64" s="74"/>
      <c r="B64" s="77"/>
      <c r="C64" s="77"/>
      <c r="D64" s="70" t="str">
        <f t="shared" si="5"/>
        <v/>
      </c>
      <c r="E64" s="78"/>
      <c r="F64" s="67" t="str">
        <f t="shared" si="6"/>
        <v/>
      </c>
      <c r="G64" s="72" t="str">
        <f t="shared" si="7"/>
        <v/>
      </c>
    </row>
    <row r="65">
      <c r="A65" s="74"/>
      <c r="B65" s="77"/>
      <c r="C65" s="77"/>
      <c r="D65" s="70" t="str">
        <f t="shared" si="5"/>
        <v/>
      </c>
      <c r="E65" s="78"/>
      <c r="F65" s="67" t="str">
        <f t="shared" si="6"/>
        <v/>
      </c>
      <c r="G65" s="72" t="str">
        <f t="shared" si="7"/>
        <v/>
      </c>
    </row>
    <row r="66">
      <c r="A66" s="74"/>
      <c r="B66" s="77"/>
      <c r="C66" s="77"/>
      <c r="D66" s="70" t="str">
        <f t="shared" si="5"/>
        <v/>
      </c>
      <c r="E66" s="78"/>
      <c r="F66" s="67" t="str">
        <f t="shared" si="6"/>
        <v/>
      </c>
      <c r="G66" s="72" t="str">
        <f t="shared" si="7"/>
        <v/>
      </c>
    </row>
    <row r="67">
      <c r="A67" s="74"/>
      <c r="B67" s="77"/>
      <c r="C67" s="77"/>
      <c r="D67" s="70" t="str">
        <f t="shared" si="5"/>
        <v/>
      </c>
      <c r="E67" s="78"/>
      <c r="F67" s="67" t="str">
        <f t="shared" si="6"/>
        <v/>
      </c>
      <c r="G67" s="72" t="str">
        <f t="shared" si="7"/>
        <v/>
      </c>
    </row>
    <row r="68">
      <c r="A68" s="74"/>
      <c r="B68" s="77"/>
      <c r="C68" s="77"/>
      <c r="D68" s="70" t="str">
        <f t="shared" si="5"/>
        <v/>
      </c>
      <c r="E68" s="78"/>
      <c r="F68" s="67" t="str">
        <f t="shared" si="6"/>
        <v/>
      </c>
      <c r="G68" s="72" t="str">
        <f t="shared" si="7"/>
        <v/>
      </c>
    </row>
    <row r="69">
      <c r="A69" s="74"/>
      <c r="B69" s="77"/>
      <c r="C69" s="77"/>
      <c r="D69" s="70" t="str">
        <f t="shared" si="5"/>
        <v/>
      </c>
      <c r="E69" s="78"/>
      <c r="F69" s="67" t="str">
        <f t="shared" si="6"/>
        <v/>
      </c>
      <c r="G69" s="72" t="str">
        <f t="shared" si="7"/>
        <v/>
      </c>
    </row>
    <row r="70">
      <c r="A70" s="74"/>
      <c r="B70" s="77"/>
      <c r="C70" s="77"/>
      <c r="D70" s="70" t="str">
        <f t="shared" si="5"/>
        <v/>
      </c>
      <c r="E70" s="78"/>
      <c r="F70" s="67" t="str">
        <f t="shared" si="6"/>
        <v/>
      </c>
      <c r="G70" s="72" t="str">
        <f t="shared" si="7"/>
        <v/>
      </c>
    </row>
    <row r="71">
      <c r="A71" s="74"/>
      <c r="B71" s="77"/>
      <c r="C71" s="77"/>
      <c r="D71" s="70" t="str">
        <f t="shared" si="5"/>
        <v/>
      </c>
      <c r="E71" s="78"/>
      <c r="F71" s="67" t="str">
        <f t="shared" si="6"/>
        <v/>
      </c>
      <c r="G71" s="72" t="str">
        <f t="shared" si="7"/>
        <v/>
      </c>
    </row>
    <row r="72">
      <c r="A72" s="74"/>
      <c r="B72" s="77"/>
      <c r="C72" s="77"/>
      <c r="D72" s="70" t="str">
        <f t="shared" si="5"/>
        <v/>
      </c>
      <c r="E72" s="78"/>
      <c r="F72" s="67" t="str">
        <f t="shared" si="6"/>
        <v/>
      </c>
      <c r="G72" s="72" t="str">
        <f t="shared" si="7"/>
        <v/>
      </c>
    </row>
    <row r="73">
      <c r="A73" s="74"/>
      <c r="B73" s="77"/>
      <c r="C73" s="77"/>
      <c r="D73" s="70" t="str">
        <f t="shared" si="5"/>
        <v/>
      </c>
      <c r="E73" s="78"/>
      <c r="F73" s="67" t="str">
        <f t="shared" si="6"/>
        <v/>
      </c>
      <c r="G73" s="72" t="str">
        <f t="shared" si="7"/>
        <v/>
      </c>
    </row>
    <row r="74">
      <c r="A74" s="74"/>
      <c r="B74" s="77"/>
      <c r="C74" s="77"/>
      <c r="D74" s="70" t="str">
        <f t="shared" si="5"/>
        <v/>
      </c>
      <c r="E74" s="78"/>
      <c r="F74" s="67" t="str">
        <f t="shared" si="6"/>
        <v/>
      </c>
      <c r="G74" s="72" t="str">
        <f t="shared" si="7"/>
        <v/>
      </c>
    </row>
    <row r="75">
      <c r="A75" s="74"/>
      <c r="B75" s="77"/>
      <c r="C75" s="77"/>
      <c r="D75" s="70" t="str">
        <f t="shared" si="5"/>
        <v/>
      </c>
      <c r="E75" s="78"/>
      <c r="F75" s="67" t="str">
        <f t="shared" si="6"/>
        <v/>
      </c>
      <c r="G75" s="72" t="str">
        <f t="shared" si="7"/>
        <v/>
      </c>
    </row>
    <row r="76">
      <c r="A76" s="74"/>
      <c r="B76" s="77"/>
      <c r="C76" s="77"/>
      <c r="D76" s="70" t="str">
        <f t="shared" si="5"/>
        <v/>
      </c>
      <c r="E76" s="78"/>
      <c r="F76" s="67" t="str">
        <f t="shared" si="6"/>
        <v/>
      </c>
      <c r="G76" s="72" t="str">
        <f t="shared" si="7"/>
        <v/>
      </c>
    </row>
    <row r="77">
      <c r="A77" s="74"/>
      <c r="B77" s="77"/>
      <c r="C77" s="77"/>
      <c r="D77" s="70" t="str">
        <f t="shared" si="5"/>
        <v/>
      </c>
      <c r="E77" s="78"/>
      <c r="F77" s="67" t="str">
        <f t="shared" si="6"/>
        <v/>
      </c>
      <c r="G77" s="72" t="str">
        <f t="shared" si="7"/>
        <v/>
      </c>
    </row>
    <row r="78">
      <c r="A78" s="74"/>
      <c r="B78" s="77"/>
      <c r="C78" s="77"/>
      <c r="D78" s="70" t="str">
        <f t="shared" si="5"/>
        <v/>
      </c>
      <c r="E78" s="78"/>
      <c r="F78" s="67" t="str">
        <f t="shared" si="6"/>
        <v/>
      </c>
      <c r="G78" s="72" t="str">
        <f t="shared" si="7"/>
        <v/>
      </c>
    </row>
    <row r="79">
      <c r="A79" s="74"/>
      <c r="B79" s="77"/>
      <c r="C79" s="77"/>
      <c r="D79" s="70" t="str">
        <f t="shared" si="5"/>
        <v/>
      </c>
      <c r="E79" s="78"/>
      <c r="F79" s="67" t="str">
        <f t="shared" si="6"/>
        <v/>
      </c>
      <c r="G79" s="72" t="str">
        <f t="shared" si="7"/>
        <v/>
      </c>
    </row>
    <row r="80">
      <c r="A80" s="74"/>
      <c r="B80" s="77"/>
      <c r="C80" s="77"/>
      <c r="D80" s="70" t="str">
        <f t="shared" si="5"/>
        <v/>
      </c>
      <c r="E80" s="78"/>
      <c r="F80" s="67" t="str">
        <f t="shared" si="6"/>
        <v/>
      </c>
      <c r="G80" s="72" t="str">
        <f t="shared" si="7"/>
        <v/>
      </c>
    </row>
    <row r="81">
      <c r="A81" s="74"/>
      <c r="B81" s="77"/>
      <c r="C81" s="77"/>
      <c r="D81" s="70" t="str">
        <f t="shared" si="5"/>
        <v/>
      </c>
      <c r="E81" s="78"/>
      <c r="F81" s="67" t="str">
        <f t="shared" si="6"/>
        <v/>
      </c>
      <c r="G81" s="72" t="str">
        <f t="shared" si="7"/>
        <v/>
      </c>
    </row>
    <row r="82">
      <c r="A82" s="74"/>
      <c r="B82" s="77"/>
      <c r="C82" s="77"/>
      <c r="D82" s="70" t="str">
        <f t="shared" si="5"/>
        <v/>
      </c>
      <c r="E82" s="78"/>
      <c r="F82" s="67" t="str">
        <f t="shared" si="6"/>
        <v/>
      </c>
      <c r="G82" s="72" t="str">
        <f t="shared" si="7"/>
        <v/>
      </c>
    </row>
    <row r="83">
      <c r="A83" s="74"/>
      <c r="B83" s="77"/>
      <c r="C83" s="77"/>
      <c r="D83" s="70" t="str">
        <f t="shared" si="5"/>
        <v/>
      </c>
      <c r="E83" s="78"/>
      <c r="F83" s="67" t="str">
        <f t="shared" si="6"/>
        <v/>
      </c>
      <c r="G83" s="72" t="str">
        <f t="shared" si="7"/>
        <v/>
      </c>
    </row>
    <row r="84">
      <c r="A84" s="74"/>
      <c r="B84" s="77"/>
      <c r="C84" s="77"/>
      <c r="D84" s="70" t="str">
        <f t="shared" si="5"/>
        <v/>
      </c>
      <c r="E84" s="78"/>
      <c r="F84" s="67" t="str">
        <f t="shared" si="6"/>
        <v/>
      </c>
      <c r="G84" s="72" t="str">
        <f t="shared" si="7"/>
        <v/>
      </c>
    </row>
    <row r="85">
      <c r="A85" s="74"/>
      <c r="B85" s="77"/>
      <c r="C85" s="77"/>
      <c r="D85" s="70" t="str">
        <f t="shared" si="5"/>
        <v/>
      </c>
      <c r="E85" s="78"/>
      <c r="F85" s="67" t="str">
        <f t="shared" si="6"/>
        <v/>
      </c>
      <c r="G85" s="72" t="str">
        <f t="shared" si="7"/>
        <v/>
      </c>
    </row>
    <row r="86">
      <c r="A86" s="74"/>
      <c r="B86" s="77"/>
      <c r="C86" s="77"/>
      <c r="D86" s="70" t="str">
        <f t="shared" si="5"/>
        <v/>
      </c>
      <c r="E86" s="78"/>
      <c r="F86" s="67" t="str">
        <f t="shared" si="6"/>
        <v/>
      </c>
      <c r="G86" s="72" t="str">
        <f t="shared" si="7"/>
        <v/>
      </c>
    </row>
    <row r="87">
      <c r="A87" s="74"/>
      <c r="B87" s="77"/>
      <c r="C87" s="77"/>
      <c r="D87" s="70" t="str">
        <f t="shared" si="5"/>
        <v/>
      </c>
      <c r="E87" s="78"/>
      <c r="F87" s="67" t="str">
        <f t="shared" si="6"/>
        <v/>
      </c>
      <c r="G87" s="72" t="str">
        <f t="shared" si="7"/>
        <v/>
      </c>
    </row>
    <row r="88">
      <c r="A88" s="74"/>
      <c r="B88" s="77"/>
      <c r="C88" s="77"/>
      <c r="D88" s="70" t="str">
        <f t="shared" si="5"/>
        <v/>
      </c>
      <c r="E88" s="78"/>
      <c r="F88" s="67" t="str">
        <f t="shared" si="6"/>
        <v/>
      </c>
      <c r="G88" s="72" t="str">
        <f t="shared" si="7"/>
        <v/>
      </c>
    </row>
    <row r="89">
      <c r="A89" s="74"/>
      <c r="B89" s="77"/>
      <c r="C89" s="77"/>
      <c r="D89" s="70" t="str">
        <f t="shared" si="5"/>
        <v/>
      </c>
      <c r="E89" s="78"/>
      <c r="F89" s="67" t="str">
        <f t="shared" si="6"/>
        <v/>
      </c>
      <c r="G89" s="72" t="str">
        <f t="shared" si="7"/>
        <v/>
      </c>
    </row>
    <row r="90">
      <c r="A90" s="74"/>
      <c r="B90" s="77"/>
      <c r="C90" s="77"/>
      <c r="D90" s="70" t="str">
        <f t="shared" si="5"/>
        <v/>
      </c>
      <c r="E90" s="78"/>
      <c r="F90" s="67" t="str">
        <f t="shared" si="6"/>
        <v/>
      </c>
      <c r="G90" s="72" t="str">
        <f t="shared" si="7"/>
        <v/>
      </c>
    </row>
    <row r="91">
      <c r="A91" s="74"/>
      <c r="B91" s="77"/>
      <c r="C91" s="77"/>
      <c r="D91" s="70" t="str">
        <f t="shared" si="5"/>
        <v/>
      </c>
      <c r="E91" s="78"/>
      <c r="F91" s="67" t="str">
        <f t="shared" si="6"/>
        <v/>
      </c>
      <c r="G91" s="72" t="str">
        <f t="shared" si="7"/>
        <v/>
      </c>
    </row>
    <row r="92">
      <c r="A92" s="74"/>
      <c r="B92" s="77"/>
      <c r="C92" s="77"/>
      <c r="D92" s="70" t="str">
        <f t="shared" si="5"/>
        <v/>
      </c>
      <c r="E92" s="78"/>
      <c r="F92" s="67" t="str">
        <f t="shared" si="6"/>
        <v/>
      </c>
      <c r="G92" s="72" t="str">
        <f t="shared" si="7"/>
        <v/>
      </c>
    </row>
    <row r="93">
      <c r="A93" s="74"/>
      <c r="B93" s="77"/>
      <c r="C93" s="77"/>
      <c r="D93" s="70" t="str">
        <f t="shared" si="5"/>
        <v/>
      </c>
      <c r="E93" s="78"/>
      <c r="F93" s="67" t="str">
        <f t="shared" si="6"/>
        <v/>
      </c>
      <c r="G93" s="72" t="str">
        <f t="shared" si="7"/>
        <v/>
      </c>
    </row>
    <row r="94">
      <c r="A94" s="74"/>
      <c r="B94" s="77"/>
      <c r="C94" s="77"/>
      <c r="D94" s="70" t="str">
        <f t="shared" si="5"/>
        <v/>
      </c>
      <c r="E94" s="78"/>
      <c r="F94" s="67" t="str">
        <f t="shared" si="6"/>
        <v/>
      </c>
      <c r="G94" s="72" t="str">
        <f t="shared" si="7"/>
        <v/>
      </c>
    </row>
    <row r="95">
      <c r="A95" s="74"/>
      <c r="B95" s="77"/>
      <c r="C95" s="77"/>
      <c r="D95" s="70" t="str">
        <f t="shared" si="5"/>
        <v/>
      </c>
      <c r="E95" s="78"/>
      <c r="F95" s="67" t="str">
        <f t="shared" si="6"/>
        <v/>
      </c>
      <c r="G95" s="72" t="str">
        <f t="shared" si="7"/>
        <v/>
      </c>
    </row>
    <row r="96">
      <c r="A96" s="74"/>
      <c r="B96" s="77"/>
      <c r="C96" s="77"/>
      <c r="D96" s="70" t="str">
        <f t="shared" si="5"/>
        <v/>
      </c>
      <c r="E96" s="78"/>
      <c r="F96" s="67" t="str">
        <f t="shared" si="6"/>
        <v/>
      </c>
      <c r="G96" s="72" t="str">
        <f t="shared" si="7"/>
        <v/>
      </c>
    </row>
    <row r="97">
      <c r="A97" s="74"/>
      <c r="B97" s="77"/>
      <c r="C97" s="77"/>
      <c r="D97" s="70" t="str">
        <f t="shared" si="5"/>
        <v/>
      </c>
      <c r="E97" s="78"/>
      <c r="F97" s="67" t="str">
        <f t="shared" si="6"/>
        <v/>
      </c>
      <c r="G97" s="72" t="str">
        <f t="shared" si="7"/>
        <v/>
      </c>
    </row>
    <row r="98">
      <c r="A98" s="74"/>
      <c r="B98" s="77"/>
      <c r="C98" s="77"/>
      <c r="D98" s="70" t="str">
        <f t="shared" si="5"/>
        <v/>
      </c>
      <c r="E98" s="78"/>
      <c r="F98" s="67" t="str">
        <f t="shared" si="6"/>
        <v/>
      </c>
      <c r="G98" s="72" t="str">
        <f t="shared" si="7"/>
        <v/>
      </c>
    </row>
    <row r="99">
      <c r="A99" s="74"/>
      <c r="B99" s="77"/>
      <c r="C99" s="77"/>
      <c r="D99" s="70" t="str">
        <f t="shared" si="5"/>
        <v/>
      </c>
      <c r="E99" s="78"/>
      <c r="F99" s="67" t="str">
        <f t="shared" si="6"/>
        <v/>
      </c>
      <c r="G99" s="72" t="str">
        <f t="shared" si="7"/>
        <v/>
      </c>
    </row>
    <row r="100">
      <c r="A100" s="74"/>
      <c r="B100" s="77"/>
      <c r="C100" s="77"/>
      <c r="D100" s="70" t="str">
        <f t="shared" si="5"/>
        <v/>
      </c>
      <c r="E100" s="78"/>
      <c r="F100" s="67" t="str">
        <f t="shared" si="6"/>
        <v/>
      </c>
      <c r="G100" s="72" t="str">
        <f t="shared" si="7"/>
        <v/>
      </c>
    </row>
  </sheetData>
  <mergeCells count="8">
    <mergeCell ref="B1:F1"/>
    <mergeCell ref="G1:G14"/>
    <mergeCell ref="H1:H30"/>
    <mergeCell ref="I1:M1"/>
    <mergeCell ref="D9:E9"/>
    <mergeCell ref="I12:M12"/>
    <mergeCell ref="I13:M13"/>
    <mergeCell ref="H31:M100"/>
  </mergeCells>
  <conditionalFormatting sqref="L10 E24">
    <cfRule type="expression" dxfId="2" priority="1">
      <formula>COUNTIF(INDIRECT("'Kitchen quote builder'!$I$14:$I$100"),"Missing labour time data on kitchens sheet")</formula>
    </cfRule>
  </conditionalFormatting>
  <dataValidations>
    <dataValidation type="list" allowBlank="1" showErrorMessage="1" sqref="C59">
      <formula1>DynamicLists!$AR$2:$AR$100</formula1>
    </dataValidation>
    <dataValidation type="list" allowBlank="1" showErrorMessage="1" sqref="C63">
      <formula1>DynamicLists!$AV$2:$AV$100</formula1>
    </dataValidation>
    <dataValidation type="list" allowBlank="1" showErrorMessage="1" sqref="C24">
      <formula1>DynamicLists!$I$2:$I$100</formula1>
    </dataValidation>
    <dataValidation type="list" allowBlank="1" showErrorMessage="1" sqref="C68">
      <formula1>DynamicLists!$BA$2:$BA$100</formula1>
    </dataValidation>
    <dataValidation type="list" allowBlank="1" showErrorMessage="1" sqref="C72">
      <formula1>DynamicLists!$BE$2:$BE$100</formula1>
    </dataValidation>
    <dataValidation type="list" allowBlank="1" showErrorMessage="1" sqref="C19">
      <formula1>DynamicLists!$D$2:$D$100</formula1>
    </dataValidation>
    <dataValidation type="list" allowBlank="1" showErrorMessage="1" sqref="C55">
      <formula1>DynamicLists!$AN$2:$AN$100</formula1>
    </dataValidation>
    <dataValidation type="list" allowBlank="1" showErrorMessage="1" sqref="C57">
      <formula1>DynamicLists!$AP$2:$AP$100</formula1>
    </dataValidation>
    <dataValidation type="list" allowBlank="1" showErrorMessage="1" sqref="B16:B100">
      <formula1>'Quote builder'!$A$2:$A$19</formula1>
    </dataValidation>
    <dataValidation type="list" allowBlank="1" showErrorMessage="1" sqref="C70">
      <formula1>DynamicLists!$BC$2:$BC$100</formula1>
    </dataValidation>
    <dataValidation type="list" allowBlank="1" showErrorMessage="1" sqref="C46">
      <formula1>DynamicLists!$AE$2:$AE$100</formula1>
    </dataValidation>
    <dataValidation type="list" allowBlank="1" showErrorMessage="1" sqref="C75">
      <formula1>DynamicLists!$BH$2:$BH$100</formula1>
    </dataValidation>
    <dataValidation type="list" allowBlank="1" showErrorMessage="1" sqref="C48">
      <formula1>DynamicLists!$AG$2:$AG$100</formula1>
    </dataValidation>
    <dataValidation type="list" allowBlank="1" showErrorMessage="1" sqref="C50">
      <formula1>DynamicLists!$AI$2:$AI$100</formula1>
    </dataValidation>
    <dataValidation type="list" allowBlank="1" showErrorMessage="1" sqref="C20">
      <formula1>DynamicLists!$E$2:$E$100</formula1>
    </dataValidation>
    <dataValidation type="list" allowBlank="1" showErrorMessage="1" sqref="C100">
      <formula1>DynamicLists!$CG$2:$CG$100</formula1>
    </dataValidation>
    <dataValidation type="list" allowBlank="1" showErrorMessage="1" sqref="C74">
      <formula1>DynamicLists!$BG$2:$BG$100</formula1>
    </dataValidation>
    <dataValidation type="list" allowBlank="1" showErrorMessage="1" sqref="C98">
      <formula1>DynamicLists!$CE$2:$CE$100</formula1>
    </dataValidation>
    <dataValidation type="list" allowBlank="1" showErrorMessage="1" sqref="C86">
      <formula1>DynamicLists!$BS$2:$BS$100</formula1>
    </dataValidation>
    <dataValidation type="list" allowBlank="1" showErrorMessage="1" sqref="C61">
      <formula1>DynamicLists!$AT$2:$AT$100</formula1>
    </dataValidation>
    <dataValidation type="list" allowBlank="1" showErrorMessage="1" sqref="C91">
      <formula1>DynamicLists!$BX$2:$BX$100</formula1>
    </dataValidation>
    <dataValidation type="list" allowBlank="1" showErrorMessage="1" sqref="C93">
      <formula1>DynamicLists!$BZ$2:$BZ$100</formula1>
    </dataValidation>
    <dataValidation type="list" allowBlank="1" showErrorMessage="1" sqref="C87">
      <formula1>DynamicLists!$BT$2:$BT$100</formula1>
    </dataValidation>
    <dataValidation type="list" allowBlank="1" showErrorMessage="1" sqref="C34">
      <formula1>DynamicLists!$S$2:$S$100</formula1>
    </dataValidation>
    <dataValidation type="list" allowBlank="1" showErrorMessage="1" sqref="C35">
      <formula1>DynamicLists!$T$2:$T$100</formula1>
    </dataValidation>
    <dataValidation type="list" allowBlank="1" showErrorMessage="1" sqref="C39">
      <formula1>DynamicLists!$X$2:$X$100</formula1>
    </dataValidation>
    <dataValidation type="list" allowBlank="1" showErrorMessage="1" sqref="C43">
      <formula1>DynamicLists!$AB$2:$AB$100</formula1>
    </dataValidation>
    <dataValidation type="list" allowBlank="1" showErrorMessage="1" sqref="C97">
      <formula1>DynamicLists!$CD$2:$CD$100</formula1>
    </dataValidation>
    <dataValidation type="list" allowBlank="1" showErrorMessage="1" sqref="C30">
      <formula1>DynamicLists!$O$2:$O$100</formula1>
    </dataValidation>
    <dataValidation type="list" allowBlank="1" showErrorMessage="1" sqref="C32">
      <formula1>DynamicLists!$Q$2:$Q$100</formula1>
    </dataValidation>
    <dataValidation type="list" allowBlank="1" showErrorMessage="1" sqref="C84">
      <formula1>DynamicLists!$BQ$2:$BQ$100</formula1>
    </dataValidation>
    <dataValidation type="list" allowBlank="1" showErrorMessage="1" sqref="C37">
      <formula1>DynamicLists!$V$2:$V$100</formula1>
    </dataValidation>
    <dataValidation type="list" allowBlank="1" showErrorMessage="1" sqref="C89">
      <formula1>DynamicLists!$BV$2:$BV$100</formula1>
    </dataValidation>
    <dataValidation type="list" allowBlank="1" showErrorMessage="1" sqref="C95">
      <formula1>DynamicLists!$CB$2:$CB$100</formula1>
    </dataValidation>
    <dataValidation type="list" allowBlank="1" showErrorMessage="1" sqref="C18">
      <formula1>DynamicLists!$C$2:$C$100</formula1>
    </dataValidation>
    <dataValidation type="list" allowBlank="1" showErrorMessage="1" sqref="C76">
      <formula1>DynamicLists!$BI$2:$BI$100</formula1>
    </dataValidation>
    <dataValidation type="list" allowBlank="1" showErrorMessage="1" sqref="C78">
      <formula1>DynamicLists!$BK$2:$BK$100</formula1>
    </dataValidation>
    <dataValidation type="list" allowBlank="1" showErrorMessage="1" sqref="C52">
      <formula1>DynamicLists!$AK$2:$AK$100</formula1>
    </dataValidation>
    <dataValidation type="list" allowBlank="1" showErrorMessage="1" sqref="C21">
      <formula1>DynamicLists!$F$2:$F$100</formula1>
    </dataValidation>
    <dataValidation type="list" allowBlank="1" showErrorMessage="1" sqref="C54">
      <formula1>DynamicLists!$AM$2:$AM$100</formula1>
    </dataValidation>
    <dataValidation type="list" allowBlank="1" showErrorMessage="1" sqref="C82">
      <formula1>DynamicLists!$BO$2:$BO$100</formula1>
    </dataValidation>
    <dataValidation type="list" allowBlank="1" showErrorMessage="1" sqref="C26">
      <formula1>DynamicLists!$K$2:$K$100</formula1>
    </dataValidation>
    <dataValidation type="list" allowBlank="1" showErrorMessage="1" sqref="C67">
      <formula1>DynamicLists!$AZ$2:$AZ$100</formula1>
    </dataValidation>
    <dataValidation type="list" allowBlank="1" showErrorMessage="1" sqref="C28">
      <formula1>DynamicLists!$M$2:$M$100</formula1>
    </dataValidation>
    <dataValidation type="list" allowBlank="1" showErrorMessage="1" sqref="C65">
      <formula1>DynamicLists!$AX$2:$AX$100</formula1>
    </dataValidation>
    <dataValidation type="list" allowBlank="1" showErrorMessage="1" sqref="C80">
      <formula1>DynamicLists!$BM$2:$BM$100</formula1>
    </dataValidation>
    <dataValidation type="list" allowBlank="1" showErrorMessage="1" sqref="C41">
      <formula1>DynamicLists!$Z$2:$Z$100</formula1>
    </dataValidation>
    <dataValidation type="list" allowBlank="1" showErrorMessage="1" sqref="C64">
      <formula1>DynamicLists!$AW$2:$AW$100</formula1>
    </dataValidation>
    <dataValidation type="list" allowBlank="1" showErrorMessage="1" sqref="C17">
      <formula1>DynamicLists!$B$2:$B$100</formula1>
    </dataValidation>
    <dataValidation type="list" allowBlank="1" showErrorMessage="1" sqref="C58">
      <formula1>DynamicLists!$AQ$2:$AQ$100</formula1>
    </dataValidation>
    <dataValidation type="list" allowBlank="1" showErrorMessage="1" sqref="C62">
      <formula1>DynamicLists!$AU$2:$AU$100</formula1>
    </dataValidation>
    <dataValidation type="list" allowBlank="1" showErrorMessage="1" sqref="C71">
      <formula1>DynamicLists!$BD$2:$BD$100</formula1>
    </dataValidation>
    <dataValidation type="list" allowBlank="1" showErrorMessage="1" sqref="C69">
      <formula1>DynamicLists!$BB$2:$BB$100</formula1>
    </dataValidation>
    <dataValidation type="list" allowBlank="1" showErrorMessage="1" sqref="C51">
      <formula1>DynamicLists!$AJ$2:$AJ$100</formula1>
    </dataValidation>
    <dataValidation type="list" allowBlank="1" showErrorMessage="1" sqref="C56">
      <formula1>DynamicLists!$AO$2:$AO$100</formula1>
    </dataValidation>
    <dataValidation type="list" allowBlank="1" showErrorMessage="1" sqref="C45">
      <formula1>DynamicLists!$AD$2:$AD$100</formula1>
    </dataValidation>
    <dataValidation type="list" allowBlank="1" showErrorMessage="1" sqref="C47">
      <formula1>DynamicLists!$AF$2:$AF$100</formula1>
    </dataValidation>
    <dataValidation type="list" allowBlank="1" showErrorMessage="1" sqref="C49">
      <formula1>DynamicLists!$AH$2:$AH$100</formula1>
    </dataValidation>
    <dataValidation type="list" allowBlank="1" showErrorMessage="1" sqref="C73">
      <formula1>DynamicLists!$BF$2:$BF$100</formula1>
    </dataValidation>
    <dataValidation type="list" allowBlank="1" showErrorMessage="1" sqref="C99">
      <formula1>DynamicLists!$CF$2:$CF$100</formula1>
    </dataValidation>
    <dataValidation type="list" allowBlank="1" showErrorMessage="1" sqref="C60">
      <formula1>DynamicLists!$AS$2:$AS$100</formula1>
    </dataValidation>
    <dataValidation type="list" allowBlank="1" showErrorMessage="1" sqref="C22">
      <formula1>DynamicLists!$G$2:$G$100</formula1>
    </dataValidation>
    <dataValidation type="list" allowBlank="1" showErrorMessage="1" sqref="C85">
      <formula1>DynamicLists!$BR$2:$BR$100</formula1>
    </dataValidation>
    <dataValidation type="list" allowBlank="1" showErrorMessage="1" sqref="C33">
      <formula1>DynamicLists!$R$2:$R$100</formula1>
    </dataValidation>
    <dataValidation type="list" allowBlank="1" showErrorMessage="1" sqref="C88">
      <formula1>DynamicLists!$BU$2:$BU$100</formula1>
    </dataValidation>
    <dataValidation type="list" allowBlank="1" showErrorMessage="1" sqref="C25">
      <formula1>DynamicLists!$J$2:$J$100</formula1>
    </dataValidation>
    <dataValidation type="list" allowBlank="1" showErrorMessage="1" sqref="C92">
      <formula1>DynamicLists!$BY$2:$BY$100</formula1>
    </dataValidation>
    <dataValidation type="list" allowBlank="1" showErrorMessage="1" sqref="C16">
      <formula1>DynamicLists!$A$2:$A$100</formula1>
    </dataValidation>
    <dataValidation type="list" allowBlank="1" showErrorMessage="1" sqref="C29">
      <formula1>DynamicLists!$N$2:$N$100</formula1>
    </dataValidation>
    <dataValidation type="list" allowBlank="1" showErrorMessage="1" sqref="C44">
      <formula1>DynamicLists!$AC$2:$AC$100</formula1>
    </dataValidation>
    <dataValidation type="list" allowBlank="1" showErrorMessage="1" sqref="C38">
      <formula1>DynamicLists!$W$2:$W$100</formula1>
    </dataValidation>
    <dataValidation type="list" allowBlank="1" showErrorMessage="1" sqref="C96">
      <formula1>DynamicLists!$CC$2:$CC$100</formula1>
    </dataValidation>
    <dataValidation type="list" allowBlank="1" showErrorMessage="1" sqref="C31">
      <formula1>DynamicLists!$P$2:$P$100</formula1>
    </dataValidation>
    <dataValidation type="list" allowBlank="1" showErrorMessage="1" sqref="C36">
      <formula1>DynamicLists!$U$2:$U$100</formula1>
    </dataValidation>
    <dataValidation type="list" allowBlank="1" showErrorMessage="1" sqref="C90">
      <formula1>DynamicLists!$BW$2:$BW$100</formula1>
    </dataValidation>
    <dataValidation type="list" allowBlank="1" showErrorMessage="1" sqref="C77">
      <formula1>DynamicLists!$BJ$2:$BJ$100</formula1>
    </dataValidation>
    <dataValidation type="list" allowBlank="1" showErrorMessage="1" sqref="C79">
      <formula1>DynamicLists!$BL$2:$BL$100</formula1>
    </dataValidation>
    <dataValidation type="list" allowBlank="1" showErrorMessage="1" sqref="C81">
      <formula1>DynamicLists!$BN$2:$BN$100</formula1>
    </dataValidation>
    <dataValidation type="list" allowBlank="1" showErrorMessage="1" sqref="C83">
      <formula1>DynamicLists!$BP$2:$BP$100</formula1>
    </dataValidation>
    <dataValidation type="list" allowBlank="1" showErrorMessage="1" sqref="C53">
      <formula1>DynamicLists!$AL$2:$AL$100</formula1>
    </dataValidation>
    <dataValidation type="list" allowBlank="1" showErrorMessage="1" sqref="C40">
      <formula1>DynamicLists!$Y$2:$Y$100</formula1>
    </dataValidation>
    <dataValidation type="list" allowBlank="1" showErrorMessage="1" sqref="C23">
      <formula1>DynamicLists!$H$2:$H$100</formula1>
    </dataValidation>
    <dataValidation type="list" allowBlank="1" showErrorMessage="1" sqref="C42">
      <formula1>DynamicLists!$AA$2:$AA$100</formula1>
    </dataValidation>
    <dataValidation type="list" allowBlank="1" showErrorMessage="1" sqref="C27">
      <formula1>DynamicLists!$L$2:$L$100</formula1>
    </dataValidation>
    <dataValidation type="list" allowBlank="1" showErrorMessage="1" sqref="C66">
      <formula1>DynamicLists!$AY$2:$AY$100</formula1>
    </dataValidation>
    <dataValidation type="list" allowBlank="1" showErrorMessage="1" sqref="C94">
      <formula1>DynamicLists!$CA$2:$CA$100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20.38"/>
    <col customWidth="1" min="2" max="2" width="13.5"/>
    <col customWidth="1" min="3" max="3" width="35.88"/>
    <col customWidth="1" min="4" max="4" width="10.75"/>
    <col customWidth="1" min="5" max="5" width="5.63"/>
    <col customWidth="1" min="6" max="6" width="14.0"/>
    <col customWidth="1" min="7" max="7" width="9.5"/>
    <col customWidth="1" min="8" max="8" width="10.5"/>
    <col customWidth="1" min="9" max="9" width="15.88"/>
    <col customWidth="1" min="10" max="10" width="13.0"/>
    <col customWidth="1" min="11" max="12" width="7.63"/>
    <col customWidth="1" min="13" max="13" width="5.88"/>
    <col customWidth="1" min="14" max="14" width="5.25"/>
    <col customWidth="1" min="15" max="15" width="6.75"/>
    <col customWidth="1" min="16" max="16" width="6.13"/>
    <col customWidth="1" min="17" max="17" width="15.88"/>
    <col customWidth="1" min="18" max="18" width="8.5"/>
    <col customWidth="1" min="19" max="19" width="28.75"/>
    <col customWidth="1" min="20" max="20" width="35.13"/>
  </cols>
  <sheetData>
    <row r="1">
      <c r="A1" s="79" t="s">
        <v>16</v>
      </c>
      <c r="B1" s="80"/>
      <c r="G1" s="81" t="s">
        <v>53</v>
      </c>
      <c r="H1" s="82"/>
      <c r="J1" s="82"/>
      <c r="K1" s="83"/>
      <c r="L1" s="84" t="s">
        <v>54</v>
      </c>
      <c r="M1" s="84" t="s">
        <v>55</v>
      </c>
      <c r="N1" s="84" t="s">
        <v>56</v>
      </c>
      <c r="O1" s="84" t="s">
        <v>57</v>
      </c>
      <c r="P1" s="84" t="s">
        <v>58</v>
      </c>
      <c r="Q1" s="84" t="s">
        <v>59</v>
      </c>
      <c r="R1" s="84" t="s">
        <v>60</v>
      </c>
      <c r="S1" s="84" t="s">
        <v>61</v>
      </c>
      <c r="T1" s="84" t="s">
        <v>62</v>
      </c>
    </row>
    <row r="2">
      <c r="A2" s="85" t="s">
        <v>26</v>
      </c>
      <c r="B2" s="86" t="s">
        <v>63</v>
      </c>
      <c r="C2" s="87"/>
      <c r="D2" s="87"/>
      <c r="E2" s="87"/>
      <c r="F2" s="43">
        <f>IF(G2="",sum(F14:F100),sum(F14:F100)-(sum(F14:F100)*G2))</f>
        <v>0</v>
      </c>
      <c r="G2" s="88"/>
      <c r="H2" s="89" t="s">
        <v>64</v>
      </c>
      <c r="L2" s="90" t="str">
        <f>IFERROR(__xludf.DUMMYFUNCTION("SORT(UNIQUE('Kitchen quote builder'!B14:B100),1,TRUE)"),"")</f>
        <v/>
      </c>
      <c r="M2" s="91"/>
      <c r="N2" s="91"/>
      <c r="O2" s="91"/>
      <c r="P2" s="92"/>
      <c r="Q2" s="92"/>
      <c r="R2" s="91"/>
      <c r="S2" s="92"/>
      <c r="T2" s="92"/>
    </row>
    <row r="3">
      <c r="A3" s="85" t="s">
        <v>30</v>
      </c>
      <c r="B3" s="93" t="s">
        <v>27</v>
      </c>
      <c r="C3" s="87"/>
      <c r="D3" s="94"/>
      <c r="E3" s="95">
        <v>0.25</v>
      </c>
      <c r="F3" s="43">
        <f>F2*E3</f>
        <v>0</v>
      </c>
      <c r="G3" s="96"/>
      <c r="H3" s="89" t="s">
        <v>65</v>
      </c>
      <c r="I3" s="89" t="s">
        <v>33</v>
      </c>
      <c r="L3" s="97"/>
      <c r="M3" s="91"/>
      <c r="N3" s="91"/>
      <c r="O3" s="91"/>
      <c r="P3" s="92"/>
      <c r="Q3" s="92"/>
      <c r="R3" s="91"/>
      <c r="S3" s="92"/>
      <c r="T3" s="92"/>
    </row>
    <row r="4">
      <c r="A4" s="85" t="s">
        <v>36</v>
      </c>
      <c r="B4" s="93" t="s">
        <v>48</v>
      </c>
      <c r="C4" s="87"/>
      <c r="D4" s="94"/>
      <c r="E4" s="98"/>
      <c r="F4" s="43">
        <f>IF(G4="",sum(G14:G100),sum(G14:G100)-(sum(G14:G100)*G4))</f>
        <v>0</v>
      </c>
      <c r="G4" s="88"/>
      <c r="H4" s="99">
        <f>SUM(J14:J100)/8</f>
        <v>0</v>
      </c>
      <c r="I4" s="99">
        <f>SUM(I14:I100)/8</f>
        <v>0</v>
      </c>
      <c r="L4" s="90"/>
      <c r="M4" s="91"/>
      <c r="N4" s="91"/>
      <c r="O4" s="91"/>
      <c r="P4" s="92"/>
      <c r="Q4" s="92"/>
      <c r="R4" s="91"/>
      <c r="S4" s="92"/>
      <c r="T4" s="92"/>
    </row>
    <row r="5">
      <c r="A5" s="85" t="s">
        <v>38</v>
      </c>
      <c r="B5" s="100" t="s">
        <v>1</v>
      </c>
      <c r="C5" s="101"/>
      <c r="D5" s="102"/>
      <c r="E5" s="102"/>
      <c r="F5" s="57">
        <f>sum(F2:F4)</f>
        <v>0</v>
      </c>
      <c r="G5" s="96"/>
      <c r="L5" s="90"/>
      <c r="M5" s="91"/>
      <c r="N5" s="91"/>
      <c r="O5" s="91"/>
      <c r="P5" s="92"/>
      <c r="Q5" s="92"/>
      <c r="R5" s="91"/>
      <c r="S5" s="92"/>
      <c r="T5" s="92"/>
    </row>
    <row r="6">
      <c r="A6" s="85" t="s">
        <v>33</v>
      </c>
      <c r="B6" s="103" t="s">
        <v>2</v>
      </c>
      <c r="C6" s="104"/>
      <c r="D6" s="105"/>
      <c r="E6" s="42">
        <v>0.2</v>
      </c>
      <c r="F6" s="51">
        <f>F5*E6</f>
        <v>0</v>
      </c>
      <c r="L6" s="90"/>
      <c r="M6" s="91"/>
      <c r="N6" s="91"/>
      <c r="O6" s="91"/>
      <c r="P6" s="92"/>
      <c r="Q6" s="92"/>
      <c r="R6" s="91"/>
      <c r="S6" s="92"/>
      <c r="T6" s="92"/>
    </row>
    <row r="7">
      <c r="A7" s="85" t="s">
        <v>40</v>
      </c>
      <c r="B7" s="100" t="s">
        <v>4</v>
      </c>
      <c r="C7" s="101"/>
      <c r="D7" s="102"/>
      <c r="E7" s="102"/>
      <c r="F7" s="57">
        <f>sum(F5:F6)</f>
        <v>0</v>
      </c>
      <c r="L7" s="90"/>
      <c r="M7" s="91"/>
      <c r="N7" s="91"/>
      <c r="O7" s="91"/>
      <c r="P7" s="92"/>
      <c r="Q7" s="92"/>
      <c r="R7" s="91"/>
      <c r="S7" s="92"/>
      <c r="T7" s="92"/>
    </row>
    <row r="8">
      <c r="A8" s="85" t="s">
        <v>43</v>
      </c>
      <c r="B8" s="80"/>
      <c r="L8" s="90"/>
      <c r="M8" s="91"/>
      <c r="N8" s="91"/>
      <c r="O8" s="91"/>
      <c r="P8" s="92"/>
      <c r="Q8" s="92"/>
      <c r="R8" s="91"/>
      <c r="S8" s="92"/>
      <c r="T8" s="92"/>
    </row>
    <row r="9">
      <c r="A9" s="85" t="s">
        <v>47</v>
      </c>
      <c r="L9" s="90"/>
      <c r="M9" s="91"/>
      <c r="N9" s="91"/>
      <c r="O9" s="91"/>
      <c r="P9" s="92"/>
      <c r="Q9" s="92"/>
      <c r="R9" s="91"/>
      <c r="S9" s="92"/>
      <c r="T9" s="92"/>
    </row>
    <row r="10">
      <c r="A10" s="85" t="s">
        <v>28</v>
      </c>
      <c r="B10" s="106" t="s">
        <v>66</v>
      </c>
      <c r="C10" s="107" t="s">
        <v>67</v>
      </c>
      <c r="D10" s="108" t="s">
        <v>68</v>
      </c>
      <c r="E10" s="109" t="s">
        <v>69</v>
      </c>
      <c r="H10" s="110" t="s">
        <v>70</v>
      </c>
      <c r="I10" s="109" t="s">
        <v>71</v>
      </c>
      <c r="L10" s="97"/>
      <c r="M10" s="91"/>
      <c r="N10" s="91"/>
      <c r="O10" s="91"/>
      <c r="P10" s="92"/>
      <c r="Q10" s="92"/>
      <c r="R10" s="91"/>
      <c r="S10" s="92"/>
      <c r="T10" s="92"/>
    </row>
    <row r="11">
      <c r="A11" s="111"/>
      <c r="B11" s="106" t="s">
        <v>72</v>
      </c>
      <c r="C11" s="107" t="s">
        <v>73</v>
      </c>
      <c r="D11" s="106" t="s">
        <v>74</v>
      </c>
      <c r="E11" s="107" t="s">
        <v>75</v>
      </c>
      <c r="H11" s="112" t="s">
        <v>76</v>
      </c>
      <c r="I11" s="107" t="s">
        <v>77</v>
      </c>
      <c r="L11" s="97"/>
      <c r="M11" s="91"/>
      <c r="N11" s="91"/>
      <c r="O11" s="91"/>
      <c r="P11" s="92"/>
      <c r="Q11" s="92"/>
      <c r="R11" s="91"/>
      <c r="S11" s="92"/>
      <c r="T11" s="92"/>
    </row>
    <row r="12">
      <c r="A12" s="113"/>
      <c r="B12" s="112" t="s">
        <v>78</v>
      </c>
      <c r="C12" s="107" t="s">
        <v>79</v>
      </c>
      <c r="D12" s="106" t="s">
        <v>80</v>
      </c>
      <c r="E12" s="107" t="s">
        <v>81</v>
      </c>
      <c r="H12" s="114" t="s">
        <v>82</v>
      </c>
      <c r="I12" s="114" t="s">
        <v>83</v>
      </c>
      <c r="L12" s="97"/>
      <c r="M12" s="91"/>
      <c r="N12" s="91"/>
      <c r="O12" s="91"/>
      <c r="P12" s="92"/>
      <c r="Q12" s="92"/>
      <c r="R12" s="91"/>
      <c r="S12" s="92"/>
      <c r="T12" s="92"/>
    </row>
    <row r="13">
      <c r="A13" s="115"/>
      <c r="B13" s="63" t="s">
        <v>54</v>
      </c>
      <c r="C13" s="63" t="s">
        <v>84</v>
      </c>
      <c r="D13" s="116" t="s">
        <v>23</v>
      </c>
      <c r="E13" s="116" t="s">
        <v>24</v>
      </c>
      <c r="F13" s="64" t="s">
        <v>85</v>
      </c>
      <c r="G13" s="64" t="s">
        <v>86</v>
      </c>
      <c r="H13" s="64" t="s">
        <v>25</v>
      </c>
      <c r="I13" s="117" t="s">
        <v>87</v>
      </c>
      <c r="J13" s="118" t="s">
        <v>88</v>
      </c>
      <c r="L13" s="119"/>
      <c r="M13" s="120"/>
      <c r="N13" s="120"/>
      <c r="O13" s="120"/>
      <c r="P13" s="121"/>
      <c r="Q13" s="121"/>
      <c r="R13" s="91"/>
      <c r="S13" s="121"/>
      <c r="T13" s="121"/>
    </row>
    <row r="14">
      <c r="A14" s="115"/>
      <c r="B14" s="69"/>
      <c r="C14" s="69"/>
      <c r="D14" s="122" t="str">
        <f>IF(C14="","",VLOOKUP(C14,KitchensData,12,0)+VLOOKUP(C14,KitchensData,14,0)+VLOOKUP(C14,KitchensData,17,0))</f>
        <v/>
      </c>
      <c r="E14" s="123"/>
      <c r="F14" s="67" t="str">
        <f>IF(OR(B14="",C14="",E14=""),"",(VLOOKUP(C14,KitchensData,12,0)+VLOOKUP(C14,KitchensData,14,0))*E14)</f>
        <v/>
      </c>
      <c r="G14" s="67" t="str">
        <f>IF(OR(E14="",C14=""),"",VLOOKUP(C14,KitchensData,17,0)*E14)</f>
        <v/>
      </c>
      <c r="H14" s="67" t="str">
        <f t="shared" ref="H14:H100" si="1">IF(OR(E14="",C14=""),"",SUM(F14:G14))</f>
        <v/>
      </c>
      <c r="I14" s="124" t="str">
        <f>IF(OR(E14="",C14=""),"",IF(E14*(VLOOKUP(C14,KitchensData,16,0)*VLOOKUP(C14,KitchensData,31,0))=0,"Missing labour time data on kitchens sheet",E14*(VLOOKUP(C14,KitchensData,16,0)*VLOOKUP(C14,KitchensData,31,0))))</f>
        <v/>
      </c>
      <c r="J14" s="124" t="str">
        <f>IF(OR(E14="",C14=""),"",IF(E14*(VLOOKUP(C14,KitchensData,15,0)*VLOOKUP(C14,KitchensData,24,0))=0,"Missing build time data on kitchens sheet",E14*(VLOOKUP(C14,KitchensData,15,0)*VLOOKUP(C14,KitchensData,24,0))))</f>
        <v/>
      </c>
      <c r="L14" s="90"/>
      <c r="M14" s="91"/>
      <c r="N14" s="91"/>
      <c r="O14" s="91"/>
      <c r="P14" s="92"/>
      <c r="Q14" s="92"/>
      <c r="R14" s="91"/>
      <c r="S14" s="92"/>
      <c r="T14" s="92"/>
    </row>
    <row r="15">
      <c r="A15" s="115"/>
      <c r="B15" s="69"/>
      <c r="C15" s="69"/>
      <c r="D15" s="122" t="str">
        <f>IF(C15="","",VLOOKUP(C15,KitchensData,12,0)+VLOOKUP(C15,KitchensData,14,0)+VLOOKUP(C15,KitchensData,17,0))</f>
        <v/>
      </c>
      <c r="E15" s="123"/>
      <c r="F15" s="67" t="str">
        <f>IF(OR(B15="",C15="",E15=""),"",(VLOOKUP(C15,KitchensData,12,0)+VLOOKUP(C15,KitchensData,14,0))*E15)</f>
        <v/>
      </c>
      <c r="G15" s="67" t="str">
        <f>IF(OR(E15="",C15=""),"",VLOOKUP(C15,KitchensData,17,0)*E15)</f>
        <v/>
      </c>
      <c r="H15" s="67" t="str">
        <f t="shared" si="1"/>
        <v/>
      </c>
      <c r="I15" s="124" t="str">
        <f>IF(OR(E15="",C15=""),"",IF(E15*(VLOOKUP(C15,KitchensData,16,0)*VLOOKUP(C15,KitchensData,31,0))=0,"Missing labour time data on kitchens sheet",E15*(VLOOKUP(C15,KitchensData,16,0)*VLOOKUP(C15,KitchensData,31,0))))</f>
        <v/>
      </c>
      <c r="J15" s="124" t="str">
        <f>IF(OR(E15="",C15=""),"",IF(E15*(VLOOKUP(C15,KitchensData,15,0)*VLOOKUP(C15,KitchensData,24,0))=0,"Missing build time data on kitchens sheet",E15*(VLOOKUP(C15,KitchensData,15,0)*VLOOKUP(C15,KitchensData,24,0))))</f>
        <v/>
      </c>
      <c r="L15" s="90"/>
      <c r="M15" s="91"/>
      <c r="N15" s="91"/>
      <c r="O15" s="91"/>
      <c r="P15" s="92"/>
      <c r="Q15" s="92"/>
      <c r="R15" s="91"/>
      <c r="S15" s="92"/>
      <c r="T15" s="92"/>
    </row>
    <row r="16">
      <c r="A16" s="115"/>
      <c r="B16" s="69"/>
      <c r="C16" s="69"/>
      <c r="D16" s="122" t="str">
        <f>IF(C16="","",VLOOKUP(C16,KitchensData,12,0)+VLOOKUP(C16,KitchensData,14,0)+VLOOKUP(C16,KitchensData,17,0))</f>
        <v/>
      </c>
      <c r="E16" s="123"/>
      <c r="F16" s="67" t="str">
        <f>IF(OR(B16="",C16="",E16=""),"",(VLOOKUP(C16,KitchensData,12,0)+VLOOKUP(C16,KitchensData,14,0))*E16)</f>
        <v/>
      </c>
      <c r="G16" s="67" t="str">
        <f>IF(OR(E16="",C16=""),"",VLOOKUP(C16,KitchensData,17,0)*E16)</f>
        <v/>
      </c>
      <c r="H16" s="67" t="str">
        <f t="shared" si="1"/>
        <v/>
      </c>
      <c r="I16" s="124" t="str">
        <f>IF(OR(E16="",C16=""),"",IF(E16*(VLOOKUP(C16,KitchensData,16,0)*VLOOKUP(C16,KitchensData,31,0))=0,"Missing labour time data on kitchens sheet",E16*(VLOOKUP(C16,KitchensData,16,0)*VLOOKUP(C16,KitchensData,31,0))))</f>
        <v/>
      </c>
      <c r="J16" s="124" t="str">
        <f>IF(OR(E16="",C16=""),"",IF(E16*(VLOOKUP(C16,KitchensData,15,0)*VLOOKUP(C16,KitchensData,24,0))=0,"Missing build time data on kitchens sheet",E16*(VLOOKUP(C16,KitchensData,15,0)*VLOOKUP(C16,KitchensData,24,0))))</f>
        <v/>
      </c>
      <c r="L16" s="90"/>
      <c r="M16" s="91"/>
      <c r="N16" s="91"/>
      <c r="O16" s="91"/>
      <c r="P16" s="92"/>
      <c r="Q16" s="92"/>
      <c r="R16" s="91"/>
      <c r="S16" s="92"/>
      <c r="T16" s="92"/>
    </row>
    <row r="17">
      <c r="A17" s="115"/>
      <c r="B17" s="69"/>
      <c r="C17" s="69"/>
      <c r="D17" s="122" t="str">
        <f>IF(C17="","",VLOOKUP(C17,KitchensData,12,0)+VLOOKUP(C17,KitchensData,14,0)+VLOOKUP(C17,KitchensData,17,0))</f>
        <v/>
      </c>
      <c r="E17" s="123"/>
      <c r="F17" s="67" t="str">
        <f>IF(OR(B17="",C17="",E17=""),"",(VLOOKUP(C17,KitchensData,12,0)+VLOOKUP(C17,KitchensData,14,0))*E17)</f>
        <v/>
      </c>
      <c r="G17" s="67" t="str">
        <f>IF(OR(E17="",C17=""),"",VLOOKUP(C17,KitchensData,17,0)*E17)</f>
        <v/>
      </c>
      <c r="H17" s="67" t="str">
        <f t="shared" si="1"/>
        <v/>
      </c>
      <c r="I17" s="124" t="str">
        <f>IF(OR(E17="",C17=""),"",IF(E17*(VLOOKUP(C17,KitchensData,16,0)*VLOOKUP(C17,KitchensData,31,0))=0,"Missing labour time data on kitchens sheet",E17*(VLOOKUP(C17,KitchensData,16,0)*VLOOKUP(C17,KitchensData,31,0))))</f>
        <v/>
      </c>
      <c r="J17" s="124" t="str">
        <f>IF(OR(E17="",C17=""),"",IF(E17*(VLOOKUP(C17,KitchensData,15,0)*VLOOKUP(C17,KitchensData,24,0))=0,"Missing build time data on kitchens sheet",E17*(VLOOKUP(C17,KitchensData,15,0)*VLOOKUP(C17,KitchensData,24,0))))</f>
        <v/>
      </c>
      <c r="L17" s="90"/>
      <c r="M17" s="91"/>
      <c r="N17" s="91"/>
      <c r="O17" s="91"/>
      <c r="P17" s="92"/>
      <c r="Q17" s="92"/>
      <c r="R17" s="91"/>
      <c r="S17" s="92"/>
      <c r="T17" s="92"/>
    </row>
    <row r="18">
      <c r="A18" s="115"/>
      <c r="B18" s="69"/>
      <c r="C18" s="69"/>
      <c r="D18" s="122" t="str">
        <f>IF(C18="","",VLOOKUP(C18,KitchensData,12,0)+VLOOKUP(C18,KitchensData,14,0)+VLOOKUP(C18,KitchensData,17,0))</f>
        <v/>
      </c>
      <c r="E18" s="123"/>
      <c r="F18" s="67" t="str">
        <f>IF(OR(B18="",C18="",E18=""),"",(VLOOKUP(C18,KitchensData,12,0)+VLOOKUP(C18,KitchensData,14,0))*E18)</f>
        <v/>
      </c>
      <c r="G18" s="67" t="str">
        <f>IF(OR(E18="",C18=""),"",VLOOKUP(C18,KitchensData,17,0)*E18)</f>
        <v/>
      </c>
      <c r="H18" s="67" t="str">
        <f t="shared" si="1"/>
        <v/>
      </c>
      <c r="I18" s="124" t="str">
        <f>IF(OR(E18="",C18=""),"",IF(E18*(VLOOKUP(C18,KitchensData,16,0)*VLOOKUP(C18,KitchensData,31,0))=0,"Missing labour time data on kitchens sheet",E18*(VLOOKUP(C18,KitchensData,16,0)*VLOOKUP(C18,KitchensData,31,0))))</f>
        <v/>
      </c>
      <c r="J18" s="124" t="str">
        <f>IF(OR(E18="",C18=""),"",IF(E18*(VLOOKUP(C18,KitchensData,15,0)*VLOOKUP(C18,KitchensData,24,0))=0,"Missing build time data on kitchens sheet",E18*(VLOOKUP(C18,KitchensData,15,0)*VLOOKUP(C18,KitchensData,24,0))))</f>
        <v/>
      </c>
      <c r="L18" s="90"/>
      <c r="M18" s="91"/>
      <c r="N18" s="91"/>
      <c r="O18" s="91"/>
      <c r="P18" s="92"/>
      <c r="Q18" s="92"/>
      <c r="R18" s="91"/>
      <c r="S18" s="92"/>
      <c r="T18" s="92"/>
    </row>
    <row r="19" ht="15.0" customHeight="1">
      <c r="A19" s="115"/>
      <c r="B19" s="69"/>
      <c r="C19" s="69"/>
      <c r="D19" s="122" t="str">
        <f>IF(C19="","",VLOOKUP(C19,KitchensData,12,0)+VLOOKUP(C19,KitchensData,14,0)+VLOOKUP(C19,KitchensData,17,0))</f>
        <v/>
      </c>
      <c r="E19" s="123"/>
      <c r="F19" s="67" t="str">
        <f>IF(OR(B19="",C19="",E19=""),"",(VLOOKUP(C19,KitchensData,12,0)+VLOOKUP(C19,KitchensData,14,0))*E19)</f>
        <v/>
      </c>
      <c r="G19" s="67" t="str">
        <f>IF(OR(E19="",C19=""),"",VLOOKUP(C19,KitchensData,17,0)*E19)</f>
        <v/>
      </c>
      <c r="H19" s="67" t="str">
        <f t="shared" si="1"/>
        <v/>
      </c>
      <c r="I19" s="124" t="str">
        <f>IF(OR(E19="",C19=""),"",IF(E19*(VLOOKUP(C19,KitchensData,16,0)*VLOOKUP(C19,KitchensData,31,0))=0,"Missing labour time data on kitchens sheet",E19*(VLOOKUP(C19,KitchensData,16,0)*VLOOKUP(C19,KitchensData,31,0))))</f>
        <v/>
      </c>
      <c r="J19" s="124" t="str">
        <f>IF(OR(E19="",C19=""),"",IF(E19*(VLOOKUP(C19,KitchensData,15,0)*VLOOKUP(C19,KitchensData,24,0))=0,"Missing build time data on kitchens sheet",E19*(VLOOKUP(C19,KitchensData,15,0)*VLOOKUP(C19,KitchensData,24,0))))</f>
        <v/>
      </c>
      <c r="L19" s="90"/>
      <c r="M19" s="91"/>
      <c r="N19" s="91"/>
      <c r="O19" s="125"/>
      <c r="P19" s="92"/>
      <c r="Q19" s="92"/>
      <c r="R19" s="91"/>
      <c r="S19" s="92"/>
      <c r="T19" s="92"/>
    </row>
    <row r="20" ht="15.0" customHeight="1">
      <c r="A20" s="115"/>
      <c r="B20" s="69"/>
      <c r="C20" s="69"/>
      <c r="D20" s="122" t="str">
        <f>IF(C20="","",VLOOKUP(C20,KitchensData,12,0)+VLOOKUP(C20,KitchensData,14,0)+VLOOKUP(C20,KitchensData,17,0))</f>
        <v/>
      </c>
      <c r="E20" s="123"/>
      <c r="F20" s="67" t="str">
        <f>IF(OR(B20="",C20="",E20=""),"",(VLOOKUP(C20,KitchensData,12,0)+VLOOKUP(C20,KitchensData,14,0))*E20)</f>
        <v/>
      </c>
      <c r="G20" s="67" t="str">
        <f>IF(OR(E20="",C20=""),"",VLOOKUP(C20,KitchensData,17,0)*E20)</f>
        <v/>
      </c>
      <c r="H20" s="67" t="str">
        <f t="shared" si="1"/>
        <v/>
      </c>
      <c r="I20" s="124" t="str">
        <f>IF(OR(E20="",C20=""),"",IF(E20*(VLOOKUP(C20,KitchensData,16,0)*VLOOKUP(C20,KitchensData,31,0))=0,"Missing labour time data on kitchens sheet",E20*(VLOOKUP(C20,KitchensData,16,0)*VLOOKUP(C20,KitchensData,31,0))))</f>
        <v/>
      </c>
      <c r="J20" s="124" t="str">
        <f>IF(OR(E20="",C20=""),"",IF(E20*(VLOOKUP(C20,KitchensData,15,0)*VLOOKUP(C20,KitchensData,24,0))=0,"Missing build time data on kitchens sheet",E20*(VLOOKUP(C20,KitchensData,15,0)*VLOOKUP(C20,KitchensData,24,0))))</f>
        <v/>
      </c>
      <c r="L20" s="90"/>
      <c r="M20" s="91"/>
      <c r="N20" s="91"/>
      <c r="O20" s="125"/>
      <c r="P20" s="92"/>
      <c r="Q20" s="92"/>
      <c r="R20" s="91"/>
      <c r="S20" s="92"/>
      <c r="T20" s="92"/>
    </row>
    <row r="21" ht="15.0" customHeight="1">
      <c r="A21" s="115"/>
      <c r="B21" s="69"/>
      <c r="C21" s="69"/>
      <c r="D21" s="122" t="str">
        <f>IF(C21="","",VLOOKUP(C21,KitchensData,12,0)+VLOOKUP(C21,KitchensData,14,0)+VLOOKUP(C21,KitchensData,17,0))</f>
        <v/>
      </c>
      <c r="E21" s="123"/>
      <c r="F21" s="67" t="str">
        <f>IF(OR(B21="",C21="",E21=""),"",(VLOOKUP(C21,KitchensData,12,0)+VLOOKUP(C21,KitchensData,14,0))*E21)</f>
        <v/>
      </c>
      <c r="G21" s="67" t="str">
        <f>IF(OR(E21="",C21=""),"",VLOOKUP(C21,KitchensData,17,0)*E21)</f>
        <v/>
      </c>
      <c r="H21" s="67" t="str">
        <f t="shared" si="1"/>
        <v/>
      </c>
      <c r="I21" s="124" t="str">
        <f>IF(OR(E21="",C21=""),"",IF(E21*(VLOOKUP(C21,KitchensData,16,0)*VLOOKUP(C21,KitchensData,31,0))=0,"Missing labour time data on kitchens sheet",E21*(VLOOKUP(C21,KitchensData,16,0)*VLOOKUP(C21,KitchensData,31,0))))</f>
        <v/>
      </c>
      <c r="J21" s="124" t="str">
        <f>IF(OR(E21="",C21=""),"",IF(E21*(VLOOKUP(C21,KitchensData,15,0)*VLOOKUP(C21,KitchensData,24,0))=0,"Missing build time data on kitchens sheet",E21*(VLOOKUP(C21,KitchensData,15,0)*VLOOKUP(C21,KitchensData,24,0))))</f>
        <v/>
      </c>
      <c r="L21" s="90"/>
      <c r="M21" s="91"/>
      <c r="N21" s="91"/>
      <c r="O21" s="125"/>
      <c r="P21" s="92"/>
      <c r="Q21" s="92"/>
      <c r="R21" s="91"/>
      <c r="S21" s="92"/>
      <c r="T21" s="92"/>
    </row>
    <row r="22">
      <c r="A22" s="115"/>
      <c r="B22" s="69"/>
      <c r="C22" s="69"/>
      <c r="D22" s="122" t="str">
        <f>IF(C22="","",VLOOKUP(C22,KitchensData,12,0)+VLOOKUP(C22,KitchensData,14,0)+VLOOKUP(C22,KitchensData,17,0))</f>
        <v/>
      </c>
      <c r="E22" s="123"/>
      <c r="F22" s="67" t="str">
        <f>IF(OR(B22="",C22="",E22=""),"",(VLOOKUP(C22,KitchensData,12,0)+VLOOKUP(C22,KitchensData,14,0))*E22)</f>
        <v/>
      </c>
      <c r="G22" s="67" t="str">
        <f>IF(OR(E22="",C22=""),"",VLOOKUP(C22,KitchensData,17,0)*E22)</f>
        <v/>
      </c>
      <c r="H22" s="67" t="str">
        <f t="shared" si="1"/>
        <v/>
      </c>
      <c r="I22" s="124" t="str">
        <f>IF(OR(E22="",C22=""),"",IF(E22*(VLOOKUP(C22,KitchensData,16,0)*VLOOKUP(C22,KitchensData,31,0))=0,"Missing labour time data on kitchens sheet",E22*(VLOOKUP(C22,KitchensData,16,0)*VLOOKUP(C22,KitchensData,31,0))))</f>
        <v/>
      </c>
      <c r="J22" s="124" t="str">
        <f>IF(OR(E22="",C22=""),"",IF(E22*(VLOOKUP(C22,KitchensData,15,0)*VLOOKUP(C22,KitchensData,24,0))=0,"Missing build time data on kitchens sheet",E22*(VLOOKUP(C22,KitchensData,15,0)*VLOOKUP(C22,KitchensData,24,0))))</f>
        <v/>
      </c>
      <c r="L22" s="90"/>
      <c r="M22" s="91"/>
      <c r="N22" s="91"/>
      <c r="O22" s="125"/>
      <c r="P22" s="92"/>
      <c r="Q22" s="92"/>
      <c r="R22" s="91"/>
      <c r="S22" s="92"/>
      <c r="T22" s="92"/>
    </row>
    <row r="23">
      <c r="A23" s="115"/>
      <c r="B23" s="69"/>
      <c r="C23" s="69"/>
      <c r="D23" s="122" t="str">
        <f>IF(C23="","",VLOOKUP(C23,KitchensData,12,0)+VLOOKUP(C23,KitchensData,14,0)+VLOOKUP(C23,KitchensData,17,0))</f>
        <v/>
      </c>
      <c r="E23" s="123"/>
      <c r="F23" s="67" t="str">
        <f>IF(OR(B23="",C23="",E23=""),"",(VLOOKUP(C23,KitchensData,12,0)+VLOOKUP(C23,KitchensData,14,0))*E23)</f>
        <v/>
      </c>
      <c r="G23" s="67" t="str">
        <f>IF(OR(E23="",C23=""),"",VLOOKUP(C23,KitchensData,17,0)*E23)</f>
        <v/>
      </c>
      <c r="H23" s="67" t="str">
        <f t="shared" si="1"/>
        <v/>
      </c>
      <c r="I23" s="124" t="str">
        <f>IF(OR(E23="",C23=""),"",IF(E23*(VLOOKUP(C23,KitchensData,16,0)*VLOOKUP(C23,KitchensData,31,0))=0,"Missing labour time data on kitchens sheet",E23*(VLOOKUP(C23,KitchensData,16,0)*VLOOKUP(C23,KitchensData,31,0))))</f>
        <v/>
      </c>
      <c r="J23" s="124" t="str">
        <f>IF(OR(E23="",C23=""),"",IF(E23*(VLOOKUP(C23,KitchensData,15,0)*VLOOKUP(C23,KitchensData,24,0))=0,"Missing build time data on kitchens sheet",E23*(VLOOKUP(C23,KitchensData,15,0)*VLOOKUP(C23,KitchensData,24,0))))</f>
        <v/>
      </c>
      <c r="L23" s="90"/>
      <c r="M23" s="91"/>
      <c r="N23" s="91"/>
      <c r="O23" s="125"/>
      <c r="P23" s="92"/>
      <c r="Q23" s="92"/>
      <c r="R23" s="91"/>
      <c r="S23" s="92"/>
      <c r="T23" s="92"/>
    </row>
    <row r="24">
      <c r="A24" s="115"/>
      <c r="B24" s="69"/>
      <c r="C24" s="69"/>
      <c r="D24" s="122" t="str">
        <f>IF(C24="","",VLOOKUP(C24,KitchensData,12,0)+VLOOKUP(C24,KitchensData,14,0)+VLOOKUP(C24,KitchensData,17,0))</f>
        <v/>
      </c>
      <c r="E24" s="126"/>
      <c r="F24" s="67" t="str">
        <f>IF(OR(B24="",C24="",E24=""),"",(VLOOKUP(C24,KitchensData,12,0)+VLOOKUP(C24,KitchensData,14,0))*E24)</f>
        <v/>
      </c>
      <c r="G24" s="67" t="str">
        <f>IF(OR(E24="",C24=""),"",VLOOKUP(C24,KitchensData,17,0)*E24)</f>
        <v/>
      </c>
      <c r="H24" s="67" t="str">
        <f t="shared" si="1"/>
        <v/>
      </c>
      <c r="I24" s="124" t="str">
        <f>IF(OR(E24="",C24=""),"",IF(E24*(VLOOKUP(C24,KitchensData,16,0)*VLOOKUP(C24,KitchensData,31,0))=0,"Missing labour time data on kitchens sheet",E24*(VLOOKUP(C24,KitchensData,16,0)*VLOOKUP(C24,KitchensData,31,0))))</f>
        <v/>
      </c>
      <c r="J24" s="124" t="str">
        <f>IF(OR(E24="",C24=""),"",IF(E24*(VLOOKUP(C24,KitchensData,15,0)*VLOOKUP(C24,KitchensData,24,0))=0,"Missing build time data on kitchens sheet",E24*(VLOOKUP(C24,KitchensData,15,0)*VLOOKUP(C24,KitchensData,24,0))))</f>
        <v/>
      </c>
      <c r="L24" s="90"/>
      <c r="M24" s="91"/>
      <c r="N24" s="91"/>
      <c r="O24" s="125"/>
      <c r="P24" s="92"/>
      <c r="Q24" s="92"/>
      <c r="R24" s="91"/>
      <c r="S24" s="92"/>
      <c r="T24" s="92"/>
    </row>
    <row r="25">
      <c r="A25" s="115"/>
      <c r="B25" s="69"/>
      <c r="C25" s="69"/>
      <c r="D25" s="122" t="str">
        <f>IF(C25="","",VLOOKUP(C25,KitchensData,12,0)+VLOOKUP(C25,KitchensData,14,0)+VLOOKUP(C25,KitchensData,17,0))</f>
        <v/>
      </c>
      <c r="E25" s="126"/>
      <c r="F25" s="67" t="str">
        <f>IF(OR(B25="",C25="",E25=""),"",(VLOOKUP(C25,KitchensData,12,0)+VLOOKUP(C25,KitchensData,14,0))*E25)</f>
        <v/>
      </c>
      <c r="G25" s="67" t="str">
        <f>IF(OR(E25="",C25=""),"",VLOOKUP(C25,KitchensData,17,0)*E25)</f>
        <v/>
      </c>
      <c r="H25" s="67" t="str">
        <f t="shared" si="1"/>
        <v/>
      </c>
      <c r="I25" s="124" t="str">
        <f>IF(OR(E25="",C25=""),"",IF(E25*(VLOOKUP(C25,KitchensData,16,0)*VLOOKUP(C25,KitchensData,31,0))=0,"Missing labour time data on kitchens sheet",E25*(VLOOKUP(C25,KitchensData,16,0)*VLOOKUP(C25,KitchensData,31,0))))</f>
        <v/>
      </c>
      <c r="J25" s="124" t="str">
        <f>IF(OR(E25="",C25=""),"",IF(E25*(VLOOKUP(C25,KitchensData,15,0)*VLOOKUP(C25,KitchensData,24,0))=0,"Missing build time data on kitchens sheet",E25*(VLOOKUP(C25,KitchensData,15,0)*VLOOKUP(C25,KitchensData,24,0))))</f>
        <v/>
      </c>
      <c r="L25" s="90"/>
      <c r="M25" s="91"/>
      <c r="N25" s="91"/>
      <c r="O25" s="91"/>
      <c r="P25" s="92"/>
      <c r="Q25" s="92"/>
      <c r="R25" s="91"/>
      <c r="S25" s="92"/>
      <c r="T25" s="92"/>
    </row>
    <row r="26">
      <c r="A26" s="115"/>
      <c r="B26" s="69"/>
      <c r="C26" s="69"/>
      <c r="D26" s="122" t="str">
        <f>IF(C26="","",VLOOKUP(C26,KitchensData,12,0)+VLOOKUP(C26,KitchensData,14,0)+VLOOKUP(C26,KitchensData,17,0))</f>
        <v/>
      </c>
      <c r="E26" s="126"/>
      <c r="F26" s="67" t="str">
        <f>IF(OR(B26="",C26="",E26=""),"",(VLOOKUP(C26,KitchensData,12,0)+VLOOKUP(C26,KitchensData,14,0))*E26)</f>
        <v/>
      </c>
      <c r="G26" s="67" t="str">
        <f>IF(OR(E26="",C26=""),"",VLOOKUP(C26,KitchensData,17,0)*E26)</f>
        <v/>
      </c>
      <c r="H26" s="67" t="str">
        <f t="shared" si="1"/>
        <v/>
      </c>
      <c r="I26" s="124" t="str">
        <f>IF(OR(E26="",C26=""),"",IF(E26*(VLOOKUP(C26,KitchensData,16,0)*VLOOKUP(C26,KitchensData,31,0))=0,"Missing labour time data on kitchens sheet",E26*(VLOOKUP(C26,KitchensData,16,0)*VLOOKUP(C26,KitchensData,31,0))))</f>
        <v/>
      </c>
      <c r="J26" s="124" t="str">
        <f>IF(OR(E26="",C26=""),"",IF(E26*(VLOOKUP(C26,KitchensData,15,0)*VLOOKUP(C26,KitchensData,24,0))=0,"Missing build time data on kitchens sheet",E26*(VLOOKUP(C26,KitchensData,15,0)*VLOOKUP(C26,KitchensData,24,0))))</f>
        <v/>
      </c>
      <c r="L26" s="90"/>
      <c r="M26" s="91"/>
      <c r="N26" s="91"/>
      <c r="O26" s="91"/>
      <c r="P26" s="92"/>
      <c r="Q26" s="92"/>
      <c r="R26" s="91"/>
      <c r="S26" s="92"/>
      <c r="T26" s="92"/>
    </row>
    <row r="27">
      <c r="A27" s="115"/>
      <c r="B27" s="69"/>
      <c r="C27" s="69"/>
      <c r="D27" s="122" t="str">
        <f>IF(C27="","",VLOOKUP(C27,KitchensData,12,0)+VLOOKUP(C27,KitchensData,14,0)+VLOOKUP(C27,KitchensData,17,0))</f>
        <v/>
      </c>
      <c r="E27" s="126"/>
      <c r="F27" s="67" t="str">
        <f>IF(OR(B27="",C27="",E27=""),"",(VLOOKUP(C27,KitchensData,12,0)+VLOOKUP(C27,KitchensData,14,0))*E27)</f>
        <v/>
      </c>
      <c r="G27" s="67" t="str">
        <f>IF(OR(E27="",C27=""),"",VLOOKUP(C27,KitchensData,17,0)*E27)</f>
        <v/>
      </c>
      <c r="H27" s="67" t="str">
        <f t="shared" si="1"/>
        <v/>
      </c>
      <c r="I27" s="124" t="str">
        <f>IF(OR(E27="",C27=""),"",IF(E27*(VLOOKUP(C27,KitchensData,16,0)*VLOOKUP(C27,KitchensData,31,0))=0,"Missing labour time data on kitchens sheet",E27*(VLOOKUP(C27,KitchensData,16,0)*VLOOKUP(C27,KitchensData,31,0))))</f>
        <v/>
      </c>
      <c r="J27" s="124" t="str">
        <f>IF(OR(E27="",C27=""),"",IF(E27*(VLOOKUP(C27,KitchensData,15,0)*VLOOKUP(C27,KitchensData,24,0))=0,"Missing build time data on kitchens sheet",E27*(VLOOKUP(C27,KitchensData,15,0)*VLOOKUP(C27,KitchensData,24,0))))</f>
        <v/>
      </c>
      <c r="L27" s="90"/>
      <c r="M27" s="91"/>
      <c r="N27" s="91"/>
      <c r="O27" s="125"/>
      <c r="P27" s="92"/>
      <c r="Q27" s="92"/>
      <c r="R27" s="91"/>
      <c r="S27" s="92"/>
      <c r="T27" s="92"/>
    </row>
    <row r="28">
      <c r="A28" s="115"/>
      <c r="B28" s="69"/>
      <c r="C28" s="69"/>
      <c r="D28" s="122" t="str">
        <f>IF(C28="","",VLOOKUP(C28,KitchensData,12,0)+VLOOKUP(C28,KitchensData,14,0)+VLOOKUP(C28,KitchensData,17,0))</f>
        <v/>
      </c>
      <c r="E28" s="126"/>
      <c r="F28" s="67" t="str">
        <f>IF(OR(B28="",C28="",E28=""),"",(VLOOKUP(C28,KitchensData,12,0)+VLOOKUP(C28,KitchensData,14,0))*E28)</f>
        <v/>
      </c>
      <c r="G28" s="67" t="str">
        <f>IF(OR(E28="",C28=""),"",VLOOKUP(C28,KitchensData,17,0)*E28)</f>
        <v/>
      </c>
      <c r="H28" s="67" t="str">
        <f t="shared" si="1"/>
        <v/>
      </c>
      <c r="I28" s="124" t="str">
        <f>IF(OR(E28="",C28=""),"",IF(E28*(VLOOKUP(C28,KitchensData,16,0)*VLOOKUP(C28,KitchensData,31,0))=0,"Missing labour time data on kitchens sheet",E28*(VLOOKUP(C28,KitchensData,16,0)*VLOOKUP(C28,KitchensData,31,0))))</f>
        <v/>
      </c>
      <c r="J28" s="124" t="str">
        <f>IF(OR(E28="",C28=""),"",IF(E28*(VLOOKUP(C28,KitchensData,15,0)*VLOOKUP(C28,KitchensData,24,0))=0,"Missing build time data on kitchens sheet",E28*(VLOOKUP(C28,KitchensData,15,0)*VLOOKUP(C28,KitchensData,24,0))))</f>
        <v/>
      </c>
      <c r="L28" s="90"/>
      <c r="M28" s="91"/>
      <c r="N28" s="91"/>
      <c r="O28" s="125"/>
      <c r="P28" s="92"/>
      <c r="Q28" s="92"/>
      <c r="R28" s="91"/>
      <c r="S28" s="92"/>
      <c r="T28" s="92"/>
    </row>
    <row r="29">
      <c r="A29" s="115"/>
      <c r="B29" s="69"/>
      <c r="C29" s="69"/>
      <c r="D29" s="122" t="str">
        <f>IF(C29="","",VLOOKUP(C29,KitchensData,12,0)+VLOOKUP(C29,KitchensData,14,0)+VLOOKUP(C29,KitchensData,17,0))</f>
        <v/>
      </c>
      <c r="E29" s="126"/>
      <c r="F29" s="67" t="str">
        <f>IF(OR(B29="",C29="",E29=""),"",(VLOOKUP(C29,KitchensData,12,0)+VLOOKUP(C29,KitchensData,14,0))*E29)</f>
        <v/>
      </c>
      <c r="G29" s="67" t="str">
        <f>IF(OR(E29="",C29=""),"",VLOOKUP(C29,KitchensData,17,0)*E29)</f>
        <v/>
      </c>
      <c r="H29" s="67" t="str">
        <f t="shared" si="1"/>
        <v/>
      </c>
      <c r="I29" s="124" t="str">
        <f>IF(OR(E29="",C29=""),"",IF(E29*(VLOOKUP(C29,KitchensData,16,0)*VLOOKUP(C29,KitchensData,31,0))=0,"Missing labour time data on kitchens sheet",E29*(VLOOKUP(C29,KitchensData,16,0)*VLOOKUP(C29,KitchensData,31,0))))</f>
        <v/>
      </c>
      <c r="J29" s="124" t="str">
        <f>IF(OR(E29="",C29=""),"",IF(E29*(VLOOKUP(C29,KitchensData,15,0)*VLOOKUP(C29,KitchensData,24,0))=0,"Missing build time data on kitchens sheet",E29*(VLOOKUP(C29,KitchensData,15,0)*VLOOKUP(C29,KitchensData,24,0))))</f>
        <v/>
      </c>
      <c r="L29" s="90"/>
      <c r="M29" s="125"/>
      <c r="N29" s="125"/>
      <c r="O29" s="125"/>
      <c r="P29" s="127"/>
      <c r="Q29" s="127"/>
      <c r="R29" s="91"/>
      <c r="S29" s="127"/>
      <c r="T29" s="127"/>
    </row>
    <row r="30">
      <c r="A30" s="115"/>
      <c r="B30" s="69"/>
      <c r="C30" s="69"/>
      <c r="D30" s="122" t="str">
        <f>IF(C30="","",VLOOKUP(C30,KitchensData,12,0)+VLOOKUP(C30,KitchensData,14,0)+VLOOKUP(C30,KitchensData,17,0))</f>
        <v/>
      </c>
      <c r="E30" s="126"/>
      <c r="F30" s="67" t="str">
        <f>IF(OR(B30="",C30="",E30=""),"",(VLOOKUP(C30,KitchensData,12,0)+VLOOKUP(C30,KitchensData,14,0))*E30)</f>
        <v/>
      </c>
      <c r="G30" s="67" t="str">
        <f>IF(OR(E30="",C30=""),"",VLOOKUP(C30,KitchensData,17,0)*E30)</f>
        <v/>
      </c>
      <c r="H30" s="67" t="str">
        <f t="shared" si="1"/>
        <v/>
      </c>
      <c r="I30" s="124" t="str">
        <f>IF(OR(E30="",C30=""),"",IF(E30*(VLOOKUP(C30,KitchensData,16,0)*VLOOKUP(C30,KitchensData,31,0))=0,"Missing labour time data on kitchens sheet",E30*(VLOOKUP(C30,KitchensData,16,0)*VLOOKUP(C30,KitchensData,31,0))))</f>
        <v/>
      </c>
      <c r="J30" s="124" t="str">
        <f>IF(OR(E30="",C30=""),"",IF(E30*(VLOOKUP(C30,KitchensData,15,0)*VLOOKUP(C30,KitchensData,24,0))=0,"Missing build time data on kitchens sheet",E30*(VLOOKUP(C30,KitchensData,15,0)*VLOOKUP(C30,KitchensData,24,0))))</f>
        <v/>
      </c>
      <c r="L30" s="90"/>
      <c r="M30" s="125"/>
      <c r="N30" s="125"/>
      <c r="O30" s="125"/>
      <c r="P30" s="127"/>
      <c r="Q30" s="127"/>
      <c r="R30" s="91"/>
      <c r="S30" s="127"/>
      <c r="T30" s="127"/>
    </row>
    <row r="31">
      <c r="A31" s="115"/>
      <c r="B31" s="69"/>
      <c r="C31" s="69"/>
      <c r="D31" s="122" t="str">
        <f>IF(C31="","",VLOOKUP(C31,KitchensData,12,0)+VLOOKUP(C31,KitchensData,14,0)+VLOOKUP(C31,KitchensData,17,0))</f>
        <v/>
      </c>
      <c r="E31" s="126"/>
      <c r="F31" s="67" t="str">
        <f>IF(OR(B31="",C31="",E31=""),"",(VLOOKUP(C31,KitchensData,12,0)+VLOOKUP(C31,KitchensData,14,0))*E31)</f>
        <v/>
      </c>
      <c r="G31" s="67" t="str">
        <f>IF(OR(E31="",C31=""),"",VLOOKUP(C31,KitchensData,17,0)*E31)</f>
        <v/>
      </c>
      <c r="H31" s="67" t="str">
        <f t="shared" si="1"/>
        <v/>
      </c>
      <c r="I31" s="124" t="str">
        <f>IF(OR(E31="",C31=""),"",IF(E31*(VLOOKUP(C31,KitchensData,16,0)*VLOOKUP(C31,KitchensData,31,0))=0,"Missing labour time data on kitchens sheet",E31*(VLOOKUP(C31,KitchensData,16,0)*VLOOKUP(C31,KitchensData,31,0))))</f>
        <v/>
      </c>
      <c r="J31" s="124" t="str">
        <f>IF(OR(E31="",C31=""),"",IF(E31*(VLOOKUP(C31,KitchensData,15,0)*VLOOKUP(C31,KitchensData,24,0))=0,"Missing build time data on kitchens sheet",E31*(VLOOKUP(C31,KitchensData,15,0)*VLOOKUP(C31,KitchensData,24,0))))</f>
        <v/>
      </c>
      <c r="L31" s="90"/>
      <c r="M31" s="125"/>
      <c r="N31" s="125"/>
      <c r="O31" s="125"/>
      <c r="P31" s="127"/>
      <c r="Q31" s="127"/>
      <c r="R31" s="91"/>
      <c r="S31" s="127"/>
      <c r="T31" s="127"/>
    </row>
    <row r="32">
      <c r="A32" s="115"/>
      <c r="B32" s="69"/>
      <c r="C32" s="69"/>
      <c r="D32" s="122" t="str">
        <f>IF(C32="","",VLOOKUP(C32,KitchensData,12,0)+VLOOKUP(C32,KitchensData,14,0)+VLOOKUP(C32,KitchensData,17,0))</f>
        <v/>
      </c>
      <c r="E32" s="126"/>
      <c r="F32" s="67" t="str">
        <f>IF(OR(B32="",C32="",E32=""),"",(VLOOKUP(C32,KitchensData,12,0)+VLOOKUP(C32,KitchensData,14,0))*E32)</f>
        <v/>
      </c>
      <c r="G32" s="67" t="str">
        <f>IF(OR(E32="",C32=""),"",VLOOKUP(C32,KitchensData,17,0)*E32)</f>
        <v/>
      </c>
      <c r="H32" s="67" t="str">
        <f t="shared" si="1"/>
        <v/>
      </c>
      <c r="I32" s="124" t="str">
        <f>IF(OR(E32="",C32=""),"",IF(E32*(VLOOKUP(C32,KitchensData,16,0)*VLOOKUP(C32,KitchensData,31,0))=0,"Missing labour time data on kitchens sheet",E32*(VLOOKUP(C32,KitchensData,16,0)*VLOOKUP(C32,KitchensData,31,0))))</f>
        <v/>
      </c>
      <c r="J32" s="124" t="str">
        <f>IF(OR(E32="",C32=""),"",IF(E32*(VLOOKUP(C32,KitchensData,15,0)*VLOOKUP(C32,KitchensData,24,0))=0,"Missing build time data on kitchens sheet",E32*(VLOOKUP(C32,KitchensData,15,0)*VLOOKUP(C32,KitchensData,24,0))))</f>
        <v/>
      </c>
      <c r="L32" s="128"/>
    </row>
    <row r="33">
      <c r="A33" s="115"/>
      <c r="B33" s="69"/>
      <c r="C33" s="69"/>
      <c r="D33" s="122" t="str">
        <f>IF(C33="","",VLOOKUP(C33,KitchensData,12,0)+VLOOKUP(C33,KitchensData,14,0)+VLOOKUP(C33,KitchensData,17,0))</f>
        <v/>
      </c>
      <c r="E33" s="126"/>
      <c r="F33" s="67" t="str">
        <f>IF(OR(B33="",C33="",E33=""),"",(VLOOKUP(C33,KitchensData,12,0)+VLOOKUP(C33,KitchensData,14,0))*E33)</f>
        <v/>
      </c>
      <c r="G33" s="67" t="str">
        <f>IF(OR(E33="",C33=""),"",VLOOKUP(C33,KitchensData,17,0)*E33)</f>
        <v/>
      </c>
      <c r="H33" s="67" t="str">
        <f t="shared" si="1"/>
        <v/>
      </c>
      <c r="I33" s="124" t="str">
        <f>IF(OR(E33="",C33=""),"",IF(E33*(VLOOKUP(C33,KitchensData,16,0)*VLOOKUP(C33,KitchensData,31,0))=0,"Missing labour time data on kitchens sheet",E33*(VLOOKUP(C33,KitchensData,16,0)*VLOOKUP(C33,KitchensData,31,0))))</f>
        <v/>
      </c>
      <c r="J33" s="124" t="str">
        <f>IF(OR(E33="",C33=""),"",IF(E33*(VLOOKUP(C33,KitchensData,15,0)*VLOOKUP(C33,KitchensData,24,0))=0,"Missing build time data on kitchens sheet",E33*(VLOOKUP(C33,KitchensData,15,0)*VLOOKUP(C33,KitchensData,24,0))))</f>
        <v/>
      </c>
    </row>
    <row r="34">
      <c r="A34" s="115"/>
      <c r="B34" s="69"/>
      <c r="C34" s="69"/>
      <c r="D34" s="122" t="str">
        <f>IF(C34="","",VLOOKUP(C34,KitchensData,12,0)+VLOOKUP(C34,KitchensData,14,0)+VLOOKUP(C34,KitchensData,17,0))</f>
        <v/>
      </c>
      <c r="E34" s="126"/>
      <c r="F34" s="67" t="str">
        <f>IF(OR(B34="",C34="",E34=""),"",(VLOOKUP(C34,KitchensData,12,0)+VLOOKUP(C34,KitchensData,14,0))*E34)</f>
        <v/>
      </c>
      <c r="G34" s="67" t="str">
        <f>IF(OR(E34="",C34=""),"",VLOOKUP(C34,KitchensData,17,0)*E34)</f>
        <v/>
      </c>
      <c r="H34" s="67" t="str">
        <f t="shared" si="1"/>
        <v/>
      </c>
      <c r="I34" s="124" t="str">
        <f>IF(OR(E34="",C34=""),"",IF(E34*(VLOOKUP(C34,KitchensData,16,0)*VLOOKUP(C34,KitchensData,31,0))=0,"Missing labour time data on kitchens sheet",E34*(VLOOKUP(C34,KitchensData,16,0)*VLOOKUP(C34,KitchensData,31,0))))</f>
        <v/>
      </c>
      <c r="J34" s="124" t="str">
        <f>IF(OR(E34="",C34=""),"",IF(E34*(VLOOKUP(C34,KitchensData,15,0)*VLOOKUP(C34,KitchensData,24,0))=0,"Missing build time data on kitchens sheet",E34*(VLOOKUP(C34,KitchensData,15,0)*VLOOKUP(C34,KitchensData,24,0))))</f>
        <v/>
      </c>
    </row>
    <row r="35">
      <c r="A35" s="115"/>
      <c r="B35" s="69"/>
      <c r="C35" s="69"/>
      <c r="D35" s="122" t="str">
        <f>IF(C35="","",VLOOKUP(C35,KitchensData,12,0)+VLOOKUP(C35,KitchensData,14,0)+VLOOKUP(C35,KitchensData,17,0))</f>
        <v/>
      </c>
      <c r="E35" s="126"/>
      <c r="F35" s="67" t="str">
        <f>IF(OR(B35="",C35="",E35=""),"",(VLOOKUP(C35,KitchensData,12,0)+VLOOKUP(C35,KitchensData,14,0))*E35)</f>
        <v/>
      </c>
      <c r="G35" s="67" t="str">
        <f>IF(OR(E35="",C35=""),"",VLOOKUP(C35,KitchensData,17,0)*E35)</f>
        <v/>
      </c>
      <c r="H35" s="67" t="str">
        <f t="shared" si="1"/>
        <v/>
      </c>
      <c r="I35" s="124" t="str">
        <f>IF(OR(E35="",C35=""),"",IF(E35*(VLOOKUP(C35,KitchensData,16,0)*VLOOKUP(C35,KitchensData,31,0))=0,"Missing labour time data on kitchens sheet",E35*(VLOOKUP(C35,KitchensData,16,0)*VLOOKUP(C35,KitchensData,31,0))))</f>
        <v/>
      </c>
      <c r="J35" s="124" t="str">
        <f>IF(OR(E35="",C35=""),"",IF(E35*(VLOOKUP(C35,KitchensData,15,0)*VLOOKUP(C35,KitchensData,24,0))=0,"Missing build time data on kitchens sheet",E35*(VLOOKUP(C35,KitchensData,15,0)*VLOOKUP(C35,KitchensData,24,0))))</f>
        <v/>
      </c>
    </row>
    <row r="36">
      <c r="A36" s="115"/>
      <c r="B36" s="69"/>
      <c r="C36" s="69"/>
      <c r="D36" s="122" t="str">
        <f>IF(C36="","",VLOOKUP(C36,KitchensData,12,0)+VLOOKUP(C36,KitchensData,14,0)+VLOOKUP(C36,KitchensData,17,0))</f>
        <v/>
      </c>
      <c r="E36" s="126"/>
      <c r="F36" s="67" t="str">
        <f>IF(OR(B36="",C36="",E36=""),"",(VLOOKUP(C36,KitchensData,12,0)+VLOOKUP(C36,KitchensData,14,0))*E36)</f>
        <v/>
      </c>
      <c r="G36" s="67" t="str">
        <f>IF(OR(E36="",C36=""),"",VLOOKUP(C36,KitchensData,17,0)*E36)</f>
        <v/>
      </c>
      <c r="H36" s="67" t="str">
        <f t="shared" si="1"/>
        <v/>
      </c>
      <c r="I36" s="124" t="str">
        <f>IF(OR(E36="",C36=""),"",IF(E36*(VLOOKUP(C36,KitchensData,16,0)*VLOOKUP(C36,KitchensData,31,0))=0,"Missing labour time data on kitchens sheet",E36*(VLOOKUP(C36,KitchensData,16,0)*VLOOKUP(C36,KitchensData,31,0))))</f>
        <v/>
      </c>
      <c r="J36" s="124" t="str">
        <f>IF(OR(E36="",C36=""),"",IF(E36*(VLOOKUP(C36,KitchensData,15,0)*VLOOKUP(C36,KitchensData,24,0))=0,"Missing build time data on kitchens sheet",E36*(VLOOKUP(C36,KitchensData,15,0)*VLOOKUP(C36,KitchensData,24,0))))</f>
        <v/>
      </c>
    </row>
    <row r="37">
      <c r="A37" s="115"/>
      <c r="B37" s="69"/>
      <c r="C37" s="69"/>
      <c r="D37" s="122" t="str">
        <f>IF(C37="","",VLOOKUP(C37,KitchensData,12,0)+VLOOKUP(C37,KitchensData,14,0)+VLOOKUP(C37,KitchensData,17,0))</f>
        <v/>
      </c>
      <c r="E37" s="126"/>
      <c r="F37" s="67" t="str">
        <f>IF(OR(B37="",C37="",E37=""),"",(VLOOKUP(C37,KitchensData,12,0)+VLOOKUP(C37,KitchensData,14,0))*E37)</f>
        <v/>
      </c>
      <c r="G37" s="67" t="str">
        <f>IF(OR(E37="",C37=""),"",VLOOKUP(C37,KitchensData,17,0)*E37)</f>
        <v/>
      </c>
      <c r="H37" s="67" t="str">
        <f t="shared" si="1"/>
        <v/>
      </c>
      <c r="I37" s="124" t="str">
        <f>IF(OR(E37="",C37=""),"",IF(E37*(VLOOKUP(C37,KitchensData,16,0)*VLOOKUP(C37,KitchensData,31,0))=0,"Missing labour time data on kitchens sheet",E37*(VLOOKUP(C37,KitchensData,16,0)*VLOOKUP(C37,KitchensData,31,0))))</f>
        <v/>
      </c>
      <c r="J37" s="124" t="str">
        <f>IF(OR(E37="",C37=""),"",IF(E37*(VLOOKUP(C37,KitchensData,15,0)*VLOOKUP(C37,KitchensData,24,0))=0,"Missing build time data on kitchens sheet",E37*(VLOOKUP(C37,KitchensData,15,0)*VLOOKUP(C37,KitchensData,24,0))))</f>
        <v/>
      </c>
    </row>
    <row r="38">
      <c r="A38" s="115"/>
      <c r="B38" s="69"/>
      <c r="C38" s="69"/>
      <c r="D38" s="122" t="str">
        <f>IF(C38="","",VLOOKUP(C38,KitchensData,12,0)+VLOOKUP(C38,KitchensData,14,0)+VLOOKUP(C38,KitchensData,17,0))</f>
        <v/>
      </c>
      <c r="E38" s="126"/>
      <c r="F38" s="67" t="str">
        <f>IF(OR(B38="",C38="",E38=""),"",(VLOOKUP(C38,KitchensData,12,0)+VLOOKUP(C38,KitchensData,14,0))*E38)</f>
        <v/>
      </c>
      <c r="G38" s="67" t="str">
        <f>IF(OR(E38="",C38=""),"",VLOOKUP(C38,KitchensData,17,0)*E38)</f>
        <v/>
      </c>
      <c r="H38" s="67" t="str">
        <f t="shared" si="1"/>
        <v/>
      </c>
      <c r="I38" s="124" t="str">
        <f>IF(OR(E38="",C38=""),"",IF(E38*(VLOOKUP(C38,KitchensData,16,0)*VLOOKUP(C38,KitchensData,31,0))=0,"Missing labour time data on kitchens sheet",E38*(VLOOKUP(C38,KitchensData,16,0)*VLOOKUP(C38,KitchensData,31,0))))</f>
        <v/>
      </c>
      <c r="J38" s="124" t="str">
        <f>IF(OR(E38="",C38=""),"",IF(E38*(VLOOKUP(C38,KitchensData,15,0)*VLOOKUP(C38,KitchensData,24,0))=0,"Missing build time data on kitchens sheet",E38*(VLOOKUP(C38,KitchensData,15,0)*VLOOKUP(C38,KitchensData,24,0))))</f>
        <v/>
      </c>
    </row>
    <row r="39">
      <c r="A39" s="115"/>
      <c r="B39" s="69"/>
      <c r="C39" s="69"/>
      <c r="D39" s="122" t="str">
        <f>IF(C39="","",VLOOKUP(C39,KitchensData,12,0)+VLOOKUP(C39,KitchensData,14,0)+VLOOKUP(C39,KitchensData,17,0))</f>
        <v/>
      </c>
      <c r="E39" s="126"/>
      <c r="F39" s="67" t="str">
        <f>IF(OR(B39="",C39="",E39=""),"",(VLOOKUP(C39,KitchensData,12,0)+VLOOKUP(C39,KitchensData,14,0))*E39)</f>
        <v/>
      </c>
      <c r="G39" s="67" t="str">
        <f>IF(OR(E39="",C39=""),"",VLOOKUP(C39,KitchensData,17,0)*E39)</f>
        <v/>
      </c>
      <c r="H39" s="67" t="str">
        <f t="shared" si="1"/>
        <v/>
      </c>
      <c r="I39" s="124" t="str">
        <f>IF(OR(E39="",C39=""),"",IF(E39*(VLOOKUP(C39,KitchensData,16,0)*VLOOKUP(C39,KitchensData,31,0))=0,"Missing labour time data on kitchens sheet",E39*(VLOOKUP(C39,KitchensData,16,0)*VLOOKUP(C39,KitchensData,31,0))))</f>
        <v/>
      </c>
      <c r="J39" s="124" t="str">
        <f>IF(OR(E39="",C39=""),"",IF(E39*(VLOOKUP(C39,KitchensData,15,0)*VLOOKUP(C39,KitchensData,24,0))=0,"Missing build time data on kitchens sheet",E39*(VLOOKUP(C39,KitchensData,15,0)*VLOOKUP(C39,KitchensData,24,0))))</f>
        <v/>
      </c>
    </row>
    <row r="40">
      <c r="A40" s="115"/>
      <c r="B40" s="69"/>
      <c r="C40" s="69"/>
      <c r="D40" s="122" t="str">
        <f>IF(C40="","",VLOOKUP(C40,KitchensData,12,0)+VLOOKUP(C40,KitchensData,14,0)+VLOOKUP(C40,KitchensData,17,0))</f>
        <v/>
      </c>
      <c r="E40" s="126"/>
      <c r="F40" s="67" t="str">
        <f>IF(OR(B40="",C40="",E40=""),"",(VLOOKUP(C40,KitchensData,12,0)+VLOOKUP(C40,KitchensData,14,0))*E40)</f>
        <v/>
      </c>
      <c r="G40" s="67" t="str">
        <f>IF(OR(E40="",C40=""),"",VLOOKUP(C40,KitchensData,17,0)*E40)</f>
        <v/>
      </c>
      <c r="H40" s="67" t="str">
        <f t="shared" si="1"/>
        <v/>
      </c>
      <c r="I40" s="124" t="str">
        <f>IF(OR(E40="",C40=""),"",IF(E40*(VLOOKUP(C40,KitchensData,16,0)*VLOOKUP(C40,KitchensData,31,0))=0,"Missing labour time data on kitchens sheet",E40*(VLOOKUP(C40,KitchensData,16,0)*VLOOKUP(C40,KitchensData,31,0))))</f>
        <v/>
      </c>
      <c r="J40" s="124" t="str">
        <f>IF(OR(E40="",C40=""),"",IF(E40*(VLOOKUP(C40,KitchensData,15,0)*VLOOKUP(C40,KitchensData,24,0))=0,"Missing build time data on kitchens sheet",E40*(VLOOKUP(C40,KitchensData,15,0)*VLOOKUP(C40,KitchensData,24,0))))</f>
        <v/>
      </c>
    </row>
    <row r="41">
      <c r="A41" s="115"/>
      <c r="B41" s="69"/>
      <c r="C41" s="69"/>
      <c r="D41" s="122" t="str">
        <f>IF(C41="","",VLOOKUP(C41,KitchensData,12,0)+VLOOKUP(C41,KitchensData,14,0)+VLOOKUP(C41,KitchensData,17,0))</f>
        <v/>
      </c>
      <c r="E41" s="126"/>
      <c r="F41" s="67" t="str">
        <f>IF(OR(B41="",C41="",E41=""),"",(VLOOKUP(C41,KitchensData,12,0)+VLOOKUP(C41,KitchensData,14,0))*E41)</f>
        <v/>
      </c>
      <c r="G41" s="67" t="str">
        <f>IF(OR(E41="",C41=""),"",VLOOKUP(C41,KitchensData,17,0)*E41)</f>
        <v/>
      </c>
      <c r="H41" s="67" t="str">
        <f t="shared" si="1"/>
        <v/>
      </c>
      <c r="I41" s="124" t="str">
        <f>IF(OR(E41="",C41=""),"",IF(E41*(VLOOKUP(C41,KitchensData,16,0)*VLOOKUP(C41,KitchensData,31,0))=0,"Missing labour time data on kitchens sheet",E41*(VLOOKUP(C41,KitchensData,16,0)*VLOOKUP(C41,KitchensData,31,0))))</f>
        <v/>
      </c>
      <c r="J41" s="124" t="str">
        <f>IF(OR(E41="",C41=""),"",IF(E41*(VLOOKUP(C41,KitchensData,15,0)*VLOOKUP(C41,KitchensData,24,0))=0,"Missing build time data on kitchens sheet",E41*(VLOOKUP(C41,KitchensData,15,0)*VLOOKUP(C41,KitchensData,24,0))))</f>
        <v/>
      </c>
    </row>
    <row r="42">
      <c r="A42" s="115"/>
      <c r="B42" s="69"/>
      <c r="C42" s="69"/>
      <c r="D42" s="122" t="str">
        <f>IF(C42="","",VLOOKUP(C42,KitchensData,12,0)+VLOOKUP(C42,KitchensData,14,0)+VLOOKUP(C42,KitchensData,17,0))</f>
        <v/>
      </c>
      <c r="E42" s="126"/>
      <c r="F42" s="67" t="str">
        <f>IF(OR(B42="",C42="",E42=""),"",(VLOOKUP(C42,KitchensData,12,0)+VLOOKUP(C42,KitchensData,14,0))*E42)</f>
        <v/>
      </c>
      <c r="G42" s="67" t="str">
        <f>IF(OR(E42="",C42=""),"",VLOOKUP(C42,KitchensData,17,0)*E42)</f>
        <v/>
      </c>
      <c r="H42" s="67" t="str">
        <f t="shared" si="1"/>
        <v/>
      </c>
      <c r="I42" s="124" t="str">
        <f>IF(OR(E42="",C42=""),"",IF(E42*(VLOOKUP(C42,KitchensData,16,0)*VLOOKUP(C42,KitchensData,31,0))=0,"Missing labour time data on kitchens sheet",E42*(VLOOKUP(C42,KitchensData,16,0)*VLOOKUP(C42,KitchensData,31,0))))</f>
        <v/>
      </c>
      <c r="J42" s="124" t="str">
        <f>IF(OR(E42="",C42=""),"",IF(E42*(VLOOKUP(C42,KitchensData,15,0)*VLOOKUP(C42,KitchensData,24,0))=0,"Missing build time data on kitchens sheet",E42*(VLOOKUP(C42,KitchensData,15,0)*VLOOKUP(C42,KitchensData,24,0))))</f>
        <v/>
      </c>
    </row>
    <row r="43">
      <c r="A43" s="115"/>
      <c r="B43" s="69"/>
      <c r="C43" s="69"/>
      <c r="D43" s="122" t="str">
        <f>IF(C43="","",VLOOKUP(C43,KitchensData,12,0)+VLOOKUP(C43,KitchensData,14,0)+VLOOKUP(C43,KitchensData,17,0))</f>
        <v/>
      </c>
      <c r="E43" s="126"/>
      <c r="F43" s="67" t="str">
        <f>IF(OR(B43="",C43="",E43=""),"",(VLOOKUP(C43,KitchensData,12,0)+VLOOKUP(C43,KitchensData,14,0))*E43)</f>
        <v/>
      </c>
      <c r="G43" s="67" t="str">
        <f>IF(OR(E43="",C43=""),"",VLOOKUP(C43,KitchensData,17,0)*E43)</f>
        <v/>
      </c>
      <c r="H43" s="67" t="str">
        <f t="shared" si="1"/>
        <v/>
      </c>
      <c r="I43" s="124" t="str">
        <f>IF(OR(E43="",C43=""),"",IF(E43*(VLOOKUP(C43,KitchensData,16,0)*VLOOKUP(C43,KitchensData,31,0))=0,"Missing labour time data on kitchens sheet",E43*(VLOOKUP(C43,KitchensData,16,0)*VLOOKUP(C43,KitchensData,31,0))))</f>
        <v/>
      </c>
      <c r="J43" s="124" t="str">
        <f>IF(OR(E43="",C43=""),"",IF(E43*(VLOOKUP(C43,KitchensData,15,0)*VLOOKUP(C43,KitchensData,24,0))=0,"Missing build time data on kitchens sheet",E43*(VLOOKUP(C43,KitchensData,15,0)*VLOOKUP(C43,KitchensData,24,0))))</f>
        <v/>
      </c>
    </row>
    <row r="44">
      <c r="A44" s="115"/>
      <c r="B44" s="69"/>
      <c r="C44" s="69"/>
      <c r="D44" s="122" t="str">
        <f>IF(C44="","",VLOOKUP(C44,KitchensData,12,0)+VLOOKUP(C44,KitchensData,14,0)+VLOOKUP(C44,KitchensData,17,0))</f>
        <v/>
      </c>
      <c r="E44" s="126"/>
      <c r="F44" s="67" t="str">
        <f>IF(OR(B44="",C44="",E44=""),"",(VLOOKUP(C44,KitchensData,12,0)+VLOOKUP(C44,KitchensData,14,0))*E44)</f>
        <v/>
      </c>
      <c r="G44" s="67" t="str">
        <f>IF(OR(E44="",C44=""),"",VLOOKUP(C44,KitchensData,17,0)*E44)</f>
        <v/>
      </c>
      <c r="H44" s="67" t="str">
        <f t="shared" si="1"/>
        <v/>
      </c>
      <c r="I44" s="124" t="str">
        <f>IF(OR(E44="",C44=""),"",IF(E44*(VLOOKUP(C44,KitchensData,16,0)*VLOOKUP(C44,KitchensData,31,0))=0,"Missing labour time data on kitchens sheet",E44*(VLOOKUP(C44,KitchensData,16,0)*VLOOKUP(C44,KitchensData,31,0))))</f>
        <v/>
      </c>
      <c r="J44" s="124" t="str">
        <f>IF(OR(E44="",C44=""),"",IF(E44*(VLOOKUP(C44,KitchensData,15,0)*VLOOKUP(C44,KitchensData,24,0))=0,"Missing build time data on kitchens sheet",E44*(VLOOKUP(C44,KitchensData,15,0)*VLOOKUP(C44,KitchensData,24,0))))</f>
        <v/>
      </c>
    </row>
    <row r="45">
      <c r="A45" s="115"/>
      <c r="B45" s="69"/>
      <c r="C45" s="69"/>
      <c r="D45" s="122" t="str">
        <f>IF(C45="","",VLOOKUP(C45,KitchensData,12,0)+VLOOKUP(C45,KitchensData,14,0)+VLOOKUP(C45,KitchensData,17,0))</f>
        <v/>
      </c>
      <c r="E45" s="126"/>
      <c r="F45" s="67" t="str">
        <f>IF(OR(B45="",C45="",E45=""),"",(VLOOKUP(C45,KitchensData,12,0)+VLOOKUP(C45,KitchensData,14,0))*E45)</f>
        <v/>
      </c>
      <c r="G45" s="67" t="str">
        <f>IF(OR(E45="",C45=""),"",VLOOKUP(C45,KitchensData,17,0)*E45)</f>
        <v/>
      </c>
      <c r="H45" s="67" t="str">
        <f t="shared" si="1"/>
        <v/>
      </c>
      <c r="I45" s="124" t="str">
        <f>IF(OR(E45="",C45=""),"",IF(E45*(VLOOKUP(C45,KitchensData,16,0)*VLOOKUP(C45,KitchensData,31,0))=0,"Missing labour time data on kitchens sheet",E45*(VLOOKUP(C45,KitchensData,16,0)*VLOOKUP(C45,KitchensData,31,0))))</f>
        <v/>
      </c>
      <c r="J45" s="124" t="str">
        <f>IF(OR(E45="",C45=""),"",IF(E45*(VLOOKUP(C45,KitchensData,15,0)*VLOOKUP(C45,KitchensData,24,0))=0,"Missing build time data on kitchens sheet",E45*(VLOOKUP(C45,KitchensData,15,0)*VLOOKUP(C45,KitchensData,24,0))))</f>
        <v/>
      </c>
    </row>
    <row r="46">
      <c r="A46" s="115"/>
      <c r="B46" s="69"/>
      <c r="C46" s="69"/>
      <c r="D46" s="122" t="str">
        <f>IF(C46="","",VLOOKUP(C46,KitchensData,12,0)+VLOOKUP(C46,KitchensData,14,0)+VLOOKUP(C46,KitchensData,17,0))</f>
        <v/>
      </c>
      <c r="E46" s="126"/>
      <c r="F46" s="67" t="str">
        <f>IF(OR(B46="",C46="",E46=""),"",(VLOOKUP(C46,KitchensData,12,0)+VLOOKUP(C46,KitchensData,14,0))*E46)</f>
        <v/>
      </c>
      <c r="G46" s="67" t="str">
        <f>IF(OR(E46="",C46=""),"",VLOOKUP(C46,KitchensData,17,0)*E46)</f>
        <v/>
      </c>
      <c r="H46" s="67" t="str">
        <f t="shared" si="1"/>
        <v/>
      </c>
      <c r="I46" s="124" t="str">
        <f>IF(OR(E46="",C46=""),"",IF(E46*(VLOOKUP(C46,KitchensData,16,0)*VLOOKUP(C46,KitchensData,31,0))=0,"Missing labour time data on kitchens sheet",E46*(VLOOKUP(C46,KitchensData,16,0)*VLOOKUP(C46,KitchensData,31,0))))</f>
        <v/>
      </c>
      <c r="J46" s="124" t="str">
        <f>IF(OR(E46="",C46=""),"",IF(E46*(VLOOKUP(C46,KitchensData,15,0)*VLOOKUP(C46,KitchensData,24,0))=0,"Missing build time data on kitchens sheet",E46*(VLOOKUP(C46,KitchensData,15,0)*VLOOKUP(C46,KitchensData,24,0))))</f>
        <v/>
      </c>
    </row>
    <row r="47">
      <c r="A47" s="115"/>
      <c r="B47" s="69"/>
      <c r="C47" s="69"/>
      <c r="D47" s="122" t="str">
        <f>IF(C47="","",VLOOKUP(C47,KitchensData,12,0)+VLOOKUP(C47,KitchensData,14,0)+VLOOKUP(C47,KitchensData,17,0))</f>
        <v/>
      </c>
      <c r="E47" s="126"/>
      <c r="F47" s="67" t="str">
        <f>IF(OR(B47="",C47="",E47=""),"",(VLOOKUP(C47,KitchensData,12,0)+VLOOKUP(C47,KitchensData,14,0))*E47)</f>
        <v/>
      </c>
      <c r="G47" s="67" t="str">
        <f>IF(OR(E47="",C47=""),"",VLOOKUP(C47,KitchensData,17,0)*E47)</f>
        <v/>
      </c>
      <c r="H47" s="67" t="str">
        <f t="shared" si="1"/>
        <v/>
      </c>
      <c r="I47" s="124" t="str">
        <f>IF(OR(E47="",C47=""),"",IF(E47*(VLOOKUP(C47,KitchensData,16,0)*VLOOKUP(C47,KitchensData,31,0))=0,"Missing labour time data on kitchens sheet",E47*(VLOOKUP(C47,KitchensData,16,0)*VLOOKUP(C47,KitchensData,31,0))))</f>
        <v/>
      </c>
      <c r="J47" s="124" t="str">
        <f>IF(OR(E47="",C47=""),"",IF(E47*(VLOOKUP(C47,KitchensData,15,0)*VLOOKUP(C47,KitchensData,24,0))=0,"Missing build time data on kitchens sheet",E47*(VLOOKUP(C47,KitchensData,15,0)*VLOOKUP(C47,KitchensData,24,0))))</f>
        <v/>
      </c>
    </row>
    <row r="48">
      <c r="A48" s="115"/>
      <c r="B48" s="69"/>
      <c r="C48" s="69"/>
      <c r="D48" s="122" t="str">
        <f>IF(C48="","",VLOOKUP(C48,KitchensData,12,0)+VLOOKUP(C48,KitchensData,14,0)+VLOOKUP(C48,KitchensData,17,0))</f>
        <v/>
      </c>
      <c r="E48" s="126"/>
      <c r="F48" s="67" t="str">
        <f>IF(OR(B48="",C48="",E48=""),"",(VLOOKUP(C48,KitchensData,12,0)+VLOOKUP(C48,KitchensData,14,0))*E48)</f>
        <v/>
      </c>
      <c r="G48" s="67" t="str">
        <f>IF(OR(E48="",C48=""),"",VLOOKUP(C48,KitchensData,17,0)*E48)</f>
        <v/>
      </c>
      <c r="H48" s="67" t="str">
        <f t="shared" si="1"/>
        <v/>
      </c>
      <c r="I48" s="124" t="str">
        <f>IF(OR(E48="",C48=""),"",IF(E48*(VLOOKUP(C48,KitchensData,16,0)*VLOOKUP(C48,KitchensData,31,0))=0,"Missing labour time data on kitchens sheet",E48*(VLOOKUP(C48,KitchensData,16,0)*VLOOKUP(C48,KitchensData,31,0))))</f>
        <v/>
      </c>
      <c r="J48" s="124" t="str">
        <f>IF(OR(E48="",C48=""),"",IF(E48*(VLOOKUP(C48,KitchensData,15,0)*VLOOKUP(C48,KitchensData,24,0))=0,"Missing build time data on kitchens sheet",E48*(VLOOKUP(C48,KitchensData,15,0)*VLOOKUP(C48,KitchensData,24,0))))</f>
        <v/>
      </c>
    </row>
    <row r="49">
      <c r="A49" s="115"/>
      <c r="B49" s="69"/>
      <c r="C49" s="69"/>
      <c r="D49" s="122" t="str">
        <f>IF(C49="","",VLOOKUP(C49,KitchensData,12,0)+VLOOKUP(C49,KitchensData,14,0)+VLOOKUP(C49,KitchensData,17,0))</f>
        <v/>
      </c>
      <c r="E49" s="126"/>
      <c r="F49" s="67" t="str">
        <f>IF(OR(B49="",C49="",E49=""),"",(VLOOKUP(C49,KitchensData,12,0)+VLOOKUP(C49,KitchensData,14,0))*E49)</f>
        <v/>
      </c>
      <c r="G49" s="67" t="str">
        <f>IF(OR(E49="",C49=""),"",VLOOKUP(C49,KitchensData,17,0)*E49)</f>
        <v/>
      </c>
      <c r="H49" s="67" t="str">
        <f t="shared" si="1"/>
        <v/>
      </c>
      <c r="I49" s="124" t="str">
        <f>IF(OR(E49="",C49=""),"",IF(E49*(VLOOKUP(C49,KitchensData,16,0)*VLOOKUP(C49,KitchensData,31,0))=0,"Missing labour time data on kitchens sheet",E49*(VLOOKUP(C49,KitchensData,16,0)*VLOOKUP(C49,KitchensData,31,0))))</f>
        <v/>
      </c>
      <c r="J49" s="124" t="str">
        <f>IF(OR(E49="",C49=""),"",IF(E49*(VLOOKUP(C49,KitchensData,15,0)*VLOOKUP(C49,KitchensData,24,0))=0,"Missing build time data on kitchens sheet",E49*(VLOOKUP(C49,KitchensData,15,0)*VLOOKUP(C49,KitchensData,24,0))))</f>
        <v/>
      </c>
    </row>
    <row r="50">
      <c r="A50" s="115"/>
      <c r="B50" s="69"/>
      <c r="C50" s="69"/>
      <c r="D50" s="122" t="str">
        <f>IF(C50="","",VLOOKUP(C50,KitchensData,12,0)+VLOOKUP(C50,KitchensData,14,0)+VLOOKUP(C50,KitchensData,17,0))</f>
        <v/>
      </c>
      <c r="E50" s="126"/>
      <c r="F50" s="67" t="str">
        <f>IF(OR(B50="",C50="",E50=""),"",(VLOOKUP(C50,KitchensData,12,0)+VLOOKUP(C50,KitchensData,14,0))*E50)</f>
        <v/>
      </c>
      <c r="G50" s="67" t="str">
        <f>IF(OR(E50="",C50=""),"",VLOOKUP(C50,KitchensData,17,0)*E50)</f>
        <v/>
      </c>
      <c r="H50" s="67" t="str">
        <f t="shared" si="1"/>
        <v/>
      </c>
      <c r="I50" s="124" t="str">
        <f>IF(OR(E50="",C50=""),"",IF(E50*(VLOOKUP(C50,KitchensData,16,0)*VLOOKUP(C50,KitchensData,31,0))=0,"Missing labour time data on kitchens sheet",E50*(VLOOKUP(C50,KitchensData,16,0)*VLOOKUP(C50,KitchensData,31,0))))</f>
        <v/>
      </c>
      <c r="J50" s="124" t="str">
        <f>IF(OR(E50="",C50=""),"",IF(E50*(VLOOKUP(C50,KitchensData,15,0)*VLOOKUP(C50,KitchensData,24,0))=0,"Missing build time data on kitchens sheet",E50*(VLOOKUP(C50,KitchensData,15,0)*VLOOKUP(C50,KitchensData,24,0))))</f>
        <v/>
      </c>
    </row>
    <row r="51">
      <c r="A51" s="115"/>
      <c r="B51" s="69"/>
      <c r="C51" s="69"/>
      <c r="D51" s="122" t="str">
        <f>IF(C51="","",VLOOKUP(C51,KitchensData,12,0)+VLOOKUP(C51,KitchensData,14,0)+VLOOKUP(C51,KitchensData,17,0))</f>
        <v/>
      </c>
      <c r="E51" s="126"/>
      <c r="F51" s="67" t="str">
        <f>IF(OR(B51="",C51="",E51=""),"",(VLOOKUP(C51,KitchensData,12,0)+VLOOKUP(C51,KitchensData,14,0))*E51)</f>
        <v/>
      </c>
      <c r="G51" s="67" t="str">
        <f>IF(OR(E51="",C51=""),"",VLOOKUP(C51,KitchensData,17,0)*E51)</f>
        <v/>
      </c>
      <c r="H51" s="67" t="str">
        <f t="shared" si="1"/>
        <v/>
      </c>
      <c r="I51" s="124" t="str">
        <f>IF(OR(E51="",C51=""),"",IF(E51*(VLOOKUP(C51,KitchensData,16,0)*VLOOKUP(C51,KitchensData,31,0))=0,"Missing labour time data on kitchens sheet",E51*(VLOOKUP(C51,KitchensData,16,0)*VLOOKUP(C51,KitchensData,31,0))))</f>
        <v/>
      </c>
      <c r="J51" s="124" t="str">
        <f>IF(OR(E51="",C51=""),"",IF(E51*(VLOOKUP(C51,KitchensData,15,0)*VLOOKUP(C51,KitchensData,24,0))=0,"Missing build time data on kitchens sheet",E51*(VLOOKUP(C51,KitchensData,15,0)*VLOOKUP(C51,KitchensData,24,0))))</f>
        <v/>
      </c>
    </row>
    <row r="52">
      <c r="A52" s="115"/>
      <c r="B52" s="69"/>
      <c r="C52" s="69"/>
      <c r="D52" s="122" t="str">
        <f>IF(C52="","",VLOOKUP(C52,KitchensData,12,0)+VLOOKUP(C52,KitchensData,14,0)+VLOOKUP(C52,KitchensData,17,0))</f>
        <v/>
      </c>
      <c r="E52" s="126"/>
      <c r="F52" s="67" t="str">
        <f>IF(OR(B52="",C52="",E52=""),"",(VLOOKUP(C52,KitchensData,12,0)+VLOOKUP(C52,KitchensData,14,0))*E52)</f>
        <v/>
      </c>
      <c r="G52" s="67" t="str">
        <f>IF(OR(E52="",C52=""),"",VLOOKUP(C52,KitchensData,17,0)*E52)</f>
        <v/>
      </c>
      <c r="H52" s="67" t="str">
        <f t="shared" si="1"/>
        <v/>
      </c>
      <c r="I52" s="124" t="str">
        <f>IF(OR(E52="",C52=""),"",IF(E52*(VLOOKUP(C52,KitchensData,16,0)*VLOOKUP(C52,KitchensData,31,0))=0,"Missing labour time data on kitchens sheet",E52*(VLOOKUP(C52,KitchensData,16,0)*VLOOKUP(C52,KitchensData,31,0))))</f>
        <v/>
      </c>
      <c r="J52" s="124" t="str">
        <f>IF(OR(E52="",C52=""),"",IF(E52*(VLOOKUP(C52,KitchensData,15,0)*VLOOKUP(C52,KitchensData,24,0))=0,"Missing build time data on kitchens sheet",E52*(VLOOKUP(C52,KitchensData,15,0)*VLOOKUP(C52,KitchensData,24,0))))</f>
        <v/>
      </c>
    </row>
    <row r="53">
      <c r="A53" s="115"/>
      <c r="B53" s="69"/>
      <c r="C53" s="69"/>
      <c r="D53" s="122" t="str">
        <f>IF(C53="","",VLOOKUP(C53,KitchensData,12,0)+VLOOKUP(C53,KitchensData,14,0)+VLOOKUP(C53,KitchensData,17,0))</f>
        <v/>
      </c>
      <c r="E53" s="126"/>
      <c r="F53" s="67" t="str">
        <f>IF(OR(B53="",C53="",E53=""),"",(VLOOKUP(C53,KitchensData,12,0)+VLOOKUP(C53,KitchensData,14,0))*E53)</f>
        <v/>
      </c>
      <c r="G53" s="67" t="str">
        <f>IF(OR(E53="",C53=""),"",VLOOKUP(C53,KitchensData,17,0)*E53)</f>
        <v/>
      </c>
      <c r="H53" s="67" t="str">
        <f t="shared" si="1"/>
        <v/>
      </c>
      <c r="I53" s="124" t="str">
        <f>IF(OR(E53="",C53=""),"",IF(E53*(VLOOKUP(C53,KitchensData,16,0)*VLOOKUP(C53,KitchensData,31,0))=0,"Missing labour time data on kitchens sheet",E53*(VLOOKUP(C53,KitchensData,16,0)*VLOOKUP(C53,KitchensData,31,0))))</f>
        <v/>
      </c>
      <c r="J53" s="124" t="str">
        <f>IF(OR(E53="",C53=""),"",IF(E53*(VLOOKUP(C53,KitchensData,15,0)*VLOOKUP(C53,KitchensData,24,0))=0,"Missing build time data on kitchens sheet",E53*(VLOOKUP(C53,KitchensData,15,0)*VLOOKUP(C53,KitchensData,24,0))))</f>
        <v/>
      </c>
    </row>
    <row r="54">
      <c r="A54" s="115"/>
      <c r="B54" s="69"/>
      <c r="C54" s="69"/>
      <c r="D54" s="122" t="str">
        <f>IF(C54="","",VLOOKUP(C54,KitchensData,12,0)+VLOOKUP(C54,KitchensData,14,0)+VLOOKUP(C54,KitchensData,17,0))</f>
        <v/>
      </c>
      <c r="E54" s="126"/>
      <c r="F54" s="67" t="str">
        <f>IF(OR(B54="",C54="",E54=""),"",(VLOOKUP(C54,KitchensData,12,0)+VLOOKUP(C54,KitchensData,14,0))*E54)</f>
        <v/>
      </c>
      <c r="G54" s="67" t="str">
        <f>IF(OR(E54="",C54=""),"",VLOOKUP(C54,KitchensData,17,0)*E54)</f>
        <v/>
      </c>
      <c r="H54" s="67" t="str">
        <f t="shared" si="1"/>
        <v/>
      </c>
      <c r="I54" s="124" t="str">
        <f>IF(OR(E54="",C54=""),"",IF(E54*(VLOOKUP(C54,KitchensData,16,0)*VLOOKUP(C54,KitchensData,31,0))=0,"Missing labour time data on kitchens sheet",E54*(VLOOKUP(C54,KitchensData,16,0)*VLOOKUP(C54,KitchensData,31,0))))</f>
        <v/>
      </c>
      <c r="J54" s="124" t="str">
        <f>IF(OR(E54="",C54=""),"",IF(E54*(VLOOKUP(C54,KitchensData,15,0)*VLOOKUP(C54,KitchensData,24,0))=0,"Missing build time data on kitchens sheet",E54*(VLOOKUP(C54,KitchensData,15,0)*VLOOKUP(C54,KitchensData,24,0))))</f>
        <v/>
      </c>
    </row>
    <row r="55">
      <c r="A55" s="115"/>
      <c r="B55" s="69"/>
      <c r="C55" s="69"/>
      <c r="D55" s="122" t="str">
        <f>IF(C55="","",VLOOKUP(C55,KitchensData,12,0)+VLOOKUP(C55,KitchensData,14,0)+VLOOKUP(C55,KitchensData,17,0))</f>
        <v/>
      </c>
      <c r="E55" s="126"/>
      <c r="F55" s="67" t="str">
        <f>IF(OR(B55="",C55="",E55=""),"",(VLOOKUP(C55,KitchensData,12,0)+VLOOKUP(C55,KitchensData,14,0))*E55)</f>
        <v/>
      </c>
      <c r="G55" s="67" t="str">
        <f>IF(OR(E55="",C55=""),"",VLOOKUP(C55,KitchensData,17,0)*E55)</f>
        <v/>
      </c>
      <c r="H55" s="67" t="str">
        <f t="shared" si="1"/>
        <v/>
      </c>
      <c r="I55" s="124" t="str">
        <f>IF(OR(E55="",C55=""),"",IF(E55*(VLOOKUP(C55,KitchensData,16,0)*VLOOKUP(C55,KitchensData,31,0))=0,"Missing labour time data on kitchens sheet",E55*(VLOOKUP(C55,KitchensData,16,0)*VLOOKUP(C55,KitchensData,31,0))))</f>
        <v/>
      </c>
      <c r="J55" s="124" t="str">
        <f>IF(OR(E55="",C55=""),"",IF(E55*(VLOOKUP(C55,KitchensData,15,0)*VLOOKUP(C55,KitchensData,24,0))=0,"Missing build time data on kitchens sheet",E55*(VLOOKUP(C55,KitchensData,15,0)*VLOOKUP(C55,KitchensData,24,0))))</f>
        <v/>
      </c>
    </row>
    <row r="56">
      <c r="A56" s="115"/>
      <c r="B56" s="69"/>
      <c r="C56" s="69"/>
      <c r="D56" s="122" t="str">
        <f>IF(C56="","",VLOOKUP(C56,KitchensData,12,0)+VLOOKUP(C56,KitchensData,14,0)+VLOOKUP(C56,KitchensData,17,0))</f>
        <v/>
      </c>
      <c r="E56" s="126"/>
      <c r="F56" s="67" t="str">
        <f>IF(OR(B56="",C56="",E56=""),"",(VLOOKUP(C56,KitchensData,12,0)+VLOOKUP(C56,KitchensData,14,0))*E56)</f>
        <v/>
      </c>
      <c r="G56" s="67" t="str">
        <f>IF(OR(E56="",C56=""),"",VLOOKUP(C56,KitchensData,17,0)*E56)</f>
        <v/>
      </c>
      <c r="H56" s="67" t="str">
        <f t="shared" si="1"/>
        <v/>
      </c>
      <c r="I56" s="124" t="str">
        <f>IF(OR(E56="",C56=""),"",IF(E56*(VLOOKUP(C56,KitchensData,16,0)*VLOOKUP(C56,KitchensData,31,0))=0,"Missing labour time data on kitchens sheet",E56*(VLOOKUP(C56,KitchensData,16,0)*VLOOKUP(C56,KitchensData,31,0))))</f>
        <v/>
      </c>
      <c r="J56" s="124" t="str">
        <f>IF(OR(E56="",C56=""),"",IF(E56*(VLOOKUP(C56,KitchensData,15,0)*VLOOKUP(C56,KitchensData,24,0))=0,"Missing build time data on kitchens sheet",E56*(VLOOKUP(C56,KitchensData,15,0)*VLOOKUP(C56,KitchensData,24,0))))</f>
        <v/>
      </c>
    </row>
    <row r="57">
      <c r="A57" s="115"/>
      <c r="B57" s="69"/>
      <c r="C57" s="69"/>
      <c r="D57" s="122" t="str">
        <f>IF(C57="","",VLOOKUP(C57,KitchensData,12,0)+VLOOKUP(C57,KitchensData,14,0)+VLOOKUP(C57,KitchensData,17,0))</f>
        <v/>
      </c>
      <c r="E57" s="126"/>
      <c r="F57" s="67" t="str">
        <f>IF(OR(B57="",C57="",E57=""),"",(VLOOKUP(C57,KitchensData,12,0)+VLOOKUP(C57,KitchensData,14,0))*E57)</f>
        <v/>
      </c>
      <c r="G57" s="67" t="str">
        <f>IF(OR(E57="",C57=""),"",VLOOKUP(C57,KitchensData,17,0)*E57)</f>
        <v/>
      </c>
      <c r="H57" s="67" t="str">
        <f t="shared" si="1"/>
        <v/>
      </c>
      <c r="I57" s="124" t="str">
        <f>IF(OR(E57="",C57=""),"",IF(E57*(VLOOKUP(C57,KitchensData,16,0)*VLOOKUP(C57,KitchensData,31,0))=0,"Missing labour time data on kitchens sheet",E57*(VLOOKUP(C57,KitchensData,16,0)*VLOOKUP(C57,KitchensData,31,0))))</f>
        <v/>
      </c>
      <c r="J57" s="124" t="str">
        <f>IF(OR(E57="",C57=""),"",IF(E57*(VLOOKUP(C57,KitchensData,15,0)*VLOOKUP(C57,KitchensData,24,0))=0,"Missing build time data on kitchens sheet",E57*(VLOOKUP(C57,KitchensData,15,0)*VLOOKUP(C57,KitchensData,24,0))))</f>
        <v/>
      </c>
    </row>
    <row r="58">
      <c r="A58" s="115"/>
      <c r="B58" s="69"/>
      <c r="C58" s="69"/>
      <c r="D58" s="122" t="str">
        <f>IF(C58="","",VLOOKUP(C58,KitchensData,12,0)+VLOOKUP(C58,KitchensData,14,0)+VLOOKUP(C58,KitchensData,17,0))</f>
        <v/>
      </c>
      <c r="E58" s="126"/>
      <c r="F58" s="67" t="str">
        <f>IF(OR(B58="",C58="",E58=""),"",(VLOOKUP(C58,KitchensData,12,0)+VLOOKUP(C58,KitchensData,14,0))*E58)</f>
        <v/>
      </c>
      <c r="G58" s="67" t="str">
        <f>IF(OR(E58="",C58=""),"",VLOOKUP(C58,KitchensData,17,0)*E58)</f>
        <v/>
      </c>
      <c r="H58" s="67" t="str">
        <f t="shared" si="1"/>
        <v/>
      </c>
      <c r="I58" s="124" t="str">
        <f>IF(OR(E58="",C58=""),"",IF(E58*(VLOOKUP(C58,KitchensData,16,0)*VLOOKUP(C58,KitchensData,31,0))=0,"Missing labour time data on kitchens sheet",E58*(VLOOKUP(C58,KitchensData,16,0)*VLOOKUP(C58,KitchensData,31,0))))</f>
        <v/>
      </c>
      <c r="J58" s="124" t="str">
        <f>IF(OR(E58="",C58=""),"",IF(E58*(VLOOKUP(C58,KitchensData,15,0)*VLOOKUP(C58,KitchensData,24,0))=0,"Missing build time data on kitchens sheet",E58*(VLOOKUP(C58,KitchensData,15,0)*VLOOKUP(C58,KitchensData,24,0))))</f>
        <v/>
      </c>
    </row>
    <row r="59">
      <c r="A59" s="115"/>
      <c r="B59" s="69"/>
      <c r="C59" s="69"/>
      <c r="D59" s="122" t="str">
        <f>IF(C59="","",VLOOKUP(C59,KitchensData,12,0)+VLOOKUP(C59,KitchensData,14,0)+VLOOKUP(C59,KitchensData,17,0))</f>
        <v/>
      </c>
      <c r="E59" s="126"/>
      <c r="F59" s="67" t="str">
        <f>IF(OR(B59="",C59="",E59=""),"",(VLOOKUP(C59,KitchensData,12,0)+VLOOKUP(C59,KitchensData,14,0))*E59)</f>
        <v/>
      </c>
      <c r="G59" s="67" t="str">
        <f>IF(OR(E59="",C59=""),"",VLOOKUP(C59,KitchensData,17,0)*E59)</f>
        <v/>
      </c>
      <c r="H59" s="67" t="str">
        <f t="shared" si="1"/>
        <v/>
      </c>
      <c r="I59" s="124" t="str">
        <f>IF(OR(E59="",C59=""),"",IF(E59*(VLOOKUP(C59,KitchensData,16,0)*VLOOKUP(C59,KitchensData,31,0))=0,"Missing labour time data on kitchens sheet",E59*(VLOOKUP(C59,KitchensData,16,0)*VLOOKUP(C59,KitchensData,31,0))))</f>
        <v/>
      </c>
      <c r="J59" s="124" t="str">
        <f>IF(OR(E59="",C59=""),"",IF(E59*(VLOOKUP(C59,KitchensData,15,0)*VLOOKUP(C59,KitchensData,24,0))=0,"Missing build time data on kitchens sheet",E59*(VLOOKUP(C59,KitchensData,15,0)*VLOOKUP(C59,KitchensData,24,0))))</f>
        <v/>
      </c>
    </row>
    <row r="60">
      <c r="A60" s="115"/>
      <c r="B60" s="69"/>
      <c r="C60" s="69"/>
      <c r="D60" s="122" t="str">
        <f>IF(C60="","",VLOOKUP(C60,KitchensData,12,0)+VLOOKUP(C60,KitchensData,14,0)+VLOOKUP(C60,KitchensData,17,0))</f>
        <v/>
      </c>
      <c r="E60" s="126"/>
      <c r="F60" s="67" t="str">
        <f>IF(OR(B60="",C60="",E60=""),"",(VLOOKUP(C60,KitchensData,12,0)+VLOOKUP(C60,KitchensData,14,0))*E60)</f>
        <v/>
      </c>
      <c r="G60" s="67" t="str">
        <f>IF(OR(E60="",C60=""),"",VLOOKUP(C60,KitchensData,17,0)*E60)</f>
        <v/>
      </c>
      <c r="H60" s="67" t="str">
        <f t="shared" si="1"/>
        <v/>
      </c>
      <c r="I60" s="124" t="str">
        <f>IF(OR(E60="",C60=""),"",IF(E60*(VLOOKUP(C60,KitchensData,16,0)*VLOOKUP(C60,KitchensData,31,0))=0,"Missing labour time data on kitchens sheet",E60*(VLOOKUP(C60,KitchensData,16,0)*VLOOKUP(C60,KitchensData,31,0))))</f>
        <v/>
      </c>
      <c r="J60" s="124" t="str">
        <f>IF(OR(E60="",C60=""),"",IF(E60*(VLOOKUP(C60,KitchensData,15,0)*VLOOKUP(C60,KitchensData,24,0))=0,"Missing build time data on kitchens sheet",E60*(VLOOKUP(C60,KitchensData,15,0)*VLOOKUP(C60,KitchensData,24,0))))</f>
        <v/>
      </c>
    </row>
    <row r="61">
      <c r="A61" s="115"/>
      <c r="B61" s="69"/>
      <c r="C61" s="69"/>
      <c r="D61" s="122" t="str">
        <f>IF(C61="","",VLOOKUP(C61,KitchensData,12,0)+VLOOKUP(C61,KitchensData,14,0)+VLOOKUP(C61,KitchensData,17,0))</f>
        <v/>
      </c>
      <c r="E61" s="126"/>
      <c r="F61" s="67" t="str">
        <f>IF(OR(B61="",C61="",E61=""),"",(VLOOKUP(C61,KitchensData,12,0)+VLOOKUP(C61,KitchensData,14,0))*E61)</f>
        <v/>
      </c>
      <c r="G61" s="67" t="str">
        <f>IF(OR(E61="",C61=""),"",VLOOKUP(C61,KitchensData,17,0)*E61)</f>
        <v/>
      </c>
      <c r="H61" s="67" t="str">
        <f t="shared" si="1"/>
        <v/>
      </c>
      <c r="I61" s="124" t="str">
        <f>IF(OR(E61="",C61=""),"",IF(E61*(VLOOKUP(C61,KitchensData,16,0)*VLOOKUP(C61,KitchensData,31,0))=0,"Missing labour time data on kitchens sheet",E61*(VLOOKUP(C61,KitchensData,16,0)*VLOOKUP(C61,KitchensData,31,0))))</f>
        <v/>
      </c>
      <c r="J61" s="124" t="str">
        <f>IF(OR(E61="",C61=""),"",IF(E61*(VLOOKUP(C61,KitchensData,15,0)*VLOOKUP(C61,KitchensData,24,0))=0,"Missing build time data on kitchens sheet",E61*(VLOOKUP(C61,KitchensData,15,0)*VLOOKUP(C61,KitchensData,24,0))))</f>
        <v/>
      </c>
    </row>
    <row r="62">
      <c r="A62" s="115"/>
      <c r="B62" s="69"/>
      <c r="C62" s="69"/>
      <c r="D62" s="122" t="str">
        <f>IF(C62="","",VLOOKUP(C62,KitchensData,12,0)+VLOOKUP(C62,KitchensData,14,0)+VLOOKUP(C62,KitchensData,17,0))</f>
        <v/>
      </c>
      <c r="E62" s="126"/>
      <c r="F62" s="67" t="str">
        <f>IF(OR(B62="",C62="",E62=""),"",(VLOOKUP(C62,KitchensData,12,0)+VLOOKUP(C62,KitchensData,14,0))*E62)</f>
        <v/>
      </c>
      <c r="G62" s="67" t="str">
        <f>IF(OR(E62="",C62=""),"",VLOOKUP(C62,KitchensData,17,0)*E62)</f>
        <v/>
      </c>
      <c r="H62" s="67" t="str">
        <f t="shared" si="1"/>
        <v/>
      </c>
      <c r="I62" s="124" t="str">
        <f>IF(OR(E62="",C62=""),"",IF(E62*(VLOOKUP(C62,KitchensData,16,0)*VLOOKUP(C62,KitchensData,31,0))=0,"Missing labour time data on kitchens sheet",E62*(VLOOKUP(C62,KitchensData,16,0)*VLOOKUP(C62,KitchensData,31,0))))</f>
        <v/>
      </c>
      <c r="J62" s="124" t="str">
        <f>IF(OR(E62="",C62=""),"",IF(E62*(VLOOKUP(C62,KitchensData,15,0)*VLOOKUP(C62,KitchensData,24,0))=0,"Missing build time data on kitchens sheet",E62*(VLOOKUP(C62,KitchensData,15,0)*VLOOKUP(C62,KitchensData,24,0))))</f>
        <v/>
      </c>
    </row>
    <row r="63">
      <c r="A63" s="115"/>
      <c r="B63" s="69"/>
      <c r="C63" s="69"/>
      <c r="D63" s="122" t="str">
        <f>IF(C63="","",VLOOKUP(C63,KitchensData,12,0)+VLOOKUP(C63,KitchensData,14,0)+VLOOKUP(C63,KitchensData,17,0))</f>
        <v/>
      </c>
      <c r="E63" s="126"/>
      <c r="F63" s="67" t="str">
        <f>IF(OR(B63="",C63="",E63=""),"",(VLOOKUP(C63,KitchensData,12,0)+VLOOKUP(C63,KitchensData,14,0))*E63)</f>
        <v/>
      </c>
      <c r="G63" s="67" t="str">
        <f>IF(OR(E63="",C63=""),"",VLOOKUP(C63,KitchensData,17,0)*E63)</f>
        <v/>
      </c>
      <c r="H63" s="67" t="str">
        <f t="shared" si="1"/>
        <v/>
      </c>
      <c r="I63" s="124" t="str">
        <f>IF(OR(E63="",C63=""),"",IF(E63*(VLOOKUP(C63,KitchensData,16,0)*VLOOKUP(C63,KitchensData,31,0))=0,"Missing labour time data on kitchens sheet",E63*(VLOOKUP(C63,KitchensData,16,0)*VLOOKUP(C63,KitchensData,31,0))))</f>
        <v/>
      </c>
      <c r="J63" s="124" t="str">
        <f>IF(OR(E63="",C63=""),"",IF(E63*(VLOOKUP(C63,KitchensData,15,0)*VLOOKUP(C63,KitchensData,24,0))=0,"Missing build time data on kitchens sheet",E63*(VLOOKUP(C63,KitchensData,15,0)*VLOOKUP(C63,KitchensData,24,0))))</f>
        <v/>
      </c>
    </row>
    <row r="64">
      <c r="A64" s="115"/>
      <c r="B64" s="69"/>
      <c r="C64" s="69"/>
      <c r="D64" s="122" t="str">
        <f>IF(C64="","",VLOOKUP(C64,KitchensData,12,0)+VLOOKUP(C64,KitchensData,14,0)+VLOOKUP(C64,KitchensData,17,0))</f>
        <v/>
      </c>
      <c r="E64" s="126"/>
      <c r="F64" s="67" t="str">
        <f>IF(OR(B64="",C64="",E64=""),"",(VLOOKUP(C64,KitchensData,12,0)+VLOOKUP(C64,KitchensData,14,0))*E64)</f>
        <v/>
      </c>
      <c r="G64" s="67" t="str">
        <f>IF(OR(E64="",C64=""),"",VLOOKUP(C64,KitchensData,17,0)*E64)</f>
        <v/>
      </c>
      <c r="H64" s="67" t="str">
        <f t="shared" si="1"/>
        <v/>
      </c>
      <c r="I64" s="124" t="str">
        <f>IF(OR(E64="",C64=""),"",IF(E64*(VLOOKUP(C64,KitchensData,16,0)*VLOOKUP(C64,KitchensData,31,0))=0,"Missing labour time data on kitchens sheet",E64*(VLOOKUP(C64,KitchensData,16,0)*VLOOKUP(C64,KitchensData,31,0))))</f>
        <v/>
      </c>
      <c r="J64" s="124" t="str">
        <f>IF(OR(E64="",C64=""),"",IF(E64*(VLOOKUP(C64,KitchensData,15,0)*VLOOKUP(C64,KitchensData,24,0))=0,"Missing build time data on kitchens sheet",E64*(VLOOKUP(C64,KitchensData,15,0)*VLOOKUP(C64,KitchensData,24,0))))</f>
        <v/>
      </c>
    </row>
    <row r="65">
      <c r="A65" s="115"/>
      <c r="B65" s="69"/>
      <c r="C65" s="69"/>
      <c r="D65" s="122" t="str">
        <f>IF(C65="","",VLOOKUP(C65,KitchensData,12,0)+VLOOKUP(C65,KitchensData,14,0)+VLOOKUP(C65,KitchensData,17,0))</f>
        <v/>
      </c>
      <c r="E65" s="126"/>
      <c r="F65" s="67" t="str">
        <f>IF(OR(B65="",C65="",E65=""),"",(VLOOKUP(C65,KitchensData,12,0)+VLOOKUP(C65,KitchensData,14,0))*E65)</f>
        <v/>
      </c>
      <c r="G65" s="67" t="str">
        <f>IF(OR(E65="",C65=""),"",VLOOKUP(C65,KitchensData,17,0)*E65)</f>
        <v/>
      </c>
      <c r="H65" s="67" t="str">
        <f t="shared" si="1"/>
        <v/>
      </c>
      <c r="I65" s="124" t="str">
        <f>IF(OR(E65="",C65=""),"",IF(E65*(VLOOKUP(C65,KitchensData,16,0)*VLOOKUP(C65,KitchensData,31,0))=0,"Missing labour time data on kitchens sheet",E65*(VLOOKUP(C65,KitchensData,16,0)*VLOOKUP(C65,KitchensData,31,0))))</f>
        <v/>
      </c>
      <c r="J65" s="124" t="str">
        <f>IF(OR(E65="",C65=""),"",IF(E65*(VLOOKUP(C65,KitchensData,15,0)*VLOOKUP(C65,KitchensData,24,0))=0,"Missing build time data on kitchens sheet",E65*(VLOOKUP(C65,KitchensData,15,0)*VLOOKUP(C65,KitchensData,24,0))))</f>
        <v/>
      </c>
    </row>
    <row r="66">
      <c r="A66" s="115"/>
      <c r="B66" s="69"/>
      <c r="C66" s="69"/>
      <c r="D66" s="122" t="str">
        <f>IF(C66="","",VLOOKUP(C66,KitchensData,12,0)+VLOOKUP(C66,KitchensData,14,0)+VLOOKUP(C66,KitchensData,17,0))</f>
        <v/>
      </c>
      <c r="E66" s="126"/>
      <c r="F66" s="67" t="str">
        <f>IF(OR(B66="",C66="",E66=""),"",(VLOOKUP(C66,KitchensData,12,0)+VLOOKUP(C66,KitchensData,14,0))*E66)</f>
        <v/>
      </c>
      <c r="G66" s="67" t="str">
        <f>IF(OR(E66="",C66=""),"",VLOOKUP(C66,KitchensData,17,0)*E66)</f>
        <v/>
      </c>
      <c r="H66" s="67" t="str">
        <f t="shared" si="1"/>
        <v/>
      </c>
      <c r="I66" s="124" t="str">
        <f>IF(OR(E66="",C66=""),"",IF(E66*(VLOOKUP(C66,KitchensData,16,0)*VLOOKUP(C66,KitchensData,31,0))=0,"Missing labour time data on kitchens sheet",E66*(VLOOKUP(C66,KitchensData,16,0)*VLOOKUP(C66,KitchensData,31,0))))</f>
        <v/>
      </c>
      <c r="J66" s="124" t="str">
        <f>IF(OR(E66="",C66=""),"",IF(E66*(VLOOKUP(C66,KitchensData,15,0)*VLOOKUP(C66,KitchensData,24,0))=0,"Missing build time data on kitchens sheet",E66*(VLOOKUP(C66,KitchensData,15,0)*VLOOKUP(C66,KitchensData,24,0))))</f>
        <v/>
      </c>
    </row>
    <row r="67">
      <c r="A67" s="115"/>
      <c r="B67" s="69"/>
      <c r="C67" s="69"/>
      <c r="D67" s="122" t="str">
        <f>IF(C67="","",VLOOKUP(C67,KitchensData,12,0)+VLOOKUP(C67,KitchensData,14,0)+VLOOKUP(C67,KitchensData,17,0))</f>
        <v/>
      </c>
      <c r="E67" s="126"/>
      <c r="F67" s="67" t="str">
        <f>IF(OR(B67="",C67="",E67=""),"",(VLOOKUP(C67,KitchensData,12,0)+VLOOKUP(C67,KitchensData,14,0))*E67)</f>
        <v/>
      </c>
      <c r="G67" s="67" t="str">
        <f>IF(OR(E67="",C67=""),"",VLOOKUP(C67,KitchensData,17,0)*E67)</f>
        <v/>
      </c>
      <c r="H67" s="67" t="str">
        <f t="shared" si="1"/>
        <v/>
      </c>
      <c r="I67" s="124" t="str">
        <f>IF(OR(E67="",C67=""),"",IF(E67*(VLOOKUP(C67,KitchensData,16,0)*VLOOKUP(C67,KitchensData,31,0))=0,"Missing labour time data on kitchens sheet",E67*(VLOOKUP(C67,KitchensData,16,0)*VLOOKUP(C67,KitchensData,31,0))))</f>
        <v/>
      </c>
      <c r="J67" s="124" t="str">
        <f>IF(OR(E67="",C67=""),"",IF(E67*(VLOOKUP(C67,KitchensData,15,0)*VLOOKUP(C67,KitchensData,24,0))=0,"Missing build time data on kitchens sheet",E67*(VLOOKUP(C67,KitchensData,15,0)*VLOOKUP(C67,KitchensData,24,0))))</f>
        <v/>
      </c>
    </row>
    <row r="68">
      <c r="A68" s="115"/>
      <c r="B68" s="69"/>
      <c r="C68" s="69"/>
      <c r="D68" s="122" t="str">
        <f>IF(C68="","",VLOOKUP(C68,KitchensData,12,0)+VLOOKUP(C68,KitchensData,14,0)+VLOOKUP(C68,KitchensData,17,0))</f>
        <v/>
      </c>
      <c r="E68" s="126"/>
      <c r="F68" s="67" t="str">
        <f>IF(OR(B68="",C68="",E68=""),"",(VLOOKUP(C68,KitchensData,12,0)+VLOOKUP(C68,KitchensData,14,0))*E68)</f>
        <v/>
      </c>
      <c r="G68" s="67" t="str">
        <f>IF(OR(E68="",C68=""),"",VLOOKUP(C68,KitchensData,17,0)*E68)</f>
        <v/>
      </c>
      <c r="H68" s="67" t="str">
        <f t="shared" si="1"/>
        <v/>
      </c>
      <c r="I68" s="124" t="str">
        <f>IF(OR(E68="",C68=""),"",IF(E68*(VLOOKUP(C68,KitchensData,16,0)*VLOOKUP(C68,KitchensData,31,0))=0,"Missing labour time data on kitchens sheet",E68*(VLOOKUP(C68,KitchensData,16,0)*VLOOKUP(C68,KitchensData,31,0))))</f>
        <v/>
      </c>
      <c r="J68" s="124" t="str">
        <f>IF(OR(E68="",C68=""),"",IF(E68*(VLOOKUP(C68,KitchensData,15,0)*VLOOKUP(C68,KitchensData,24,0))=0,"Missing build time data on kitchens sheet",E68*(VLOOKUP(C68,KitchensData,15,0)*VLOOKUP(C68,KitchensData,24,0))))</f>
        <v/>
      </c>
    </row>
    <row r="69">
      <c r="A69" s="115"/>
      <c r="B69" s="69"/>
      <c r="C69" s="77"/>
      <c r="D69" s="122" t="str">
        <f>IF(C69="","",VLOOKUP(C69,KitchensData,12,0)+VLOOKUP(C69,KitchensData,14,0)+VLOOKUP(C69,KitchensData,17,0))</f>
        <v/>
      </c>
      <c r="E69" s="129" t="str">
        <f t="shared" ref="E69:E100" si="2">IF(OR(B69="",C69=""),"",1)</f>
        <v/>
      </c>
      <c r="F69" s="67" t="str">
        <f>IF(OR(B69="",C69="",E69=""),"",(VLOOKUP(C69,KitchensData,12,0)+VLOOKUP(C69,KitchensData,14,0))*E69)</f>
        <v/>
      </c>
      <c r="G69" s="67" t="str">
        <f>IF(OR(E69="",C69=""),"",VLOOKUP(C69,KitchensData,17,0)*E69)</f>
        <v/>
      </c>
      <c r="H69" s="67" t="str">
        <f t="shared" si="1"/>
        <v/>
      </c>
      <c r="I69" s="124" t="str">
        <f>IF(OR(E69="",C69=""),"",IF(E69*(VLOOKUP(C69,KitchensData,16,0)*VLOOKUP(C69,KitchensData,31,0))=0,"Missing labour time data on kitchens sheet",E69*(VLOOKUP(C69,KitchensData,16,0)*VLOOKUP(C69,KitchensData,31,0))))</f>
        <v/>
      </c>
      <c r="J69" s="124" t="str">
        <f>IF(OR(E69="",C69=""),"",IF(E69*(VLOOKUP(C69,KitchensData,15,0)*VLOOKUP(C69,KitchensData,24,0))=0,"Missing build time data on kitchens sheet",E69*(VLOOKUP(C69,KitchensData,15,0)*VLOOKUP(C69,KitchensData,24,0))))</f>
        <v/>
      </c>
    </row>
    <row r="70">
      <c r="A70" s="115"/>
      <c r="B70" s="130"/>
      <c r="C70" s="77"/>
      <c r="D70" s="122" t="str">
        <f>IF(C70="","",VLOOKUP(C70,KitchensData,12,0)+VLOOKUP(C70,KitchensData,14,0)+VLOOKUP(C70,KitchensData,17,0))</f>
        <v/>
      </c>
      <c r="E70" s="129" t="str">
        <f t="shared" si="2"/>
        <v/>
      </c>
      <c r="F70" s="67" t="str">
        <f>IF(OR(B70="",C70="",E70=""),"",(VLOOKUP(C70,KitchensData,12,0)+VLOOKUP(C70,KitchensData,14,0))*E70)</f>
        <v/>
      </c>
      <c r="G70" s="67" t="str">
        <f>IF(OR(E70="",C70=""),"",VLOOKUP(C70,KitchensData,17,0)*E70)</f>
        <v/>
      </c>
      <c r="H70" s="67" t="str">
        <f t="shared" si="1"/>
        <v/>
      </c>
      <c r="I70" s="124" t="str">
        <f>IF(OR(E70="",C70=""),"",IF(E70*(VLOOKUP(C70,KitchensData,16,0)*VLOOKUP(C70,KitchensData,31,0))=0,"Missing labour time data on kitchens sheet",E70*(VLOOKUP(C70,KitchensData,16,0)*VLOOKUP(C70,KitchensData,31,0))))</f>
        <v/>
      </c>
      <c r="J70" s="124" t="str">
        <f>IF(OR(E70="",C70=""),"",IF(E70*(VLOOKUP(C70,KitchensData,15,0)*VLOOKUP(C70,KitchensData,24,0))=0,"Missing build time data on kitchens sheet",E70*(VLOOKUP(C70,KitchensData,15,0)*VLOOKUP(C70,KitchensData,24,0))))</f>
        <v/>
      </c>
    </row>
    <row r="71">
      <c r="A71" s="115"/>
      <c r="B71" s="130"/>
      <c r="C71" s="77"/>
      <c r="D71" s="122" t="str">
        <f>IF(C71="","",VLOOKUP(C71,KitchensData,12,0)+VLOOKUP(C71,KitchensData,14,0)+VLOOKUP(C71,KitchensData,17,0))</f>
        <v/>
      </c>
      <c r="E71" s="129" t="str">
        <f t="shared" si="2"/>
        <v/>
      </c>
      <c r="F71" s="67" t="str">
        <f>IF(OR(B71="",C71="",E71=""),"",(VLOOKUP(C71,KitchensData,12,0)+VLOOKUP(C71,KitchensData,14,0))*E71)</f>
        <v/>
      </c>
      <c r="G71" s="67" t="str">
        <f>IF(OR(E71="",C71=""),"",VLOOKUP(C71,KitchensData,17,0)*E71)</f>
        <v/>
      </c>
      <c r="H71" s="67" t="str">
        <f t="shared" si="1"/>
        <v/>
      </c>
      <c r="I71" s="124" t="str">
        <f>IF(OR(E71="",C71=""),"",IF(E71*(VLOOKUP(C71,KitchensData,16,0)*VLOOKUP(C71,KitchensData,31,0))=0,"Missing labour time data on kitchens sheet",E71*(VLOOKUP(C71,KitchensData,16,0)*VLOOKUP(C71,KitchensData,31,0))))</f>
        <v/>
      </c>
      <c r="J71" s="124" t="str">
        <f>IF(OR(E71="",C71=""),"",IF(E71*(VLOOKUP(C71,KitchensData,15,0)*VLOOKUP(C71,KitchensData,24,0))=0,"Missing build time data on kitchens sheet",E71*(VLOOKUP(C71,KitchensData,15,0)*VLOOKUP(C71,KitchensData,24,0))))</f>
        <v/>
      </c>
    </row>
    <row r="72">
      <c r="A72" s="115"/>
      <c r="B72" s="130"/>
      <c r="C72" s="77"/>
      <c r="D72" s="122" t="str">
        <f>IF(C72="","",VLOOKUP(C72,KitchensData,12,0)+VLOOKUP(C72,KitchensData,14,0)+VLOOKUP(C72,KitchensData,17,0))</f>
        <v/>
      </c>
      <c r="E72" s="129" t="str">
        <f t="shared" si="2"/>
        <v/>
      </c>
      <c r="F72" s="67" t="str">
        <f>IF(OR(B72="",C72="",E72=""),"",(VLOOKUP(C72,KitchensData,12,0)+VLOOKUP(C72,KitchensData,14,0))*E72)</f>
        <v/>
      </c>
      <c r="G72" s="67" t="str">
        <f>IF(OR(E72="",C72=""),"",VLOOKUP(C72,KitchensData,17,0)*E72)</f>
        <v/>
      </c>
      <c r="H72" s="67" t="str">
        <f t="shared" si="1"/>
        <v/>
      </c>
      <c r="I72" s="124" t="str">
        <f>IF(OR(E72="",C72=""),"",IF(E72*(VLOOKUP(C72,KitchensData,16,0)*VLOOKUP(C72,KitchensData,31,0))=0,"Missing labour time data on kitchens sheet",E72*(VLOOKUP(C72,KitchensData,16,0)*VLOOKUP(C72,KitchensData,31,0))))</f>
        <v/>
      </c>
      <c r="J72" s="124" t="str">
        <f>IF(OR(E72="",C72=""),"",IF(E72*(VLOOKUP(C72,KitchensData,15,0)*VLOOKUP(C72,KitchensData,24,0))=0,"Missing build time data on kitchens sheet",E72*(VLOOKUP(C72,KitchensData,15,0)*VLOOKUP(C72,KitchensData,24,0))))</f>
        <v/>
      </c>
    </row>
    <row r="73">
      <c r="A73" s="115"/>
      <c r="B73" s="130"/>
      <c r="C73" s="77"/>
      <c r="D73" s="122" t="str">
        <f>IF(C73="","",VLOOKUP(C73,KitchensData,12,0)+VLOOKUP(C73,KitchensData,14,0)+VLOOKUP(C73,KitchensData,17,0))</f>
        <v/>
      </c>
      <c r="E73" s="129" t="str">
        <f t="shared" si="2"/>
        <v/>
      </c>
      <c r="F73" s="67" t="str">
        <f>IF(OR(B73="",C73="",E73=""),"",(VLOOKUP(C73,KitchensData,12,0)+VLOOKUP(C73,KitchensData,14,0))*E73)</f>
        <v/>
      </c>
      <c r="G73" s="67" t="str">
        <f>IF(OR(E73="",C73=""),"",VLOOKUP(C73,KitchensData,17,0)*E73)</f>
        <v/>
      </c>
      <c r="H73" s="67" t="str">
        <f t="shared" si="1"/>
        <v/>
      </c>
      <c r="I73" s="124" t="str">
        <f>IF(OR(E73="",C73=""),"",IF(E73*(VLOOKUP(C73,KitchensData,16,0)*VLOOKUP(C73,KitchensData,31,0))=0,"Missing labour time data on kitchens sheet",E73*(VLOOKUP(C73,KitchensData,16,0)*VLOOKUP(C73,KitchensData,31,0))))</f>
        <v/>
      </c>
      <c r="J73" s="124" t="str">
        <f>IF(OR(E73="",C73=""),"",IF(E73*(VLOOKUP(C73,KitchensData,15,0)*VLOOKUP(C73,KitchensData,24,0))=0,"Missing build time data on kitchens sheet",E73*(VLOOKUP(C73,KitchensData,15,0)*VLOOKUP(C73,KitchensData,24,0))))</f>
        <v/>
      </c>
    </row>
    <row r="74">
      <c r="A74" s="115"/>
      <c r="B74" s="130"/>
      <c r="C74" s="77"/>
      <c r="D74" s="122" t="str">
        <f>IF(C74="","",VLOOKUP(C74,KitchensData,12,0)+VLOOKUP(C74,KitchensData,14,0)+VLOOKUP(C74,KitchensData,17,0))</f>
        <v/>
      </c>
      <c r="E74" s="129" t="str">
        <f t="shared" si="2"/>
        <v/>
      </c>
      <c r="F74" s="67" t="str">
        <f>IF(OR(B74="",C74="",E74=""),"",(VLOOKUP(C74,KitchensData,12,0)+VLOOKUP(C74,KitchensData,14,0))*E74)</f>
        <v/>
      </c>
      <c r="G74" s="67" t="str">
        <f>IF(OR(E74="",C74=""),"",VLOOKUP(C74,KitchensData,17,0)*E74)</f>
        <v/>
      </c>
      <c r="H74" s="67" t="str">
        <f t="shared" si="1"/>
        <v/>
      </c>
      <c r="I74" s="124" t="str">
        <f>IF(OR(E74="",C74=""),"",IF(E74*(VLOOKUP(C74,KitchensData,16,0)*VLOOKUP(C74,KitchensData,31,0))=0,"Missing labour time data on kitchens sheet",E74*(VLOOKUP(C74,KitchensData,16,0)*VLOOKUP(C74,KitchensData,31,0))))</f>
        <v/>
      </c>
      <c r="J74" s="124" t="str">
        <f>IF(OR(E74="",C74=""),"",IF(E74*(VLOOKUP(C74,KitchensData,15,0)*VLOOKUP(C74,KitchensData,24,0))=0,"Missing build time data on kitchens sheet",E74*(VLOOKUP(C74,KitchensData,15,0)*VLOOKUP(C74,KitchensData,24,0))))</f>
        <v/>
      </c>
    </row>
    <row r="75">
      <c r="A75" s="115"/>
      <c r="B75" s="130"/>
      <c r="C75" s="77"/>
      <c r="D75" s="122" t="str">
        <f>IF(C75="","",VLOOKUP(C75,KitchensData,12,0)+VLOOKUP(C75,KitchensData,14,0)+VLOOKUP(C75,KitchensData,17,0))</f>
        <v/>
      </c>
      <c r="E75" s="129" t="str">
        <f t="shared" si="2"/>
        <v/>
      </c>
      <c r="F75" s="67" t="str">
        <f>IF(OR(B75="",C75="",E75=""),"",(VLOOKUP(C75,KitchensData,12,0)+VLOOKUP(C75,KitchensData,14,0))*E75)</f>
        <v/>
      </c>
      <c r="G75" s="67" t="str">
        <f>IF(OR(E75="",C75=""),"",VLOOKUP(C75,KitchensData,17,0)*E75)</f>
        <v/>
      </c>
      <c r="H75" s="67" t="str">
        <f t="shared" si="1"/>
        <v/>
      </c>
      <c r="I75" s="124" t="str">
        <f>IF(OR(E75="",C75=""),"",IF(E75*(VLOOKUP(C75,KitchensData,16,0)*VLOOKUP(C75,KitchensData,31,0))=0,"Missing labour time data on kitchens sheet",E75*(VLOOKUP(C75,KitchensData,16,0)*VLOOKUP(C75,KitchensData,31,0))))</f>
        <v/>
      </c>
      <c r="J75" s="124" t="str">
        <f>IF(OR(E75="",C75=""),"",IF(E75*(VLOOKUP(C75,KitchensData,15,0)*VLOOKUP(C75,KitchensData,24,0))=0,"Missing build time data on kitchens sheet",E75*(VLOOKUP(C75,KitchensData,15,0)*VLOOKUP(C75,KitchensData,24,0))))</f>
        <v/>
      </c>
    </row>
    <row r="76">
      <c r="A76" s="115"/>
      <c r="B76" s="130"/>
      <c r="C76" s="77"/>
      <c r="D76" s="122" t="str">
        <f>IF(C76="","",VLOOKUP(C76,KitchensData,12,0)+VLOOKUP(C76,KitchensData,14,0)+VLOOKUP(C76,KitchensData,17,0))</f>
        <v/>
      </c>
      <c r="E76" s="129" t="str">
        <f t="shared" si="2"/>
        <v/>
      </c>
      <c r="F76" s="67" t="str">
        <f>IF(OR(B76="",C76="",E76=""),"",(VLOOKUP(C76,KitchensData,12,0)+VLOOKUP(C76,KitchensData,14,0))*E76)</f>
        <v/>
      </c>
      <c r="G76" s="67" t="str">
        <f>IF(OR(E76="",C76=""),"",VLOOKUP(C76,KitchensData,17,0)*E76)</f>
        <v/>
      </c>
      <c r="H76" s="67" t="str">
        <f t="shared" si="1"/>
        <v/>
      </c>
      <c r="I76" s="124" t="str">
        <f>IF(OR(E76="",C76=""),"",IF(E76*(VLOOKUP(C76,KitchensData,16,0)*VLOOKUP(C76,KitchensData,31,0))=0,"Missing labour time data on kitchens sheet",E76*(VLOOKUP(C76,KitchensData,16,0)*VLOOKUP(C76,KitchensData,31,0))))</f>
        <v/>
      </c>
      <c r="J76" s="124" t="str">
        <f>IF(OR(E76="",C76=""),"",IF(E76*(VLOOKUP(C76,KitchensData,15,0)*VLOOKUP(C76,KitchensData,24,0))=0,"Missing build time data on kitchens sheet",E76*(VLOOKUP(C76,KitchensData,15,0)*VLOOKUP(C76,KitchensData,24,0))))</f>
        <v/>
      </c>
    </row>
    <row r="77">
      <c r="A77" s="115"/>
      <c r="B77" s="130"/>
      <c r="C77" s="77"/>
      <c r="D77" s="122" t="str">
        <f>IF(C77="","",VLOOKUP(C77,KitchensData,12,0)+VLOOKUP(C77,KitchensData,14,0)+VLOOKUP(C77,KitchensData,17,0))</f>
        <v/>
      </c>
      <c r="E77" s="129" t="str">
        <f t="shared" si="2"/>
        <v/>
      </c>
      <c r="F77" s="67" t="str">
        <f>IF(OR(B77="",C77="",E77=""),"",(VLOOKUP(C77,KitchensData,12,0)+VLOOKUP(C77,KitchensData,14,0))*E77)</f>
        <v/>
      </c>
      <c r="G77" s="67" t="str">
        <f>IF(OR(E77="",C77=""),"",VLOOKUP(C77,KitchensData,17,0)*E77)</f>
        <v/>
      </c>
      <c r="H77" s="67" t="str">
        <f t="shared" si="1"/>
        <v/>
      </c>
      <c r="I77" s="124" t="str">
        <f>IF(OR(E77="",C77=""),"",IF(E77*(VLOOKUP(C77,KitchensData,16,0)*VLOOKUP(C77,KitchensData,31,0))=0,"Missing labour time data on kitchens sheet",E77*(VLOOKUP(C77,KitchensData,16,0)*VLOOKUP(C77,KitchensData,31,0))))</f>
        <v/>
      </c>
      <c r="J77" s="124" t="str">
        <f>IF(OR(E77="",C77=""),"",IF(E77*(VLOOKUP(C77,KitchensData,15,0)*VLOOKUP(C77,KitchensData,24,0))=0,"Missing build time data on kitchens sheet",E77*(VLOOKUP(C77,KitchensData,15,0)*VLOOKUP(C77,KitchensData,24,0))))</f>
        <v/>
      </c>
    </row>
    <row r="78">
      <c r="A78" s="115"/>
      <c r="B78" s="130"/>
      <c r="C78" s="77"/>
      <c r="D78" s="122" t="str">
        <f>IF(C78="","",VLOOKUP(C78,KitchensData,12,0)+VLOOKUP(C78,KitchensData,14,0)+VLOOKUP(C78,KitchensData,17,0))</f>
        <v/>
      </c>
      <c r="E78" s="129" t="str">
        <f t="shared" si="2"/>
        <v/>
      </c>
      <c r="F78" s="67" t="str">
        <f>IF(OR(B78="",C78="",E78=""),"",(VLOOKUP(C78,KitchensData,12,0)+VLOOKUP(C78,KitchensData,14,0))*E78)</f>
        <v/>
      </c>
      <c r="G78" s="67" t="str">
        <f>IF(OR(E78="",C78=""),"",VLOOKUP(C78,KitchensData,17,0)*E78)</f>
        <v/>
      </c>
      <c r="H78" s="67" t="str">
        <f t="shared" si="1"/>
        <v/>
      </c>
      <c r="I78" s="124" t="str">
        <f>IF(OR(E78="",C78=""),"",IF(E78*(VLOOKUP(C78,KitchensData,16,0)*VLOOKUP(C78,KitchensData,31,0))=0,"Missing labour time data on kitchens sheet",E78*(VLOOKUP(C78,KitchensData,16,0)*VLOOKUP(C78,KitchensData,31,0))))</f>
        <v/>
      </c>
      <c r="J78" s="124" t="str">
        <f>IF(OR(E78="",C78=""),"",IF(E78*(VLOOKUP(C78,KitchensData,15,0)*VLOOKUP(C78,KitchensData,24,0))=0,"Missing build time data on kitchens sheet",E78*(VLOOKUP(C78,KitchensData,15,0)*VLOOKUP(C78,KitchensData,24,0))))</f>
        <v/>
      </c>
    </row>
    <row r="79">
      <c r="A79" s="115"/>
      <c r="B79" s="130"/>
      <c r="C79" s="77"/>
      <c r="D79" s="122" t="str">
        <f>IF(C79="","",VLOOKUP(C79,KitchensData,12,0)+VLOOKUP(C79,KitchensData,14,0)+VLOOKUP(C79,KitchensData,17,0))</f>
        <v/>
      </c>
      <c r="E79" s="129" t="str">
        <f t="shared" si="2"/>
        <v/>
      </c>
      <c r="F79" s="67" t="str">
        <f>IF(OR(B79="",C79="",E79=""),"",(VLOOKUP(C79,KitchensData,12,0)+VLOOKUP(C79,KitchensData,14,0))*E79)</f>
        <v/>
      </c>
      <c r="G79" s="67" t="str">
        <f>IF(OR(E79="",C79=""),"",VLOOKUP(C79,KitchensData,17,0)*E79)</f>
        <v/>
      </c>
      <c r="H79" s="67" t="str">
        <f t="shared" si="1"/>
        <v/>
      </c>
      <c r="I79" s="124" t="str">
        <f>IF(OR(E79="",C79=""),"",IF(E79*(VLOOKUP(C79,KitchensData,16,0)*VLOOKUP(C79,KitchensData,31,0))=0,"Missing labour time data on kitchens sheet",E79*(VLOOKUP(C79,KitchensData,16,0)*VLOOKUP(C79,KitchensData,31,0))))</f>
        <v/>
      </c>
      <c r="J79" s="124" t="str">
        <f>IF(OR(E79="",C79=""),"",IF(E79*(VLOOKUP(C79,KitchensData,15,0)*VLOOKUP(C79,KitchensData,24,0))=0,"Missing build time data on kitchens sheet",E79*(VLOOKUP(C79,KitchensData,15,0)*VLOOKUP(C79,KitchensData,24,0))))</f>
        <v/>
      </c>
    </row>
    <row r="80">
      <c r="A80" s="115"/>
      <c r="B80" s="130"/>
      <c r="C80" s="77"/>
      <c r="D80" s="122" t="str">
        <f>IF(C80="","",VLOOKUP(C80,KitchensData,12,0)+VLOOKUP(C80,KitchensData,14,0)+VLOOKUP(C80,KitchensData,17,0))</f>
        <v/>
      </c>
      <c r="E80" s="129" t="str">
        <f t="shared" si="2"/>
        <v/>
      </c>
      <c r="F80" s="67" t="str">
        <f>IF(OR(B80="",C80="",E80=""),"",(VLOOKUP(C80,KitchensData,12,0)+VLOOKUP(C80,KitchensData,14,0))*E80)</f>
        <v/>
      </c>
      <c r="G80" s="67" t="str">
        <f>IF(OR(E80="",C80=""),"",VLOOKUP(C80,KitchensData,17,0)*E80)</f>
        <v/>
      </c>
      <c r="H80" s="67" t="str">
        <f t="shared" si="1"/>
        <v/>
      </c>
      <c r="I80" s="124" t="str">
        <f>IF(OR(E80="",C80=""),"",IF(E80*(VLOOKUP(C80,KitchensData,16,0)*VLOOKUP(C80,KitchensData,31,0))=0,"Missing labour time data on kitchens sheet",E80*(VLOOKUP(C80,KitchensData,16,0)*VLOOKUP(C80,KitchensData,31,0))))</f>
        <v/>
      </c>
      <c r="J80" s="124" t="str">
        <f>IF(OR(E80="",C80=""),"",IF(E80*(VLOOKUP(C80,KitchensData,15,0)*VLOOKUP(C80,KitchensData,24,0))=0,"Missing build time data on kitchens sheet",E80*(VLOOKUP(C80,KitchensData,15,0)*VLOOKUP(C80,KitchensData,24,0))))</f>
        <v/>
      </c>
    </row>
    <row r="81">
      <c r="A81" s="115"/>
      <c r="B81" s="130"/>
      <c r="C81" s="77"/>
      <c r="D81" s="122" t="str">
        <f>IF(C81="","",VLOOKUP(C81,KitchensData,12,0)+VLOOKUP(C81,KitchensData,14,0)+VLOOKUP(C81,KitchensData,17,0))</f>
        <v/>
      </c>
      <c r="E81" s="129" t="str">
        <f t="shared" si="2"/>
        <v/>
      </c>
      <c r="F81" s="67" t="str">
        <f>IF(OR(B81="",C81="",E81=""),"",(VLOOKUP(C81,KitchensData,12,0)+VLOOKUP(C81,KitchensData,14,0))*E81)</f>
        <v/>
      </c>
      <c r="G81" s="67" t="str">
        <f>IF(OR(E81="",C81=""),"",VLOOKUP(C81,KitchensData,17,0)*E81)</f>
        <v/>
      </c>
      <c r="H81" s="67" t="str">
        <f t="shared" si="1"/>
        <v/>
      </c>
      <c r="I81" s="124" t="str">
        <f>IF(OR(E81="",C81=""),"",IF(E81*(VLOOKUP(C81,KitchensData,16,0)*VLOOKUP(C81,KitchensData,31,0))=0,"Missing labour time data on kitchens sheet",E81*(VLOOKUP(C81,KitchensData,16,0)*VLOOKUP(C81,KitchensData,31,0))))</f>
        <v/>
      </c>
      <c r="J81" s="124" t="str">
        <f>IF(OR(E81="",C81=""),"",IF(E81*(VLOOKUP(C81,KitchensData,15,0)*VLOOKUP(C81,KitchensData,24,0))=0,"Missing build time data on kitchens sheet",E81*(VLOOKUP(C81,KitchensData,15,0)*VLOOKUP(C81,KitchensData,24,0))))</f>
        <v/>
      </c>
    </row>
    <row r="82">
      <c r="A82" s="115"/>
      <c r="B82" s="130"/>
      <c r="C82" s="77"/>
      <c r="D82" s="122" t="str">
        <f>IF(C82="","",VLOOKUP(C82,KitchensData,12,0)+VLOOKUP(C82,KitchensData,14,0)+VLOOKUP(C82,KitchensData,17,0))</f>
        <v/>
      </c>
      <c r="E82" s="129" t="str">
        <f t="shared" si="2"/>
        <v/>
      </c>
      <c r="F82" s="67" t="str">
        <f>IF(OR(B82="",C82="",E82=""),"",(VLOOKUP(C82,KitchensData,12,0)+VLOOKUP(C82,KitchensData,14,0))*E82)</f>
        <v/>
      </c>
      <c r="G82" s="67" t="str">
        <f>IF(OR(E82="",C82=""),"",VLOOKUP(C82,KitchensData,17,0)*E82)</f>
        <v/>
      </c>
      <c r="H82" s="67" t="str">
        <f t="shared" si="1"/>
        <v/>
      </c>
      <c r="I82" s="124" t="str">
        <f>IF(OR(E82="",C82=""),"",IF(E82*(VLOOKUP(C82,KitchensData,16,0)*VLOOKUP(C82,KitchensData,31,0))=0,"Missing labour time data on kitchens sheet",E82*(VLOOKUP(C82,KitchensData,16,0)*VLOOKUP(C82,KitchensData,31,0))))</f>
        <v/>
      </c>
      <c r="J82" s="124" t="str">
        <f>IF(OR(E82="",C82=""),"",IF(E82*(VLOOKUP(C82,KitchensData,15,0)*VLOOKUP(C82,KitchensData,24,0))=0,"Missing build time data on kitchens sheet",E82*(VLOOKUP(C82,KitchensData,15,0)*VLOOKUP(C82,KitchensData,24,0))))</f>
        <v/>
      </c>
    </row>
    <row r="83">
      <c r="A83" s="115"/>
      <c r="B83" s="130"/>
      <c r="C83" s="77"/>
      <c r="D83" s="122" t="str">
        <f>IF(C83="","",VLOOKUP(C83,KitchensData,12,0)+VLOOKUP(C83,KitchensData,14,0)+VLOOKUP(C83,KitchensData,17,0))</f>
        <v/>
      </c>
      <c r="E83" s="129" t="str">
        <f t="shared" si="2"/>
        <v/>
      </c>
      <c r="F83" s="67" t="str">
        <f>IF(OR(B83="",C83="",E83=""),"",(VLOOKUP(C83,KitchensData,12,0)+VLOOKUP(C83,KitchensData,14,0))*E83)</f>
        <v/>
      </c>
      <c r="G83" s="67" t="str">
        <f>IF(OR(E83="",C83=""),"",VLOOKUP(C83,KitchensData,17,0)*E83)</f>
        <v/>
      </c>
      <c r="H83" s="67" t="str">
        <f t="shared" si="1"/>
        <v/>
      </c>
      <c r="I83" s="124" t="str">
        <f>IF(OR(E83="",C83=""),"",IF(E83*(VLOOKUP(C83,KitchensData,16,0)*VLOOKUP(C83,KitchensData,31,0))=0,"Missing labour time data on kitchens sheet",E83*(VLOOKUP(C83,KitchensData,16,0)*VLOOKUP(C83,KitchensData,31,0))))</f>
        <v/>
      </c>
      <c r="J83" s="124" t="str">
        <f>IF(OR(E83="",C83=""),"",IF(E83*(VLOOKUP(C83,KitchensData,15,0)*VLOOKUP(C83,KitchensData,24,0))=0,"Missing build time data on kitchens sheet",E83*(VLOOKUP(C83,KitchensData,15,0)*VLOOKUP(C83,KitchensData,24,0))))</f>
        <v/>
      </c>
    </row>
    <row r="84">
      <c r="A84" s="115"/>
      <c r="B84" s="130"/>
      <c r="C84" s="77"/>
      <c r="D84" s="122" t="str">
        <f>IF(C84="","",VLOOKUP(C84,KitchensData,12,0)+VLOOKUP(C84,KitchensData,14,0)+VLOOKUP(C84,KitchensData,17,0))</f>
        <v/>
      </c>
      <c r="E84" s="129" t="str">
        <f t="shared" si="2"/>
        <v/>
      </c>
      <c r="F84" s="67" t="str">
        <f>IF(OR(B84="",C84="",E84=""),"",(VLOOKUP(C84,KitchensData,12,0)+VLOOKUP(C84,KitchensData,14,0))*E84)</f>
        <v/>
      </c>
      <c r="G84" s="67" t="str">
        <f>IF(OR(E84="",C84=""),"",VLOOKUP(C84,KitchensData,17,0)*E84)</f>
        <v/>
      </c>
      <c r="H84" s="67" t="str">
        <f t="shared" si="1"/>
        <v/>
      </c>
      <c r="I84" s="124" t="str">
        <f>IF(OR(E84="",C84=""),"",IF(E84*(VLOOKUP(C84,KitchensData,16,0)*VLOOKUP(C84,KitchensData,31,0))=0,"Missing labour time data on kitchens sheet",E84*(VLOOKUP(C84,KitchensData,16,0)*VLOOKUP(C84,KitchensData,31,0))))</f>
        <v/>
      </c>
      <c r="J84" s="124" t="str">
        <f>IF(OR(E84="",C84=""),"",IF(E84*(VLOOKUP(C84,KitchensData,15,0)*VLOOKUP(C84,KitchensData,24,0))=0,"Missing build time data on kitchens sheet",E84*(VLOOKUP(C84,KitchensData,15,0)*VLOOKUP(C84,KitchensData,24,0))))</f>
        <v/>
      </c>
    </row>
    <row r="85">
      <c r="A85" s="115"/>
      <c r="B85" s="130"/>
      <c r="C85" s="77"/>
      <c r="D85" s="122" t="str">
        <f>IF(C85="","",VLOOKUP(C85,KitchensData,12,0)+VLOOKUP(C85,KitchensData,14,0)+VLOOKUP(C85,KitchensData,17,0))</f>
        <v/>
      </c>
      <c r="E85" s="129" t="str">
        <f t="shared" si="2"/>
        <v/>
      </c>
      <c r="F85" s="67" t="str">
        <f>IF(OR(B85="",C85="",E85=""),"",(VLOOKUP(C85,KitchensData,12,0)+VLOOKUP(C85,KitchensData,14,0))*E85)</f>
        <v/>
      </c>
      <c r="G85" s="67" t="str">
        <f>IF(OR(E85="",C85=""),"",VLOOKUP(C85,KitchensData,17,0)*E85)</f>
        <v/>
      </c>
      <c r="H85" s="67" t="str">
        <f t="shared" si="1"/>
        <v/>
      </c>
      <c r="I85" s="124" t="str">
        <f>IF(OR(E85="",C85=""),"",IF(E85*(VLOOKUP(C85,KitchensData,16,0)*VLOOKUP(C85,KitchensData,31,0))=0,"Missing labour time data on kitchens sheet",E85*(VLOOKUP(C85,KitchensData,16,0)*VLOOKUP(C85,KitchensData,31,0))))</f>
        <v/>
      </c>
      <c r="J85" s="124" t="str">
        <f>IF(OR(E85="",C85=""),"",IF(E85*(VLOOKUP(C85,KitchensData,15,0)*VLOOKUP(C85,KitchensData,24,0))=0,"Missing build time data on kitchens sheet",E85*(VLOOKUP(C85,KitchensData,15,0)*VLOOKUP(C85,KitchensData,24,0))))</f>
        <v/>
      </c>
    </row>
    <row r="86">
      <c r="A86" s="115"/>
      <c r="B86" s="130"/>
      <c r="C86" s="77"/>
      <c r="D86" s="122" t="str">
        <f>IF(C86="","",VLOOKUP(C86,KitchensData,12,0)+VLOOKUP(C86,KitchensData,14,0)+VLOOKUP(C86,KitchensData,17,0))</f>
        <v/>
      </c>
      <c r="E86" s="129" t="str">
        <f t="shared" si="2"/>
        <v/>
      </c>
      <c r="F86" s="67" t="str">
        <f>IF(OR(B86="",C86="",E86=""),"",(VLOOKUP(C86,KitchensData,12,0)+VLOOKUP(C86,KitchensData,14,0))*E86)</f>
        <v/>
      </c>
      <c r="G86" s="67" t="str">
        <f>IF(OR(E86="",C86=""),"",VLOOKUP(C86,KitchensData,17,0)*E86)</f>
        <v/>
      </c>
      <c r="H86" s="67" t="str">
        <f t="shared" si="1"/>
        <v/>
      </c>
      <c r="I86" s="124" t="str">
        <f>IF(OR(E86="",C86=""),"",IF(E86*(VLOOKUP(C86,KitchensData,16,0)*VLOOKUP(C86,KitchensData,31,0))=0,"Missing labour time data on kitchens sheet",E86*(VLOOKUP(C86,KitchensData,16,0)*VLOOKUP(C86,KitchensData,31,0))))</f>
        <v/>
      </c>
      <c r="J86" s="124" t="str">
        <f>IF(OR(E86="",C86=""),"",IF(E86*(VLOOKUP(C86,KitchensData,15,0)*VLOOKUP(C86,KitchensData,24,0))=0,"Missing build time data on kitchens sheet",E86*(VLOOKUP(C86,KitchensData,15,0)*VLOOKUP(C86,KitchensData,24,0))))</f>
        <v/>
      </c>
    </row>
    <row r="87">
      <c r="A87" s="115"/>
      <c r="B87" s="130"/>
      <c r="C87" s="77"/>
      <c r="D87" s="122" t="str">
        <f>IF(C87="","",VLOOKUP(C87,KitchensData,12,0)+VLOOKUP(C87,KitchensData,14,0)+VLOOKUP(C87,KitchensData,17,0))</f>
        <v/>
      </c>
      <c r="E87" s="129" t="str">
        <f t="shared" si="2"/>
        <v/>
      </c>
      <c r="F87" s="67" t="str">
        <f>IF(OR(B87="",C87="",E87=""),"",(VLOOKUP(C87,KitchensData,12,0)+VLOOKUP(C87,KitchensData,14,0))*E87)</f>
        <v/>
      </c>
      <c r="G87" s="67" t="str">
        <f>IF(OR(E87="",C87=""),"",VLOOKUP(C87,KitchensData,17,0)*E87)</f>
        <v/>
      </c>
      <c r="H87" s="67" t="str">
        <f t="shared" si="1"/>
        <v/>
      </c>
      <c r="I87" s="124" t="str">
        <f>IF(OR(E87="",C87=""),"",IF(E87*(VLOOKUP(C87,KitchensData,16,0)*VLOOKUP(C87,KitchensData,31,0))=0,"Missing labour time data on kitchens sheet",E87*(VLOOKUP(C87,KitchensData,16,0)*VLOOKUP(C87,KitchensData,31,0))))</f>
        <v/>
      </c>
      <c r="J87" s="124" t="str">
        <f>IF(OR(E87="",C87=""),"",IF(E87*(VLOOKUP(C87,KitchensData,15,0)*VLOOKUP(C87,KitchensData,24,0))=0,"Missing build time data on kitchens sheet",E87*(VLOOKUP(C87,KitchensData,15,0)*VLOOKUP(C87,KitchensData,24,0))))</f>
        <v/>
      </c>
    </row>
    <row r="88">
      <c r="A88" s="115"/>
      <c r="B88" s="130"/>
      <c r="C88" s="77"/>
      <c r="D88" s="122" t="str">
        <f>IF(C88="","",VLOOKUP(C88,KitchensData,12,0)+VLOOKUP(C88,KitchensData,14,0)+VLOOKUP(C88,KitchensData,17,0))</f>
        <v/>
      </c>
      <c r="E88" s="129" t="str">
        <f t="shared" si="2"/>
        <v/>
      </c>
      <c r="F88" s="67" t="str">
        <f>IF(OR(B88="",C88="",E88=""),"",(VLOOKUP(C88,KitchensData,12,0)+VLOOKUP(C88,KitchensData,14,0))*E88)</f>
        <v/>
      </c>
      <c r="G88" s="67" t="str">
        <f>IF(OR(E88="",C88=""),"",VLOOKUP(C88,KitchensData,17,0)*E88)</f>
        <v/>
      </c>
      <c r="H88" s="67" t="str">
        <f t="shared" si="1"/>
        <v/>
      </c>
      <c r="I88" s="124" t="str">
        <f>IF(OR(E88="",C88=""),"",IF(E88*(VLOOKUP(C88,KitchensData,16,0)*VLOOKUP(C88,KitchensData,31,0))=0,"Missing labour time data on kitchens sheet",E88*(VLOOKUP(C88,KitchensData,16,0)*VLOOKUP(C88,KitchensData,31,0))))</f>
        <v/>
      </c>
      <c r="J88" s="124" t="str">
        <f>IF(OR(E88="",C88=""),"",IF(E88*(VLOOKUP(C88,KitchensData,15,0)*VLOOKUP(C88,KitchensData,24,0))=0,"Missing build time data on kitchens sheet",E88*(VLOOKUP(C88,KitchensData,15,0)*VLOOKUP(C88,KitchensData,24,0))))</f>
        <v/>
      </c>
    </row>
    <row r="89">
      <c r="A89" s="115"/>
      <c r="B89" s="130"/>
      <c r="C89" s="77"/>
      <c r="D89" s="122" t="str">
        <f>IF(C89="","",VLOOKUP(C89,KitchensData,12,0)+VLOOKUP(C89,KitchensData,14,0)+VLOOKUP(C89,KitchensData,17,0))</f>
        <v/>
      </c>
      <c r="E89" s="129" t="str">
        <f t="shared" si="2"/>
        <v/>
      </c>
      <c r="F89" s="67" t="str">
        <f>IF(OR(B89="",C89="",E89=""),"",(VLOOKUP(C89,KitchensData,12,0)+VLOOKUP(C89,KitchensData,14,0))*E89)</f>
        <v/>
      </c>
      <c r="G89" s="67" t="str">
        <f>IF(OR(E89="",C89=""),"",VLOOKUP(C89,KitchensData,17,0)*E89)</f>
        <v/>
      </c>
      <c r="H89" s="67" t="str">
        <f t="shared" si="1"/>
        <v/>
      </c>
      <c r="I89" s="124" t="str">
        <f>IF(OR(E89="",C89=""),"",IF(E89*(VLOOKUP(C89,KitchensData,16,0)*VLOOKUP(C89,KitchensData,31,0))=0,"Missing labour time data on kitchens sheet",E89*(VLOOKUP(C89,KitchensData,16,0)*VLOOKUP(C89,KitchensData,31,0))))</f>
        <v/>
      </c>
      <c r="J89" s="124" t="str">
        <f>IF(OR(E89="",C89=""),"",IF(E89*(VLOOKUP(C89,KitchensData,15,0)*VLOOKUP(C89,KitchensData,24,0))=0,"Missing build time data on kitchens sheet",E89*(VLOOKUP(C89,KitchensData,15,0)*VLOOKUP(C89,KitchensData,24,0))))</f>
        <v/>
      </c>
    </row>
    <row r="90">
      <c r="A90" s="115"/>
      <c r="B90" s="130"/>
      <c r="C90" s="77"/>
      <c r="D90" s="122" t="str">
        <f>IF(C90="","",VLOOKUP(C90,KitchensData,12,0)+VLOOKUP(C90,KitchensData,14,0)+VLOOKUP(C90,KitchensData,17,0))</f>
        <v/>
      </c>
      <c r="E90" s="129" t="str">
        <f t="shared" si="2"/>
        <v/>
      </c>
      <c r="F90" s="67" t="str">
        <f>IF(OR(B90="",C90="",E90=""),"",(VLOOKUP(C90,KitchensData,12,0)+VLOOKUP(C90,KitchensData,14,0))*E90)</f>
        <v/>
      </c>
      <c r="G90" s="67" t="str">
        <f>IF(OR(E90="",C90=""),"",VLOOKUP(C90,KitchensData,17,0)*E90)</f>
        <v/>
      </c>
      <c r="H90" s="67" t="str">
        <f t="shared" si="1"/>
        <v/>
      </c>
      <c r="I90" s="124" t="str">
        <f>IF(OR(E90="",C90=""),"",IF(E90*(VLOOKUP(C90,KitchensData,16,0)*VLOOKUP(C90,KitchensData,31,0))=0,"Missing labour time data on kitchens sheet",E90*(VLOOKUP(C90,KitchensData,16,0)*VLOOKUP(C90,KitchensData,31,0))))</f>
        <v/>
      </c>
      <c r="J90" s="124" t="str">
        <f>IF(OR(E90="",C90=""),"",IF(E90*(VLOOKUP(C90,KitchensData,15,0)*VLOOKUP(C90,KitchensData,24,0))=0,"Missing build time data on kitchens sheet",E90*(VLOOKUP(C90,KitchensData,15,0)*VLOOKUP(C90,KitchensData,24,0))))</f>
        <v/>
      </c>
    </row>
    <row r="91">
      <c r="A91" s="115"/>
      <c r="B91" s="130"/>
      <c r="C91" s="77"/>
      <c r="D91" s="122" t="str">
        <f>IF(C91="","",VLOOKUP(C91,KitchensData,12,0)+VLOOKUP(C91,KitchensData,14,0)+VLOOKUP(C91,KitchensData,17,0))</f>
        <v/>
      </c>
      <c r="E91" s="129" t="str">
        <f t="shared" si="2"/>
        <v/>
      </c>
      <c r="F91" s="67" t="str">
        <f>IF(OR(B91="",C91="",E91=""),"",(VLOOKUP(C91,KitchensData,12,0)+VLOOKUP(C91,KitchensData,14,0))*E91)</f>
        <v/>
      </c>
      <c r="G91" s="67" t="str">
        <f>IF(OR(E91="",C91=""),"",VLOOKUP(C91,KitchensData,17,0)*E91)</f>
        <v/>
      </c>
      <c r="H91" s="67" t="str">
        <f t="shared" si="1"/>
        <v/>
      </c>
      <c r="I91" s="124" t="str">
        <f>IF(OR(E91="",C91=""),"",IF(E91*(VLOOKUP(C91,KitchensData,16,0)*VLOOKUP(C91,KitchensData,31,0))=0,"Missing labour time data on kitchens sheet",E91*(VLOOKUP(C91,KitchensData,16,0)*VLOOKUP(C91,KitchensData,31,0))))</f>
        <v/>
      </c>
      <c r="J91" s="124" t="str">
        <f>IF(OR(E91="",C91=""),"",IF(E91*(VLOOKUP(C91,KitchensData,15,0)*VLOOKUP(C91,KitchensData,24,0))=0,"Missing build time data on kitchens sheet",E91*(VLOOKUP(C91,KitchensData,15,0)*VLOOKUP(C91,KitchensData,24,0))))</f>
        <v/>
      </c>
    </row>
    <row r="92">
      <c r="A92" s="115"/>
      <c r="B92" s="130"/>
      <c r="C92" s="77"/>
      <c r="D92" s="122" t="str">
        <f>IF(C92="","",VLOOKUP(C92,KitchensData,12,0)+VLOOKUP(C92,KitchensData,14,0)+VLOOKUP(C92,KitchensData,17,0))</f>
        <v/>
      </c>
      <c r="E92" s="129" t="str">
        <f t="shared" si="2"/>
        <v/>
      </c>
      <c r="F92" s="67" t="str">
        <f>IF(OR(B92="",C92="",E92=""),"",(VLOOKUP(C92,KitchensData,12,0)+VLOOKUP(C92,KitchensData,14,0))*E92)</f>
        <v/>
      </c>
      <c r="G92" s="67" t="str">
        <f>IF(OR(E92="",C92=""),"",VLOOKUP(C92,KitchensData,17,0)*E92)</f>
        <v/>
      </c>
      <c r="H92" s="67" t="str">
        <f t="shared" si="1"/>
        <v/>
      </c>
      <c r="I92" s="124" t="str">
        <f>IF(OR(E92="",C92=""),"",IF(E92*(VLOOKUP(C92,KitchensData,16,0)*VLOOKUP(C92,KitchensData,31,0))=0,"Missing labour time data on kitchens sheet",E92*(VLOOKUP(C92,KitchensData,16,0)*VLOOKUP(C92,KitchensData,31,0))))</f>
        <v/>
      </c>
      <c r="J92" s="124" t="str">
        <f>IF(OR(E92="",C92=""),"",IF(E92*(VLOOKUP(C92,KitchensData,15,0)*VLOOKUP(C92,KitchensData,24,0))=0,"Missing build time data on kitchens sheet",E92*(VLOOKUP(C92,KitchensData,15,0)*VLOOKUP(C92,KitchensData,24,0))))</f>
        <v/>
      </c>
    </row>
    <row r="93">
      <c r="A93" s="115"/>
      <c r="B93" s="130"/>
      <c r="C93" s="77"/>
      <c r="D93" s="122" t="str">
        <f>IF(C93="","",VLOOKUP(C93,KitchensData,12,0)+VLOOKUP(C93,KitchensData,14,0)+VLOOKUP(C93,KitchensData,17,0))</f>
        <v/>
      </c>
      <c r="E93" s="129" t="str">
        <f t="shared" si="2"/>
        <v/>
      </c>
      <c r="F93" s="67" t="str">
        <f>IF(OR(B93="",C93="",E93=""),"",(VLOOKUP(C93,KitchensData,12,0)+VLOOKUP(C93,KitchensData,14,0))*E93)</f>
        <v/>
      </c>
      <c r="G93" s="67" t="str">
        <f>IF(OR(E93="",C93=""),"",VLOOKUP(C93,KitchensData,17,0)*E93)</f>
        <v/>
      </c>
      <c r="H93" s="67" t="str">
        <f t="shared" si="1"/>
        <v/>
      </c>
      <c r="I93" s="124" t="str">
        <f>IF(OR(E93="",C93=""),"",IF(E93*(VLOOKUP(C93,KitchensData,16,0)*VLOOKUP(C93,KitchensData,31,0))=0,"Missing labour time data on kitchens sheet",E93*(VLOOKUP(C93,KitchensData,16,0)*VLOOKUP(C93,KitchensData,31,0))))</f>
        <v/>
      </c>
      <c r="J93" s="124" t="str">
        <f>IF(OR(E93="",C93=""),"",IF(E93*(VLOOKUP(C93,KitchensData,15,0)*VLOOKUP(C93,KitchensData,24,0))=0,"Missing build time data on kitchens sheet",E93*(VLOOKUP(C93,KitchensData,15,0)*VLOOKUP(C93,KitchensData,24,0))))</f>
        <v/>
      </c>
    </row>
    <row r="94">
      <c r="A94" s="115"/>
      <c r="B94" s="130"/>
      <c r="C94" s="77"/>
      <c r="D94" s="122" t="str">
        <f>IF(C94="","",VLOOKUP(C94,KitchensData,12,0)+VLOOKUP(C94,KitchensData,14,0)+VLOOKUP(C94,KitchensData,17,0))</f>
        <v/>
      </c>
      <c r="E94" s="129" t="str">
        <f t="shared" si="2"/>
        <v/>
      </c>
      <c r="F94" s="67" t="str">
        <f>IF(OR(B94="",C94="",E94=""),"",(VLOOKUP(C94,KitchensData,12,0)+VLOOKUP(C94,KitchensData,14,0))*E94)</f>
        <v/>
      </c>
      <c r="G94" s="67" t="str">
        <f>IF(OR(E94="",C94=""),"",VLOOKUP(C94,KitchensData,17,0)*E94)</f>
        <v/>
      </c>
      <c r="H94" s="67" t="str">
        <f t="shared" si="1"/>
        <v/>
      </c>
      <c r="I94" s="124" t="str">
        <f>IF(OR(E94="",C94=""),"",IF(E94*(VLOOKUP(C94,KitchensData,16,0)*VLOOKUP(C94,KitchensData,31,0))=0,"Missing labour time data on kitchens sheet",E94*(VLOOKUP(C94,KitchensData,16,0)*VLOOKUP(C94,KitchensData,31,0))))</f>
        <v/>
      </c>
      <c r="J94" s="124" t="str">
        <f>IF(OR(E94="",C94=""),"",IF(E94*(VLOOKUP(C94,KitchensData,15,0)*VLOOKUP(C94,KitchensData,24,0))=0,"Missing build time data on kitchens sheet",E94*(VLOOKUP(C94,KitchensData,15,0)*VLOOKUP(C94,KitchensData,24,0))))</f>
        <v/>
      </c>
    </row>
    <row r="95">
      <c r="A95" s="115"/>
      <c r="B95" s="130"/>
      <c r="C95" s="77"/>
      <c r="D95" s="122" t="str">
        <f>IF(C95="","",VLOOKUP(C95,KitchensData,12,0)+VLOOKUP(C95,KitchensData,14,0)+VLOOKUP(C95,KitchensData,17,0))</f>
        <v/>
      </c>
      <c r="E95" s="129" t="str">
        <f t="shared" si="2"/>
        <v/>
      </c>
      <c r="F95" s="67" t="str">
        <f>IF(OR(B95="",C95="",E95=""),"",(VLOOKUP(C95,KitchensData,12,0)+VLOOKUP(C95,KitchensData,14,0))*E95)</f>
        <v/>
      </c>
      <c r="G95" s="67" t="str">
        <f>IF(OR(E95="",C95=""),"",VLOOKUP(C95,KitchensData,17,0)*E95)</f>
        <v/>
      </c>
      <c r="H95" s="67" t="str">
        <f t="shared" si="1"/>
        <v/>
      </c>
      <c r="I95" s="124" t="str">
        <f>IF(OR(E95="",C95=""),"",IF(E95*(VLOOKUP(C95,KitchensData,16,0)*VLOOKUP(C95,KitchensData,31,0))=0,"Missing labour time data on kitchens sheet",E95*(VLOOKUP(C95,KitchensData,16,0)*VLOOKUP(C95,KitchensData,31,0))))</f>
        <v/>
      </c>
      <c r="J95" s="124" t="str">
        <f>IF(OR(E95="",C95=""),"",IF(E95*(VLOOKUP(C95,KitchensData,15,0)*VLOOKUP(C95,KitchensData,24,0))=0,"Missing build time data on kitchens sheet",E95*(VLOOKUP(C95,KitchensData,15,0)*VLOOKUP(C95,KitchensData,24,0))))</f>
        <v/>
      </c>
    </row>
    <row r="96">
      <c r="A96" s="115"/>
      <c r="B96" s="130"/>
      <c r="C96" s="77"/>
      <c r="D96" s="122" t="str">
        <f>IF(C96="","",VLOOKUP(C96,KitchensData,12,0)+VLOOKUP(C96,KitchensData,14,0)+VLOOKUP(C96,KitchensData,17,0))</f>
        <v/>
      </c>
      <c r="E96" s="129" t="str">
        <f t="shared" si="2"/>
        <v/>
      </c>
      <c r="F96" s="67" t="str">
        <f>IF(OR(B96="",C96="",E96=""),"",(VLOOKUP(C96,KitchensData,12,0)+VLOOKUP(C96,KitchensData,14,0))*E96)</f>
        <v/>
      </c>
      <c r="G96" s="67" t="str">
        <f>IF(OR(E96="",C96=""),"",VLOOKUP(C96,KitchensData,17,0)*E96)</f>
        <v/>
      </c>
      <c r="H96" s="67" t="str">
        <f t="shared" si="1"/>
        <v/>
      </c>
      <c r="I96" s="124" t="str">
        <f>IF(OR(E96="",C96=""),"",IF(E96*(VLOOKUP(C96,KitchensData,16,0)*VLOOKUP(C96,KitchensData,31,0))=0,"Missing labour time data on kitchens sheet",E96*(VLOOKUP(C96,KitchensData,16,0)*VLOOKUP(C96,KitchensData,31,0))))</f>
        <v/>
      </c>
      <c r="J96" s="124" t="str">
        <f>IF(OR(E96="",C96=""),"",IF(E96*(VLOOKUP(C96,KitchensData,15,0)*VLOOKUP(C96,KitchensData,24,0))=0,"Missing build time data on kitchens sheet",E96*(VLOOKUP(C96,KitchensData,15,0)*VLOOKUP(C96,KitchensData,24,0))))</f>
        <v/>
      </c>
    </row>
    <row r="97">
      <c r="A97" s="115"/>
      <c r="B97" s="130"/>
      <c r="C97" s="77"/>
      <c r="D97" s="122" t="str">
        <f>IF(C97="","",VLOOKUP(C97,KitchensData,12,0)+VLOOKUP(C97,KitchensData,14,0)+VLOOKUP(C97,KitchensData,17,0))</f>
        <v/>
      </c>
      <c r="E97" s="129" t="str">
        <f t="shared" si="2"/>
        <v/>
      </c>
      <c r="F97" s="67" t="str">
        <f>IF(OR(B97="",C97="",E97=""),"",(VLOOKUP(C97,KitchensData,12,0)+VLOOKUP(C97,KitchensData,14,0))*E97)</f>
        <v/>
      </c>
      <c r="G97" s="67" t="str">
        <f>IF(OR(E97="",C97=""),"",VLOOKUP(C97,KitchensData,17,0)*E97)</f>
        <v/>
      </c>
      <c r="H97" s="67" t="str">
        <f t="shared" si="1"/>
        <v/>
      </c>
      <c r="I97" s="124" t="str">
        <f>IF(OR(E97="",C97=""),"",IF(E97*(VLOOKUP(C97,KitchensData,16,0)*VLOOKUP(C97,KitchensData,31,0))=0,"Missing labour time data on kitchens sheet",E97*(VLOOKUP(C97,KitchensData,16,0)*VLOOKUP(C97,KitchensData,31,0))))</f>
        <v/>
      </c>
      <c r="J97" s="124" t="str">
        <f>IF(OR(E97="",C97=""),"",IF(E97*(VLOOKUP(C97,KitchensData,15,0)*VLOOKUP(C97,KitchensData,24,0))=0,"Missing build time data on kitchens sheet",E97*(VLOOKUP(C97,KitchensData,15,0)*VLOOKUP(C97,KitchensData,24,0))))</f>
        <v/>
      </c>
    </row>
    <row r="98">
      <c r="A98" s="115"/>
      <c r="B98" s="130"/>
      <c r="C98" s="77"/>
      <c r="D98" s="122" t="str">
        <f>IF(C98="","",VLOOKUP(C98,KitchensData,12,0)+VLOOKUP(C98,KitchensData,14,0)+VLOOKUP(C98,KitchensData,17,0))</f>
        <v/>
      </c>
      <c r="E98" s="129" t="str">
        <f t="shared" si="2"/>
        <v/>
      </c>
      <c r="F98" s="67" t="str">
        <f>IF(OR(B98="",C98="",E98=""),"",(VLOOKUP(C98,KitchensData,12,0)+VLOOKUP(C98,KitchensData,14,0))*E98)</f>
        <v/>
      </c>
      <c r="G98" s="67" t="str">
        <f>IF(OR(E98="",C98=""),"",VLOOKUP(C98,KitchensData,17,0)*E98)</f>
        <v/>
      </c>
      <c r="H98" s="67" t="str">
        <f t="shared" si="1"/>
        <v/>
      </c>
      <c r="I98" s="124" t="str">
        <f>IF(OR(E98="",C98=""),"",IF(E98*(VLOOKUP(C98,KitchensData,16,0)*VLOOKUP(C98,KitchensData,31,0))=0,"Missing labour time data on kitchens sheet",E98*(VLOOKUP(C98,KitchensData,16,0)*VLOOKUP(C98,KitchensData,31,0))))</f>
        <v/>
      </c>
      <c r="J98" s="124" t="str">
        <f>IF(OR(E98="",C98=""),"",IF(E98*(VLOOKUP(C98,KitchensData,15,0)*VLOOKUP(C98,KitchensData,24,0))=0,"Missing build time data on kitchens sheet",E98*(VLOOKUP(C98,KitchensData,15,0)*VLOOKUP(C98,KitchensData,24,0))))</f>
        <v/>
      </c>
    </row>
    <row r="99">
      <c r="A99" s="115"/>
      <c r="B99" s="130"/>
      <c r="C99" s="77"/>
      <c r="D99" s="122" t="str">
        <f>IF(C99="","",VLOOKUP(C99,KitchensData,12,0)+VLOOKUP(C99,KitchensData,14,0)+VLOOKUP(C99,KitchensData,17,0))</f>
        <v/>
      </c>
      <c r="E99" s="129" t="str">
        <f t="shared" si="2"/>
        <v/>
      </c>
      <c r="F99" s="67" t="str">
        <f>IF(OR(B99="",C99="",E99=""),"",(VLOOKUP(C99,KitchensData,12,0)+VLOOKUP(C99,KitchensData,14,0))*E99)</f>
        <v/>
      </c>
      <c r="G99" s="67" t="str">
        <f>IF(OR(E99="",C99=""),"",VLOOKUP(C99,KitchensData,17,0)*E99)</f>
        <v/>
      </c>
      <c r="H99" s="67" t="str">
        <f t="shared" si="1"/>
        <v/>
      </c>
      <c r="I99" s="124" t="str">
        <f>IF(OR(E99="",C99=""),"",IF(E99*(VLOOKUP(C99,KitchensData,16,0)*VLOOKUP(C99,KitchensData,31,0))=0,"Missing labour time data on kitchens sheet",E99*(VLOOKUP(C99,KitchensData,16,0)*VLOOKUP(C99,KitchensData,31,0))))</f>
        <v/>
      </c>
      <c r="J99" s="124" t="str">
        <f>IF(OR(E99="",C99=""),"",IF(E99*(VLOOKUP(C99,KitchensData,15,0)*VLOOKUP(C99,KitchensData,24,0))=0,"Missing build time data on kitchens sheet",E99*(VLOOKUP(C99,KitchensData,15,0)*VLOOKUP(C99,KitchensData,24,0))))</f>
        <v/>
      </c>
    </row>
    <row r="100">
      <c r="A100" s="115"/>
      <c r="B100" s="130"/>
      <c r="C100" s="77"/>
      <c r="D100" s="122" t="str">
        <f>IF(C100="","",VLOOKUP(C100,KitchensData,12,0)+VLOOKUP(C100,KitchensData,14,0)+VLOOKUP(C100,KitchensData,17,0))</f>
        <v/>
      </c>
      <c r="E100" s="129" t="str">
        <f t="shared" si="2"/>
        <v/>
      </c>
      <c r="F100" s="67" t="str">
        <f>IF(OR(B100="",C100="",E100=""),"",(VLOOKUP(C100,KitchensData,12,0)+VLOOKUP(C100,KitchensData,14,0))*E100)</f>
        <v/>
      </c>
      <c r="G100" s="67" t="str">
        <f>IF(OR(E100="",C100=""),"",VLOOKUP(C100,KitchensData,17,0)*E100)</f>
        <v/>
      </c>
      <c r="H100" s="67" t="str">
        <f t="shared" si="1"/>
        <v/>
      </c>
      <c r="I100" s="124" t="str">
        <f>IF(OR(E100="",C100=""),"",IF(E100*(VLOOKUP(C100,KitchensData,16,0)*VLOOKUP(C100,KitchensData,31,0))=0,"Missing labour time data on kitchens sheet",E100*(VLOOKUP(C100,KitchensData,16,0)*VLOOKUP(C100,KitchensData,31,0))))</f>
        <v/>
      </c>
      <c r="J100" s="124" t="str">
        <f>IF(OR(E100="",C100=""),"",IF(E100*(VLOOKUP(C100,KitchensData,15,0)*VLOOKUP(C100,KitchensData,24,0))=0,"Missing build time data on kitchens sheet",E100*(VLOOKUP(C100,KitchensData,15,0)*VLOOKUP(C100,KitchensData,24,0))))</f>
        <v/>
      </c>
    </row>
  </sheetData>
  <mergeCells count="11">
    <mergeCell ref="E10:G10"/>
    <mergeCell ref="E11:G11"/>
    <mergeCell ref="K1:K100"/>
    <mergeCell ref="L32:T100"/>
    <mergeCell ref="B1:F1"/>
    <mergeCell ref="H1:I1"/>
    <mergeCell ref="J1:J12"/>
    <mergeCell ref="H2:I2"/>
    <mergeCell ref="G5:I7"/>
    <mergeCell ref="B8:I9"/>
    <mergeCell ref="E12:G12"/>
  </mergeCells>
  <conditionalFormatting sqref="I14:I100">
    <cfRule type="cellIs" dxfId="2" priority="1" operator="equal">
      <formula>"Missing labour time data on kitchens sheet"</formula>
    </cfRule>
  </conditionalFormatting>
  <conditionalFormatting sqref="R2:R31">
    <cfRule type="expression" dxfId="3" priority="2">
      <formula>OR(AND($Q2="Top &amp; bottom",OR($R2="",$R2&lt;400)),AND($Q2="Top &amp; bottom",$N2&lt;600),AND($Q2="Top &amp; bottom",$R2&gt;=($M2-($M2*0.2))))</formula>
    </cfRule>
  </conditionalFormatting>
  <conditionalFormatting sqref="B14:B100">
    <cfRule type="expression" dxfId="3" priority="3">
      <formula>COUNTIF(INDIRECT("Wardrobes_etc quote builder!$B$14:$B$100"),$B14)&gt;0</formula>
    </cfRule>
  </conditionalFormatting>
  <conditionalFormatting sqref="P2:Q31">
    <cfRule type="expression" dxfId="3" priority="4">
      <formula>IF(AND($P2=0,$Q2="No door")=TRUE,FALSE,IF(AND($P2=1,OR($Q2="Single (LH)",$Q2="Single (RH)",$Q2="Single (NH)"))=TRUE,FALSE,IF(AND($P2=2,OR($Q2="Top &amp; bottom (LH)",$Q2="Top &amp; bottom (RH)",$Q2="Top &amp; bottom (NH)",$Q2="Side by side"))=TRUE,FALSE,IF(AND($P2="",$Q2=""),FALSE,TRUE))))</formula>
    </cfRule>
  </conditionalFormatting>
  <conditionalFormatting sqref="N2:N31 Q2:Q31">
    <cfRule type="expression" dxfId="3" priority="5">
      <formula>AND($N2&lt;601,$Q2="Side by side")</formula>
    </cfRule>
  </conditionalFormatting>
  <conditionalFormatting sqref="M2:O31">
    <cfRule type="expression" dxfId="3" priority="6">
      <formula>IF(OR(AND($M2&gt;1210,$N2&gt;1210),AND($M2&gt;1210,$O2&gt;1210),AND($N2&gt;1210,$O2&gt;1210))=TRUE,TRUE,FALSE)</formula>
    </cfRule>
  </conditionalFormatting>
  <conditionalFormatting sqref="M2:M31">
    <cfRule type="cellIs" dxfId="3" priority="7" operator="greaterThan">
      <formula>2420</formula>
    </cfRule>
  </conditionalFormatting>
  <conditionalFormatting sqref="N2:N31">
    <cfRule type="cellIs" dxfId="3" priority="8" operator="greaterThan">
      <formula>2420</formula>
    </cfRule>
  </conditionalFormatting>
  <conditionalFormatting sqref="O2:O31">
    <cfRule type="cellIs" dxfId="3" priority="9" operator="greaterThan">
      <formula>2420</formula>
    </cfRule>
  </conditionalFormatting>
  <conditionalFormatting sqref="H12">
    <cfRule type="expression" dxfId="4" priority="10">
      <formula>ISERROR(FIND("anel",$E$12))=FALSE</formula>
    </cfRule>
  </conditionalFormatting>
  <conditionalFormatting sqref="I12">
    <cfRule type="expression" dxfId="5" priority="11">
      <formula>ISERROR(FIND("anel",$E$12))=FALSE</formula>
    </cfRule>
  </conditionalFormatting>
  <conditionalFormatting sqref="R2">
    <cfRule type="expression" dxfId="6" priority="12">
      <formula>AND(ISERROR(FIND("stile",$E$12))=FALSE,ISERROR(FIND("no",$E$12))=TRUE,$R2="",$Q2="Side by side")</formula>
    </cfRule>
  </conditionalFormatting>
  <dataValidations>
    <dataValidation type="list" allowBlank="1" showErrorMessage="1" sqref="C12">
      <formula1>'Fixed lists'!$J$3:$J$20</formula1>
    </dataValidation>
    <dataValidation type="list" allowBlank="1" showErrorMessage="1" sqref="I12">
      <formula1>StileSizes</formula1>
    </dataValidation>
    <dataValidation type="list" allowBlank="1" showErrorMessage="1" sqref="C14:C100">
      <formula1>Kitchens!$A$3:$A$200</formula1>
    </dataValidation>
    <dataValidation type="list" allowBlank="1" showErrorMessage="1" sqref="Q2:Q31">
      <formula1>"No door,Single (LH),Single (RH),Single (NH),Top &amp; bottom (LH),Top &amp; bottom (RH),Top &amp; bottom (NH),Side by side"</formula1>
    </dataValidation>
    <dataValidation type="list" allowBlank="1" showErrorMessage="1" sqref="C10">
      <formula1>'Fixed lists'!$A$3:$A$20</formula1>
    </dataValidation>
    <dataValidation type="list" allowBlank="1" showErrorMessage="1" sqref="E14:E100">
      <formula1>"1,2,3,4,5,6,7,8,9,10"</formula1>
    </dataValidation>
    <dataValidation type="list" allowBlank="1" showErrorMessage="1" sqref="E11">
      <formula1>'Fixed lists'!$G$3:$G$20</formula1>
    </dataValidation>
    <dataValidation type="list" allowBlank="1" showErrorMessage="1" sqref="E12">
      <formula1>'Fixed lists'!$D$3:$D$21</formula1>
    </dataValidation>
    <dataValidation type="list" allowBlank="1" showErrorMessage="1" sqref="I10">
      <formula1>'Fixed lists'!$T$3:$T$200</formula1>
    </dataValidation>
    <dataValidation type="list" allowBlank="1" showErrorMessage="1" sqref="P2:P31">
      <formula1>"0,1,2"</formula1>
    </dataValidation>
    <dataValidation type="list" allowBlank="1" showErrorMessage="1" sqref="E10 C11">
      <formula1>'Fixed lists'!$M$3:$M$20</formula1>
    </dataValidation>
    <dataValidation type="list" allowBlank="1" showErrorMessage="1" sqref="B14:B100">
      <formula1>'Fixed lists'!$Q$3:$Q$200</formula1>
    </dataValidation>
    <dataValidation type="list" allowBlank="1" showErrorMessage="1" sqref="S2:T31">
      <formula1>'Fixed lists'!$P$3:$P$200</formula1>
    </dataValidation>
    <dataValidation type="list" allowBlank="1" showErrorMessage="1" sqref="I11">
      <formula1>'Fixed lists'!$S$3:$S$200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20.38"/>
    <col customWidth="1" min="2" max="2" width="13.5"/>
    <col customWidth="1" min="3" max="3" width="35.88"/>
    <col customWidth="1" min="4" max="4" width="10.75"/>
    <col customWidth="1" min="5" max="5" width="5.63"/>
    <col customWidth="1" min="6" max="6" width="14.0"/>
    <col customWidth="1" min="7" max="7" width="9.5"/>
    <col customWidth="1" min="8" max="8" width="10.5"/>
    <col customWidth="1" min="9" max="9" width="15.88"/>
    <col customWidth="1" min="10" max="10" width="13.0"/>
    <col customWidth="1" min="11" max="11" width="7.38"/>
    <col customWidth="1" min="12" max="12" width="7.63"/>
    <col customWidth="1" min="13" max="13" width="5.88"/>
    <col customWidth="1" min="14" max="14" width="5.25"/>
    <col customWidth="1" min="15" max="15" width="6.75"/>
    <col customWidth="1" min="16" max="16" width="6.13"/>
    <col customWidth="1" min="17" max="17" width="15.88"/>
    <col customWidth="1" min="18" max="18" width="8.5"/>
    <col customWidth="1" min="19" max="20" width="35.13"/>
  </cols>
  <sheetData>
    <row r="1">
      <c r="A1" s="131" t="s">
        <v>16</v>
      </c>
      <c r="B1" s="80"/>
      <c r="G1" s="81" t="s">
        <v>53</v>
      </c>
      <c r="H1" s="82"/>
      <c r="I1" s="82"/>
      <c r="J1" s="82"/>
      <c r="K1" s="82"/>
      <c r="L1" s="84" t="s">
        <v>54</v>
      </c>
      <c r="M1" s="84" t="s">
        <v>55</v>
      </c>
      <c r="N1" s="84" t="s">
        <v>56</v>
      </c>
      <c r="O1" s="84" t="s">
        <v>57</v>
      </c>
      <c r="P1" s="84" t="s">
        <v>58</v>
      </c>
      <c r="Q1" s="84" t="s">
        <v>59</v>
      </c>
      <c r="R1" s="84" t="s">
        <v>60</v>
      </c>
      <c r="S1" s="84" t="s">
        <v>61</v>
      </c>
      <c r="T1" s="84" t="s">
        <v>62</v>
      </c>
    </row>
    <row r="2">
      <c r="A2" s="132" t="s">
        <v>26</v>
      </c>
      <c r="B2" s="133" t="s">
        <v>20</v>
      </c>
      <c r="C2" s="87"/>
      <c r="D2" s="87"/>
      <c r="E2" s="87"/>
      <c r="F2" s="43">
        <f>IF(G2="",sum(F14:F100),sum(F14:F100)-(sum(F14:F100)*G2))</f>
        <v>0</v>
      </c>
      <c r="G2" s="88"/>
      <c r="H2" s="89" t="s">
        <v>64</v>
      </c>
      <c r="L2" s="97" t="str">
        <f>IFERROR(__xludf.DUMMYFUNCTION("SORT(UNIQUE('Wardrobes_etc quote builder'!B14:B100),1,TRUE)"),"")</f>
        <v/>
      </c>
      <c r="M2" s="91"/>
      <c r="N2" s="91"/>
      <c r="O2" s="91"/>
      <c r="P2" s="92"/>
      <c r="Q2" s="92"/>
      <c r="R2" s="91"/>
      <c r="S2" s="92"/>
      <c r="T2" s="92"/>
    </row>
    <row r="3">
      <c r="A3" s="132" t="s">
        <v>30</v>
      </c>
      <c r="B3" s="93" t="s">
        <v>27</v>
      </c>
      <c r="C3" s="87"/>
      <c r="D3" s="94"/>
      <c r="E3" s="95"/>
      <c r="F3" s="43">
        <f>F2*E3</f>
        <v>0</v>
      </c>
      <c r="G3" s="134"/>
      <c r="H3" s="89" t="s">
        <v>65</v>
      </c>
      <c r="I3" s="89" t="s">
        <v>33</v>
      </c>
      <c r="L3" s="97"/>
      <c r="M3" s="91"/>
      <c r="N3" s="91"/>
      <c r="O3" s="91"/>
      <c r="P3" s="92"/>
      <c r="Q3" s="92"/>
      <c r="R3" s="91"/>
      <c r="S3" s="92"/>
      <c r="T3" s="92"/>
    </row>
    <row r="4">
      <c r="A4" s="132" t="s">
        <v>36</v>
      </c>
      <c r="B4" s="93" t="s">
        <v>48</v>
      </c>
      <c r="C4" s="87"/>
      <c r="D4" s="94"/>
      <c r="E4" s="98"/>
      <c r="F4" s="43">
        <f>IF(G4="",sum(G14:G100),sum(G14:G100)-(sum(G14:G100)*G4))</f>
        <v>0</v>
      </c>
      <c r="G4" s="88"/>
      <c r="H4" s="99">
        <f>SUM(J14:J100)/8</f>
        <v>0</v>
      </c>
      <c r="I4" s="99">
        <f>SUM(I14:I100)/8</f>
        <v>0</v>
      </c>
      <c r="L4" s="90"/>
      <c r="M4" s="91"/>
      <c r="N4" s="91"/>
      <c r="O4" s="91"/>
      <c r="P4" s="92"/>
      <c r="Q4" s="92"/>
      <c r="R4" s="91"/>
      <c r="S4" s="92"/>
      <c r="T4" s="92"/>
    </row>
    <row r="5">
      <c r="A5" s="132" t="s">
        <v>38</v>
      </c>
      <c r="B5" s="100" t="s">
        <v>1</v>
      </c>
      <c r="C5" s="101"/>
      <c r="D5" s="102"/>
      <c r="E5" s="102"/>
      <c r="F5" s="57">
        <f>sum(F2:F4)</f>
        <v>0</v>
      </c>
      <c r="G5" s="134"/>
      <c r="L5" s="90"/>
      <c r="M5" s="91"/>
      <c r="N5" s="91"/>
      <c r="O5" s="91"/>
      <c r="P5" s="127"/>
      <c r="Q5" s="127"/>
      <c r="R5" s="125"/>
      <c r="S5" s="92"/>
      <c r="T5" s="92"/>
    </row>
    <row r="6">
      <c r="A6" s="132" t="s">
        <v>33</v>
      </c>
      <c r="B6" s="103" t="s">
        <v>2</v>
      </c>
      <c r="C6" s="104"/>
      <c r="D6" s="105"/>
      <c r="E6" s="42">
        <v>0.2</v>
      </c>
      <c r="F6" s="51">
        <f>F5*E6</f>
        <v>0</v>
      </c>
      <c r="L6" s="90"/>
      <c r="M6" s="125"/>
      <c r="N6" s="125"/>
      <c r="O6" s="125"/>
      <c r="P6" s="127"/>
      <c r="Q6" s="127"/>
      <c r="R6" s="125"/>
      <c r="S6" s="92"/>
      <c r="T6" s="92"/>
    </row>
    <row r="7">
      <c r="A7" s="132" t="s">
        <v>40</v>
      </c>
      <c r="B7" s="100" t="s">
        <v>4</v>
      </c>
      <c r="C7" s="101"/>
      <c r="D7" s="102"/>
      <c r="E7" s="102"/>
      <c r="F7" s="57">
        <f>sum(F5:F6)</f>
        <v>0</v>
      </c>
      <c r="L7" s="90"/>
      <c r="M7" s="125"/>
      <c r="N7" s="125"/>
      <c r="O7" s="125"/>
      <c r="P7" s="127"/>
      <c r="Q7" s="127"/>
      <c r="R7" s="125"/>
      <c r="S7" s="92"/>
      <c r="T7" s="92"/>
    </row>
    <row r="8">
      <c r="A8" s="132" t="s">
        <v>43</v>
      </c>
      <c r="B8" s="80"/>
      <c r="L8" s="90"/>
      <c r="M8" s="125"/>
      <c r="N8" s="125"/>
      <c r="O8" s="125"/>
      <c r="P8" s="127"/>
      <c r="Q8" s="127"/>
      <c r="R8" s="125"/>
      <c r="S8" s="127"/>
      <c r="T8" s="127"/>
    </row>
    <row r="9">
      <c r="A9" s="132" t="s">
        <v>47</v>
      </c>
      <c r="L9" s="90"/>
      <c r="M9" s="125"/>
      <c r="N9" s="125"/>
      <c r="O9" s="125"/>
      <c r="P9" s="127"/>
      <c r="Q9" s="127"/>
      <c r="R9" s="125"/>
      <c r="S9" s="127"/>
      <c r="T9" s="127"/>
    </row>
    <row r="10">
      <c r="A10" s="85" t="s">
        <v>28</v>
      </c>
      <c r="B10" s="106" t="s">
        <v>66</v>
      </c>
      <c r="C10" s="107" t="s">
        <v>67</v>
      </c>
      <c r="D10" s="108" t="s">
        <v>68</v>
      </c>
      <c r="E10" s="109" t="s">
        <v>69</v>
      </c>
      <c r="H10" s="110" t="s">
        <v>70</v>
      </c>
      <c r="I10" s="109" t="s">
        <v>71</v>
      </c>
      <c r="L10" s="97"/>
      <c r="M10" s="91"/>
      <c r="N10" s="91"/>
      <c r="O10" s="91"/>
      <c r="P10" s="92"/>
      <c r="Q10" s="92"/>
      <c r="R10" s="91"/>
      <c r="S10" s="92"/>
      <c r="T10" s="92"/>
    </row>
    <row r="11">
      <c r="A11" s="111"/>
      <c r="B11" s="106" t="s">
        <v>72</v>
      </c>
      <c r="C11" s="107" t="s">
        <v>73</v>
      </c>
      <c r="D11" s="106" t="s">
        <v>74</v>
      </c>
      <c r="E11" s="107" t="s">
        <v>75</v>
      </c>
      <c r="H11" s="112" t="s">
        <v>76</v>
      </c>
      <c r="I11" s="107" t="s">
        <v>77</v>
      </c>
      <c r="L11" s="97"/>
      <c r="M11" s="91"/>
      <c r="N11" s="91"/>
      <c r="O11" s="91"/>
      <c r="P11" s="92"/>
      <c r="Q11" s="92"/>
      <c r="R11" s="91"/>
      <c r="S11" s="92"/>
      <c r="T11" s="92"/>
    </row>
    <row r="12">
      <c r="A12" s="113"/>
      <c r="B12" s="112" t="s">
        <v>78</v>
      </c>
      <c r="C12" s="107" t="s">
        <v>79</v>
      </c>
      <c r="D12" s="106" t="s">
        <v>80</v>
      </c>
      <c r="E12" s="107" t="s">
        <v>89</v>
      </c>
      <c r="H12" s="114" t="s">
        <v>82</v>
      </c>
      <c r="I12" s="114" t="s">
        <v>83</v>
      </c>
      <c r="L12" s="97"/>
      <c r="M12" s="91"/>
      <c r="N12" s="91"/>
      <c r="O12" s="91"/>
      <c r="P12" s="92"/>
      <c r="Q12" s="92"/>
      <c r="R12" s="91"/>
      <c r="S12" s="92"/>
      <c r="T12" s="92"/>
    </row>
    <row r="13">
      <c r="A13" s="135"/>
      <c r="B13" s="63" t="s">
        <v>54</v>
      </c>
      <c r="C13" s="63" t="s">
        <v>84</v>
      </c>
      <c r="D13" s="116" t="s">
        <v>23</v>
      </c>
      <c r="E13" s="116" t="s">
        <v>24</v>
      </c>
      <c r="F13" s="64" t="s">
        <v>85</v>
      </c>
      <c r="G13" s="64" t="s">
        <v>86</v>
      </c>
      <c r="H13" s="64" t="s">
        <v>25</v>
      </c>
      <c r="I13" s="117" t="s">
        <v>87</v>
      </c>
      <c r="J13" s="118" t="s">
        <v>88</v>
      </c>
      <c r="L13" s="119"/>
      <c r="M13" s="120"/>
      <c r="N13" s="120"/>
      <c r="O13" s="120"/>
      <c r="P13" s="121"/>
      <c r="Q13" s="121"/>
      <c r="R13" s="120"/>
      <c r="S13" s="121"/>
      <c r="T13" s="121"/>
    </row>
    <row r="14">
      <c r="A14" s="135"/>
      <c r="B14" s="69"/>
      <c r="C14" s="69"/>
      <c r="D14" s="122" t="str">
        <f>IF(C14="","",VLOOKUP(C14,Wardrobes_etcData,12,0)+VLOOKUP(C14,Wardrobes_etcData,14,0)+VLOOKUP(C14,Wardrobes_etcData,17,0))</f>
        <v/>
      </c>
      <c r="E14" s="136"/>
      <c r="F14" s="67" t="str">
        <f>IF(OR(B14="",C14="",E14=""),"",(VLOOKUP(C14,Wardrobes_etcData,12,0)+VLOOKUP(C14,Wardrobes_etcData,14,0))*E14)</f>
        <v/>
      </c>
      <c r="G14" s="67" t="str">
        <f>IF(OR(E14="",C14=""),"",VLOOKUP(C14,Wardrobes_etcData,17,0)*E14)</f>
        <v/>
      </c>
      <c r="H14" s="67" t="str">
        <f t="shared" ref="H14:H100" si="1">IF(OR(E14="",C14=""),"",SUM(F14:G14))</f>
        <v/>
      </c>
      <c r="I14" s="124" t="str">
        <f>IF(OR(E14="",C14=""),"",IF(E14*(VLOOKUP(C14,Wardrobes_etcData,16,0)*VLOOKUP(C14,Wardrobes_etcData,31,0))=0,"Missing labour time data on Wardrobes_etc sheet",E14*(VLOOKUP(C14,Wardrobes_etcData,16,0)*VLOOKUP(C14,Wardrobes_etcData,31,0))))</f>
        <v/>
      </c>
      <c r="J14" s="124" t="str">
        <f>IF(OR(E14="",C14=""),"",IF(E14*(VLOOKUP(C14,Wardrobes_etcData,15,0)*VLOOKUP(C14,Wardrobes_etcData,24,0))=0,"Missing build time data on Wardrobes_etc sheet",E14*(VLOOKUP(C14,Wardrobes_etcData,15,0)*VLOOKUP(C14,Wardrobes_etcData,24,0))))</f>
        <v/>
      </c>
      <c r="L14" s="90"/>
      <c r="M14" s="125"/>
      <c r="N14" s="125"/>
      <c r="O14" s="125"/>
      <c r="P14" s="127"/>
      <c r="Q14" s="127"/>
      <c r="R14" s="125"/>
      <c r="S14" s="127"/>
      <c r="T14" s="127"/>
    </row>
    <row r="15">
      <c r="A15" s="135"/>
      <c r="B15" s="69"/>
      <c r="C15" s="69"/>
      <c r="D15" s="122" t="str">
        <f>IF(C15="","",VLOOKUP(C15,Wardrobes_etcData,12,0)+VLOOKUP(C15,Wardrobes_etcData,14,0)+VLOOKUP(C15,Wardrobes_etcData,17,0))</f>
        <v/>
      </c>
      <c r="E15" s="136"/>
      <c r="F15" s="67" t="str">
        <f>IF(OR(B15="",C15="",E15=""),"",(VLOOKUP(C15,Wardrobes_etcData,12,0)+VLOOKUP(C15,Wardrobes_etcData,14,0))*E15)</f>
        <v/>
      </c>
      <c r="G15" s="67" t="str">
        <f>IF(OR(E15="",C15=""),"",VLOOKUP(C15,Wardrobes_etcData,17,0)*E15)</f>
        <v/>
      </c>
      <c r="H15" s="67" t="str">
        <f t="shared" si="1"/>
        <v/>
      </c>
      <c r="I15" s="124" t="str">
        <f>IF(OR(E15="",C15=""),"",IF(E15*(VLOOKUP(C15,Wardrobes_etcData,16,0)*VLOOKUP(C15,Wardrobes_etcData,31,0))=0,"Missing labour time data on Wardrobes_etc sheet",E15*(VLOOKUP(C15,Wardrobes_etcData,16,0)*VLOOKUP(C15,Wardrobes_etcData,31,0))))</f>
        <v/>
      </c>
      <c r="J15" s="124" t="str">
        <f>IF(OR(E15="",C15=""),"",IF(E15*(VLOOKUP(C15,Wardrobes_etcData,15,0)*VLOOKUP(C15,Wardrobes_etcData,24,0))=0,"Missing build time data on Wardrobes_etc sheet",E15*(VLOOKUP(C15,Wardrobes_etcData,15,0)*VLOOKUP(C15,Wardrobes_etcData,24,0))))</f>
        <v/>
      </c>
      <c r="L15" s="90"/>
      <c r="M15" s="125"/>
      <c r="N15" s="125"/>
      <c r="O15" s="125"/>
      <c r="P15" s="127"/>
      <c r="Q15" s="127"/>
      <c r="R15" s="125"/>
      <c r="S15" s="127"/>
      <c r="T15" s="127"/>
    </row>
    <row r="16">
      <c r="A16" s="135"/>
      <c r="B16" s="69"/>
      <c r="C16" s="69"/>
      <c r="D16" s="122" t="str">
        <f>IF(C16="","",VLOOKUP(C16,Wardrobes_etcData,12,0)+VLOOKUP(C16,Wardrobes_etcData,14,0)+VLOOKUP(C16,Wardrobes_etcData,17,0))</f>
        <v/>
      </c>
      <c r="E16" s="136"/>
      <c r="F16" s="67" t="str">
        <f>IF(OR(B16="",C16="",E16=""),"",(VLOOKUP(C16,Wardrobes_etcData,12,0)+VLOOKUP(C16,Wardrobes_etcData,14,0))*E16)</f>
        <v/>
      </c>
      <c r="G16" s="67" t="str">
        <f>IF(OR(E16="",C16=""),"",VLOOKUP(C16,Wardrobes_etcData,17,0)*E16)</f>
        <v/>
      </c>
      <c r="H16" s="67" t="str">
        <f t="shared" si="1"/>
        <v/>
      </c>
      <c r="I16" s="124" t="str">
        <f>IF(OR(E16="",C16=""),"",IF(E16*(VLOOKUP(C16,Wardrobes_etcData,16,0)*VLOOKUP(C16,Wardrobes_etcData,31,0))=0,"Missing labour time data on Wardrobes_etc sheet",E16*(VLOOKUP(C16,Wardrobes_etcData,16,0)*VLOOKUP(C16,Wardrobes_etcData,31,0))))</f>
        <v/>
      </c>
      <c r="J16" s="124" t="str">
        <f>IF(OR(E16="",C16=""),"",IF(E16*(VLOOKUP(C16,Wardrobes_etcData,15,0)*VLOOKUP(C16,Wardrobes_etcData,24,0))=0,"Missing build time data on Wardrobes_etc sheet",E16*(VLOOKUP(C16,Wardrobes_etcData,15,0)*VLOOKUP(C16,Wardrobes_etcData,24,0))))</f>
        <v/>
      </c>
      <c r="L16" s="90"/>
      <c r="M16" s="125"/>
      <c r="N16" s="125"/>
      <c r="O16" s="125"/>
      <c r="P16" s="127"/>
      <c r="Q16" s="127"/>
      <c r="R16" s="125"/>
      <c r="S16" s="127"/>
      <c r="T16" s="127"/>
    </row>
    <row r="17">
      <c r="A17" s="135"/>
      <c r="B17" s="69"/>
      <c r="C17" s="69"/>
      <c r="D17" s="122" t="str">
        <f>IF(C17="","",VLOOKUP(C17,Wardrobes_etcData,12,0)+VLOOKUP(C17,Wardrobes_etcData,14,0)+VLOOKUP(C17,Wardrobes_etcData,17,0))</f>
        <v/>
      </c>
      <c r="E17" s="136"/>
      <c r="F17" s="67" t="str">
        <f>IF(OR(B17="",C17="",E17=""),"",(VLOOKUP(C17,Wardrobes_etcData,12,0)+VLOOKUP(C17,Wardrobes_etcData,14,0))*E17)</f>
        <v/>
      </c>
      <c r="G17" s="67" t="str">
        <f>IF(OR(E17="",C17=""),"",VLOOKUP(C17,Wardrobes_etcData,17,0)*E17)</f>
        <v/>
      </c>
      <c r="H17" s="67" t="str">
        <f t="shared" si="1"/>
        <v/>
      </c>
      <c r="I17" s="124" t="str">
        <f>IF(OR(E17="",C17=""),"",IF(E17*(VLOOKUP(C17,Wardrobes_etcData,16,0)*VLOOKUP(C17,Wardrobes_etcData,31,0))=0,"Missing labour time data on Wardrobes_etc sheet",E17*(VLOOKUP(C17,Wardrobes_etcData,16,0)*VLOOKUP(C17,Wardrobes_etcData,31,0))))</f>
        <v/>
      </c>
      <c r="J17" s="124" t="str">
        <f>IF(OR(E17="",C17=""),"",IF(E17*(VLOOKUP(C17,Wardrobes_etcData,15,0)*VLOOKUP(C17,Wardrobes_etcData,24,0))=0,"Missing build time data on Wardrobes_etc sheet",E17*(VLOOKUP(C17,Wardrobes_etcData,15,0)*VLOOKUP(C17,Wardrobes_etcData,24,0))))</f>
        <v/>
      </c>
      <c r="L17" s="90"/>
      <c r="M17" s="125"/>
      <c r="N17" s="125"/>
      <c r="O17" s="125"/>
      <c r="P17" s="127"/>
      <c r="Q17" s="127"/>
      <c r="R17" s="125"/>
      <c r="S17" s="127"/>
      <c r="T17" s="127"/>
    </row>
    <row r="18">
      <c r="A18" s="135"/>
      <c r="B18" s="69"/>
      <c r="C18" s="69"/>
      <c r="D18" s="122" t="str">
        <f>IF(C18="","",VLOOKUP(C18,Wardrobes_etcData,12,0)+VLOOKUP(C18,Wardrobes_etcData,14,0)+VLOOKUP(C18,Wardrobes_etcData,17,0))</f>
        <v/>
      </c>
      <c r="E18" s="136"/>
      <c r="F18" s="67" t="str">
        <f>IF(OR(B18="",C18="",E18=""),"",(VLOOKUP(C18,Wardrobes_etcData,12,0)+VLOOKUP(C18,Wardrobes_etcData,14,0))*E18)</f>
        <v/>
      </c>
      <c r="G18" s="67" t="str">
        <f>IF(OR(E18="",C18=""),"",VLOOKUP(C18,Wardrobes_etcData,17,0)*E18)</f>
        <v/>
      </c>
      <c r="H18" s="67" t="str">
        <f t="shared" si="1"/>
        <v/>
      </c>
      <c r="I18" s="124" t="str">
        <f>IF(OR(E18="",C18=""),"",IF(E18*(VLOOKUP(C18,Wardrobes_etcData,16,0)*VLOOKUP(C18,Wardrobes_etcData,31,0))=0,"Missing labour time data on Wardrobes_etc sheet",E18*(VLOOKUP(C18,Wardrobes_etcData,16,0)*VLOOKUP(C18,Wardrobes_etcData,31,0))))</f>
        <v/>
      </c>
      <c r="J18" s="124" t="str">
        <f>IF(OR(E18="",C18=""),"",IF(E18*(VLOOKUP(C18,Wardrobes_etcData,15,0)*VLOOKUP(C18,Wardrobes_etcData,24,0))=0,"Missing build time data on Wardrobes_etc sheet",E18*(VLOOKUP(C18,Wardrobes_etcData,15,0)*VLOOKUP(C18,Wardrobes_etcData,24,0))))</f>
        <v/>
      </c>
      <c r="L18" s="90"/>
      <c r="M18" s="125"/>
      <c r="N18" s="125"/>
      <c r="O18" s="125"/>
      <c r="P18" s="127"/>
      <c r="Q18" s="127"/>
      <c r="R18" s="125"/>
      <c r="S18" s="127"/>
      <c r="T18" s="127"/>
    </row>
    <row r="19" ht="15.0" customHeight="1">
      <c r="A19" s="135"/>
      <c r="B19" s="69"/>
      <c r="C19" s="69"/>
      <c r="D19" s="122" t="str">
        <f>IF(C19="","",VLOOKUP(C19,Wardrobes_etcData,12,0)+VLOOKUP(C19,Wardrobes_etcData,14,0)+VLOOKUP(C19,Wardrobes_etcData,17,0))</f>
        <v/>
      </c>
      <c r="E19" s="136"/>
      <c r="F19" s="67" t="str">
        <f>IF(OR(B19="",C19="",E19=""),"",(VLOOKUP(C19,Wardrobes_etcData,12,0)+VLOOKUP(C19,Wardrobes_etcData,14,0))*E19)</f>
        <v/>
      </c>
      <c r="G19" s="67" t="str">
        <f>IF(OR(E19="",C19=""),"",VLOOKUP(C19,Wardrobes_etcData,17,0)*E19)</f>
        <v/>
      </c>
      <c r="H19" s="67" t="str">
        <f t="shared" si="1"/>
        <v/>
      </c>
      <c r="I19" s="124" t="str">
        <f>IF(OR(E19="",C19=""),"",IF(E19*(VLOOKUP(C19,Wardrobes_etcData,16,0)*VLOOKUP(C19,Wardrobes_etcData,31,0))=0,"Missing labour time data on Wardrobes_etc sheet",E19*(VLOOKUP(C19,Wardrobes_etcData,16,0)*VLOOKUP(C19,Wardrobes_etcData,31,0))))</f>
        <v/>
      </c>
      <c r="J19" s="124" t="str">
        <f>IF(OR(E19="",C19=""),"",IF(E19*(VLOOKUP(C19,Wardrobes_etcData,15,0)*VLOOKUP(C19,Wardrobes_etcData,24,0))=0,"Missing build time data on Wardrobes_etc sheet",E19*(VLOOKUP(C19,Wardrobes_etcData,15,0)*VLOOKUP(C19,Wardrobes_etcData,24,0))))</f>
        <v/>
      </c>
      <c r="L19" s="90"/>
      <c r="M19" s="125"/>
      <c r="N19" s="125"/>
      <c r="O19" s="125"/>
      <c r="P19" s="127"/>
      <c r="Q19" s="127"/>
      <c r="R19" s="125"/>
      <c r="S19" s="127"/>
      <c r="T19" s="127"/>
    </row>
    <row r="20" ht="15.0" customHeight="1">
      <c r="A20" s="135"/>
      <c r="B20" s="69"/>
      <c r="C20" s="69"/>
      <c r="D20" s="122" t="str">
        <f>IF(C20="","",VLOOKUP(C20,Wardrobes_etcData,12,0)+VLOOKUP(C20,Wardrobes_etcData,14,0)+VLOOKUP(C20,Wardrobes_etcData,17,0))</f>
        <v/>
      </c>
      <c r="E20" s="136"/>
      <c r="F20" s="67" t="str">
        <f>IF(OR(B20="",C20="",E20=""),"",(VLOOKUP(C20,Wardrobes_etcData,12,0)+VLOOKUP(C20,Wardrobes_etcData,14,0))*E20)</f>
        <v/>
      </c>
      <c r="G20" s="67" t="str">
        <f>IF(OR(E20="",C20=""),"",VLOOKUP(C20,Wardrobes_etcData,17,0)*E20)</f>
        <v/>
      </c>
      <c r="H20" s="67" t="str">
        <f t="shared" si="1"/>
        <v/>
      </c>
      <c r="I20" s="124" t="str">
        <f>IF(OR(E20="",C20=""),"",IF(E20*(VLOOKUP(C20,Wardrobes_etcData,16,0)*VLOOKUP(C20,Wardrobes_etcData,31,0))=0,"Missing labour time data on Wardrobes_etc sheet",E20*(VLOOKUP(C20,Wardrobes_etcData,16,0)*VLOOKUP(C20,Wardrobes_etcData,31,0))))</f>
        <v/>
      </c>
      <c r="J20" s="124" t="str">
        <f>IF(OR(E20="",C20=""),"",IF(E20*(VLOOKUP(C20,Wardrobes_etcData,15,0)*VLOOKUP(C20,Wardrobes_etcData,24,0))=0,"Missing build time data on Wardrobes_etc sheet",E20*(VLOOKUP(C20,Wardrobes_etcData,15,0)*VLOOKUP(C20,Wardrobes_etcData,24,0))))</f>
        <v/>
      </c>
      <c r="L20" s="90"/>
      <c r="M20" s="125"/>
      <c r="N20" s="125"/>
      <c r="O20" s="125"/>
      <c r="P20" s="127"/>
      <c r="Q20" s="127"/>
      <c r="R20" s="125"/>
      <c r="S20" s="127"/>
      <c r="T20" s="127"/>
    </row>
    <row r="21" ht="15.0" customHeight="1">
      <c r="A21" s="135"/>
      <c r="B21" s="69"/>
      <c r="C21" s="69"/>
      <c r="D21" s="122" t="str">
        <f>IF(C21="","",VLOOKUP(C21,Wardrobes_etcData,12,0)+VLOOKUP(C21,Wardrobes_etcData,14,0)+VLOOKUP(C21,Wardrobes_etcData,17,0))</f>
        <v/>
      </c>
      <c r="E21" s="136"/>
      <c r="F21" s="67" t="str">
        <f>IF(OR(B21="",C21="",E21=""),"",(VLOOKUP(C21,Wardrobes_etcData,12,0)+VLOOKUP(C21,Wardrobes_etcData,14,0))*E21)</f>
        <v/>
      </c>
      <c r="G21" s="67" t="str">
        <f>IF(OR(E21="",C21=""),"",VLOOKUP(C21,Wardrobes_etcData,17,0)*E21)</f>
        <v/>
      </c>
      <c r="H21" s="67" t="str">
        <f t="shared" si="1"/>
        <v/>
      </c>
      <c r="I21" s="124" t="str">
        <f>IF(OR(E21="",C21=""),"",IF(E21*(VLOOKUP(C21,Wardrobes_etcData,16,0)*VLOOKUP(C21,Wardrobes_etcData,31,0))=0,"Missing labour time data on Wardrobes_etc sheet",E21*(VLOOKUP(C21,Wardrobes_etcData,16,0)*VLOOKUP(C21,Wardrobes_etcData,31,0))))</f>
        <v/>
      </c>
      <c r="J21" s="124" t="str">
        <f>IF(OR(E21="",C21=""),"",IF(E21*(VLOOKUP(C21,Wardrobes_etcData,15,0)*VLOOKUP(C21,Wardrobes_etcData,24,0))=0,"Missing build time data on Wardrobes_etc sheet",E21*(VLOOKUP(C21,Wardrobes_etcData,15,0)*VLOOKUP(C21,Wardrobes_etcData,24,0))))</f>
        <v/>
      </c>
      <c r="L21" s="90"/>
      <c r="M21" s="125"/>
      <c r="N21" s="125"/>
      <c r="O21" s="125"/>
      <c r="P21" s="127"/>
      <c r="Q21" s="127"/>
      <c r="R21" s="125"/>
      <c r="S21" s="127"/>
      <c r="T21" s="127"/>
    </row>
    <row r="22">
      <c r="A22" s="135"/>
      <c r="B22" s="69"/>
      <c r="C22" s="69"/>
      <c r="D22" s="122" t="str">
        <f>IF(C22="","",VLOOKUP(C22,Wardrobes_etcData,12,0)+VLOOKUP(C22,Wardrobes_etcData,14,0)+VLOOKUP(C22,Wardrobes_etcData,17,0))</f>
        <v/>
      </c>
      <c r="E22" s="136"/>
      <c r="F22" s="67" t="str">
        <f>IF(OR(B22="",C22="",E22=""),"",(VLOOKUP(C22,Wardrobes_etcData,12,0)+VLOOKUP(C22,Wardrobes_etcData,14,0))*E22)</f>
        <v/>
      </c>
      <c r="G22" s="67" t="str">
        <f>IF(OR(E22="",C22=""),"",VLOOKUP(C22,Wardrobes_etcData,17,0)*E22)</f>
        <v/>
      </c>
      <c r="H22" s="67" t="str">
        <f t="shared" si="1"/>
        <v/>
      </c>
      <c r="I22" s="124" t="str">
        <f>IF(OR(E22="",C22=""),"",IF(E22*(VLOOKUP(C22,Wardrobes_etcData,16,0)*VLOOKUP(C22,Wardrobes_etcData,31,0))=0,"Missing labour time data on Wardrobes_etc sheet",E22*(VLOOKUP(C22,Wardrobes_etcData,16,0)*VLOOKUP(C22,Wardrobes_etcData,31,0))))</f>
        <v/>
      </c>
      <c r="J22" s="124" t="str">
        <f>IF(OR(E22="",C22=""),"",IF(E22*(VLOOKUP(C22,Wardrobes_etcData,15,0)*VLOOKUP(C22,Wardrobes_etcData,24,0))=0,"Missing build time data on Wardrobes_etc sheet",E22*(VLOOKUP(C22,Wardrobes_etcData,15,0)*VLOOKUP(C22,Wardrobes_etcData,24,0))))</f>
        <v/>
      </c>
      <c r="L22" s="90"/>
      <c r="M22" s="125"/>
      <c r="N22" s="125"/>
      <c r="O22" s="125"/>
      <c r="P22" s="127"/>
      <c r="Q22" s="127"/>
      <c r="R22" s="125"/>
      <c r="S22" s="127"/>
      <c r="T22" s="127"/>
    </row>
    <row r="23">
      <c r="A23" s="135"/>
      <c r="B23" s="69"/>
      <c r="C23" s="69"/>
      <c r="D23" s="122" t="str">
        <f>IF(C23="","",VLOOKUP(C23,Wardrobes_etcData,12,0)+VLOOKUP(C23,Wardrobes_etcData,14,0)+VLOOKUP(C23,Wardrobes_etcData,17,0))</f>
        <v/>
      </c>
      <c r="E23" s="136"/>
      <c r="F23" s="67" t="str">
        <f>IF(OR(B23="",C23="",E23=""),"",(VLOOKUP(C23,Wardrobes_etcData,12,0)+VLOOKUP(C23,Wardrobes_etcData,14,0))*E23)</f>
        <v/>
      </c>
      <c r="G23" s="67" t="str">
        <f>IF(OR(E23="",C23=""),"",VLOOKUP(C23,Wardrobes_etcData,17,0)*E23)</f>
        <v/>
      </c>
      <c r="H23" s="67" t="str">
        <f t="shared" si="1"/>
        <v/>
      </c>
      <c r="I23" s="124" t="str">
        <f>IF(OR(E23="",C23=""),"",IF(E23*(VLOOKUP(C23,Wardrobes_etcData,16,0)*VLOOKUP(C23,Wardrobes_etcData,31,0))=0,"Missing labour time data on Wardrobes_etc sheet",E23*(VLOOKUP(C23,Wardrobes_etcData,16,0)*VLOOKUP(C23,Wardrobes_etcData,31,0))))</f>
        <v/>
      </c>
      <c r="J23" s="124" t="str">
        <f>IF(OR(E23="",C23=""),"",IF(E23*(VLOOKUP(C23,Wardrobes_etcData,15,0)*VLOOKUP(C23,Wardrobes_etcData,24,0))=0,"Missing build time data on Wardrobes_etc sheet",E23*(VLOOKUP(C23,Wardrobes_etcData,15,0)*VLOOKUP(C23,Wardrobes_etcData,24,0))))</f>
        <v/>
      </c>
      <c r="L23" s="90"/>
      <c r="M23" s="125"/>
      <c r="N23" s="125"/>
      <c r="O23" s="125"/>
      <c r="P23" s="127"/>
      <c r="Q23" s="127"/>
      <c r="R23" s="125"/>
      <c r="S23" s="127"/>
      <c r="T23" s="127"/>
    </row>
    <row r="24">
      <c r="A24" s="135"/>
      <c r="B24" s="69"/>
      <c r="C24" s="69"/>
      <c r="D24" s="122" t="str">
        <f>IF(C24="","",VLOOKUP(C24,Wardrobes_etcData,12,0)+VLOOKUP(C24,Wardrobes_etcData,14,0)+VLOOKUP(C24,Wardrobes_etcData,17,0))</f>
        <v/>
      </c>
      <c r="E24" s="136"/>
      <c r="F24" s="67" t="str">
        <f>IF(OR(B24="",C24="",E24=""),"",(VLOOKUP(C24,Wardrobes_etcData,12,0)+VLOOKUP(C24,Wardrobes_etcData,14,0))*E24)</f>
        <v/>
      </c>
      <c r="G24" s="67" t="str">
        <f>IF(OR(E24="",C24=""),"",VLOOKUP(C24,Wardrobes_etcData,17,0)*E24)</f>
        <v/>
      </c>
      <c r="H24" s="67" t="str">
        <f t="shared" si="1"/>
        <v/>
      </c>
      <c r="I24" s="124" t="str">
        <f>IF(OR(E24="",C24=""),"",IF(E24*(VLOOKUP(C24,Wardrobes_etcData,16,0)*VLOOKUP(C24,Wardrobes_etcData,31,0))=0,"Missing labour time data on Wardrobes_etc sheet",E24*(VLOOKUP(C24,Wardrobes_etcData,16,0)*VLOOKUP(C24,Wardrobes_etcData,31,0))))</f>
        <v/>
      </c>
      <c r="J24" s="124" t="str">
        <f>IF(OR(E24="",C24=""),"",IF(E24*(VLOOKUP(C24,Wardrobes_etcData,15,0)*VLOOKUP(C24,Wardrobes_etcData,24,0))=0,"Missing build time data on Wardrobes_etc sheet",E24*(VLOOKUP(C24,Wardrobes_etcData,15,0)*VLOOKUP(C24,Wardrobes_etcData,24,0))))</f>
        <v/>
      </c>
      <c r="L24" s="90"/>
      <c r="M24" s="125"/>
      <c r="N24" s="125"/>
      <c r="O24" s="125"/>
      <c r="P24" s="127"/>
      <c r="Q24" s="127"/>
      <c r="R24" s="125"/>
      <c r="S24" s="127"/>
      <c r="T24" s="127"/>
    </row>
    <row r="25">
      <c r="A25" s="135"/>
      <c r="B25" s="69"/>
      <c r="C25" s="69"/>
      <c r="D25" s="122" t="str">
        <f>IF(C25="","",VLOOKUP(C25,Wardrobes_etcData,12,0)+VLOOKUP(C25,Wardrobes_etcData,14,0)+VLOOKUP(C25,Wardrobes_etcData,17,0))</f>
        <v/>
      </c>
      <c r="E25" s="136"/>
      <c r="F25" s="67" t="str">
        <f>IF(OR(B25="",C25="",E25=""),"",(VLOOKUP(C25,Wardrobes_etcData,12,0)+VLOOKUP(C25,Wardrobes_etcData,14,0))*E25)</f>
        <v/>
      </c>
      <c r="G25" s="67" t="str">
        <f>IF(OR(E25="",C25=""),"",VLOOKUP(C25,Wardrobes_etcData,17,0)*E25)</f>
        <v/>
      </c>
      <c r="H25" s="67" t="str">
        <f t="shared" si="1"/>
        <v/>
      </c>
      <c r="I25" s="124" t="str">
        <f>IF(OR(E25="",C25=""),"",IF(E25*(VLOOKUP(C25,Wardrobes_etcData,16,0)*VLOOKUP(C25,Wardrobes_etcData,31,0))=0,"Missing labour time data on Wardrobes_etc sheet",E25*(VLOOKUP(C25,Wardrobes_etcData,16,0)*VLOOKUP(C25,Wardrobes_etcData,31,0))))</f>
        <v/>
      </c>
      <c r="J25" s="124" t="str">
        <f>IF(OR(E25="",C25=""),"",IF(E25*(VLOOKUP(C25,Wardrobes_etcData,15,0)*VLOOKUP(C25,Wardrobes_etcData,24,0))=0,"Missing build time data on Wardrobes_etc sheet",E25*(VLOOKUP(C25,Wardrobes_etcData,15,0)*VLOOKUP(C25,Wardrobes_etcData,24,0))))</f>
        <v/>
      </c>
      <c r="L25" s="90"/>
      <c r="M25" s="125"/>
      <c r="N25" s="125"/>
      <c r="O25" s="125"/>
      <c r="P25" s="127"/>
      <c r="Q25" s="127"/>
      <c r="R25" s="125"/>
      <c r="S25" s="127"/>
      <c r="T25" s="127"/>
    </row>
    <row r="26">
      <c r="A26" s="135"/>
      <c r="B26" s="69"/>
      <c r="C26" s="69"/>
      <c r="D26" s="122" t="str">
        <f>IF(C26="","",VLOOKUP(C26,Wardrobes_etcData,12,0)+VLOOKUP(C26,Wardrobes_etcData,14,0)+VLOOKUP(C26,Wardrobes_etcData,17,0))</f>
        <v/>
      </c>
      <c r="E26" s="136"/>
      <c r="F26" s="67" t="str">
        <f>IF(OR(B26="",C26="",E26=""),"",(VLOOKUP(C26,Wardrobes_etcData,12,0)+VLOOKUP(C26,Wardrobes_etcData,14,0))*E26)</f>
        <v/>
      </c>
      <c r="G26" s="67" t="str">
        <f>IF(OR(E26="",C26=""),"",VLOOKUP(C26,Wardrobes_etcData,17,0)*E26)</f>
        <v/>
      </c>
      <c r="H26" s="67" t="str">
        <f t="shared" si="1"/>
        <v/>
      </c>
      <c r="I26" s="124" t="str">
        <f>IF(OR(E26="",C26=""),"",IF(E26*(VLOOKUP(C26,Wardrobes_etcData,16,0)*VLOOKUP(C26,Wardrobes_etcData,31,0))=0,"Missing labour time data on Wardrobes_etc sheet",E26*(VLOOKUP(C26,Wardrobes_etcData,16,0)*VLOOKUP(C26,Wardrobes_etcData,31,0))))</f>
        <v/>
      </c>
      <c r="J26" s="124" t="str">
        <f>IF(OR(E26="",C26=""),"",IF(E26*(VLOOKUP(C26,Wardrobes_etcData,15,0)*VLOOKUP(C26,Wardrobes_etcData,24,0))=0,"Missing build time data on Wardrobes_etc sheet",E26*(VLOOKUP(C26,Wardrobes_etcData,15,0)*VLOOKUP(C26,Wardrobes_etcData,24,0))))</f>
        <v/>
      </c>
      <c r="L26" s="90"/>
      <c r="M26" s="125"/>
      <c r="N26" s="125"/>
      <c r="O26" s="125"/>
      <c r="P26" s="127"/>
      <c r="Q26" s="127"/>
      <c r="R26" s="125"/>
      <c r="S26" s="127"/>
      <c r="T26" s="127"/>
    </row>
    <row r="27">
      <c r="A27" s="135"/>
      <c r="B27" s="69"/>
      <c r="C27" s="69"/>
      <c r="D27" s="122" t="str">
        <f>IF(C27="","",VLOOKUP(C27,Wardrobes_etcData,12,0)+VLOOKUP(C27,Wardrobes_etcData,14,0)+VLOOKUP(C27,Wardrobes_etcData,17,0))</f>
        <v/>
      </c>
      <c r="E27" s="136"/>
      <c r="F27" s="67" t="str">
        <f>IF(OR(B27="",C27="",E27=""),"",(VLOOKUP(C27,Wardrobes_etcData,12,0)+VLOOKUP(C27,Wardrobes_etcData,14,0))*E27)</f>
        <v/>
      </c>
      <c r="G27" s="67" t="str">
        <f>IF(OR(E27="",C27=""),"",VLOOKUP(C27,Wardrobes_etcData,17,0)*E27)</f>
        <v/>
      </c>
      <c r="H27" s="67" t="str">
        <f t="shared" si="1"/>
        <v/>
      </c>
      <c r="I27" s="124" t="str">
        <f>IF(OR(E27="",C27=""),"",IF(E27*(VLOOKUP(C27,Wardrobes_etcData,16,0)*VLOOKUP(C27,Wardrobes_etcData,31,0))=0,"Missing labour time data on Wardrobes_etc sheet",E27*(VLOOKUP(C27,Wardrobes_etcData,16,0)*VLOOKUP(C27,Wardrobes_etcData,31,0))))</f>
        <v/>
      </c>
      <c r="J27" s="124" t="str">
        <f>IF(OR(E27="",C27=""),"",IF(E27*(VLOOKUP(C27,Wardrobes_etcData,15,0)*VLOOKUP(C27,Wardrobes_etcData,24,0))=0,"Missing build time data on Wardrobes_etc sheet",E27*(VLOOKUP(C27,Wardrobes_etcData,15,0)*VLOOKUP(C27,Wardrobes_etcData,24,0))))</f>
        <v/>
      </c>
      <c r="L27" s="90"/>
      <c r="M27" s="125"/>
      <c r="N27" s="125"/>
      <c r="O27" s="125"/>
      <c r="P27" s="127"/>
      <c r="Q27" s="127"/>
      <c r="R27" s="125"/>
      <c r="S27" s="127"/>
      <c r="T27" s="127"/>
    </row>
    <row r="28">
      <c r="A28" s="135"/>
      <c r="B28" s="69"/>
      <c r="C28" s="69"/>
      <c r="D28" s="122" t="str">
        <f>IF(C28="","",VLOOKUP(C28,Wardrobes_etcData,12,0)+VLOOKUP(C28,Wardrobes_etcData,14,0)+VLOOKUP(C28,Wardrobes_etcData,17,0))</f>
        <v/>
      </c>
      <c r="E28" s="136"/>
      <c r="F28" s="67" t="str">
        <f>IF(OR(B28="",C28="",E28=""),"",(VLOOKUP(C28,Wardrobes_etcData,12,0)+VLOOKUP(C28,Wardrobes_etcData,14,0))*E28)</f>
        <v/>
      </c>
      <c r="G28" s="67" t="str">
        <f>IF(OR(E28="",C28=""),"",VLOOKUP(C28,Wardrobes_etcData,17,0)*E28)</f>
        <v/>
      </c>
      <c r="H28" s="67" t="str">
        <f t="shared" si="1"/>
        <v/>
      </c>
      <c r="I28" s="124" t="str">
        <f>IF(OR(E28="",C28=""),"",IF(E28*(VLOOKUP(C28,Wardrobes_etcData,16,0)*VLOOKUP(C28,Wardrobes_etcData,31,0))=0,"Missing labour time data on Wardrobes_etc sheet",E28*(VLOOKUP(C28,Wardrobes_etcData,16,0)*VLOOKUP(C28,Wardrobes_etcData,31,0))))</f>
        <v/>
      </c>
      <c r="J28" s="124" t="str">
        <f>IF(OR(E28="",C28=""),"",IF(E28*(VLOOKUP(C28,Wardrobes_etcData,15,0)*VLOOKUP(C28,Wardrobes_etcData,24,0))=0,"Missing build time data on Wardrobes_etc sheet",E28*(VLOOKUP(C28,Wardrobes_etcData,15,0)*VLOOKUP(C28,Wardrobes_etcData,24,0))))</f>
        <v/>
      </c>
      <c r="L28" s="90"/>
      <c r="M28" s="125"/>
      <c r="N28" s="125"/>
      <c r="O28" s="125"/>
      <c r="P28" s="127"/>
      <c r="Q28" s="127"/>
      <c r="R28" s="125"/>
      <c r="S28" s="127"/>
      <c r="T28" s="127"/>
    </row>
    <row r="29">
      <c r="A29" s="135"/>
      <c r="B29" s="69"/>
      <c r="C29" s="69"/>
      <c r="D29" s="122" t="str">
        <f>IF(C29="","",VLOOKUP(C29,Wardrobes_etcData,12,0)+VLOOKUP(C29,Wardrobes_etcData,14,0)+VLOOKUP(C29,Wardrobes_etcData,17,0))</f>
        <v/>
      </c>
      <c r="E29" s="136"/>
      <c r="F29" s="67" t="str">
        <f>IF(OR(B29="",C29="",E29=""),"",(VLOOKUP(C29,Wardrobes_etcData,12,0)+VLOOKUP(C29,Wardrobes_etcData,14,0))*E29)</f>
        <v/>
      </c>
      <c r="G29" s="67" t="str">
        <f>IF(OR(E29="",C29=""),"",VLOOKUP(C29,Wardrobes_etcData,17,0)*E29)</f>
        <v/>
      </c>
      <c r="H29" s="67" t="str">
        <f t="shared" si="1"/>
        <v/>
      </c>
      <c r="I29" s="124" t="str">
        <f>IF(OR(E29="",C29=""),"",IF(E29*(VLOOKUP(C29,Wardrobes_etcData,16,0)*VLOOKUP(C29,Wardrobes_etcData,31,0))=0,"Missing labour time data on Wardrobes_etc sheet",E29*(VLOOKUP(C29,Wardrobes_etcData,16,0)*VLOOKUP(C29,Wardrobes_etcData,31,0))))</f>
        <v/>
      </c>
      <c r="J29" s="124" t="str">
        <f>IF(OR(E29="",C29=""),"",IF(E29*(VLOOKUP(C29,Wardrobes_etcData,15,0)*VLOOKUP(C29,Wardrobes_etcData,24,0))=0,"Missing build time data on Wardrobes_etc sheet",E29*(VLOOKUP(C29,Wardrobes_etcData,15,0)*VLOOKUP(C29,Wardrobes_etcData,24,0))))</f>
        <v/>
      </c>
      <c r="L29" s="90"/>
      <c r="M29" s="125"/>
      <c r="N29" s="125"/>
      <c r="O29" s="125"/>
      <c r="P29" s="127"/>
      <c r="Q29" s="127"/>
      <c r="R29" s="125"/>
      <c r="S29" s="127"/>
      <c r="T29" s="127"/>
    </row>
    <row r="30">
      <c r="A30" s="135"/>
      <c r="B30" s="69"/>
      <c r="C30" s="69"/>
      <c r="D30" s="122" t="str">
        <f>IF(C30="","",VLOOKUP(C30,Wardrobes_etcData,12,0)+VLOOKUP(C30,Wardrobes_etcData,14,0)+VLOOKUP(C30,Wardrobes_etcData,17,0))</f>
        <v/>
      </c>
      <c r="E30" s="136"/>
      <c r="F30" s="67" t="str">
        <f>IF(OR(B30="",C30="",E30=""),"",(VLOOKUP(C30,Wardrobes_etcData,12,0)+VLOOKUP(C30,Wardrobes_etcData,14,0))*E30)</f>
        <v/>
      </c>
      <c r="G30" s="67" t="str">
        <f>IF(OR(E30="",C30=""),"",VLOOKUP(C30,Wardrobes_etcData,17,0)*E30)</f>
        <v/>
      </c>
      <c r="H30" s="67" t="str">
        <f t="shared" si="1"/>
        <v/>
      </c>
      <c r="I30" s="124" t="str">
        <f>IF(OR(E30="",C30=""),"",IF(E30*(VLOOKUP(C30,Wardrobes_etcData,16,0)*VLOOKUP(C30,Wardrobes_etcData,31,0))=0,"Missing labour time data on Wardrobes_etc sheet",E30*(VLOOKUP(C30,Wardrobes_etcData,16,0)*VLOOKUP(C30,Wardrobes_etcData,31,0))))</f>
        <v/>
      </c>
      <c r="J30" s="124" t="str">
        <f>IF(OR(E30="",C30=""),"",IF(E30*(VLOOKUP(C30,Wardrobes_etcData,15,0)*VLOOKUP(C30,Wardrobes_etcData,24,0))=0,"Missing build time data on Wardrobes_etc sheet",E30*(VLOOKUP(C30,Wardrobes_etcData,15,0)*VLOOKUP(C30,Wardrobes_etcData,24,0))))</f>
        <v/>
      </c>
      <c r="L30" s="90"/>
      <c r="M30" s="125"/>
      <c r="N30" s="125"/>
      <c r="O30" s="125"/>
      <c r="P30" s="127"/>
      <c r="Q30" s="127"/>
      <c r="R30" s="125"/>
      <c r="S30" s="127"/>
      <c r="T30" s="127"/>
    </row>
    <row r="31">
      <c r="A31" s="135"/>
      <c r="B31" s="69"/>
      <c r="C31" s="69"/>
      <c r="D31" s="122" t="str">
        <f>IF(C31="","",VLOOKUP(C31,Wardrobes_etcData,12,0)+VLOOKUP(C31,Wardrobes_etcData,14,0)+VLOOKUP(C31,Wardrobes_etcData,17,0))</f>
        <v/>
      </c>
      <c r="E31" s="136"/>
      <c r="F31" s="67" t="str">
        <f>IF(OR(B31="",C31="",E31=""),"",(VLOOKUP(C31,Wardrobes_etcData,12,0)+VLOOKUP(C31,Wardrobes_etcData,14,0))*E31)</f>
        <v/>
      </c>
      <c r="G31" s="67" t="str">
        <f>IF(OR(E31="",C31=""),"",VLOOKUP(C31,Wardrobes_etcData,17,0)*E31)</f>
        <v/>
      </c>
      <c r="H31" s="67" t="str">
        <f t="shared" si="1"/>
        <v/>
      </c>
      <c r="I31" s="124" t="str">
        <f>IF(OR(E31="",C31=""),"",IF(E31*(VLOOKUP(C31,Wardrobes_etcData,16,0)*VLOOKUP(C31,Wardrobes_etcData,31,0))=0,"Missing labour time data on Wardrobes_etc sheet",E31*(VLOOKUP(C31,Wardrobes_etcData,16,0)*VLOOKUP(C31,Wardrobes_etcData,31,0))))</f>
        <v/>
      </c>
      <c r="J31" s="124" t="str">
        <f>IF(OR(E31="",C31=""),"",IF(E31*(VLOOKUP(C31,Wardrobes_etcData,15,0)*VLOOKUP(C31,Wardrobes_etcData,24,0))=0,"Missing build time data on Wardrobes_etc sheet",E31*(VLOOKUP(C31,Wardrobes_etcData,15,0)*VLOOKUP(C31,Wardrobes_etcData,24,0))))</f>
        <v/>
      </c>
      <c r="L31" s="90"/>
      <c r="M31" s="125"/>
      <c r="N31" s="125"/>
      <c r="O31" s="125"/>
      <c r="P31" s="127"/>
      <c r="Q31" s="127"/>
      <c r="R31" s="125"/>
      <c r="S31" s="127"/>
      <c r="T31" s="127"/>
    </row>
    <row r="32">
      <c r="A32" s="135"/>
      <c r="B32" s="69"/>
      <c r="C32" s="69"/>
      <c r="D32" s="122" t="str">
        <f>IF(C32="","",VLOOKUP(C32,Wardrobes_etcData,12,0)+VLOOKUP(C32,Wardrobes_etcData,14,0)+VLOOKUP(C32,Wardrobes_etcData,17,0))</f>
        <v/>
      </c>
      <c r="E32" s="136"/>
      <c r="F32" s="67" t="str">
        <f>IF(OR(B32="",C32="",E32=""),"",(VLOOKUP(C32,Wardrobes_etcData,12,0)+VLOOKUP(C32,Wardrobes_etcData,14,0))*E32)</f>
        <v/>
      </c>
      <c r="G32" s="67" t="str">
        <f>IF(OR(E32="",C32=""),"",VLOOKUP(C32,Wardrobes_etcData,17,0)*E32)</f>
        <v/>
      </c>
      <c r="H32" s="67" t="str">
        <f t="shared" si="1"/>
        <v/>
      </c>
      <c r="I32" s="124" t="str">
        <f>IF(OR(E32="",C32=""),"",IF(E32*(VLOOKUP(C32,Wardrobes_etcData,16,0)*VLOOKUP(C32,Wardrobes_etcData,31,0))=0,"Missing labour time data on Wardrobes_etc sheet",E32*(VLOOKUP(C32,Wardrobes_etcData,16,0)*VLOOKUP(C32,Wardrobes_etcData,31,0))))</f>
        <v/>
      </c>
      <c r="J32" s="124" t="str">
        <f>IF(OR(E32="",C32=""),"",IF(E32*(VLOOKUP(C32,Wardrobes_etcData,15,0)*VLOOKUP(C32,Wardrobes_etcData,24,0))=0,"Missing build time data on Wardrobes_etc sheet",E32*(VLOOKUP(C32,Wardrobes_etcData,15,0)*VLOOKUP(C32,Wardrobes_etcData,24,0))))</f>
        <v/>
      </c>
      <c r="L32" s="128"/>
    </row>
    <row r="33">
      <c r="A33" s="135"/>
      <c r="B33" s="69"/>
      <c r="C33" s="69"/>
      <c r="D33" s="122" t="str">
        <f>IF(C33="","",VLOOKUP(C33,Wardrobes_etcData,12,0)+VLOOKUP(C33,Wardrobes_etcData,14,0)+VLOOKUP(C33,Wardrobes_etcData,17,0))</f>
        <v/>
      </c>
      <c r="E33" s="136"/>
      <c r="F33" s="67" t="str">
        <f>IF(OR(B33="",C33="",E33=""),"",(VLOOKUP(C33,Wardrobes_etcData,12,0)+VLOOKUP(C33,Wardrobes_etcData,14,0))*E33)</f>
        <v/>
      </c>
      <c r="G33" s="67" t="str">
        <f>IF(OR(E33="",C33=""),"",VLOOKUP(C33,Wardrobes_etcData,17,0)*E33)</f>
        <v/>
      </c>
      <c r="H33" s="67" t="str">
        <f t="shared" si="1"/>
        <v/>
      </c>
      <c r="I33" s="124" t="str">
        <f>IF(OR(E33="",C33=""),"",IF(E33*(VLOOKUP(C33,Wardrobes_etcData,16,0)*VLOOKUP(C33,Wardrobes_etcData,31,0))=0,"Missing labour time data on Wardrobes_etc sheet",E33*(VLOOKUP(C33,Wardrobes_etcData,16,0)*VLOOKUP(C33,Wardrobes_etcData,31,0))))</f>
        <v/>
      </c>
      <c r="J33" s="124" t="str">
        <f>IF(OR(E33="",C33=""),"",IF(E33*(VLOOKUP(C33,Wardrobes_etcData,15,0)*VLOOKUP(C33,Wardrobes_etcData,24,0))=0,"Missing build time data on Wardrobes_etc sheet",E33*(VLOOKUP(C33,Wardrobes_etcData,15,0)*VLOOKUP(C33,Wardrobes_etcData,24,0))))</f>
        <v/>
      </c>
    </row>
    <row r="34">
      <c r="A34" s="135"/>
      <c r="B34" s="69"/>
      <c r="C34" s="69"/>
      <c r="D34" s="122" t="str">
        <f>IF(C34="","",VLOOKUP(C34,Wardrobes_etcData,12,0)+VLOOKUP(C34,Wardrobes_etcData,14,0)+VLOOKUP(C34,Wardrobes_etcData,17,0))</f>
        <v/>
      </c>
      <c r="E34" s="136"/>
      <c r="F34" s="67" t="str">
        <f>IF(OR(B34="",C34="",E34=""),"",(VLOOKUP(C34,Wardrobes_etcData,12,0)+VLOOKUP(C34,Wardrobes_etcData,14,0))*E34)</f>
        <v/>
      </c>
      <c r="G34" s="67" t="str">
        <f>IF(OR(E34="",C34=""),"",VLOOKUP(C34,Wardrobes_etcData,17,0)*E34)</f>
        <v/>
      </c>
      <c r="H34" s="67" t="str">
        <f t="shared" si="1"/>
        <v/>
      </c>
      <c r="I34" s="124" t="str">
        <f>IF(OR(E34="",C34=""),"",IF(E34*(VLOOKUP(C34,Wardrobes_etcData,16,0)*VLOOKUP(C34,Wardrobes_etcData,31,0))=0,"Missing labour time data on Wardrobes_etc sheet",E34*(VLOOKUP(C34,Wardrobes_etcData,16,0)*VLOOKUP(C34,Wardrobes_etcData,31,0))))</f>
        <v/>
      </c>
      <c r="J34" s="124" t="str">
        <f>IF(OR(E34="",C34=""),"",IF(E34*(VLOOKUP(C34,Wardrobes_etcData,15,0)*VLOOKUP(C34,Wardrobes_etcData,24,0))=0,"Missing build time data on Wardrobes_etc sheet",E34*(VLOOKUP(C34,Wardrobes_etcData,15,0)*VLOOKUP(C34,Wardrobes_etcData,24,0))))</f>
        <v/>
      </c>
    </row>
    <row r="35">
      <c r="A35" s="135"/>
      <c r="B35" s="69"/>
      <c r="C35" s="69"/>
      <c r="D35" s="122" t="str">
        <f>IF(C35="","",VLOOKUP(C35,Wardrobes_etcData,12,0)+VLOOKUP(C35,Wardrobes_etcData,14,0)+VLOOKUP(C35,Wardrobes_etcData,17,0))</f>
        <v/>
      </c>
      <c r="E35" s="136"/>
      <c r="F35" s="67" t="str">
        <f>IF(OR(B35="",C35="",E35=""),"",(VLOOKUP(C35,Wardrobes_etcData,12,0)+VLOOKUP(C35,Wardrobes_etcData,14,0))*E35)</f>
        <v/>
      </c>
      <c r="G35" s="67" t="str">
        <f>IF(OR(E35="",C35=""),"",VLOOKUP(C35,Wardrobes_etcData,17,0)*E35)</f>
        <v/>
      </c>
      <c r="H35" s="67" t="str">
        <f t="shared" si="1"/>
        <v/>
      </c>
      <c r="I35" s="124" t="str">
        <f>IF(OR(E35="",C35=""),"",IF(E35*(VLOOKUP(C35,Wardrobes_etcData,16,0)*VLOOKUP(C35,Wardrobes_etcData,31,0))=0,"Missing labour time data on Wardrobes_etc sheet",E35*(VLOOKUP(C35,Wardrobes_etcData,16,0)*VLOOKUP(C35,Wardrobes_etcData,31,0))))</f>
        <v/>
      </c>
      <c r="J35" s="124" t="str">
        <f>IF(OR(E35="",C35=""),"",IF(E35*(VLOOKUP(C35,Wardrobes_etcData,15,0)*VLOOKUP(C35,Wardrobes_etcData,24,0))=0,"Missing build time data on Wardrobes_etc sheet",E35*(VLOOKUP(C35,Wardrobes_etcData,15,0)*VLOOKUP(C35,Wardrobes_etcData,24,0))))</f>
        <v/>
      </c>
    </row>
    <row r="36">
      <c r="A36" s="135"/>
      <c r="B36" s="69"/>
      <c r="C36" s="69"/>
      <c r="D36" s="122" t="str">
        <f>IF(C36="","",VLOOKUP(C36,Wardrobes_etcData,12,0)+VLOOKUP(C36,Wardrobes_etcData,14,0)+VLOOKUP(C36,Wardrobes_etcData,17,0))</f>
        <v/>
      </c>
      <c r="E36" s="136"/>
      <c r="F36" s="67" t="str">
        <f>IF(OR(B36="",C36="",E36=""),"",(VLOOKUP(C36,Wardrobes_etcData,12,0)+VLOOKUP(C36,Wardrobes_etcData,14,0))*E36)</f>
        <v/>
      </c>
      <c r="G36" s="67" t="str">
        <f>IF(OR(E36="",C36=""),"",VLOOKUP(C36,Wardrobes_etcData,17,0)*E36)</f>
        <v/>
      </c>
      <c r="H36" s="67" t="str">
        <f t="shared" si="1"/>
        <v/>
      </c>
      <c r="I36" s="124" t="str">
        <f>IF(OR(E36="",C36=""),"",IF(E36*(VLOOKUP(C36,Wardrobes_etcData,16,0)*VLOOKUP(C36,Wardrobes_etcData,31,0))=0,"Missing labour time data on Wardrobes_etc sheet",E36*(VLOOKUP(C36,Wardrobes_etcData,16,0)*VLOOKUP(C36,Wardrobes_etcData,31,0))))</f>
        <v/>
      </c>
      <c r="J36" s="124" t="str">
        <f>IF(OR(E36="",C36=""),"",IF(E36*(VLOOKUP(C36,Wardrobes_etcData,15,0)*VLOOKUP(C36,Wardrobes_etcData,24,0))=0,"Missing build time data on Wardrobes_etc sheet",E36*(VLOOKUP(C36,Wardrobes_etcData,15,0)*VLOOKUP(C36,Wardrobes_etcData,24,0))))</f>
        <v/>
      </c>
    </row>
    <row r="37">
      <c r="A37" s="135"/>
      <c r="B37" s="69"/>
      <c r="C37" s="69"/>
      <c r="D37" s="122" t="str">
        <f>IF(C37="","",VLOOKUP(C37,Wardrobes_etcData,12,0)+VLOOKUP(C37,Wardrobes_etcData,14,0)+VLOOKUP(C37,Wardrobes_etcData,17,0))</f>
        <v/>
      </c>
      <c r="E37" s="136"/>
      <c r="F37" s="67" t="str">
        <f>IF(OR(B37="",C37="",E37=""),"",(VLOOKUP(C37,Wardrobes_etcData,12,0)+VLOOKUP(C37,Wardrobes_etcData,14,0))*E37)</f>
        <v/>
      </c>
      <c r="G37" s="67" t="str">
        <f>IF(OR(E37="",C37=""),"",VLOOKUP(C37,Wardrobes_etcData,17,0)*E37)</f>
        <v/>
      </c>
      <c r="H37" s="67" t="str">
        <f t="shared" si="1"/>
        <v/>
      </c>
      <c r="I37" s="124" t="str">
        <f>IF(OR(E37="",C37=""),"",IF(E37*(VLOOKUP(C37,Wardrobes_etcData,16,0)*VLOOKUP(C37,Wardrobes_etcData,31,0))=0,"Missing labour time data on Wardrobes_etc sheet",E37*(VLOOKUP(C37,Wardrobes_etcData,16,0)*VLOOKUP(C37,Wardrobes_etcData,31,0))))</f>
        <v/>
      </c>
      <c r="J37" s="124" t="str">
        <f>IF(OR(E37="",C37=""),"",IF(E37*(VLOOKUP(C37,Wardrobes_etcData,15,0)*VLOOKUP(C37,Wardrobes_etcData,24,0))=0,"Missing build time data on Wardrobes_etc sheet",E37*(VLOOKUP(C37,Wardrobes_etcData,15,0)*VLOOKUP(C37,Wardrobes_etcData,24,0))))</f>
        <v/>
      </c>
    </row>
    <row r="38">
      <c r="A38" s="135"/>
      <c r="B38" s="69"/>
      <c r="C38" s="69"/>
      <c r="D38" s="122" t="str">
        <f>IF(C38="","",VLOOKUP(C38,Wardrobes_etcData,12,0)+VLOOKUP(C38,Wardrobes_etcData,14,0)+VLOOKUP(C38,Wardrobes_etcData,17,0))</f>
        <v/>
      </c>
      <c r="E38" s="136"/>
      <c r="F38" s="67" t="str">
        <f>IF(OR(B38="",C38="",E38=""),"",(VLOOKUP(C38,Wardrobes_etcData,12,0)+VLOOKUP(C38,Wardrobes_etcData,14,0))*E38)</f>
        <v/>
      </c>
      <c r="G38" s="67" t="str">
        <f>IF(OR(E38="",C38=""),"",VLOOKUP(C38,Wardrobes_etcData,17,0)*E38)</f>
        <v/>
      </c>
      <c r="H38" s="67" t="str">
        <f t="shared" si="1"/>
        <v/>
      </c>
      <c r="I38" s="124" t="str">
        <f>IF(OR(E38="",C38=""),"",IF(E38*(VLOOKUP(C38,Wardrobes_etcData,16,0)*VLOOKUP(C38,Wardrobes_etcData,31,0))=0,"Missing labour time data on Wardrobes_etc sheet",E38*(VLOOKUP(C38,Wardrobes_etcData,16,0)*VLOOKUP(C38,Wardrobes_etcData,31,0))))</f>
        <v/>
      </c>
      <c r="J38" s="124" t="str">
        <f>IF(OR(E38="",C38=""),"",IF(E38*(VLOOKUP(C38,Wardrobes_etcData,15,0)*VLOOKUP(C38,Wardrobes_etcData,24,0))=0,"Missing build time data on Wardrobes_etc sheet",E38*(VLOOKUP(C38,Wardrobes_etcData,15,0)*VLOOKUP(C38,Wardrobes_etcData,24,0))))</f>
        <v/>
      </c>
    </row>
    <row r="39">
      <c r="A39" s="135"/>
      <c r="B39" s="69"/>
      <c r="C39" s="69"/>
      <c r="D39" s="122" t="str">
        <f>IF(C39="","",VLOOKUP(C39,Wardrobes_etcData,12,0)+VLOOKUP(C39,Wardrobes_etcData,14,0)+VLOOKUP(C39,Wardrobes_etcData,17,0))</f>
        <v/>
      </c>
      <c r="E39" s="136"/>
      <c r="F39" s="67" t="str">
        <f>IF(OR(B39="",C39="",E39=""),"",(VLOOKUP(C39,Wardrobes_etcData,12,0)+VLOOKUP(C39,Wardrobes_etcData,14,0))*E39)</f>
        <v/>
      </c>
      <c r="G39" s="67" t="str">
        <f>IF(OR(E39="",C39=""),"",VLOOKUP(C39,Wardrobes_etcData,17,0)*E39)</f>
        <v/>
      </c>
      <c r="H39" s="67" t="str">
        <f t="shared" si="1"/>
        <v/>
      </c>
      <c r="I39" s="124" t="str">
        <f>IF(OR(E39="",C39=""),"",IF(E39*(VLOOKUP(C39,Wardrobes_etcData,16,0)*VLOOKUP(C39,Wardrobes_etcData,31,0))=0,"Missing labour time data on Wardrobes_etc sheet",E39*(VLOOKUP(C39,Wardrobes_etcData,16,0)*VLOOKUP(C39,Wardrobes_etcData,31,0))))</f>
        <v/>
      </c>
      <c r="J39" s="124" t="str">
        <f>IF(OR(E39="",C39=""),"",IF(E39*(VLOOKUP(C39,Wardrobes_etcData,15,0)*VLOOKUP(C39,Wardrobes_etcData,24,0))=0,"Missing build time data on Wardrobes_etc sheet",E39*(VLOOKUP(C39,Wardrobes_etcData,15,0)*VLOOKUP(C39,Wardrobes_etcData,24,0))))</f>
        <v/>
      </c>
    </row>
    <row r="40">
      <c r="A40" s="135"/>
      <c r="B40" s="69"/>
      <c r="C40" s="69"/>
      <c r="D40" s="122" t="str">
        <f>IF(C40="","",VLOOKUP(C40,Wardrobes_etcData,12,0)+VLOOKUP(C40,Wardrobes_etcData,14,0)+VLOOKUP(C40,Wardrobes_etcData,17,0))</f>
        <v/>
      </c>
      <c r="E40" s="136"/>
      <c r="F40" s="67" t="str">
        <f>IF(OR(B40="",C40="",E40=""),"",(VLOOKUP(C40,Wardrobes_etcData,12,0)+VLOOKUP(C40,Wardrobes_etcData,14,0))*E40)</f>
        <v/>
      </c>
      <c r="G40" s="67" t="str">
        <f>IF(OR(E40="",C40=""),"",VLOOKUP(C40,Wardrobes_etcData,17,0)*E40)</f>
        <v/>
      </c>
      <c r="H40" s="67" t="str">
        <f t="shared" si="1"/>
        <v/>
      </c>
      <c r="I40" s="124" t="str">
        <f>IF(OR(E40="",C40=""),"",IF(E40*(VLOOKUP(C40,Wardrobes_etcData,16,0)*VLOOKUP(C40,Wardrobes_etcData,31,0))=0,"Missing labour time data on Wardrobes_etc sheet",E40*(VLOOKUP(C40,Wardrobes_etcData,16,0)*VLOOKUP(C40,Wardrobes_etcData,31,0))))</f>
        <v/>
      </c>
      <c r="J40" s="124" t="str">
        <f>IF(OR(E40="",C40=""),"",IF(E40*(VLOOKUP(C40,Wardrobes_etcData,15,0)*VLOOKUP(C40,Wardrobes_etcData,24,0))=0,"Missing build time data on Wardrobes_etc sheet",E40*(VLOOKUP(C40,Wardrobes_etcData,15,0)*VLOOKUP(C40,Wardrobes_etcData,24,0))))</f>
        <v/>
      </c>
    </row>
    <row r="41">
      <c r="A41" s="135"/>
      <c r="B41" s="69"/>
      <c r="C41" s="69"/>
      <c r="D41" s="122" t="str">
        <f>IF(C41="","",VLOOKUP(C41,Wardrobes_etcData,12,0)+VLOOKUP(C41,Wardrobes_etcData,14,0)+VLOOKUP(C41,Wardrobes_etcData,17,0))</f>
        <v/>
      </c>
      <c r="E41" s="136"/>
      <c r="F41" s="67" t="str">
        <f>IF(OR(B41="",C41="",E41=""),"",(VLOOKUP(C41,Wardrobes_etcData,12,0)+VLOOKUP(C41,Wardrobes_etcData,14,0))*E41)</f>
        <v/>
      </c>
      <c r="G41" s="67" t="str">
        <f>IF(OR(E41="",C41=""),"",VLOOKUP(C41,Wardrobes_etcData,17,0)*E41)</f>
        <v/>
      </c>
      <c r="H41" s="67" t="str">
        <f t="shared" si="1"/>
        <v/>
      </c>
      <c r="I41" s="124" t="str">
        <f>IF(OR(E41="",C41=""),"",IF(E41*(VLOOKUP(C41,Wardrobes_etcData,16,0)*VLOOKUP(C41,Wardrobes_etcData,31,0))=0,"Missing labour time data on Wardrobes_etc sheet",E41*(VLOOKUP(C41,Wardrobes_etcData,16,0)*VLOOKUP(C41,Wardrobes_etcData,31,0))))</f>
        <v/>
      </c>
      <c r="J41" s="124" t="str">
        <f>IF(OR(E41="",C41=""),"",IF(E41*(VLOOKUP(C41,Wardrobes_etcData,15,0)*VLOOKUP(C41,Wardrobes_etcData,24,0))=0,"Missing build time data on Wardrobes_etc sheet",E41*(VLOOKUP(C41,Wardrobes_etcData,15,0)*VLOOKUP(C41,Wardrobes_etcData,24,0))))</f>
        <v/>
      </c>
    </row>
    <row r="42">
      <c r="A42" s="135"/>
      <c r="B42" s="69"/>
      <c r="C42" s="69"/>
      <c r="D42" s="122" t="str">
        <f>IF(C42="","",VLOOKUP(C42,Wardrobes_etcData,12,0)+VLOOKUP(C42,Wardrobes_etcData,14,0)+VLOOKUP(C42,Wardrobes_etcData,17,0))</f>
        <v/>
      </c>
      <c r="E42" s="136"/>
      <c r="F42" s="67" t="str">
        <f>IF(OR(B42="",C42="",E42=""),"",(VLOOKUP(C42,Wardrobes_etcData,12,0)+VLOOKUP(C42,Wardrobes_etcData,14,0))*E42)</f>
        <v/>
      </c>
      <c r="G42" s="67" t="str">
        <f>IF(OR(E42="",C42=""),"",VLOOKUP(C42,Wardrobes_etcData,17,0)*E42)</f>
        <v/>
      </c>
      <c r="H42" s="67" t="str">
        <f t="shared" si="1"/>
        <v/>
      </c>
      <c r="I42" s="124" t="str">
        <f>IF(OR(E42="",C42=""),"",IF(E42*(VLOOKUP(C42,Wardrobes_etcData,16,0)*VLOOKUP(C42,Wardrobes_etcData,31,0))=0,"Missing labour time data on Wardrobes_etc sheet",E42*(VLOOKUP(C42,Wardrobes_etcData,16,0)*VLOOKUP(C42,Wardrobes_etcData,31,0))))</f>
        <v/>
      </c>
      <c r="J42" s="124" t="str">
        <f>IF(OR(E42="",C42=""),"",IF(E42*(VLOOKUP(C42,Wardrobes_etcData,15,0)*VLOOKUP(C42,Wardrobes_etcData,24,0))=0,"Missing build time data on Wardrobes_etc sheet",E42*(VLOOKUP(C42,Wardrobes_etcData,15,0)*VLOOKUP(C42,Wardrobes_etcData,24,0))))</f>
        <v/>
      </c>
    </row>
    <row r="43">
      <c r="A43" s="135"/>
      <c r="B43" s="69"/>
      <c r="C43" s="69"/>
      <c r="D43" s="122" t="str">
        <f>IF(C43="","",VLOOKUP(C43,Wardrobes_etcData,12,0)+VLOOKUP(C43,Wardrobes_etcData,14,0)+VLOOKUP(C43,Wardrobes_etcData,17,0))</f>
        <v/>
      </c>
      <c r="E43" s="136"/>
      <c r="F43" s="67" t="str">
        <f>IF(OR(B43="",C43="",E43=""),"",(VLOOKUP(C43,Wardrobes_etcData,12,0)+VLOOKUP(C43,Wardrobes_etcData,14,0))*E43)</f>
        <v/>
      </c>
      <c r="G43" s="67" t="str">
        <f>IF(OR(E43="",C43=""),"",VLOOKUP(C43,Wardrobes_etcData,17,0)*E43)</f>
        <v/>
      </c>
      <c r="H43" s="67" t="str">
        <f t="shared" si="1"/>
        <v/>
      </c>
      <c r="I43" s="124" t="str">
        <f>IF(OR(E43="",C43=""),"",IF(E43*(VLOOKUP(C43,Wardrobes_etcData,16,0)*VLOOKUP(C43,Wardrobes_etcData,31,0))=0,"Missing labour time data on Wardrobes_etc sheet",E43*(VLOOKUP(C43,Wardrobes_etcData,16,0)*VLOOKUP(C43,Wardrobes_etcData,31,0))))</f>
        <v/>
      </c>
      <c r="J43" s="124" t="str">
        <f>IF(OR(E43="",C43=""),"",IF(E43*(VLOOKUP(C43,Wardrobes_etcData,15,0)*VLOOKUP(C43,Wardrobes_etcData,24,0))=0,"Missing build time data on Wardrobes_etc sheet",E43*(VLOOKUP(C43,Wardrobes_etcData,15,0)*VLOOKUP(C43,Wardrobes_etcData,24,0))))</f>
        <v/>
      </c>
    </row>
    <row r="44">
      <c r="A44" s="135"/>
      <c r="B44" s="69"/>
      <c r="C44" s="69"/>
      <c r="D44" s="122" t="str">
        <f>IF(C44="","",VLOOKUP(C44,Wardrobes_etcData,12,0)+VLOOKUP(C44,Wardrobes_etcData,14,0)+VLOOKUP(C44,Wardrobes_etcData,17,0))</f>
        <v/>
      </c>
      <c r="E44" s="136"/>
      <c r="F44" s="67" t="str">
        <f>IF(OR(B44="",C44="",E44=""),"",(VLOOKUP(C44,Wardrobes_etcData,12,0)+VLOOKUP(C44,Wardrobes_etcData,14,0))*E44)</f>
        <v/>
      </c>
      <c r="G44" s="67" t="str">
        <f>IF(OR(E44="",C44=""),"",VLOOKUP(C44,Wardrobes_etcData,17,0)*E44)</f>
        <v/>
      </c>
      <c r="H44" s="67" t="str">
        <f t="shared" si="1"/>
        <v/>
      </c>
      <c r="I44" s="124" t="str">
        <f>IF(OR(E44="",C44=""),"",IF(E44*(VLOOKUP(C44,Wardrobes_etcData,16,0)*VLOOKUP(C44,Wardrobes_etcData,31,0))=0,"Missing labour time data on Wardrobes_etc sheet",E44*(VLOOKUP(C44,Wardrobes_etcData,16,0)*VLOOKUP(C44,Wardrobes_etcData,31,0))))</f>
        <v/>
      </c>
      <c r="J44" s="124" t="str">
        <f>IF(OR(E44="",C44=""),"",IF(E44*(VLOOKUP(C44,Wardrobes_etcData,15,0)*VLOOKUP(C44,Wardrobes_etcData,24,0))=0,"Missing build time data on Wardrobes_etc sheet",E44*(VLOOKUP(C44,Wardrobes_etcData,15,0)*VLOOKUP(C44,Wardrobes_etcData,24,0))))</f>
        <v/>
      </c>
    </row>
    <row r="45">
      <c r="A45" s="135"/>
      <c r="B45" s="69"/>
      <c r="C45" s="69"/>
      <c r="D45" s="122" t="str">
        <f>IF(C45="","",VLOOKUP(C45,Wardrobes_etcData,12,0)+VLOOKUP(C45,Wardrobes_etcData,14,0)+VLOOKUP(C45,Wardrobes_etcData,17,0))</f>
        <v/>
      </c>
      <c r="E45" s="136"/>
      <c r="F45" s="67" t="str">
        <f>IF(OR(B45="",C45="",E45=""),"",(VLOOKUP(C45,Wardrobes_etcData,12,0)+VLOOKUP(C45,Wardrobes_etcData,14,0))*E45)</f>
        <v/>
      </c>
      <c r="G45" s="67" t="str">
        <f>IF(OR(E45="",C45=""),"",VLOOKUP(C45,Wardrobes_etcData,17,0)*E45)</f>
        <v/>
      </c>
      <c r="H45" s="67" t="str">
        <f t="shared" si="1"/>
        <v/>
      </c>
      <c r="I45" s="124" t="str">
        <f>IF(OR(E45="",C45=""),"",IF(E45*(VLOOKUP(C45,Wardrobes_etcData,16,0)*VLOOKUP(C45,Wardrobes_etcData,31,0))=0,"Missing labour time data on Wardrobes_etc sheet",E45*(VLOOKUP(C45,Wardrobes_etcData,16,0)*VLOOKUP(C45,Wardrobes_etcData,31,0))))</f>
        <v/>
      </c>
      <c r="J45" s="124" t="str">
        <f>IF(OR(E45="",C45=""),"",IF(E45*(VLOOKUP(C45,Wardrobes_etcData,15,0)*VLOOKUP(C45,Wardrobes_etcData,24,0))=0,"Missing build time data on Wardrobes_etc sheet",E45*(VLOOKUP(C45,Wardrobes_etcData,15,0)*VLOOKUP(C45,Wardrobes_etcData,24,0))))</f>
        <v/>
      </c>
    </row>
    <row r="46">
      <c r="A46" s="135"/>
      <c r="B46" s="69"/>
      <c r="C46" s="69"/>
      <c r="D46" s="122" t="str">
        <f>IF(C46="","",VLOOKUP(C46,Wardrobes_etcData,12,0)+VLOOKUP(C46,Wardrobes_etcData,14,0)+VLOOKUP(C46,Wardrobes_etcData,17,0))</f>
        <v/>
      </c>
      <c r="E46" s="136"/>
      <c r="F46" s="67" t="str">
        <f>IF(OR(B46="",C46="",E46=""),"",(VLOOKUP(C46,Wardrobes_etcData,12,0)+VLOOKUP(C46,Wardrobes_etcData,14,0))*E46)</f>
        <v/>
      </c>
      <c r="G46" s="67" t="str">
        <f>IF(OR(E46="",C46=""),"",VLOOKUP(C46,Wardrobes_etcData,17,0)*E46)</f>
        <v/>
      </c>
      <c r="H46" s="67" t="str">
        <f t="shared" si="1"/>
        <v/>
      </c>
      <c r="I46" s="124" t="str">
        <f>IF(OR(E46="",C46=""),"",IF(E46*(VLOOKUP(C46,Wardrobes_etcData,16,0)*VLOOKUP(C46,Wardrobes_etcData,31,0))=0,"Missing labour time data on Wardrobes_etc sheet",E46*(VLOOKUP(C46,Wardrobes_etcData,16,0)*VLOOKUP(C46,Wardrobes_etcData,31,0))))</f>
        <v/>
      </c>
      <c r="J46" s="124" t="str">
        <f>IF(OR(E46="",C46=""),"",IF(E46*(VLOOKUP(C46,Wardrobes_etcData,15,0)*VLOOKUP(C46,Wardrobes_etcData,24,0))=0,"Missing build time data on Wardrobes_etc sheet",E46*(VLOOKUP(C46,Wardrobes_etcData,15,0)*VLOOKUP(C46,Wardrobes_etcData,24,0))))</f>
        <v/>
      </c>
    </row>
    <row r="47">
      <c r="A47" s="135"/>
      <c r="B47" s="69"/>
      <c r="C47" s="69"/>
      <c r="D47" s="122" t="str">
        <f>IF(C47="","",VLOOKUP(C47,Wardrobes_etcData,12,0)+VLOOKUP(C47,Wardrobes_etcData,14,0)+VLOOKUP(C47,Wardrobes_etcData,17,0))</f>
        <v/>
      </c>
      <c r="E47" s="136"/>
      <c r="F47" s="67" t="str">
        <f>IF(OR(B47="",C47="",E47=""),"",(VLOOKUP(C47,Wardrobes_etcData,12,0)+VLOOKUP(C47,Wardrobes_etcData,14,0))*E47)</f>
        <v/>
      </c>
      <c r="G47" s="67" t="str">
        <f>IF(OR(E47="",C47=""),"",VLOOKUP(C47,Wardrobes_etcData,17,0)*E47)</f>
        <v/>
      </c>
      <c r="H47" s="67" t="str">
        <f t="shared" si="1"/>
        <v/>
      </c>
      <c r="I47" s="124" t="str">
        <f>IF(OR(E47="",C47=""),"",IF(E47*(VLOOKUP(C47,Wardrobes_etcData,16,0)*VLOOKUP(C47,Wardrobes_etcData,31,0))=0,"Missing labour time data on Wardrobes_etc sheet",E47*(VLOOKUP(C47,Wardrobes_etcData,16,0)*VLOOKUP(C47,Wardrobes_etcData,31,0))))</f>
        <v/>
      </c>
      <c r="J47" s="124" t="str">
        <f>IF(OR(E47="",C47=""),"",IF(E47*(VLOOKUP(C47,Wardrobes_etcData,15,0)*VLOOKUP(C47,Wardrobes_etcData,24,0))=0,"Missing build time data on Wardrobes_etc sheet",E47*(VLOOKUP(C47,Wardrobes_etcData,15,0)*VLOOKUP(C47,Wardrobes_etcData,24,0))))</f>
        <v/>
      </c>
    </row>
    <row r="48">
      <c r="A48" s="135"/>
      <c r="B48" s="69"/>
      <c r="C48" s="69"/>
      <c r="D48" s="122" t="str">
        <f>IF(C48="","",VLOOKUP(C48,Wardrobes_etcData,12,0)+VLOOKUP(C48,Wardrobes_etcData,14,0)+VLOOKUP(C48,Wardrobes_etcData,17,0))</f>
        <v/>
      </c>
      <c r="E48" s="136"/>
      <c r="F48" s="67" t="str">
        <f>IF(OR(B48="",C48="",E48=""),"",(VLOOKUP(C48,Wardrobes_etcData,12,0)+VLOOKUP(C48,Wardrobes_etcData,14,0))*E48)</f>
        <v/>
      </c>
      <c r="G48" s="67" t="str">
        <f>IF(OR(E48="",C48=""),"",VLOOKUP(C48,Wardrobes_etcData,17,0)*E48)</f>
        <v/>
      </c>
      <c r="H48" s="67" t="str">
        <f t="shared" si="1"/>
        <v/>
      </c>
      <c r="I48" s="124" t="str">
        <f>IF(OR(E48="",C48=""),"",IF(E48*(VLOOKUP(C48,Wardrobes_etcData,16,0)*VLOOKUP(C48,Wardrobes_etcData,31,0))=0,"Missing labour time data on Wardrobes_etc sheet",E48*(VLOOKUP(C48,Wardrobes_etcData,16,0)*VLOOKUP(C48,Wardrobes_etcData,31,0))))</f>
        <v/>
      </c>
      <c r="J48" s="124" t="str">
        <f>IF(OR(E48="",C48=""),"",IF(E48*(VLOOKUP(C48,Wardrobes_etcData,15,0)*VLOOKUP(C48,Wardrobes_etcData,24,0))=0,"Missing build time data on Wardrobes_etc sheet",E48*(VLOOKUP(C48,Wardrobes_etcData,15,0)*VLOOKUP(C48,Wardrobes_etcData,24,0))))</f>
        <v/>
      </c>
    </row>
    <row r="49">
      <c r="A49" s="135"/>
      <c r="B49" s="69"/>
      <c r="C49" s="69"/>
      <c r="D49" s="122" t="str">
        <f>IF(C49="","",VLOOKUP(C49,Wardrobes_etcData,12,0)+VLOOKUP(C49,Wardrobes_etcData,14,0)+VLOOKUP(C49,Wardrobes_etcData,17,0))</f>
        <v/>
      </c>
      <c r="E49" s="136"/>
      <c r="F49" s="67" t="str">
        <f>IF(OR(B49="",C49="",E49=""),"",(VLOOKUP(C49,Wardrobes_etcData,12,0)+VLOOKUP(C49,Wardrobes_etcData,14,0))*E49)</f>
        <v/>
      </c>
      <c r="G49" s="67" t="str">
        <f>IF(OR(E49="",C49=""),"",VLOOKUP(C49,Wardrobes_etcData,17,0)*E49)</f>
        <v/>
      </c>
      <c r="H49" s="67" t="str">
        <f t="shared" si="1"/>
        <v/>
      </c>
      <c r="I49" s="124" t="str">
        <f>IF(OR(E49="",C49=""),"",IF(E49*(VLOOKUP(C49,Wardrobes_etcData,16,0)*VLOOKUP(C49,Wardrobes_etcData,31,0))=0,"Missing labour time data on Wardrobes_etc sheet",E49*(VLOOKUP(C49,Wardrobes_etcData,16,0)*VLOOKUP(C49,Wardrobes_etcData,31,0))))</f>
        <v/>
      </c>
      <c r="J49" s="124" t="str">
        <f>IF(OR(E49="",C49=""),"",IF(E49*(VLOOKUP(C49,Wardrobes_etcData,15,0)*VLOOKUP(C49,Wardrobes_etcData,24,0))=0,"Missing build time data on Wardrobes_etc sheet",E49*(VLOOKUP(C49,Wardrobes_etcData,15,0)*VLOOKUP(C49,Wardrobes_etcData,24,0))))</f>
        <v/>
      </c>
    </row>
    <row r="50">
      <c r="A50" s="135"/>
      <c r="B50" s="69"/>
      <c r="C50" s="69"/>
      <c r="D50" s="122" t="str">
        <f>IF(C50="","",VLOOKUP(C50,Wardrobes_etcData,12,0)+VLOOKUP(C50,Wardrobes_etcData,14,0)+VLOOKUP(C50,Wardrobes_etcData,17,0))</f>
        <v/>
      </c>
      <c r="E50" s="136"/>
      <c r="F50" s="67" t="str">
        <f>IF(OR(B50="",C50="",E50=""),"",(VLOOKUP(C50,Wardrobes_etcData,12,0)+VLOOKUP(C50,Wardrobes_etcData,14,0))*E50)</f>
        <v/>
      </c>
      <c r="G50" s="67" t="str">
        <f>IF(OR(E50="",C50=""),"",VLOOKUP(C50,Wardrobes_etcData,17,0)*E50)</f>
        <v/>
      </c>
      <c r="H50" s="67" t="str">
        <f t="shared" si="1"/>
        <v/>
      </c>
      <c r="I50" s="124" t="str">
        <f>IF(OR(E50="",C50=""),"",IF(E50*(VLOOKUP(C50,Wardrobes_etcData,16,0)*VLOOKUP(C50,Wardrobes_etcData,31,0))=0,"Missing labour time data on Wardrobes_etc sheet",E50*(VLOOKUP(C50,Wardrobes_etcData,16,0)*VLOOKUP(C50,Wardrobes_etcData,31,0))))</f>
        <v/>
      </c>
      <c r="J50" s="124" t="str">
        <f>IF(OR(E50="",C50=""),"",IF(E50*(VLOOKUP(C50,Wardrobes_etcData,15,0)*VLOOKUP(C50,Wardrobes_etcData,24,0))=0,"Missing build time data on Wardrobes_etc sheet",E50*(VLOOKUP(C50,Wardrobes_etcData,15,0)*VLOOKUP(C50,Wardrobes_etcData,24,0))))</f>
        <v/>
      </c>
    </row>
    <row r="51">
      <c r="A51" s="135"/>
      <c r="B51" s="69"/>
      <c r="C51" s="69"/>
      <c r="D51" s="122" t="str">
        <f>IF(C51="","",VLOOKUP(C51,Wardrobes_etcData,12,0)+VLOOKUP(C51,Wardrobes_etcData,14,0)+VLOOKUP(C51,Wardrobes_etcData,17,0))</f>
        <v/>
      </c>
      <c r="E51" s="136"/>
      <c r="F51" s="67" t="str">
        <f>IF(OR(B51="",C51="",E51=""),"",(VLOOKUP(C51,Wardrobes_etcData,12,0)+VLOOKUP(C51,Wardrobes_etcData,14,0))*E51)</f>
        <v/>
      </c>
      <c r="G51" s="67" t="str">
        <f>IF(OR(E51="",C51=""),"",VLOOKUP(C51,Wardrobes_etcData,17,0)*E51)</f>
        <v/>
      </c>
      <c r="H51" s="67" t="str">
        <f t="shared" si="1"/>
        <v/>
      </c>
      <c r="I51" s="124" t="str">
        <f>IF(OR(E51="",C51=""),"",IF(E51*(VLOOKUP(C51,Wardrobes_etcData,16,0)*VLOOKUP(C51,Wardrobes_etcData,31,0))=0,"Missing labour time data on Wardrobes_etc sheet",E51*(VLOOKUP(C51,Wardrobes_etcData,16,0)*VLOOKUP(C51,Wardrobes_etcData,31,0))))</f>
        <v/>
      </c>
      <c r="J51" s="124" t="str">
        <f>IF(OR(E51="",C51=""),"",IF(E51*(VLOOKUP(C51,Wardrobes_etcData,15,0)*VLOOKUP(C51,Wardrobes_etcData,24,0))=0,"Missing build time data on Wardrobes_etc sheet",E51*(VLOOKUP(C51,Wardrobes_etcData,15,0)*VLOOKUP(C51,Wardrobes_etcData,24,0))))</f>
        <v/>
      </c>
    </row>
    <row r="52">
      <c r="A52" s="135"/>
      <c r="B52" s="69"/>
      <c r="C52" s="69"/>
      <c r="D52" s="122" t="str">
        <f>IF(C52="","",VLOOKUP(C52,Wardrobes_etcData,12,0)+VLOOKUP(C52,Wardrobes_etcData,14,0)+VLOOKUP(C52,Wardrobes_etcData,17,0))</f>
        <v/>
      </c>
      <c r="E52" s="136"/>
      <c r="F52" s="67" t="str">
        <f>IF(OR(B52="",C52="",E52=""),"",(VLOOKUP(C52,Wardrobes_etcData,12,0)+VLOOKUP(C52,Wardrobes_etcData,14,0))*E52)</f>
        <v/>
      </c>
      <c r="G52" s="67" t="str">
        <f>IF(OR(E52="",C52=""),"",VLOOKUP(C52,Wardrobes_etcData,17,0)*E52)</f>
        <v/>
      </c>
      <c r="H52" s="67" t="str">
        <f t="shared" si="1"/>
        <v/>
      </c>
      <c r="I52" s="124" t="str">
        <f>IF(OR(E52="",C52=""),"",IF(E52*(VLOOKUP(C52,Wardrobes_etcData,16,0)*VLOOKUP(C52,Wardrobes_etcData,31,0))=0,"Missing labour time data on Wardrobes_etc sheet",E52*(VLOOKUP(C52,Wardrobes_etcData,16,0)*VLOOKUP(C52,Wardrobes_etcData,31,0))))</f>
        <v/>
      </c>
      <c r="J52" s="124" t="str">
        <f>IF(OR(E52="",C52=""),"",IF(E52*(VLOOKUP(C52,Wardrobes_etcData,15,0)*VLOOKUP(C52,Wardrobes_etcData,24,0))=0,"Missing build time data on Wardrobes_etc sheet",E52*(VLOOKUP(C52,Wardrobes_etcData,15,0)*VLOOKUP(C52,Wardrobes_etcData,24,0))))</f>
        <v/>
      </c>
    </row>
    <row r="53">
      <c r="A53" s="135"/>
      <c r="B53" s="69"/>
      <c r="C53" s="69"/>
      <c r="D53" s="122" t="str">
        <f>IF(C53="","",VLOOKUP(C53,Wardrobes_etcData,12,0)+VLOOKUP(C53,Wardrobes_etcData,14,0)+VLOOKUP(C53,Wardrobes_etcData,17,0))</f>
        <v/>
      </c>
      <c r="E53" s="136"/>
      <c r="F53" s="67" t="str">
        <f>IF(OR(B53="",C53="",E53=""),"",(VLOOKUP(C53,Wardrobes_etcData,12,0)+VLOOKUP(C53,Wardrobes_etcData,14,0))*E53)</f>
        <v/>
      </c>
      <c r="G53" s="67" t="str">
        <f>IF(OR(E53="",C53=""),"",VLOOKUP(C53,Wardrobes_etcData,17,0)*E53)</f>
        <v/>
      </c>
      <c r="H53" s="67" t="str">
        <f t="shared" si="1"/>
        <v/>
      </c>
      <c r="I53" s="124" t="str">
        <f>IF(OR(E53="",C53=""),"",IF(E53*(VLOOKUP(C53,Wardrobes_etcData,16,0)*VLOOKUP(C53,Wardrobes_etcData,31,0))=0,"Missing labour time data on Wardrobes_etc sheet",E53*(VLOOKUP(C53,Wardrobes_etcData,16,0)*VLOOKUP(C53,Wardrobes_etcData,31,0))))</f>
        <v/>
      </c>
      <c r="J53" s="124" t="str">
        <f>IF(OR(E53="",C53=""),"",IF(E53*(VLOOKUP(C53,Wardrobes_etcData,15,0)*VLOOKUP(C53,Wardrobes_etcData,24,0))=0,"Missing build time data on Wardrobes_etc sheet",E53*(VLOOKUP(C53,Wardrobes_etcData,15,0)*VLOOKUP(C53,Wardrobes_etcData,24,0))))</f>
        <v/>
      </c>
    </row>
    <row r="54">
      <c r="A54" s="135"/>
      <c r="B54" s="69"/>
      <c r="C54" s="69"/>
      <c r="D54" s="122" t="str">
        <f>IF(C54="","",VLOOKUP(C54,Wardrobes_etcData,12,0)+VLOOKUP(C54,Wardrobes_etcData,14,0)+VLOOKUP(C54,Wardrobes_etcData,17,0))</f>
        <v/>
      </c>
      <c r="E54" s="136"/>
      <c r="F54" s="67" t="str">
        <f>IF(OR(B54="",C54="",E54=""),"",(VLOOKUP(C54,Wardrobes_etcData,12,0)+VLOOKUP(C54,Wardrobes_etcData,14,0))*E54)</f>
        <v/>
      </c>
      <c r="G54" s="67" t="str">
        <f>IF(OR(E54="",C54=""),"",VLOOKUP(C54,Wardrobes_etcData,17,0)*E54)</f>
        <v/>
      </c>
      <c r="H54" s="67" t="str">
        <f t="shared" si="1"/>
        <v/>
      </c>
      <c r="I54" s="124" t="str">
        <f>IF(OR(E54="",C54=""),"",IF(E54*(VLOOKUP(C54,Wardrobes_etcData,16,0)*VLOOKUP(C54,Wardrobes_etcData,31,0))=0,"Missing labour time data on Wardrobes_etc sheet",E54*(VLOOKUP(C54,Wardrobes_etcData,16,0)*VLOOKUP(C54,Wardrobes_etcData,31,0))))</f>
        <v/>
      </c>
      <c r="J54" s="124" t="str">
        <f>IF(OR(E54="",C54=""),"",IF(E54*(VLOOKUP(C54,Wardrobes_etcData,15,0)*VLOOKUP(C54,Wardrobes_etcData,24,0))=0,"Missing build time data on Wardrobes_etc sheet",E54*(VLOOKUP(C54,Wardrobes_etcData,15,0)*VLOOKUP(C54,Wardrobes_etcData,24,0))))</f>
        <v/>
      </c>
    </row>
    <row r="55">
      <c r="A55" s="135"/>
      <c r="B55" s="69"/>
      <c r="C55" s="69"/>
      <c r="D55" s="122" t="str">
        <f>IF(C55="","",VLOOKUP(C55,Wardrobes_etcData,12,0)+VLOOKUP(C55,Wardrobes_etcData,14,0)+VLOOKUP(C55,Wardrobes_etcData,17,0))</f>
        <v/>
      </c>
      <c r="E55" s="136"/>
      <c r="F55" s="67" t="str">
        <f>IF(OR(B55="",C55="",E55=""),"",(VLOOKUP(C55,Wardrobes_etcData,12,0)+VLOOKUP(C55,Wardrobes_etcData,14,0))*E55)</f>
        <v/>
      </c>
      <c r="G55" s="67" t="str">
        <f>IF(OR(E55="",C55=""),"",VLOOKUP(C55,Wardrobes_etcData,17,0)*E55)</f>
        <v/>
      </c>
      <c r="H55" s="67" t="str">
        <f t="shared" si="1"/>
        <v/>
      </c>
      <c r="I55" s="124" t="str">
        <f>IF(OR(E55="",C55=""),"",IF(E55*(VLOOKUP(C55,Wardrobes_etcData,16,0)*VLOOKUP(C55,Wardrobes_etcData,31,0))=0,"Missing labour time data on Wardrobes_etc sheet",E55*(VLOOKUP(C55,Wardrobes_etcData,16,0)*VLOOKUP(C55,Wardrobes_etcData,31,0))))</f>
        <v/>
      </c>
      <c r="J55" s="124" t="str">
        <f>IF(OR(E55="",C55=""),"",IF(E55*(VLOOKUP(C55,Wardrobes_etcData,15,0)*VLOOKUP(C55,Wardrobes_etcData,24,0))=0,"Missing build time data on Wardrobes_etc sheet",E55*(VLOOKUP(C55,Wardrobes_etcData,15,0)*VLOOKUP(C55,Wardrobes_etcData,24,0))))</f>
        <v/>
      </c>
    </row>
    <row r="56">
      <c r="A56" s="135"/>
      <c r="B56" s="69"/>
      <c r="C56" s="69"/>
      <c r="D56" s="122" t="str">
        <f>IF(C56="","",VLOOKUP(C56,Wardrobes_etcData,12,0)+VLOOKUP(C56,Wardrobes_etcData,14,0)+VLOOKUP(C56,Wardrobes_etcData,17,0))</f>
        <v/>
      </c>
      <c r="E56" s="136"/>
      <c r="F56" s="67" t="str">
        <f>IF(OR(B56="",C56="",E56=""),"",(VLOOKUP(C56,Wardrobes_etcData,12,0)+VLOOKUP(C56,Wardrobes_etcData,14,0))*E56)</f>
        <v/>
      </c>
      <c r="G56" s="67" t="str">
        <f>IF(OR(E56="",C56=""),"",VLOOKUP(C56,Wardrobes_etcData,17,0)*E56)</f>
        <v/>
      </c>
      <c r="H56" s="67" t="str">
        <f t="shared" si="1"/>
        <v/>
      </c>
      <c r="I56" s="124" t="str">
        <f>IF(OR(E56="",C56=""),"",IF(E56*(VLOOKUP(C56,Wardrobes_etcData,16,0)*VLOOKUP(C56,Wardrobes_etcData,31,0))=0,"Missing labour time data on Wardrobes_etc sheet",E56*(VLOOKUP(C56,Wardrobes_etcData,16,0)*VLOOKUP(C56,Wardrobes_etcData,31,0))))</f>
        <v/>
      </c>
      <c r="J56" s="124" t="str">
        <f>IF(OR(E56="",C56=""),"",IF(E56*(VLOOKUP(C56,Wardrobes_etcData,15,0)*VLOOKUP(C56,Wardrobes_etcData,24,0))=0,"Missing build time data on Wardrobes_etc sheet",E56*(VLOOKUP(C56,Wardrobes_etcData,15,0)*VLOOKUP(C56,Wardrobes_etcData,24,0))))</f>
        <v/>
      </c>
    </row>
    <row r="57">
      <c r="A57" s="135"/>
      <c r="B57" s="69"/>
      <c r="C57" s="69"/>
      <c r="D57" s="122" t="str">
        <f>IF(C57="","",VLOOKUP(C57,Wardrobes_etcData,12,0)+VLOOKUP(C57,Wardrobes_etcData,14,0)+VLOOKUP(C57,Wardrobes_etcData,17,0))</f>
        <v/>
      </c>
      <c r="E57" s="136"/>
      <c r="F57" s="67" t="str">
        <f>IF(OR(B57="",C57="",E57=""),"",(VLOOKUP(C57,Wardrobes_etcData,12,0)+VLOOKUP(C57,Wardrobes_etcData,14,0))*E57)</f>
        <v/>
      </c>
      <c r="G57" s="67" t="str">
        <f>IF(OR(E57="",C57=""),"",VLOOKUP(C57,Wardrobes_etcData,17,0)*E57)</f>
        <v/>
      </c>
      <c r="H57" s="67" t="str">
        <f t="shared" si="1"/>
        <v/>
      </c>
      <c r="I57" s="124" t="str">
        <f>IF(OR(E57="",C57=""),"",IF(E57*(VLOOKUP(C57,Wardrobes_etcData,16,0)*VLOOKUP(C57,Wardrobes_etcData,31,0))=0,"Missing labour time data on Wardrobes_etc sheet",E57*(VLOOKUP(C57,Wardrobes_etcData,16,0)*VLOOKUP(C57,Wardrobes_etcData,31,0))))</f>
        <v/>
      </c>
      <c r="J57" s="124" t="str">
        <f>IF(OR(E57="",C57=""),"",IF(E57*(VLOOKUP(C57,Wardrobes_etcData,15,0)*VLOOKUP(C57,Wardrobes_etcData,24,0))=0,"Missing build time data on Wardrobes_etc sheet",E57*(VLOOKUP(C57,Wardrobes_etcData,15,0)*VLOOKUP(C57,Wardrobes_etcData,24,0))))</f>
        <v/>
      </c>
    </row>
    <row r="58">
      <c r="A58" s="135"/>
      <c r="B58" s="69"/>
      <c r="C58" s="69"/>
      <c r="D58" s="122" t="str">
        <f>IF(C58="","",VLOOKUP(C58,Wardrobes_etcData,12,0)+VLOOKUP(C58,Wardrobes_etcData,14,0)+VLOOKUP(C58,Wardrobes_etcData,17,0))</f>
        <v/>
      </c>
      <c r="E58" s="136"/>
      <c r="F58" s="67" t="str">
        <f>IF(OR(B58="",C58="",E58=""),"",(VLOOKUP(C58,Wardrobes_etcData,12,0)+VLOOKUP(C58,Wardrobes_etcData,14,0))*E58)</f>
        <v/>
      </c>
      <c r="G58" s="67" t="str">
        <f>IF(OR(E58="",C58=""),"",VLOOKUP(C58,Wardrobes_etcData,17,0)*E58)</f>
        <v/>
      </c>
      <c r="H58" s="67" t="str">
        <f t="shared" si="1"/>
        <v/>
      </c>
      <c r="I58" s="124" t="str">
        <f>IF(OR(E58="",C58=""),"",IF(E58*(VLOOKUP(C58,Wardrobes_etcData,16,0)*VLOOKUP(C58,Wardrobes_etcData,31,0))=0,"Missing labour time data on Wardrobes_etc sheet",E58*(VLOOKUP(C58,Wardrobes_etcData,16,0)*VLOOKUP(C58,Wardrobes_etcData,31,0))))</f>
        <v/>
      </c>
      <c r="J58" s="124" t="str">
        <f>IF(OR(E58="",C58=""),"",IF(E58*(VLOOKUP(C58,Wardrobes_etcData,15,0)*VLOOKUP(C58,Wardrobes_etcData,24,0))=0,"Missing build time data on Wardrobes_etc sheet",E58*(VLOOKUP(C58,Wardrobes_etcData,15,0)*VLOOKUP(C58,Wardrobes_etcData,24,0))))</f>
        <v/>
      </c>
    </row>
    <row r="59">
      <c r="A59" s="135"/>
      <c r="B59" s="69"/>
      <c r="C59" s="69"/>
      <c r="D59" s="122" t="str">
        <f>IF(C59="","",VLOOKUP(C59,Wardrobes_etcData,12,0)+VLOOKUP(C59,Wardrobes_etcData,14,0)+VLOOKUP(C59,Wardrobes_etcData,17,0))</f>
        <v/>
      </c>
      <c r="E59" s="136"/>
      <c r="F59" s="67" t="str">
        <f>IF(OR(B59="",C59="",E59=""),"",(VLOOKUP(C59,Wardrobes_etcData,12,0)+VLOOKUP(C59,Wardrobes_etcData,14,0))*E59)</f>
        <v/>
      </c>
      <c r="G59" s="67" t="str">
        <f>IF(OR(E59="",C59=""),"",VLOOKUP(C59,Wardrobes_etcData,17,0)*E59)</f>
        <v/>
      </c>
      <c r="H59" s="67" t="str">
        <f t="shared" si="1"/>
        <v/>
      </c>
      <c r="I59" s="124" t="str">
        <f>IF(OR(E59="",C59=""),"",IF(E59*(VLOOKUP(C59,Wardrobes_etcData,16,0)*VLOOKUP(C59,Wardrobes_etcData,31,0))=0,"Missing labour time data on Wardrobes_etc sheet",E59*(VLOOKUP(C59,Wardrobes_etcData,16,0)*VLOOKUP(C59,Wardrobes_etcData,31,0))))</f>
        <v/>
      </c>
      <c r="J59" s="124" t="str">
        <f>IF(OR(E59="",C59=""),"",IF(E59*(VLOOKUP(C59,Wardrobes_etcData,15,0)*VLOOKUP(C59,Wardrobes_etcData,24,0))=0,"Missing build time data on Wardrobes_etc sheet",E59*(VLOOKUP(C59,Wardrobes_etcData,15,0)*VLOOKUP(C59,Wardrobes_etcData,24,0))))</f>
        <v/>
      </c>
    </row>
    <row r="60">
      <c r="A60" s="135"/>
      <c r="B60" s="69"/>
      <c r="C60" s="69"/>
      <c r="D60" s="122" t="str">
        <f>IF(C60="","",VLOOKUP(C60,Wardrobes_etcData,12,0)+VLOOKUP(C60,Wardrobes_etcData,14,0)+VLOOKUP(C60,Wardrobes_etcData,17,0))</f>
        <v/>
      </c>
      <c r="E60" s="136"/>
      <c r="F60" s="67" t="str">
        <f>IF(OR(B60="",C60="",E60=""),"",(VLOOKUP(C60,Wardrobes_etcData,12,0)+VLOOKUP(C60,Wardrobes_etcData,14,0))*E60)</f>
        <v/>
      </c>
      <c r="G60" s="67" t="str">
        <f>IF(OR(E60="",C60=""),"",VLOOKUP(C60,Wardrobes_etcData,17,0)*E60)</f>
        <v/>
      </c>
      <c r="H60" s="67" t="str">
        <f t="shared" si="1"/>
        <v/>
      </c>
      <c r="I60" s="124" t="str">
        <f>IF(OR(E60="",C60=""),"",IF(E60*(VLOOKUP(C60,Wardrobes_etcData,16,0)*VLOOKUP(C60,Wardrobes_etcData,31,0))=0,"Missing labour time data on Wardrobes_etc sheet",E60*(VLOOKUP(C60,Wardrobes_etcData,16,0)*VLOOKUP(C60,Wardrobes_etcData,31,0))))</f>
        <v/>
      </c>
      <c r="J60" s="124" t="str">
        <f>IF(OR(E60="",C60=""),"",IF(E60*(VLOOKUP(C60,Wardrobes_etcData,15,0)*VLOOKUP(C60,Wardrobes_etcData,24,0))=0,"Missing build time data on Wardrobes_etc sheet",E60*(VLOOKUP(C60,Wardrobes_etcData,15,0)*VLOOKUP(C60,Wardrobes_etcData,24,0))))</f>
        <v/>
      </c>
    </row>
    <row r="61">
      <c r="A61" s="135"/>
      <c r="B61" s="69"/>
      <c r="C61" s="69"/>
      <c r="D61" s="122" t="str">
        <f>IF(C61="","",VLOOKUP(C61,Wardrobes_etcData,12,0)+VLOOKUP(C61,Wardrobes_etcData,14,0)+VLOOKUP(C61,Wardrobes_etcData,17,0))</f>
        <v/>
      </c>
      <c r="E61" s="136"/>
      <c r="F61" s="67" t="str">
        <f>IF(OR(B61="",C61="",E61=""),"",(VLOOKUP(C61,Wardrobes_etcData,12,0)+VLOOKUP(C61,Wardrobes_etcData,14,0))*E61)</f>
        <v/>
      </c>
      <c r="G61" s="67" t="str">
        <f>IF(OR(E61="",C61=""),"",VLOOKUP(C61,Wardrobes_etcData,17,0)*E61)</f>
        <v/>
      </c>
      <c r="H61" s="67" t="str">
        <f t="shared" si="1"/>
        <v/>
      </c>
      <c r="I61" s="124" t="str">
        <f>IF(OR(E61="",C61=""),"",IF(E61*(VLOOKUP(C61,Wardrobes_etcData,16,0)*VLOOKUP(C61,Wardrobes_etcData,31,0))=0,"Missing labour time data on Wardrobes_etc sheet",E61*(VLOOKUP(C61,Wardrobes_etcData,16,0)*VLOOKUP(C61,Wardrobes_etcData,31,0))))</f>
        <v/>
      </c>
      <c r="J61" s="124" t="str">
        <f>IF(OR(E61="",C61=""),"",IF(E61*(VLOOKUP(C61,Wardrobes_etcData,15,0)*VLOOKUP(C61,Wardrobes_etcData,24,0))=0,"Missing build time data on Wardrobes_etc sheet",E61*(VLOOKUP(C61,Wardrobes_etcData,15,0)*VLOOKUP(C61,Wardrobes_etcData,24,0))))</f>
        <v/>
      </c>
    </row>
    <row r="62">
      <c r="A62" s="135"/>
      <c r="B62" s="69"/>
      <c r="C62" s="69"/>
      <c r="D62" s="122" t="str">
        <f>IF(C62="","",VLOOKUP(C62,Wardrobes_etcData,12,0)+VLOOKUP(C62,Wardrobes_etcData,14,0)+VLOOKUP(C62,Wardrobes_etcData,17,0))</f>
        <v/>
      </c>
      <c r="E62" s="136"/>
      <c r="F62" s="67" t="str">
        <f>IF(OR(B62="",C62="",E62=""),"",(VLOOKUP(C62,Wardrobes_etcData,12,0)+VLOOKUP(C62,Wardrobes_etcData,14,0))*E62)</f>
        <v/>
      </c>
      <c r="G62" s="67" t="str">
        <f>IF(OR(E62="",C62=""),"",VLOOKUP(C62,Wardrobes_etcData,17,0)*E62)</f>
        <v/>
      </c>
      <c r="H62" s="67" t="str">
        <f t="shared" si="1"/>
        <v/>
      </c>
      <c r="I62" s="124" t="str">
        <f>IF(OR(E62="",C62=""),"",IF(E62*(VLOOKUP(C62,Wardrobes_etcData,16,0)*VLOOKUP(C62,Wardrobes_etcData,31,0))=0,"Missing labour time data on Wardrobes_etc sheet",E62*(VLOOKUP(C62,Wardrobes_etcData,16,0)*VLOOKUP(C62,Wardrobes_etcData,31,0))))</f>
        <v/>
      </c>
      <c r="J62" s="124" t="str">
        <f>IF(OR(E62="",C62=""),"",IF(E62*(VLOOKUP(C62,Wardrobes_etcData,15,0)*VLOOKUP(C62,Wardrobes_etcData,24,0))=0,"Missing build time data on Wardrobes_etc sheet",E62*(VLOOKUP(C62,Wardrobes_etcData,15,0)*VLOOKUP(C62,Wardrobes_etcData,24,0))))</f>
        <v/>
      </c>
    </row>
    <row r="63">
      <c r="A63" s="135"/>
      <c r="B63" s="69"/>
      <c r="C63" s="69"/>
      <c r="D63" s="122" t="str">
        <f>IF(C63="","",VLOOKUP(C63,Wardrobes_etcData,12,0)+VLOOKUP(C63,Wardrobes_etcData,14,0)+VLOOKUP(C63,Wardrobes_etcData,17,0))</f>
        <v/>
      </c>
      <c r="E63" s="136"/>
      <c r="F63" s="67" t="str">
        <f>IF(OR(B63="",C63="",E63=""),"",(VLOOKUP(C63,Wardrobes_etcData,12,0)+VLOOKUP(C63,Wardrobes_etcData,14,0))*E63)</f>
        <v/>
      </c>
      <c r="G63" s="67" t="str">
        <f>IF(OR(E63="",C63=""),"",VLOOKUP(C63,Wardrobes_etcData,17,0)*E63)</f>
        <v/>
      </c>
      <c r="H63" s="67" t="str">
        <f t="shared" si="1"/>
        <v/>
      </c>
      <c r="I63" s="124" t="str">
        <f>IF(OR(E63="",C63=""),"",IF(E63*(VLOOKUP(C63,Wardrobes_etcData,16,0)*VLOOKUP(C63,Wardrobes_etcData,31,0))=0,"Missing labour time data on Wardrobes_etc sheet",E63*(VLOOKUP(C63,Wardrobes_etcData,16,0)*VLOOKUP(C63,Wardrobes_etcData,31,0))))</f>
        <v/>
      </c>
      <c r="J63" s="124" t="str">
        <f>IF(OR(E63="",C63=""),"",IF(E63*(VLOOKUP(C63,Wardrobes_etcData,15,0)*VLOOKUP(C63,Wardrobes_etcData,24,0))=0,"Missing build time data on Wardrobes_etc sheet",E63*(VLOOKUP(C63,Wardrobes_etcData,15,0)*VLOOKUP(C63,Wardrobes_etcData,24,0))))</f>
        <v/>
      </c>
    </row>
    <row r="64">
      <c r="A64" s="135"/>
      <c r="B64" s="69"/>
      <c r="C64" s="69"/>
      <c r="D64" s="122" t="str">
        <f>IF(C64="","",VLOOKUP(C64,Wardrobes_etcData,12,0)+VLOOKUP(C64,Wardrobes_etcData,14,0)+VLOOKUP(C64,Wardrobes_etcData,17,0))</f>
        <v/>
      </c>
      <c r="E64" s="136"/>
      <c r="F64" s="67" t="str">
        <f>IF(OR(B64="",C64="",E64=""),"",(VLOOKUP(C64,Wardrobes_etcData,12,0)+VLOOKUP(C64,Wardrobes_etcData,14,0))*E64)</f>
        <v/>
      </c>
      <c r="G64" s="67" t="str">
        <f>IF(OR(E64="",C64=""),"",VLOOKUP(C64,Wardrobes_etcData,17,0)*E64)</f>
        <v/>
      </c>
      <c r="H64" s="67" t="str">
        <f t="shared" si="1"/>
        <v/>
      </c>
      <c r="I64" s="124" t="str">
        <f>IF(OR(E64="",C64=""),"",IF(E64*(VLOOKUP(C64,Wardrobes_etcData,16,0)*VLOOKUP(C64,Wardrobes_etcData,31,0))=0,"Missing labour time data on Wardrobes_etc sheet",E64*(VLOOKUP(C64,Wardrobes_etcData,16,0)*VLOOKUP(C64,Wardrobes_etcData,31,0))))</f>
        <v/>
      </c>
      <c r="J64" s="124" t="str">
        <f>IF(OR(E64="",C64=""),"",IF(E64*(VLOOKUP(C64,Wardrobes_etcData,15,0)*VLOOKUP(C64,Wardrobes_etcData,24,0))=0,"Missing build time data on Wardrobes_etc sheet",E64*(VLOOKUP(C64,Wardrobes_etcData,15,0)*VLOOKUP(C64,Wardrobes_etcData,24,0))))</f>
        <v/>
      </c>
    </row>
    <row r="65">
      <c r="A65" s="135"/>
      <c r="B65" s="69"/>
      <c r="C65" s="69"/>
      <c r="D65" s="122" t="str">
        <f>IF(C65="","",VLOOKUP(C65,Wardrobes_etcData,12,0)+VLOOKUP(C65,Wardrobes_etcData,14,0)+VLOOKUP(C65,Wardrobes_etcData,17,0))</f>
        <v/>
      </c>
      <c r="E65" s="136"/>
      <c r="F65" s="67" t="str">
        <f>IF(OR(B65="",C65="",E65=""),"",(VLOOKUP(C65,Wardrobes_etcData,12,0)+VLOOKUP(C65,Wardrobes_etcData,14,0))*E65)</f>
        <v/>
      </c>
      <c r="G65" s="67" t="str">
        <f>IF(OR(E65="",C65=""),"",VLOOKUP(C65,Wardrobes_etcData,17,0)*E65)</f>
        <v/>
      </c>
      <c r="H65" s="67" t="str">
        <f t="shared" si="1"/>
        <v/>
      </c>
      <c r="I65" s="124" t="str">
        <f>IF(OR(E65="",C65=""),"",IF(E65*(VLOOKUP(C65,Wardrobes_etcData,16,0)*VLOOKUP(C65,Wardrobes_etcData,31,0))=0,"Missing labour time data on Wardrobes_etc sheet",E65*(VLOOKUP(C65,Wardrobes_etcData,16,0)*VLOOKUP(C65,Wardrobes_etcData,31,0))))</f>
        <v/>
      </c>
      <c r="J65" s="124" t="str">
        <f>IF(OR(E65="",C65=""),"",IF(E65*(VLOOKUP(C65,Wardrobes_etcData,15,0)*VLOOKUP(C65,Wardrobes_etcData,24,0))=0,"Missing build time data on Wardrobes_etc sheet",E65*(VLOOKUP(C65,Wardrobes_etcData,15,0)*VLOOKUP(C65,Wardrobes_etcData,24,0))))</f>
        <v/>
      </c>
    </row>
    <row r="66">
      <c r="A66" s="135"/>
      <c r="B66" s="69"/>
      <c r="C66" s="69"/>
      <c r="D66" s="122" t="str">
        <f>IF(C66="","",VLOOKUP(C66,Wardrobes_etcData,12,0)+VLOOKUP(C66,Wardrobes_etcData,14,0)+VLOOKUP(C66,Wardrobes_etcData,17,0))</f>
        <v/>
      </c>
      <c r="E66" s="136"/>
      <c r="F66" s="67" t="str">
        <f>IF(OR(B66="",C66="",E66=""),"",(VLOOKUP(C66,Wardrobes_etcData,12,0)+VLOOKUP(C66,Wardrobes_etcData,14,0))*E66)</f>
        <v/>
      </c>
      <c r="G66" s="67" t="str">
        <f>IF(OR(E66="",C66=""),"",VLOOKUP(C66,Wardrobes_etcData,17,0)*E66)</f>
        <v/>
      </c>
      <c r="H66" s="67" t="str">
        <f t="shared" si="1"/>
        <v/>
      </c>
      <c r="I66" s="124" t="str">
        <f>IF(OR(E66="",C66=""),"",IF(E66*(VLOOKUP(C66,Wardrobes_etcData,16,0)*VLOOKUP(C66,Wardrobes_etcData,31,0))=0,"Missing labour time data on Wardrobes_etc sheet",E66*(VLOOKUP(C66,Wardrobes_etcData,16,0)*VLOOKUP(C66,Wardrobes_etcData,31,0))))</f>
        <v/>
      </c>
      <c r="J66" s="124" t="str">
        <f>IF(OR(E66="",C66=""),"",IF(E66*(VLOOKUP(C66,Wardrobes_etcData,15,0)*VLOOKUP(C66,Wardrobes_etcData,24,0))=0,"Missing build time data on Wardrobes_etc sheet",E66*(VLOOKUP(C66,Wardrobes_etcData,15,0)*VLOOKUP(C66,Wardrobes_etcData,24,0))))</f>
        <v/>
      </c>
    </row>
    <row r="67">
      <c r="A67" s="135"/>
      <c r="B67" s="69"/>
      <c r="C67" s="69"/>
      <c r="D67" s="122" t="str">
        <f>IF(C67="","",VLOOKUP(C67,Wardrobes_etcData,12,0)+VLOOKUP(C67,Wardrobes_etcData,14,0)+VLOOKUP(C67,Wardrobes_etcData,17,0))</f>
        <v/>
      </c>
      <c r="E67" s="136"/>
      <c r="F67" s="67" t="str">
        <f>IF(OR(B67="",C67="",E67=""),"",(VLOOKUP(C67,Wardrobes_etcData,12,0)+VLOOKUP(C67,Wardrobes_etcData,14,0))*E67)</f>
        <v/>
      </c>
      <c r="G67" s="67" t="str">
        <f>IF(OR(E67="",C67=""),"",VLOOKUP(C67,Wardrobes_etcData,17,0)*E67)</f>
        <v/>
      </c>
      <c r="H67" s="67" t="str">
        <f t="shared" si="1"/>
        <v/>
      </c>
      <c r="I67" s="124" t="str">
        <f>IF(OR(E67="",C67=""),"",IF(E67*(VLOOKUP(C67,Wardrobes_etcData,16,0)*VLOOKUP(C67,Wardrobes_etcData,31,0))=0,"Missing labour time data on Wardrobes_etc sheet",E67*(VLOOKUP(C67,Wardrobes_etcData,16,0)*VLOOKUP(C67,Wardrobes_etcData,31,0))))</f>
        <v/>
      </c>
      <c r="J67" s="124" t="str">
        <f>IF(OR(E67="",C67=""),"",IF(E67*(VLOOKUP(C67,Wardrobes_etcData,15,0)*VLOOKUP(C67,Wardrobes_etcData,24,0))=0,"Missing build time data on Wardrobes_etc sheet",E67*(VLOOKUP(C67,Wardrobes_etcData,15,0)*VLOOKUP(C67,Wardrobes_etcData,24,0))))</f>
        <v/>
      </c>
    </row>
    <row r="68">
      <c r="A68" s="135"/>
      <c r="B68" s="69"/>
      <c r="C68" s="69"/>
      <c r="D68" s="122" t="str">
        <f>IF(C68="","",VLOOKUP(C68,Wardrobes_etcData,12,0)+VLOOKUP(C68,Wardrobes_etcData,14,0)+VLOOKUP(C68,Wardrobes_etcData,17,0))</f>
        <v/>
      </c>
      <c r="E68" s="136"/>
      <c r="F68" s="67" t="str">
        <f>IF(OR(B68="",C68="",E68=""),"",(VLOOKUP(C68,Wardrobes_etcData,12,0)+VLOOKUP(C68,Wardrobes_etcData,14,0))*E68)</f>
        <v/>
      </c>
      <c r="G68" s="67" t="str">
        <f>IF(OR(E68="",C68=""),"",VLOOKUP(C68,Wardrobes_etcData,17,0)*E68)</f>
        <v/>
      </c>
      <c r="H68" s="67" t="str">
        <f t="shared" si="1"/>
        <v/>
      </c>
      <c r="I68" s="124" t="str">
        <f>IF(OR(E68="",C68=""),"",IF(E68*(VLOOKUP(C68,Wardrobes_etcData,16,0)*VLOOKUP(C68,Wardrobes_etcData,31,0))=0,"Missing labour time data on Wardrobes_etc sheet",E68*(VLOOKUP(C68,Wardrobes_etcData,16,0)*VLOOKUP(C68,Wardrobes_etcData,31,0))))</f>
        <v/>
      </c>
      <c r="J68" s="124" t="str">
        <f>IF(OR(E68="",C68=""),"",IF(E68*(VLOOKUP(C68,Wardrobes_etcData,15,0)*VLOOKUP(C68,Wardrobes_etcData,24,0))=0,"Missing build time data on Wardrobes_etc sheet",E68*(VLOOKUP(C68,Wardrobes_etcData,15,0)*VLOOKUP(C68,Wardrobes_etcData,24,0))))</f>
        <v/>
      </c>
    </row>
    <row r="69">
      <c r="A69" s="135"/>
      <c r="B69" s="130"/>
      <c r="C69" s="77"/>
      <c r="D69" s="122" t="str">
        <f>IF(C69="","",VLOOKUP(C69,Wardrobes_etcData,12,0)+VLOOKUP(C69,Wardrobes_etcData,14,0)+VLOOKUP(C69,Wardrobes_etcData,17,0))</f>
        <v/>
      </c>
      <c r="E69" s="136" t="str">
        <f t="shared" ref="E69:E100" si="2">IF(OR(B69="",C69=""),"",1)</f>
        <v/>
      </c>
      <c r="F69" s="67" t="str">
        <f>IF(OR(B69="",C69="",E69=""),"",(VLOOKUP(C69,Wardrobes_etcData,12,0)+VLOOKUP(C69,Wardrobes_etcData,14,0))*E69)</f>
        <v/>
      </c>
      <c r="G69" s="67" t="str">
        <f>IF(OR(E69="",C69=""),"",VLOOKUP(C69,Wardrobes_etcData,17,0)*E69)</f>
        <v/>
      </c>
      <c r="H69" s="67" t="str">
        <f t="shared" si="1"/>
        <v/>
      </c>
      <c r="I69" s="124" t="str">
        <f>IF(OR(E69="",C69=""),"",IF(E69*(VLOOKUP(C69,Wardrobes_etcData,16,0)*VLOOKUP(C69,Wardrobes_etcData,31,0))=0,"Missing labour time data on Wardrobes_etc sheet",E69*(VLOOKUP(C69,Wardrobes_etcData,16,0)*VLOOKUP(C69,Wardrobes_etcData,31,0))))</f>
        <v/>
      </c>
      <c r="J69" s="124" t="str">
        <f>IF(OR(E69="",C69=""),"",IF(E69*(VLOOKUP(C69,Wardrobes_etcData,15,0)*VLOOKUP(C69,Wardrobes_etcData,24,0))=0,"Missing build time data on Wardrobes_etc sheet",E69*(VLOOKUP(C69,Wardrobes_etcData,15,0)*VLOOKUP(C69,Wardrobes_etcData,24,0))))</f>
        <v/>
      </c>
    </row>
    <row r="70">
      <c r="A70" s="135"/>
      <c r="B70" s="130"/>
      <c r="C70" s="77"/>
      <c r="D70" s="122" t="str">
        <f>IF(C70="","",VLOOKUP(C70,Wardrobes_etcData,12,0)+VLOOKUP(C70,Wardrobes_etcData,14,0)+VLOOKUP(C70,Wardrobes_etcData,17,0))</f>
        <v/>
      </c>
      <c r="E70" s="136" t="str">
        <f t="shared" si="2"/>
        <v/>
      </c>
      <c r="F70" s="67" t="str">
        <f>IF(OR(B70="",C70="",E70=""),"",(VLOOKUP(C70,Wardrobes_etcData,12,0)+VLOOKUP(C70,Wardrobes_etcData,14,0))*E70)</f>
        <v/>
      </c>
      <c r="G70" s="67" t="str">
        <f>IF(OR(E70="",C70=""),"",VLOOKUP(C70,Wardrobes_etcData,17,0)*E70)</f>
        <v/>
      </c>
      <c r="H70" s="67" t="str">
        <f t="shared" si="1"/>
        <v/>
      </c>
      <c r="I70" s="124" t="str">
        <f>IF(OR(E70="",C70=""),"",IF(E70*(VLOOKUP(C70,Wardrobes_etcData,16,0)*VLOOKUP(C70,Wardrobes_etcData,31,0))=0,"Missing labour time data on Wardrobes_etc sheet",E70*(VLOOKUP(C70,Wardrobes_etcData,16,0)*VLOOKUP(C70,Wardrobes_etcData,31,0))))</f>
        <v/>
      </c>
      <c r="J70" s="124" t="str">
        <f>IF(OR(E70="",C70=""),"",IF(E70*(VLOOKUP(C70,Wardrobes_etcData,15,0)*VLOOKUP(C70,Wardrobes_etcData,24,0))=0,"Missing build time data on Wardrobes_etc sheet",E70*(VLOOKUP(C70,Wardrobes_etcData,15,0)*VLOOKUP(C70,Wardrobes_etcData,24,0))))</f>
        <v/>
      </c>
    </row>
    <row r="71">
      <c r="A71" s="135"/>
      <c r="B71" s="130"/>
      <c r="C71" s="77"/>
      <c r="D71" s="122" t="str">
        <f>IF(C71="","",VLOOKUP(C71,Wardrobes_etcData,12,0)+VLOOKUP(C71,Wardrobes_etcData,14,0)+VLOOKUP(C71,Wardrobes_etcData,17,0))</f>
        <v/>
      </c>
      <c r="E71" s="136" t="str">
        <f t="shared" si="2"/>
        <v/>
      </c>
      <c r="F71" s="67" t="str">
        <f>IF(OR(B71="",C71="",E71=""),"",(VLOOKUP(C71,Wardrobes_etcData,12,0)+VLOOKUP(C71,Wardrobes_etcData,14,0))*E71)</f>
        <v/>
      </c>
      <c r="G71" s="67" t="str">
        <f>IF(OR(E71="",C71=""),"",VLOOKUP(C71,Wardrobes_etcData,17,0)*E71)</f>
        <v/>
      </c>
      <c r="H71" s="67" t="str">
        <f t="shared" si="1"/>
        <v/>
      </c>
      <c r="I71" s="124" t="str">
        <f>IF(OR(E71="",C71=""),"",IF(E71*(VLOOKUP(C71,Wardrobes_etcData,16,0)*VLOOKUP(C71,Wardrobes_etcData,31,0))=0,"Missing labour time data on Wardrobes_etc sheet",E71*(VLOOKUP(C71,Wardrobes_etcData,16,0)*VLOOKUP(C71,Wardrobes_etcData,31,0))))</f>
        <v/>
      </c>
      <c r="J71" s="124" t="str">
        <f>IF(OR(E71="",C71=""),"",IF(E71*(VLOOKUP(C71,Wardrobes_etcData,15,0)*VLOOKUP(C71,Wardrobes_etcData,24,0))=0,"Missing build time data on Wardrobes_etc sheet",E71*(VLOOKUP(C71,Wardrobes_etcData,15,0)*VLOOKUP(C71,Wardrobes_etcData,24,0))))</f>
        <v/>
      </c>
    </row>
    <row r="72">
      <c r="A72" s="135"/>
      <c r="B72" s="130"/>
      <c r="C72" s="77"/>
      <c r="D72" s="122" t="str">
        <f>IF(C72="","",VLOOKUP(C72,Wardrobes_etcData,12,0)+VLOOKUP(C72,Wardrobes_etcData,14,0)+VLOOKUP(C72,Wardrobes_etcData,17,0))</f>
        <v/>
      </c>
      <c r="E72" s="136" t="str">
        <f t="shared" si="2"/>
        <v/>
      </c>
      <c r="F72" s="67" t="str">
        <f>IF(OR(B72="",C72="",E72=""),"",(VLOOKUP(C72,Wardrobes_etcData,12,0)+VLOOKUP(C72,Wardrobes_etcData,14,0))*E72)</f>
        <v/>
      </c>
      <c r="G72" s="67" t="str">
        <f>IF(OR(E72="",C72=""),"",VLOOKUP(C72,Wardrobes_etcData,17,0)*E72)</f>
        <v/>
      </c>
      <c r="H72" s="67" t="str">
        <f t="shared" si="1"/>
        <v/>
      </c>
      <c r="I72" s="124" t="str">
        <f>IF(OR(E72="",C72=""),"",IF(E72*(VLOOKUP(C72,Wardrobes_etcData,16,0)*VLOOKUP(C72,Wardrobes_etcData,31,0))=0,"Missing labour time data on Wardrobes_etc sheet",E72*(VLOOKUP(C72,Wardrobes_etcData,16,0)*VLOOKUP(C72,Wardrobes_etcData,31,0))))</f>
        <v/>
      </c>
      <c r="J72" s="124" t="str">
        <f>IF(OR(E72="",C72=""),"",IF(E72*(VLOOKUP(C72,Wardrobes_etcData,15,0)*VLOOKUP(C72,Wardrobes_etcData,24,0))=0,"Missing build time data on Wardrobes_etc sheet",E72*(VLOOKUP(C72,Wardrobes_etcData,15,0)*VLOOKUP(C72,Wardrobes_etcData,24,0))))</f>
        <v/>
      </c>
    </row>
    <row r="73">
      <c r="A73" s="135"/>
      <c r="B73" s="130"/>
      <c r="C73" s="77"/>
      <c r="D73" s="122" t="str">
        <f>IF(C73="","",VLOOKUP(C73,Wardrobes_etcData,12,0)+VLOOKUP(C73,Wardrobes_etcData,14,0)+VLOOKUP(C73,Wardrobes_etcData,17,0))</f>
        <v/>
      </c>
      <c r="E73" s="136" t="str">
        <f t="shared" si="2"/>
        <v/>
      </c>
      <c r="F73" s="67" t="str">
        <f>IF(OR(B73="",C73="",E73=""),"",(VLOOKUP(C73,Wardrobes_etcData,12,0)+VLOOKUP(C73,Wardrobes_etcData,14,0))*E73)</f>
        <v/>
      </c>
      <c r="G73" s="67" t="str">
        <f>IF(OR(E73="",C73=""),"",VLOOKUP(C73,Wardrobes_etcData,17,0)*E73)</f>
        <v/>
      </c>
      <c r="H73" s="67" t="str">
        <f t="shared" si="1"/>
        <v/>
      </c>
      <c r="I73" s="124" t="str">
        <f>IF(OR(E73="",C73=""),"",IF(E73*(VLOOKUP(C73,Wardrobes_etcData,16,0)*VLOOKUP(C73,Wardrobes_etcData,31,0))=0,"Missing labour time data on Wardrobes_etc sheet",E73*(VLOOKUP(C73,Wardrobes_etcData,16,0)*VLOOKUP(C73,Wardrobes_etcData,31,0))))</f>
        <v/>
      </c>
      <c r="J73" s="124" t="str">
        <f>IF(OR(E73="",C73=""),"",IF(E73*(VLOOKUP(C73,Wardrobes_etcData,15,0)*VLOOKUP(C73,Wardrobes_etcData,24,0))=0,"Missing build time data on Wardrobes_etc sheet",E73*(VLOOKUP(C73,Wardrobes_etcData,15,0)*VLOOKUP(C73,Wardrobes_etcData,24,0))))</f>
        <v/>
      </c>
    </row>
    <row r="74">
      <c r="A74" s="135"/>
      <c r="B74" s="130"/>
      <c r="C74" s="77"/>
      <c r="D74" s="122" t="str">
        <f>IF(C74="","",VLOOKUP(C74,Wardrobes_etcData,12,0)+VLOOKUP(C74,Wardrobes_etcData,14,0)+VLOOKUP(C74,Wardrobes_etcData,17,0))</f>
        <v/>
      </c>
      <c r="E74" s="136" t="str">
        <f t="shared" si="2"/>
        <v/>
      </c>
      <c r="F74" s="67" t="str">
        <f>IF(OR(B74="",C74="",E74=""),"",(VLOOKUP(C74,Wardrobes_etcData,12,0)+VLOOKUP(C74,Wardrobes_etcData,14,0))*E74)</f>
        <v/>
      </c>
      <c r="G74" s="67" t="str">
        <f>IF(OR(E74="",C74=""),"",VLOOKUP(C74,Wardrobes_etcData,17,0)*E74)</f>
        <v/>
      </c>
      <c r="H74" s="67" t="str">
        <f t="shared" si="1"/>
        <v/>
      </c>
      <c r="I74" s="124" t="str">
        <f>IF(OR(E74="",C74=""),"",IF(E74*(VLOOKUP(C74,Wardrobes_etcData,16,0)*VLOOKUP(C74,Wardrobes_etcData,31,0))=0,"Missing labour time data on Wardrobes_etc sheet",E74*(VLOOKUP(C74,Wardrobes_etcData,16,0)*VLOOKUP(C74,Wardrobes_etcData,31,0))))</f>
        <v/>
      </c>
      <c r="J74" s="124" t="str">
        <f>IF(OR(E74="",C74=""),"",IF(E74*(VLOOKUP(C74,Wardrobes_etcData,15,0)*VLOOKUP(C74,Wardrobes_etcData,24,0))=0,"Missing build time data on Wardrobes_etc sheet",E74*(VLOOKUP(C74,Wardrobes_etcData,15,0)*VLOOKUP(C74,Wardrobes_etcData,24,0))))</f>
        <v/>
      </c>
    </row>
    <row r="75">
      <c r="A75" s="135"/>
      <c r="B75" s="130"/>
      <c r="C75" s="77"/>
      <c r="D75" s="122" t="str">
        <f>IF(C75="","",VLOOKUP(C75,Wardrobes_etcData,12,0)+VLOOKUP(C75,Wardrobes_etcData,14,0)+VLOOKUP(C75,Wardrobes_etcData,17,0))</f>
        <v/>
      </c>
      <c r="E75" s="136" t="str">
        <f t="shared" si="2"/>
        <v/>
      </c>
      <c r="F75" s="67" t="str">
        <f>IF(OR(B75="",C75="",E75=""),"",(VLOOKUP(C75,Wardrobes_etcData,12,0)+VLOOKUP(C75,Wardrobes_etcData,14,0))*E75)</f>
        <v/>
      </c>
      <c r="G75" s="67" t="str">
        <f>IF(OR(E75="",C75=""),"",VLOOKUP(C75,Wardrobes_etcData,17,0)*E75)</f>
        <v/>
      </c>
      <c r="H75" s="67" t="str">
        <f t="shared" si="1"/>
        <v/>
      </c>
      <c r="I75" s="124" t="str">
        <f>IF(OR(E75="",C75=""),"",IF(E75*(VLOOKUP(C75,Wardrobes_etcData,16,0)*VLOOKUP(C75,Wardrobes_etcData,31,0))=0,"Missing labour time data on Wardrobes_etc sheet",E75*(VLOOKUP(C75,Wardrobes_etcData,16,0)*VLOOKUP(C75,Wardrobes_etcData,31,0))))</f>
        <v/>
      </c>
      <c r="J75" s="124" t="str">
        <f>IF(OR(E75="",C75=""),"",IF(E75*(VLOOKUP(C75,Wardrobes_etcData,15,0)*VLOOKUP(C75,Wardrobes_etcData,24,0))=0,"Missing build time data on Wardrobes_etc sheet",E75*(VLOOKUP(C75,Wardrobes_etcData,15,0)*VLOOKUP(C75,Wardrobes_etcData,24,0))))</f>
        <v/>
      </c>
    </row>
    <row r="76">
      <c r="A76" s="135"/>
      <c r="B76" s="130"/>
      <c r="C76" s="77"/>
      <c r="D76" s="122" t="str">
        <f>IF(C76="","",VLOOKUP(C76,Wardrobes_etcData,12,0)+VLOOKUP(C76,Wardrobes_etcData,14,0)+VLOOKUP(C76,Wardrobes_etcData,17,0))</f>
        <v/>
      </c>
      <c r="E76" s="136" t="str">
        <f t="shared" si="2"/>
        <v/>
      </c>
      <c r="F76" s="67" t="str">
        <f>IF(OR(B76="",C76="",E76=""),"",(VLOOKUP(C76,Wardrobes_etcData,12,0)+VLOOKUP(C76,Wardrobes_etcData,14,0))*E76)</f>
        <v/>
      </c>
      <c r="G76" s="67" t="str">
        <f>IF(OR(E76="",C76=""),"",VLOOKUP(C76,Wardrobes_etcData,17,0)*E76)</f>
        <v/>
      </c>
      <c r="H76" s="67" t="str">
        <f t="shared" si="1"/>
        <v/>
      </c>
      <c r="I76" s="124" t="str">
        <f>IF(OR(E76="",C76=""),"",IF(E76*(VLOOKUP(C76,Wardrobes_etcData,16,0)*VLOOKUP(C76,Wardrobes_etcData,31,0))=0,"Missing labour time data on Wardrobes_etc sheet",E76*(VLOOKUP(C76,Wardrobes_etcData,16,0)*VLOOKUP(C76,Wardrobes_etcData,31,0))))</f>
        <v/>
      </c>
      <c r="J76" s="124" t="str">
        <f>IF(OR(E76="",C76=""),"",IF(E76*(VLOOKUP(C76,Wardrobes_etcData,15,0)*VLOOKUP(C76,Wardrobes_etcData,24,0))=0,"Missing build time data on Wardrobes_etc sheet",E76*(VLOOKUP(C76,Wardrobes_etcData,15,0)*VLOOKUP(C76,Wardrobes_etcData,24,0))))</f>
        <v/>
      </c>
    </row>
    <row r="77">
      <c r="A77" s="135"/>
      <c r="B77" s="130"/>
      <c r="C77" s="77"/>
      <c r="D77" s="122" t="str">
        <f>IF(C77="","",VLOOKUP(C77,Wardrobes_etcData,12,0)+VLOOKUP(C77,Wardrobes_etcData,14,0)+VLOOKUP(C77,Wardrobes_etcData,17,0))</f>
        <v/>
      </c>
      <c r="E77" s="136" t="str">
        <f t="shared" si="2"/>
        <v/>
      </c>
      <c r="F77" s="67" t="str">
        <f>IF(OR(B77="",C77="",E77=""),"",(VLOOKUP(C77,Wardrobes_etcData,12,0)+VLOOKUP(C77,Wardrobes_etcData,14,0))*E77)</f>
        <v/>
      </c>
      <c r="G77" s="67" t="str">
        <f>IF(OR(E77="",C77=""),"",VLOOKUP(C77,Wardrobes_etcData,17,0)*E77)</f>
        <v/>
      </c>
      <c r="H77" s="67" t="str">
        <f t="shared" si="1"/>
        <v/>
      </c>
      <c r="I77" s="124" t="str">
        <f>IF(OR(E77="",C77=""),"",IF(E77*(VLOOKUP(C77,Wardrobes_etcData,16,0)*VLOOKUP(C77,Wardrobes_etcData,31,0))=0,"Missing labour time data on Wardrobes_etc sheet",E77*(VLOOKUP(C77,Wardrobes_etcData,16,0)*VLOOKUP(C77,Wardrobes_etcData,31,0))))</f>
        <v/>
      </c>
      <c r="J77" s="124" t="str">
        <f>IF(OR(E77="",C77=""),"",IF(E77*(VLOOKUP(C77,Wardrobes_etcData,15,0)*VLOOKUP(C77,Wardrobes_etcData,24,0))=0,"Missing build time data on Wardrobes_etc sheet",E77*(VLOOKUP(C77,Wardrobes_etcData,15,0)*VLOOKUP(C77,Wardrobes_etcData,24,0))))</f>
        <v/>
      </c>
    </row>
    <row r="78">
      <c r="A78" s="135"/>
      <c r="B78" s="130"/>
      <c r="C78" s="77"/>
      <c r="D78" s="122" t="str">
        <f>IF(C78="","",VLOOKUP(C78,Wardrobes_etcData,12,0)+VLOOKUP(C78,Wardrobes_etcData,14,0)+VLOOKUP(C78,Wardrobes_etcData,17,0))</f>
        <v/>
      </c>
      <c r="E78" s="136" t="str">
        <f t="shared" si="2"/>
        <v/>
      </c>
      <c r="F78" s="67" t="str">
        <f>IF(OR(B78="",C78="",E78=""),"",(VLOOKUP(C78,Wardrobes_etcData,12,0)+VLOOKUP(C78,Wardrobes_etcData,14,0))*E78)</f>
        <v/>
      </c>
      <c r="G78" s="67" t="str">
        <f>IF(OR(E78="",C78=""),"",VLOOKUP(C78,Wardrobes_etcData,17,0)*E78)</f>
        <v/>
      </c>
      <c r="H78" s="67" t="str">
        <f t="shared" si="1"/>
        <v/>
      </c>
      <c r="I78" s="124" t="str">
        <f>IF(OR(E78="",C78=""),"",IF(E78*(VLOOKUP(C78,Wardrobes_etcData,16,0)*VLOOKUP(C78,Wardrobes_etcData,31,0))=0,"Missing labour time data on Wardrobes_etc sheet",E78*(VLOOKUP(C78,Wardrobes_etcData,16,0)*VLOOKUP(C78,Wardrobes_etcData,31,0))))</f>
        <v/>
      </c>
      <c r="J78" s="124" t="str">
        <f>IF(OR(E78="",C78=""),"",IF(E78*(VLOOKUP(C78,Wardrobes_etcData,15,0)*VLOOKUP(C78,Wardrobes_etcData,24,0))=0,"Missing build time data on Wardrobes_etc sheet",E78*(VLOOKUP(C78,Wardrobes_etcData,15,0)*VLOOKUP(C78,Wardrobes_etcData,24,0))))</f>
        <v/>
      </c>
    </row>
    <row r="79">
      <c r="A79" s="135"/>
      <c r="B79" s="130"/>
      <c r="C79" s="77"/>
      <c r="D79" s="122" t="str">
        <f>IF(C79="","",VLOOKUP(C79,Wardrobes_etcData,12,0)+VLOOKUP(C79,Wardrobes_etcData,14,0)+VLOOKUP(C79,Wardrobes_etcData,17,0))</f>
        <v/>
      </c>
      <c r="E79" s="136" t="str">
        <f t="shared" si="2"/>
        <v/>
      </c>
      <c r="F79" s="67" t="str">
        <f>IF(OR(B79="",C79="",E79=""),"",(VLOOKUP(C79,Wardrobes_etcData,12,0)+VLOOKUP(C79,Wardrobes_etcData,14,0))*E79)</f>
        <v/>
      </c>
      <c r="G79" s="67" t="str">
        <f>IF(OR(E79="",C79=""),"",VLOOKUP(C79,Wardrobes_etcData,17,0)*E79)</f>
        <v/>
      </c>
      <c r="H79" s="67" t="str">
        <f t="shared" si="1"/>
        <v/>
      </c>
      <c r="I79" s="124" t="str">
        <f>IF(OR(E79="",C79=""),"",IF(E79*(VLOOKUP(C79,Wardrobes_etcData,16,0)*VLOOKUP(C79,Wardrobes_etcData,31,0))=0,"Missing labour time data on Wardrobes_etc sheet",E79*(VLOOKUP(C79,Wardrobes_etcData,16,0)*VLOOKUP(C79,Wardrobes_etcData,31,0))))</f>
        <v/>
      </c>
      <c r="J79" s="124" t="str">
        <f>IF(OR(E79="",C79=""),"",IF(E79*(VLOOKUP(C79,Wardrobes_etcData,15,0)*VLOOKUP(C79,Wardrobes_etcData,24,0))=0,"Missing build time data on Wardrobes_etc sheet",E79*(VLOOKUP(C79,Wardrobes_etcData,15,0)*VLOOKUP(C79,Wardrobes_etcData,24,0))))</f>
        <v/>
      </c>
    </row>
    <row r="80">
      <c r="A80" s="135"/>
      <c r="B80" s="130"/>
      <c r="C80" s="77"/>
      <c r="D80" s="122" t="str">
        <f>IF(C80="","",VLOOKUP(C80,Wardrobes_etcData,12,0)+VLOOKUP(C80,Wardrobes_etcData,14,0)+VLOOKUP(C80,Wardrobes_etcData,17,0))</f>
        <v/>
      </c>
      <c r="E80" s="136" t="str">
        <f t="shared" si="2"/>
        <v/>
      </c>
      <c r="F80" s="67" t="str">
        <f>IF(OR(B80="",C80="",E80=""),"",(VLOOKUP(C80,Wardrobes_etcData,12,0)+VLOOKUP(C80,Wardrobes_etcData,14,0))*E80)</f>
        <v/>
      </c>
      <c r="G80" s="67" t="str">
        <f>IF(OR(E80="",C80=""),"",VLOOKUP(C80,Wardrobes_etcData,17,0)*E80)</f>
        <v/>
      </c>
      <c r="H80" s="67" t="str">
        <f t="shared" si="1"/>
        <v/>
      </c>
      <c r="I80" s="124" t="str">
        <f>IF(OR(E80="",C80=""),"",IF(E80*(VLOOKUP(C80,Wardrobes_etcData,16,0)*VLOOKUP(C80,Wardrobes_etcData,31,0))=0,"Missing labour time data on Wardrobes_etc sheet",E80*(VLOOKUP(C80,Wardrobes_etcData,16,0)*VLOOKUP(C80,Wardrobes_etcData,31,0))))</f>
        <v/>
      </c>
      <c r="J80" s="124" t="str">
        <f>IF(OR(E80="",C80=""),"",IF(E80*(VLOOKUP(C80,Wardrobes_etcData,15,0)*VLOOKUP(C80,Wardrobes_etcData,24,0))=0,"Missing build time data on Wardrobes_etc sheet",E80*(VLOOKUP(C80,Wardrobes_etcData,15,0)*VLOOKUP(C80,Wardrobes_etcData,24,0))))</f>
        <v/>
      </c>
    </row>
    <row r="81">
      <c r="A81" s="135"/>
      <c r="B81" s="130"/>
      <c r="C81" s="77"/>
      <c r="D81" s="122" t="str">
        <f>IF(C81="","",VLOOKUP(C81,Wardrobes_etcData,12,0)+VLOOKUP(C81,Wardrobes_etcData,14,0)+VLOOKUP(C81,Wardrobes_etcData,17,0))</f>
        <v/>
      </c>
      <c r="E81" s="136" t="str">
        <f t="shared" si="2"/>
        <v/>
      </c>
      <c r="F81" s="67" t="str">
        <f>IF(OR(B81="",C81="",E81=""),"",(VLOOKUP(C81,Wardrobes_etcData,12,0)+VLOOKUP(C81,Wardrobes_etcData,14,0))*E81)</f>
        <v/>
      </c>
      <c r="G81" s="67" t="str">
        <f>IF(OR(E81="",C81=""),"",VLOOKUP(C81,Wardrobes_etcData,17,0)*E81)</f>
        <v/>
      </c>
      <c r="H81" s="67" t="str">
        <f t="shared" si="1"/>
        <v/>
      </c>
      <c r="I81" s="124" t="str">
        <f>IF(OR(E81="",C81=""),"",IF(E81*(VLOOKUP(C81,Wardrobes_etcData,16,0)*VLOOKUP(C81,Wardrobes_etcData,31,0))=0,"Missing labour time data on Wardrobes_etc sheet",E81*(VLOOKUP(C81,Wardrobes_etcData,16,0)*VLOOKUP(C81,Wardrobes_etcData,31,0))))</f>
        <v/>
      </c>
      <c r="J81" s="124" t="str">
        <f>IF(OR(E81="",C81=""),"",IF(E81*(VLOOKUP(C81,Wardrobes_etcData,15,0)*VLOOKUP(C81,Wardrobes_etcData,24,0))=0,"Missing build time data on Wardrobes_etc sheet",E81*(VLOOKUP(C81,Wardrobes_etcData,15,0)*VLOOKUP(C81,Wardrobes_etcData,24,0))))</f>
        <v/>
      </c>
    </row>
    <row r="82">
      <c r="A82" s="135"/>
      <c r="B82" s="130"/>
      <c r="C82" s="77"/>
      <c r="D82" s="122" t="str">
        <f>IF(C82="","",VLOOKUP(C82,Wardrobes_etcData,12,0)+VLOOKUP(C82,Wardrobes_etcData,14,0)+VLOOKUP(C82,Wardrobes_etcData,17,0))</f>
        <v/>
      </c>
      <c r="E82" s="136" t="str">
        <f t="shared" si="2"/>
        <v/>
      </c>
      <c r="F82" s="67" t="str">
        <f>IF(OR(B82="",C82="",E82=""),"",(VLOOKUP(C82,Wardrobes_etcData,12,0)+VLOOKUP(C82,Wardrobes_etcData,14,0))*E82)</f>
        <v/>
      </c>
      <c r="G82" s="67" t="str">
        <f>IF(OR(E82="",C82=""),"",VLOOKUP(C82,Wardrobes_etcData,17,0)*E82)</f>
        <v/>
      </c>
      <c r="H82" s="67" t="str">
        <f t="shared" si="1"/>
        <v/>
      </c>
      <c r="I82" s="124" t="str">
        <f>IF(OR(E82="",C82=""),"",IF(E82*(VLOOKUP(C82,Wardrobes_etcData,16,0)*VLOOKUP(C82,Wardrobes_etcData,31,0))=0,"Missing labour time data on Wardrobes_etc sheet",E82*(VLOOKUP(C82,Wardrobes_etcData,16,0)*VLOOKUP(C82,Wardrobes_etcData,31,0))))</f>
        <v/>
      </c>
      <c r="J82" s="124" t="str">
        <f>IF(OR(E82="",C82=""),"",IF(E82*(VLOOKUP(C82,Wardrobes_etcData,15,0)*VLOOKUP(C82,Wardrobes_etcData,24,0))=0,"Missing build time data on Wardrobes_etc sheet",E82*(VLOOKUP(C82,Wardrobes_etcData,15,0)*VLOOKUP(C82,Wardrobes_etcData,24,0))))</f>
        <v/>
      </c>
    </row>
    <row r="83">
      <c r="A83" s="135"/>
      <c r="B83" s="130"/>
      <c r="C83" s="77"/>
      <c r="D83" s="122" t="str">
        <f>IF(C83="","",VLOOKUP(C83,Wardrobes_etcData,12,0)+VLOOKUP(C83,Wardrobes_etcData,14,0)+VLOOKUP(C83,Wardrobes_etcData,17,0))</f>
        <v/>
      </c>
      <c r="E83" s="136" t="str">
        <f t="shared" si="2"/>
        <v/>
      </c>
      <c r="F83" s="67" t="str">
        <f>IF(OR(B83="",C83="",E83=""),"",(VLOOKUP(C83,Wardrobes_etcData,12,0)+VLOOKUP(C83,Wardrobes_etcData,14,0))*E83)</f>
        <v/>
      </c>
      <c r="G83" s="67" t="str">
        <f>IF(OR(E83="",C83=""),"",VLOOKUP(C83,Wardrobes_etcData,17,0)*E83)</f>
        <v/>
      </c>
      <c r="H83" s="67" t="str">
        <f t="shared" si="1"/>
        <v/>
      </c>
      <c r="I83" s="124" t="str">
        <f>IF(OR(E83="",C83=""),"",IF(E83*(VLOOKUP(C83,Wardrobes_etcData,16,0)*VLOOKUP(C83,Wardrobes_etcData,31,0))=0,"Missing labour time data on Wardrobes_etc sheet",E83*(VLOOKUP(C83,Wardrobes_etcData,16,0)*VLOOKUP(C83,Wardrobes_etcData,31,0))))</f>
        <v/>
      </c>
      <c r="J83" s="124" t="str">
        <f>IF(OR(E83="",C83=""),"",IF(E83*(VLOOKUP(C83,Wardrobes_etcData,15,0)*VLOOKUP(C83,Wardrobes_etcData,24,0))=0,"Missing build time data on Wardrobes_etc sheet",E83*(VLOOKUP(C83,Wardrobes_etcData,15,0)*VLOOKUP(C83,Wardrobes_etcData,24,0))))</f>
        <v/>
      </c>
    </row>
    <row r="84">
      <c r="A84" s="135"/>
      <c r="B84" s="130"/>
      <c r="C84" s="77"/>
      <c r="D84" s="122" t="str">
        <f>IF(C84="","",VLOOKUP(C84,Wardrobes_etcData,12,0)+VLOOKUP(C84,Wardrobes_etcData,14,0)+VLOOKUP(C84,Wardrobes_etcData,17,0))</f>
        <v/>
      </c>
      <c r="E84" s="136" t="str">
        <f t="shared" si="2"/>
        <v/>
      </c>
      <c r="F84" s="67" t="str">
        <f>IF(OR(B84="",C84="",E84=""),"",(VLOOKUP(C84,Wardrobes_etcData,12,0)+VLOOKUP(C84,Wardrobes_etcData,14,0))*E84)</f>
        <v/>
      </c>
      <c r="G84" s="67" t="str">
        <f>IF(OR(E84="",C84=""),"",VLOOKUP(C84,Wardrobes_etcData,17,0)*E84)</f>
        <v/>
      </c>
      <c r="H84" s="67" t="str">
        <f t="shared" si="1"/>
        <v/>
      </c>
      <c r="I84" s="124" t="str">
        <f>IF(OR(E84="",C84=""),"",IF(E84*(VLOOKUP(C84,Wardrobes_etcData,16,0)*VLOOKUP(C84,Wardrobes_etcData,31,0))=0,"Missing labour time data on Wardrobes_etc sheet",E84*(VLOOKUP(C84,Wardrobes_etcData,16,0)*VLOOKUP(C84,Wardrobes_etcData,31,0))))</f>
        <v/>
      </c>
      <c r="J84" s="124" t="str">
        <f>IF(OR(E84="",C84=""),"",IF(E84*(VLOOKUP(C84,Wardrobes_etcData,15,0)*VLOOKUP(C84,Wardrobes_etcData,24,0))=0,"Missing build time data on Wardrobes_etc sheet",E84*(VLOOKUP(C84,Wardrobes_etcData,15,0)*VLOOKUP(C84,Wardrobes_etcData,24,0))))</f>
        <v/>
      </c>
    </row>
    <row r="85">
      <c r="A85" s="135"/>
      <c r="B85" s="130"/>
      <c r="C85" s="77"/>
      <c r="D85" s="122" t="str">
        <f>IF(C85="","",VLOOKUP(C85,Wardrobes_etcData,12,0)+VLOOKUP(C85,Wardrobes_etcData,14,0)+VLOOKUP(C85,Wardrobes_etcData,17,0))</f>
        <v/>
      </c>
      <c r="E85" s="136" t="str">
        <f t="shared" si="2"/>
        <v/>
      </c>
      <c r="F85" s="67" t="str">
        <f>IF(OR(B85="",C85="",E85=""),"",(VLOOKUP(C85,Wardrobes_etcData,12,0)+VLOOKUP(C85,Wardrobes_etcData,14,0))*E85)</f>
        <v/>
      </c>
      <c r="G85" s="67" t="str">
        <f>IF(OR(E85="",C85=""),"",VLOOKUP(C85,Wardrobes_etcData,17,0)*E85)</f>
        <v/>
      </c>
      <c r="H85" s="67" t="str">
        <f t="shared" si="1"/>
        <v/>
      </c>
      <c r="I85" s="124" t="str">
        <f>IF(OR(E85="",C85=""),"",IF(E85*(VLOOKUP(C85,Wardrobes_etcData,16,0)*VLOOKUP(C85,Wardrobes_etcData,31,0))=0,"Missing labour time data on Wardrobes_etc sheet",E85*(VLOOKUP(C85,Wardrobes_etcData,16,0)*VLOOKUP(C85,Wardrobes_etcData,31,0))))</f>
        <v/>
      </c>
      <c r="J85" s="124" t="str">
        <f>IF(OR(E85="",C85=""),"",IF(E85*(VLOOKUP(C85,Wardrobes_etcData,15,0)*VLOOKUP(C85,Wardrobes_etcData,24,0))=0,"Missing build time data on Wardrobes_etc sheet",E85*(VLOOKUP(C85,Wardrobes_etcData,15,0)*VLOOKUP(C85,Wardrobes_etcData,24,0))))</f>
        <v/>
      </c>
    </row>
    <row r="86">
      <c r="A86" s="135"/>
      <c r="B86" s="130"/>
      <c r="C86" s="77"/>
      <c r="D86" s="122" t="str">
        <f>IF(C86="","",VLOOKUP(C86,Wardrobes_etcData,12,0)+VLOOKUP(C86,Wardrobes_etcData,14,0)+VLOOKUP(C86,Wardrobes_etcData,17,0))</f>
        <v/>
      </c>
      <c r="E86" s="136" t="str">
        <f t="shared" si="2"/>
        <v/>
      </c>
      <c r="F86" s="67" t="str">
        <f>IF(OR(B86="",C86="",E86=""),"",(VLOOKUP(C86,Wardrobes_etcData,12,0)+VLOOKUP(C86,Wardrobes_etcData,14,0))*E86)</f>
        <v/>
      </c>
      <c r="G86" s="67" t="str">
        <f>IF(OR(E86="",C86=""),"",VLOOKUP(C86,Wardrobes_etcData,17,0)*E86)</f>
        <v/>
      </c>
      <c r="H86" s="67" t="str">
        <f t="shared" si="1"/>
        <v/>
      </c>
      <c r="I86" s="124" t="str">
        <f>IF(OR(E86="",C86=""),"",IF(E86*(VLOOKUP(C86,Wardrobes_etcData,16,0)*VLOOKUP(C86,Wardrobes_etcData,31,0))=0,"Missing labour time data on Wardrobes_etc sheet",E86*(VLOOKUP(C86,Wardrobes_etcData,16,0)*VLOOKUP(C86,Wardrobes_etcData,31,0))))</f>
        <v/>
      </c>
      <c r="J86" s="124" t="str">
        <f>IF(OR(E86="",C86=""),"",IF(E86*(VLOOKUP(C86,Wardrobes_etcData,15,0)*VLOOKUP(C86,Wardrobes_etcData,24,0))=0,"Missing build time data on Wardrobes_etc sheet",E86*(VLOOKUP(C86,Wardrobes_etcData,15,0)*VLOOKUP(C86,Wardrobes_etcData,24,0))))</f>
        <v/>
      </c>
    </row>
    <row r="87">
      <c r="A87" s="135"/>
      <c r="B87" s="130"/>
      <c r="C87" s="77"/>
      <c r="D87" s="122" t="str">
        <f>IF(C87="","",VLOOKUP(C87,Wardrobes_etcData,12,0)+VLOOKUP(C87,Wardrobes_etcData,14,0)+VLOOKUP(C87,Wardrobes_etcData,17,0))</f>
        <v/>
      </c>
      <c r="E87" s="136" t="str">
        <f t="shared" si="2"/>
        <v/>
      </c>
      <c r="F87" s="67" t="str">
        <f>IF(OR(B87="",C87="",E87=""),"",(VLOOKUP(C87,Wardrobes_etcData,12,0)+VLOOKUP(C87,Wardrobes_etcData,14,0))*E87)</f>
        <v/>
      </c>
      <c r="G87" s="67" t="str">
        <f>IF(OR(E87="",C87=""),"",VLOOKUP(C87,Wardrobes_etcData,17,0)*E87)</f>
        <v/>
      </c>
      <c r="H87" s="67" t="str">
        <f t="shared" si="1"/>
        <v/>
      </c>
      <c r="I87" s="124" t="str">
        <f>IF(OR(E87="",C87=""),"",IF(E87*(VLOOKUP(C87,Wardrobes_etcData,16,0)*VLOOKUP(C87,Wardrobes_etcData,31,0))=0,"Missing labour time data on Wardrobes_etc sheet",E87*(VLOOKUP(C87,Wardrobes_etcData,16,0)*VLOOKUP(C87,Wardrobes_etcData,31,0))))</f>
        <v/>
      </c>
      <c r="J87" s="124" t="str">
        <f>IF(OR(E87="",C87=""),"",IF(E87*(VLOOKUP(C87,Wardrobes_etcData,15,0)*VLOOKUP(C87,Wardrobes_etcData,24,0))=0,"Missing build time data on Wardrobes_etc sheet",E87*(VLOOKUP(C87,Wardrobes_etcData,15,0)*VLOOKUP(C87,Wardrobes_etcData,24,0))))</f>
        <v/>
      </c>
    </row>
    <row r="88">
      <c r="A88" s="135"/>
      <c r="B88" s="130"/>
      <c r="C88" s="77"/>
      <c r="D88" s="122" t="str">
        <f>IF(C88="","",VLOOKUP(C88,Wardrobes_etcData,12,0)+VLOOKUP(C88,Wardrobes_etcData,14,0)+VLOOKUP(C88,Wardrobes_etcData,17,0))</f>
        <v/>
      </c>
      <c r="E88" s="136" t="str">
        <f t="shared" si="2"/>
        <v/>
      </c>
      <c r="F88" s="67" t="str">
        <f>IF(OR(B88="",C88="",E88=""),"",(VLOOKUP(C88,Wardrobes_etcData,12,0)+VLOOKUP(C88,Wardrobes_etcData,14,0))*E88)</f>
        <v/>
      </c>
      <c r="G88" s="67" t="str">
        <f>IF(OR(E88="",C88=""),"",VLOOKUP(C88,Wardrobes_etcData,17,0)*E88)</f>
        <v/>
      </c>
      <c r="H88" s="67" t="str">
        <f t="shared" si="1"/>
        <v/>
      </c>
      <c r="I88" s="124" t="str">
        <f>IF(OR(E88="",C88=""),"",IF(E88*(VLOOKUP(C88,Wardrobes_etcData,16,0)*VLOOKUP(C88,Wardrobes_etcData,31,0))=0,"Missing labour time data on Wardrobes_etc sheet",E88*(VLOOKUP(C88,Wardrobes_etcData,16,0)*VLOOKUP(C88,Wardrobes_etcData,31,0))))</f>
        <v/>
      </c>
      <c r="J88" s="124" t="str">
        <f>IF(OR(E88="",C88=""),"",IF(E88*(VLOOKUP(C88,Wardrobes_etcData,15,0)*VLOOKUP(C88,Wardrobes_etcData,24,0))=0,"Missing build time data on Wardrobes_etc sheet",E88*(VLOOKUP(C88,Wardrobes_etcData,15,0)*VLOOKUP(C88,Wardrobes_etcData,24,0))))</f>
        <v/>
      </c>
    </row>
    <row r="89">
      <c r="A89" s="135"/>
      <c r="B89" s="130"/>
      <c r="C89" s="77"/>
      <c r="D89" s="122" t="str">
        <f>IF(C89="","",VLOOKUP(C89,Wardrobes_etcData,12,0)+VLOOKUP(C89,Wardrobes_etcData,14,0)+VLOOKUP(C89,Wardrobes_etcData,17,0))</f>
        <v/>
      </c>
      <c r="E89" s="136" t="str">
        <f t="shared" si="2"/>
        <v/>
      </c>
      <c r="F89" s="67" t="str">
        <f>IF(OR(B89="",C89="",E89=""),"",(VLOOKUP(C89,Wardrobes_etcData,12,0)+VLOOKUP(C89,Wardrobes_etcData,14,0))*E89)</f>
        <v/>
      </c>
      <c r="G89" s="67" t="str">
        <f>IF(OR(E89="",C89=""),"",VLOOKUP(C89,Wardrobes_etcData,17,0)*E89)</f>
        <v/>
      </c>
      <c r="H89" s="67" t="str">
        <f t="shared" si="1"/>
        <v/>
      </c>
      <c r="I89" s="124" t="str">
        <f>IF(OR(E89="",C89=""),"",IF(E89*(VLOOKUP(C89,Wardrobes_etcData,16,0)*VLOOKUP(C89,Wardrobes_etcData,31,0))=0,"Missing labour time data on Wardrobes_etc sheet",E89*(VLOOKUP(C89,Wardrobes_etcData,16,0)*VLOOKUP(C89,Wardrobes_etcData,31,0))))</f>
        <v/>
      </c>
      <c r="J89" s="124" t="str">
        <f>IF(OR(E89="",C89=""),"",IF(E89*(VLOOKUP(C89,Wardrobes_etcData,15,0)*VLOOKUP(C89,Wardrobes_etcData,24,0))=0,"Missing build time data on Wardrobes_etc sheet",E89*(VLOOKUP(C89,Wardrobes_etcData,15,0)*VLOOKUP(C89,Wardrobes_etcData,24,0))))</f>
        <v/>
      </c>
    </row>
    <row r="90">
      <c r="A90" s="135"/>
      <c r="B90" s="130"/>
      <c r="C90" s="77"/>
      <c r="D90" s="122" t="str">
        <f>IF(C90="","",VLOOKUP(C90,Wardrobes_etcData,12,0)+VLOOKUP(C90,Wardrobes_etcData,14,0)+VLOOKUP(C90,Wardrobes_etcData,17,0))</f>
        <v/>
      </c>
      <c r="E90" s="136" t="str">
        <f t="shared" si="2"/>
        <v/>
      </c>
      <c r="F90" s="67" t="str">
        <f>IF(OR(B90="",C90="",E90=""),"",(VLOOKUP(C90,Wardrobes_etcData,12,0)+VLOOKUP(C90,Wardrobes_etcData,14,0))*E90)</f>
        <v/>
      </c>
      <c r="G90" s="67" t="str">
        <f>IF(OR(E90="",C90=""),"",VLOOKUP(C90,Wardrobes_etcData,17,0)*E90)</f>
        <v/>
      </c>
      <c r="H90" s="67" t="str">
        <f t="shared" si="1"/>
        <v/>
      </c>
      <c r="I90" s="124" t="str">
        <f>IF(OR(E90="",C90=""),"",IF(E90*(VLOOKUP(C90,Wardrobes_etcData,16,0)*VLOOKUP(C90,Wardrobes_etcData,31,0))=0,"Missing labour time data on Wardrobes_etc sheet",E90*(VLOOKUP(C90,Wardrobes_etcData,16,0)*VLOOKUP(C90,Wardrobes_etcData,31,0))))</f>
        <v/>
      </c>
      <c r="J90" s="124" t="str">
        <f>IF(OR(E90="",C90=""),"",IF(E90*(VLOOKUP(C90,Wardrobes_etcData,15,0)*VLOOKUP(C90,Wardrobes_etcData,24,0))=0,"Missing build time data on Wardrobes_etc sheet",E90*(VLOOKUP(C90,Wardrobes_etcData,15,0)*VLOOKUP(C90,Wardrobes_etcData,24,0))))</f>
        <v/>
      </c>
    </row>
    <row r="91">
      <c r="A91" s="135"/>
      <c r="B91" s="130"/>
      <c r="C91" s="77"/>
      <c r="D91" s="122" t="str">
        <f>IF(C91="","",VLOOKUP(C91,Wardrobes_etcData,12,0)+VLOOKUP(C91,Wardrobes_etcData,14,0)+VLOOKUP(C91,Wardrobes_etcData,17,0))</f>
        <v/>
      </c>
      <c r="E91" s="136" t="str">
        <f t="shared" si="2"/>
        <v/>
      </c>
      <c r="F91" s="67" t="str">
        <f>IF(OR(B91="",C91="",E91=""),"",(VLOOKUP(C91,Wardrobes_etcData,12,0)+VLOOKUP(C91,Wardrobes_etcData,14,0))*E91)</f>
        <v/>
      </c>
      <c r="G91" s="67" t="str">
        <f>IF(OR(E91="",C91=""),"",VLOOKUP(C91,Wardrobes_etcData,17,0)*E91)</f>
        <v/>
      </c>
      <c r="H91" s="67" t="str">
        <f t="shared" si="1"/>
        <v/>
      </c>
      <c r="I91" s="124" t="str">
        <f>IF(OR(E91="",C91=""),"",IF(E91*(VLOOKUP(C91,Wardrobes_etcData,16,0)*VLOOKUP(C91,Wardrobes_etcData,31,0))=0,"Missing labour time data on Wardrobes_etc sheet",E91*(VLOOKUP(C91,Wardrobes_etcData,16,0)*VLOOKUP(C91,Wardrobes_etcData,31,0))))</f>
        <v/>
      </c>
      <c r="J91" s="124" t="str">
        <f>IF(OR(E91="",C91=""),"",IF(E91*(VLOOKUP(C91,Wardrobes_etcData,15,0)*VLOOKUP(C91,Wardrobes_etcData,24,0))=0,"Missing build time data on Wardrobes_etc sheet",E91*(VLOOKUP(C91,Wardrobes_etcData,15,0)*VLOOKUP(C91,Wardrobes_etcData,24,0))))</f>
        <v/>
      </c>
    </row>
    <row r="92">
      <c r="A92" s="135"/>
      <c r="B92" s="130"/>
      <c r="C92" s="77"/>
      <c r="D92" s="122" t="str">
        <f>IF(C92="","",VLOOKUP(C92,Wardrobes_etcData,12,0)+VLOOKUP(C92,Wardrobes_etcData,14,0)+VLOOKUP(C92,Wardrobes_etcData,17,0))</f>
        <v/>
      </c>
      <c r="E92" s="136" t="str">
        <f t="shared" si="2"/>
        <v/>
      </c>
      <c r="F92" s="67" t="str">
        <f>IF(OR(B92="",C92="",E92=""),"",(VLOOKUP(C92,Wardrobes_etcData,12,0)+VLOOKUP(C92,Wardrobes_etcData,14,0))*E92)</f>
        <v/>
      </c>
      <c r="G92" s="67" t="str">
        <f>IF(OR(E92="",C92=""),"",VLOOKUP(C92,Wardrobes_etcData,17,0)*E92)</f>
        <v/>
      </c>
      <c r="H92" s="67" t="str">
        <f t="shared" si="1"/>
        <v/>
      </c>
      <c r="I92" s="124" t="str">
        <f>IF(OR(E92="",C92=""),"",IF(E92*(VLOOKUP(C92,Wardrobes_etcData,16,0)*VLOOKUP(C92,Wardrobes_etcData,31,0))=0,"Missing labour time data on Wardrobes_etc sheet",E92*(VLOOKUP(C92,Wardrobes_etcData,16,0)*VLOOKUP(C92,Wardrobes_etcData,31,0))))</f>
        <v/>
      </c>
      <c r="J92" s="124" t="str">
        <f>IF(OR(E92="",C92=""),"",IF(E92*(VLOOKUP(C92,Wardrobes_etcData,15,0)*VLOOKUP(C92,Wardrobes_etcData,24,0))=0,"Missing build time data on Wardrobes_etc sheet",E92*(VLOOKUP(C92,Wardrobes_etcData,15,0)*VLOOKUP(C92,Wardrobes_etcData,24,0))))</f>
        <v/>
      </c>
    </row>
    <row r="93">
      <c r="A93" s="135"/>
      <c r="B93" s="130"/>
      <c r="C93" s="77"/>
      <c r="D93" s="122" t="str">
        <f>IF(C93="","",VLOOKUP(C93,Wardrobes_etcData,12,0)+VLOOKUP(C93,Wardrobes_etcData,14,0)+VLOOKUP(C93,Wardrobes_etcData,17,0))</f>
        <v/>
      </c>
      <c r="E93" s="136" t="str">
        <f t="shared" si="2"/>
        <v/>
      </c>
      <c r="F93" s="67" t="str">
        <f>IF(OR(B93="",C93="",E93=""),"",(VLOOKUP(C93,Wardrobes_etcData,12,0)+VLOOKUP(C93,Wardrobes_etcData,14,0))*E93)</f>
        <v/>
      </c>
      <c r="G93" s="67" t="str">
        <f>IF(OR(E93="",C93=""),"",VLOOKUP(C93,Wardrobes_etcData,17,0)*E93)</f>
        <v/>
      </c>
      <c r="H93" s="67" t="str">
        <f t="shared" si="1"/>
        <v/>
      </c>
      <c r="I93" s="124" t="str">
        <f>IF(OR(E93="",C93=""),"",IF(E93*(VLOOKUP(C93,Wardrobes_etcData,16,0)*VLOOKUP(C93,Wardrobes_etcData,31,0))=0,"Missing labour time data on Wardrobes_etc sheet",E93*(VLOOKUP(C93,Wardrobes_etcData,16,0)*VLOOKUP(C93,Wardrobes_etcData,31,0))))</f>
        <v/>
      </c>
      <c r="J93" s="124" t="str">
        <f>IF(OR(E93="",C93=""),"",IF(E93*(VLOOKUP(C93,Wardrobes_etcData,15,0)*VLOOKUP(C93,Wardrobes_etcData,24,0))=0,"Missing build time data on Wardrobes_etc sheet",E93*(VLOOKUP(C93,Wardrobes_etcData,15,0)*VLOOKUP(C93,Wardrobes_etcData,24,0))))</f>
        <v/>
      </c>
    </row>
    <row r="94">
      <c r="A94" s="135"/>
      <c r="B94" s="130"/>
      <c r="C94" s="77"/>
      <c r="D94" s="122" t="str">
        <f>IF(C94="","",VLOOKUP(C94,Wardrobes_etcData,12,0)+VLOOKUP(C94,Wardrobes_etcData,14,0)+VLOOKUP(C94,Wardrobes_etcData,17,0))</f>
        <v/>
      </c>
      <c r="E94" s="136" t="str">
        <f t="shared" si="2"/>
        <v/>
      </c>
      <c r="F94" s="67" t="str">
        <f>IF(OR(B94="",C94="",E94=""),"",(VLOOKUP(C94,Wardrobes_etcData,12,0)+VLOOKUP(C94,Wardrobes_etcData,14,0))*E94)</f>
        <v/>
      </c>
      <c r="G94" s="67" t="str">
        <f>IF(OR(E94="",C94=""),"",VLOOKUP(C94,Wardrobes_etcData,17,0)*E94)</f>
        <v/>
      </c>
      <c r="H94" s="67" t="str">
        <f t="shared" si="1"/>
        <v/>
      </c>
      <c r="I94" s="124" t="str">
        <f>IF(OR(E94="",C94=""),"",IF(E94*(VLOOKUP(C94,Wardrobes_etcData,16,0)*VLOOKUP(C94,Wardrobes_etcData,31,0))=0,"Missing labour time data on Wardrobes_etc sheet",E94*(VLOOKUP(C94,Wardrobes_etcData,16,0)*VLOOKUP(C94,Wardrobes_etcData,31,0))))</f>
        <v/>
      </c>
      <c r="J94" s="124" t="str">
        <f>IF(OR(E94="",C94=""),"",IF(E94*(VLOOKUP(C94,Wardrobes_etcData,15,0)*VLOOKUP(C94,Wardrobes_etcData,24,0))=0,"Missing build time data on Wardrobes_etc sheet",E94*(VLOOKUP(C94,Wardrobes_etcData,15,0)*VLOOKUP(C94,Wardrobes_etcData,24,0))))</f>
        <v/>
      </c>
    </row>
    <row r="95">
      <c r="A95" s="135"/>
      <c r="B95" s="130"/>
      <c r="C95" s="77"/>
      <c r="D95" s="122" t="str">
        <f>IF(C95="","",VLOOKUP(C95,Wardrobes_etcData,12,0)+VLOOKUP(C95,Wardrobes_etcData,14,0)+VLOOKUP(C95,Wardrobes_etcData,17,0))</f>
        <v/>
      </c>
      <c r="E95" s="136" t="str">
        <f t="shared" si="2"/>
        <v/>
      </c>
      <c r="F95" s="67" t="str">
        <f>IF(OR(B95="",C95="",E95=""),"",(VLOOKUP(C95,Wardrobes_etcData,12,0)+VLOOKUP(C95,Wardrobes_etcData,14,0))*E95)</f>
        <v/>
      </c>
      <c r="G95" s="67" t="str">
        <f>IF(OR(E95="",C95=""),"",VLOOKUP(C95,Wardrobes_etcData,17,0)*E95)</f>
        <v/>
      </c>
      <c r="H95" s="67" t="str">
        <f t="shared" si="1"/>
        <v/>
      </c>
      <c r="I95" s="124" t="str">
        <f>IF(OR(E95="",C95=""),"",IF(E95*(VLOOKUP(C95,Wardrobes_etcData,16,0)*VLOOKUP(C95,Wardrobes_etcData,31,0))=0,"Missing labour time data on Wardrobes_etc sheet",E95*(VLOOKUP(C95,Wardrobes_etcData,16,0)*VLOOKUP(C95,Wardrobes_etcData,31,0))))</f>
        <v/>
      </c>
      <c r="J95" s="124" t="str">
        <f>IF(OR(E95="",C95=""),"",IF(E95*(VLOOKUP(C95,Wardrobes_etcData,15,0)*VLOOKUP(C95,Wardrobes_etcData,24,0))=0,"Missing build time data on Wardrobes_etc sheet",E95*(VLOOKUP(C95,Wardrobes_etcData,15,0)*VLOOKUP(C95,Wardrobes_etcData,24,0))))</f>
        <v/>
      </c>
    </row>
    <row r="96">
      <c r="A96" s="135"/>
      <c r="B96" s="130"/>
      <c r="C96" s="77"/>
      <c r="D96" s="122" t="str">
        <f>IF(C96="","",VLOOKUP(C96,Wardrobes_etcData,12,0)+VLOOKUP(C96,Wardrobes_etcData,14,0)+VLOOKUP(C96,Wardrobes_etcData,17,0))</f>
        <v/>
      </c>
      <c r="E96" s="136" t="str">
        <f t="shared" si="2"/>
        <v/>
      </c>
      <c r="F96" s="67" t="str">
        <f>IF(OR(B96="",C96="",E96=""),"",(VLOOKUP(C96,Wardrobes_etcData,12,0)+VLOOKUP(C96,Wardrobes_etcData,14,0))*E96)</f>
        <v/>
      </c>
      <c r="G96" s="67" t="str">
        <f>IF(OR(E96="",C96=""),"",VLOOKUP(C96,Wardrobes_etcData,17,0)*E96)</f>
        <v/>
      </c>
      <c r="H96" s="67" t="str">
        <f t="shared" si="1"/>
        <v/>
      </c>
      <c r="I96" s="124" t="str">
        <f>IF(OR(E96="",C96=""),"",IF(E96*(VLOOKUP(C96,Wardrobes_etcData,16,0)*VLOOKUP(C96,Wardrobes_etcData,31,0))=0,"Missing labour time data on Wardrobes_etc sheet",E96*(VLOOKUP(C96,Wardrobes_etcData,16,0)*VLOOKUP(C96,Wardrobes_etcData,31,0))))</f>
        <v/>
      </c>
      <c r="J96" s="124" t="str">
        <f>IF(OR(E96="",C96=""),"",IF(E96*(VLOOKUP(C96,Wardrobes_etcData,15,0)*VLOOKUP(C96,Wardrobes_etcData,24,0))=0,"Missing build time data on Wardrobes_etc sheet",E96*(VLOOKUP(C96,Wardrobes_etcData,15,0)*VLOOKUP(C96,Wardrobes_etcData,24,0))))</f>
        <v/>
      </c>
    </row>
    <row r="97">
      <c r="A97" s="135"/>
      <c r="B97" s="130"/>
      <c r="C97" s="77"/>
      <c r="D97" s="122" t="str">
        <f>IF(C97="","",VLOOKUP(C97,Wardrobes_etcData,12,0)+VLOOKUP(C97,Wardrobes_etcData,14,0)+VLOOKUP(C97,Wardrobes_etcData,17,0))</f>
        <v/>
      </c>
      <c r="E97" s="136" t="str">
        <f t="shared" si="2"/>
        <v/>
      </c>
      <c r="F97" s="67" t="str">
        <f>IF(OR(B97="",C97="",E97=""),"",(VLOOKUP(C97,Wardrobes_etcData,12,0)+VLOOKUP(C97,Wardrobes_etcData,14,0))*E97)</f>
        <v/>
      </c>
      <c r="G97" s="67" t="str">
        <f>IF(OR(E97="",C97=""),"",VLOOKUP(C97,Wardrobes_etcData,17,0)*E97)</f>
        <v/>
      </c>
      <c r="H97" s="67" t="str">
        <f t="shared" si="1"/>
        <v/>
      </c>
      <c r="I97" s="124" t="str">
        <f>IF(OR(E97="",C97=""),"",IF(E97*(VLOOKUP(C97,Wardrobes_etcData,16,0)*VLOOKUP(C97,Wardrobes_etcData,31,0))=0,"Missing labour time data on Wardrobes_etc sheet",E97*(VLOOKUP(C97,Wardrobes_etcData,16,0)*VLOOKUP(C97,Wardrobes_etcData,31,0))))</f>
        <v/>
      </c>
      <c r="J97" s="124" t="str">
        <f>IF(OR(E97="",C97=""),"",IF(E97*(VLOOKUP(C97,Wardrobes_etcData,15,0)*VLOOKUP(C97,Wardrobes_etcData,24,0))=0,"Missing build time data on Wardrobes_etc sheet",E97*(VLOOKUP(C97,Wardrobes_etcData,15,0)*VLOOKUP(C97,Wardrobes_etcData,24,0))))</f>
        <v/>
      </c>
    </row>
    <row r="98">
      <c r="A98" s="135"/>
      <c r="B98" s="130"/>
      <c r="C98" s="77"/>
      <c r="D98" s="122" t="str">
        <f>IF(C98="","",VLOOKUP(C98,Wardrobes_etcData,12,0)+VLOOKUP(C98,Wardrobes_etcData,14,0)+VLOOKUP(C98,Wardrobes_etcData,17,0))</f>
        <v/>
      </c>
      <c r="E98" s="136" t="str">
        <f t="shared" si="2"/>
        <v/>
      </c>
      <c r="F98" s="67" t="str">
        <f>IF(OR(B98="",C98="",E98=""),"",(VLOOKUP(C98,Wardrobes_etcData,12,0)+VLOOKUP(C98,Wardrobes_etcData,14,0))*E98)</f>
        <v/>
      </c>
      <c r="G98" s="67" t="str">
        <f>IF(OR(E98="",C98=""),"",VLOOKUP(C98,Wardrobes_etcData,17,0)*E98)</f>
        <v/>
      </c>
      <c r="H98" s="67" t="str">
        <f t="shared" si="1"/>
        <v/>
      </c>
      <c r="I98" s="124" t="str">
        <f>IF(OR(E98="",C98=""),"",IF(E98*(VLOOKUP(C98,Wardrobes_etcData,16,0)*VLOOKUP(C98,Wardrobes_etcData,31,0))=0,"Missing labour time data on Wardrobes_etc sheet",E98*(VLOOKUP(C98,Wardrobes_etcData,16,0)*VLOOKUP(C98,Wardrobes_etcData,31,0))))</f>
        <v/>
      </c>
      <c r="J98" s="124" t="str">
        <f>IF(OR(E98="",C98=""),"",IF(E98*(VLOOKUP(C98,Wardrobes_etcData,15,0)*VLOOKUP(C98,Wardrobes_etcData,24,0))=0,"Missing build time data on Wardrobes_etc sheet",E98*(VLOOKUP(C98,Wardrobes_etcData,15,0)*VLOOKUP(C98,Wardrobes_etcData,24,0))))</f>
        <v/>
      </c>
    </row>
    <row r="99">
      <c r="A99" s="135"/>
      <c r="B99" s="130"/>
      <c r="C99" s="77"/>
      <c r="D99" s="122" t="str">
        <f>IF(C99="","",VLOOKUP(C99,Wardrobes_etcData,12,0)+VLOOKUP(C99,Wardrobes_etcData,14,0)+VLOOKUP(C99,Wardrobes_etcData,17,0))</f>
        <v/>
      </c>
      <c r="E99" s="136" t="str">
        <f t="shared" si="2"/>
        <v/>
      </c>
      <c r="F99" s="67" t="str">
        <f>IF(OR(B99="",C99="",E99=""),"",(VLOOKUP(C99,Wardrobes_etcData,12,0)+VLOOKUP(C99,Wardrobes_etcData,14,0))*E99)</f>
        <v/>
      </c>
      <c r="G99" s="67" t="str">
        <f>IF(OR(E99="",C99=""),"",VLOOKUP(C99,Wardrobes_etcData,17,0)*E99)</f>
        <v/>
      </c>
      <c r="H99" s="67" t="str">
        <f t="shared" si="1"/>
        <v/>
      </c>
      <c r="I99" s="124" t="str">
        <f>IF(OR(E99="",C99=""),"",IF(E99*(VLOOKUP(C99,Wardrobes_etcData,16,0)*VLOOKUP(C99,Wardrobes_etcData,31,0))=0,"Missing labour time data on Wardrobes_etc sheet",E99*(VLOOKUP(C99,Wardrobes_etcData,16,0)*VLOOKUP(C99,Wardrobes_etcData,31,0))))</f>
        <v/>
      </c>
      <c r="J99" s="124" t="str">
        <f>IF(OR(E99="",C99=""),"",IF(E99*(VLOOKUP(C99,Wardrobes_etcData,15,0)*VLOOKUP(C99,Wardrobes_etcData,24,0))=0,"Missing build time data on Wardrobes_etc sheet",E99*(VLOOKUP(C99,Wardrobes_etcData,15,0)*VLOOKUP(C99,Wardrobes_etcData,24,0))))</f>
        <v/>
      </c>
    </row>
    <row r="100">
      <c r="A100" s="135"/>
      <c r="B100" s="130"/>
      <c r="C100" s="77"/>
      <c r="D100" s="122" t="str">
        <f>IF(C100="","",VLOOKUP(C100,Wardrobes_etcData,12,0)+VLOOKUP(C100,Wardrobes_etcData,14,0)+VLOOKUP(C100,Wardrobes_etcData,17,0))</f>
        <v/>
      </c>
      <c r="E100" s="136" t="str">
        <f t="shared" si="2"/>
        <v/>
      </c>
      <c r="F100" s="67" t="str">
        <f>IF(OR(B100="",C100="",E100=""),"",(VLOOKUP(C100,Wardrobes_etcData,12,0)+VLOOKUP(C100,Wardrobes_etcData,14,0))*E100)</f>
        <v/>
      </c>
      <c r="G100" s="67" t="str">
        <f>IF(OR(E100="",C100=""),"",VLOOKUP(C100,Wardrobes_etcData,17,0)*E100)</f>
        <v/>
      </c>
      <c r="H100" s="67" t="str">
        <f t="shared" si="1"/>
        <v/>
      </c>
      <c r="I100" s="124" t="str">
        <f>IF(OR(E100="",C100=""),"",IF(E100*(VLOOKUP(C100,Wardrobes_etcData,16,0)*VLOOKUP(C100,Wardrobes_etcData,31,0))=0,"Missing labour time data on Wardrobes_etc sheet",E100*(VLOOKUP(C100,Wardrobes_etcData,16,0)*VLOOKUP(C100,Wardrobes_etcData,31,0))))</f>
        <v/>
      </c>
      <c r="J100" s="124" t="str">
        <f>IF(OR(E100="",C100=""),"",IF(E100*(VLOOKUP(C100,Wardrobes_etcData,15,0)*VLOOKUP(C100,Wardrobes_etcData,24,0))=0,"Missing build time data on Wardrobes_etc sheet",E100*(VLOOKUP(C100,Wardrobes_etcData,15,0)*VLOOKUP(C100,Wardrobes_etcData,24,0))))</f>
        <v/>
      </c>
    </row>
  </sheetData>
  <mergeCells count="10">
    <mergeCell ref="E11:G11"/>
    <mergeCell ref="E12:G12"/>
    <mergeCell ref="B1:F1"/>
    <mergeCell ref="J1:J12"/>
    <mergeCell ref="K1:K100"/>
    <mergeCell ref="H2:I2"/>
    <mergeCell ref="G5:I7"/>
    <mergeCell ref="B8:I9"/>
    <mergeCell ref="E10:G10"/>
    <mergeCell ref="L32:T100"/>
  </mergeCells>
  <conditionalFormatting sqref="H12">
    <cfRule type="expression" dxfId="4" priority="1">
      <formula>ISERROR(FIND("anel",$E$12))=FALSE</formula>
    </cfRule>
  </conditionalFormatting>
  <conditionalFormatting sqref="I12">
    <cfRule type="expression" dxfId="5" priority="2">
      <formula>ISERROR(FIND("anel",$E$12))=FALSE</formula>
    </cfRule>
  </conditionalFormatting>
  <conditionalFormatting sqref="I14:I100">
    <cfRule type="cellIs" dxfId="2" priority="3" operator="equal">
      <formula>"Missing labour time data on kitchens sheet"</formula>
    </cfRule>
  </conditionalFormatting>
  <conditionalFormatting sqref="N2:N31 Q2:Q31">
    <cfRule type="expression" dxfId="3" priority="4">
      <formula>AND($N2&lt;601,$Q2="Side by side")</formula>
    </cfRule>
  </conditionalFormatting>
  <conditionalFormatting sqref="R2:R31">
    <cfRule type="expression" dxfId="3" priority="5">
      <formula>OR(AND($Q2="Top &amp; bottom",OR($R2="",$R2&lt;400)),AND($Q2="Top &amp; bottom",$N2&lt;600),AND($Q2="Top &amp; bottom",$R2&gt;=$M2))</formula>
    </cfRule>
  </conditionalFormatting>
  <conditionalFormatting sqref="B14:B100">
    <cfRule type="expression" dxfId="3" priority="6">
      <formula>COUNTIF(INDIRECT("Kitchen quote builder!$B$14:$B$100"),$B14)&gt;0</formula>
    </cfRule>
  </conditionalFormatting>
  <conditionalFormatting sqref="P2:Q31">
    <cfRule type="expression" dxfId="3" priority="7">
      <formula>IF(AND($P2=0,$Q2="No door")=TRUE,FALSE,IF(AND($P2=1,OR($Q2="Single (LH)",$Q2="Single (RH)",$Q2="Single (NH)"))=TRUE,FALSE,IF(AND($P2=2,OR($Q2="Top &amp; bottom (LH)",$Q2="Top &amp; bottom (RH)",$Q2="Top &amp; bottom (NH)",$Q2="Side by side"))=TRUE,FALSE,IF(AND($P2="",$Q2=""),FALSE,TRUE))))</formula>
    </cfRule>
  </conditionalFormatting>
  <conditionalFormatting sqref="M2:O31">
    <cfRule type="expression" dxfId="3" priority="8">
      <formula>IF(OR(AND($M2&gt;1210,$N2&gt;1210),AND($M2&gt;1210,$O2&gt;1210),AND($N2&gt;1210,$O2&gt;1210))=TRUE,TRUE,FALSE)</formula>
    </cfRule>
  </conditionalFormatting>
  <conditionalFormatting sqref="M2:M31">
    <cfRule type="cellIs" dxfId="3" priority="9" operator="greaterThan">
      <formula>2420</formula>
    </cfRule>
  </conditionalFormatting>
  <conditionalFormatting sqref="N2:N31">
    <cfRule type="cellIs" dxfId="3" priority="10" operator="greaterThan">
      <formula>2420</formula>
    </cfRule>
  </conditionalFormatting>
  <conditionalFormatting sqref="O2:O31">
    <cfRule type="cellIs" dxfId="3" priority="11" operator="greaterThan">
      <formula>2420</formula>
    </cfRule>
  </conditionalFormatting>
  <conditionalFormatting sqref="E11:G11">
    <cfRule type="expression" dxfId="3" priority="12">
      <formula>IF(AND(ISERROR(FIND("veneer",$E11))=FALSE, ISERROR(FIND("anel",$E12))=FALSE),TRUE,FALSE)</formula>
    </cfRule>
  </conditionalFormatting>
  <conditionalFormatting sqref="E12:G12">
    <cfRule type="expression" dxfId="3" priority="13">
      <formula>IF(AND(ISERROR(FIND("veneer",$E11))=FALSE, ISERROR(FIND("anel",$E12))=FALSE),TRUE,FALSE)</formula>
    </cfRule>
  </conditionalFormatting>
  <conditionalFormatting sqref="R2:R31">
    <cfRule type="expression" dxfId="0" priority="14">
      <formula>AND(ISERROR(FIND("stile",$E$12))=FALSE,ISERROR(FIND("no",$E$12))=TRUE,$R2="",$Q2="Side by side")</formula>
    </cfRule>
  </conditionalFormatting>
  <dataValidations>
    <dataValidation type="list" allowBlank="1" showErrorMessage="1" sqref="C12">
      <formula1>'Fixed lists'!$J$3:$J$20</formula1>
    </dataValidation>
    <dataValidation type="list" allowBlank="1" showErrorMessage="1" sqref="I12">
      <formula1>StileSizes</formula1>
    </dataValidation>
    <dataValidation type="list" allowBlank="1" showErrorMessage="1" sqref="Q2:Q31">
      <formula1>"No door,Single (LH),Single (RH),Single (NH),Top &amp; bottom (LH),Top &amp; bottom (RH),Top &amp; bottom (NH),Side by side"</formula1>
    </dataValidation>
    <dataValidation type="list" allowBlank="1" showErrorMessage="1" sqref="C10">
      <formula1>'Fixed lists'!$A$3:$A$20</formula1>
    </dataValidation>
    <dataValidation type="list" allowBlank="1" showErrorMessage="1" sqref="E14:E100">
      <formula1>"1,2,3,4,5,6,7,8,9,10"</formula1>
    </dataValidation>
    <dataValidation type="list" allowBlank="1" showErrorMessage="1" sqref="E11">
      <formula1>'Fixed lists'!$G$3:$G$20</formula1>
    </dataValidation>
    <dataValidation type="list" allowBlank="1" showErrorMessage="1" sqref="E12">
      <formula1>'Fixed lists'!$D$3:$D$21</formula1>
    </dataValidation>
    <dataValidation type="list" allowBlank="1" showErrorMessage="1" sqref="I10">
      <formula1>'Fixed lists'!$T$3:$T$200</formula1>
    </dataValidation>
    <dataValidation type="list" allowBlank="1" showErrorMessage="1" sqref="P2:P31">
      <formula1>"0,1,2"</formula1>
    </dataValidation>
    <dataValidation type="list" allowBlank="1" showErrorMessage="1" sqref="E10 C11">
      <formula1>'Fixed lists'!$M$3:$M$20</formula1>
    </dataValidation>
    <dataValidation type="list" allowBlank="1" showErrorMessage="1" sqref="B14:B100">
      <formula1>'Fixed lists'!$Q$3:$Q$200</formula1>
    </dataValidation>
    <dataValidation type="list" allowBlank="1" showErrorMessage="1" sqref="S2:T31">
      <formula1>'Fixed lists'!$P$3:$P$200</formula1>
    </dataValidation>
    <dataValidation type="list" allowBlank="1" showErrorMessage="1" sqref="I11">
      <formula1>'Fixed lists'!$S$3:$S$200</formula1>
    </dataValidation>
    <dataValidation type="list" allowBlank="1" showErrorMessage="1" sqref="C14:C100">
      <formula1>Wardrobes_etc!$A$3:$A$200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9.0"/>
    <col customWidth="1" min="2" max="2" width="6.88"/>
    <col customWidth="1" min="3" max="3" width="4.75"/>
    <col customWidth="1" min="4" max="4" width="4.88"/>
    <col customWidth="1" min="5" max="5" width="9.25"/>
    <col customWidth="1" min="6" max="6" width="9.75"/>
    <col customWidth="1" min="7" max="7" width="4.38"/>
    <col customWidth="1" min="8" max="8" width="5.38"/>
    <col customWidth="1" min="9" max="9" width="4.38"/>
    <col customWidth="1" min="10" max="10" width="5.88"/>
    <col customWidth="1" min="11" max="11" width="9.13"/>
    <col customWidth="1" min="12" max="12" width="5.88"/>
    <col customWidth="1" min="13" max="13" width="9.5"/>
    <col customWidth="1" min="14" max="14" width="5.13"/>
    <col customWidth="1" min="15" max="15" width="5.5"/>
    <col customWidth="1" min="16" max="16" width="4.75"/>
    <col customWidth="1" min="17" max="17" width="6.13"/>
    <col customWidth="1" min="18" max="18" width="8.75"/>
    <col customWidth="1" min="19" max="19" width="7.25"/>
    <col customWidth="1" min="20" max="20" width="7.5"/>
    <col customWidth="1" min="21" max="21" width="9.63"/>
    <col customWidth="1" min="22" max="22" width="8.75"/>
    <col customWidth="1" min="23" max="23" width="6.13"/>
    <col customWidth="1" min="24" max="24" width="4.0"/>
    <col customWidth="1" min="25" max="25" width="7.0"/>
    <col customWidth="1" min="26" max="26" width="7.5"/>
    <col customWidth="1" min="27" max="27" width="9.63"/>
    <col customWidth="1" min="28" max="28" width="8.75"/>
    <col customWidth="1" min="29" max="29" width="6.13"/>
    <col customWidth="1" min="30" max="30" width="4.75"/>
    <col customWidth="1" min="31" max="31" width="4.0"/>
    <col customWidth="1" min="32" max="32" width="15.0"/>
  </cols>
  <sheetData>
    <row r="1">
      <c r="A1" s="137"/>
      <c r="B1" s="138" t="s">
        <v>90</v>
      </c>
      <c r="M1" s="139" t="s">
        <v>33</v>
      </c>
      <c r="O1" s="140" t="s">
        <v>91</v>
      </c>
      <c r="R1" s="141" t="s">
        <v>92</v>
      </c>
      <c r="S1" s="142" t="s">
        <v>93</v>
      </c>
      <c r="Y1" s="143" t="s">
        <v>94</v>
      </c>
      <c r="AF1" s="144" t="s">
        <v>95</v>
      </c>
    </row>
    <row r="2">
      <c r="A2" s="137" t="s">
        <v>10</v>
      </c>
      <c r="B2" s="138" t="s">
        <v>96</v>
      </c>
      <c r="C2" s="138" t="s">
        <v>97</v>
      </c>
      <c r="D2" s="138" t="s">
        <v>98</v>
      </c>
      <c r="E2" s="145" t="s">
        <v>85</v>
      </c>
      <c r="F2" s="145" t="s">
        <v>99</v>
      </c>
      <c r="G2" s="138" t="s">
        <v>100</v>
      </c>
      <c r="H2" s="146" t="s">
        <v>101</v>
      </c>
      <c r="I2" s="147" t="s">
        <v>102</v>
      </c>
      <c r="J2" s="145" t="s">
        <v>103</v>
      </c>
      <c r="K2" s="145" t="s">
        <v>104</v>
      </c>
      <c r="L2" s="138" t="s">
        <v>25</v>
      </c>
      <c r="M2" s="139" t="s">
        <v>105</v>
      </c>
      <c r="N2" s="148" t="s">
        <v>106</v>
      </c>
      <c r="O2" s="140" t="s">
        <v>65</v>
      </c>
      <c r="P2" s="140" t="s">
        <v>107</v>
      </c>
      <c r="Q2" s="149" t="s">
        <v>106</v>
      </c>
      <c r="S2" s="142" t="s">
        <v>108</v>
      </c>
      <c r="T2" s="142" t="s">
        <v>80</v>
      </c>
      <c r="U2" s="142" t="s">
        <v>74</v>
      </c>
      <c r="V2" s="142" t="s">
        <v>78</v>
      </c>
      <c r="W2" s="142" t="s">
        <v>109</v>
      </c>
      <c r="X2" s="142" t="s">
        <v>25</v>
      </c>
      <c r="Y2" s="143" t="s">
        <v>108</v>
      </c>
      <c r="Z2" s="143" t="s">
        <v>80</v>
      </c>
      <c r="AA2" s="143" t="s">
        <v>74</v>
      </c>
      <c r="AB2" s="143" t="s">
        <v>78</v>
      </c>
      <c r="AC2" s="143" t="s">
        <v>109</v>
      </c>
      <c r="AD2" s="143" t="s">
        <v>107</v>
      </c>
      <c r="AE2" s="143" t="s">
        <v>25</v>
      </c>
      <c r="AF2" s="144" t="s">
        <v>110</v>
      </c>
    </row>
    <row r="3">
      <c r="A3" s="150" t="s">
        <v>111</v>
      </c>
      <c r="B3" s="115">
        <f t="shared" ref="B3:B200" si="1">IF(OR(A3="",ISERROR(FIND("shelf",A3))=FALSE),"",IF(ISERROR(FIND("drawer box",A3))=FALSE,MID(A3,FIND("(",A3)+1,3),IF(ISERROR(FIND("drawer front",A3))=FALSE,MID(A3,FIND("(",A3)+1,3),IF(LEFT(A3,(FIND(" ",A3)-1))="Base",800,IF(LEFT(A3,(FIND(" ",A3)-1))="Tower",2200,IF(LEFT(A3,(FIND(" ",A3)-1))="Wall",700,IF(LEFT(A3,(FIND(" ",A3)-1))="Boiler",1100,IF(OR(LEFT(A3,(FIND(" ",A3)-1))="Plinth",IsERROR(FIND("Flat cornice",A3))=FALSE),140,IF(LEFT(A3,(FIND(" ",A3)-1))="Fillers",80,IF(LEFT(A3,(FIND(" ",A3)-1))="Pelmet",50,IF(LEFT(A3,(FIND(" ",A3)-1))="Cornice",44,IF(ISERROR(FIND("filler panel",A3))=FALSE,"100",IF(OR(ISERROR(FIND("bins",A3))=FALSE,ISERROR(FIND("Cutlery",A3))=FALSE,ISERROR(FIND("rack",A3))=FALSE,,ISERROR(FIND("spacer",A3))=FALSE),"","Check spelling in description")))))))))))))</f>
        <v>800</v>
      </c>
      <c r="C3" s="115" t="str">
        <f>IFERROR(__xludf.DUMMYFUNCTION("IF(A3="""","""",IF(OR(RIGHT(A3,LEN(A3)-len(regexextract(A3,"".* "")))=""1200"",RIGHT(A3,LEN(A3)-len(regexextract(A3,"".* "")))=""600"",RIGHT(A3,LEN(A3)-len(regexextract(A3,"".* "")))=""400"",RIGHT(A3,LEN(A3)-len(regexextract(A3,"".* "")))=""300"",RIGHT(A3"&amp;",LEN(A3)-len(regexextract(A3,"".* "")))=""700"",RIGHT(A3,LEN(A3)-len(regexextract(A3,"".* "")))=""2400"",RIGHT(A3,LEN(A3)-len(regexextract(A3,"".* "")))=""650"",RIGHT(A3,LEN(A3)-len(regexextract(A3,"".* "")))=""350"",RIGHT(A3,LEN(A3)-len(regexextract(A3,"&amp;""".* "")))=""50""),RIGHT(A3,LEN(A3)-len(regexextract(A3,"".* ""))),IF(OR(ISERROR(FIND(""spacer"",A3))=FALSE,ISERROR(FIND(""filler panel"",A3))=FALSE),""1000"",""Unexpected size in description"")))"),"1200")</f>
        <v>1200</v>
      </c>
      <c r="D3" s="151">
        <f t="shared" ref="D3:D200" si="2">IF(OR(A3="",ISERROR(FIND("panel",A3))=FALSE,ISERROR(FIND("door",A3))=FALSE,ISERROR(FIND("drawer front",A3))=FALSE,ISERROR(FIND("Cutlery insert",A3))=FALSE,ISERROR(FIND("rack",A3))=FALSE,ISERROR(FIND("ornice",A3))=FALSE,ISERROR(FIND("Plinth",A3))=FALSE,ISERROR(FIND("Fillers",A3))=FALSE,ISERROR(FIND("Pelmet",A3))=FALSE),"",IF(ISERROR(FIND("Deep shelf",A3))=FALSE,600,IF(ISERROR(FIND("Shallow shelf",A3))=FALSE,300,IF(ISERROR(FIND("drawer box",A3))=FALSE,600,IF(AND(LEFT(A3,(FIND(" ",A3)-1))="Base",ISERROR(FIND("shallow",A3))=TRUE),600,IF(AND(LEFT(A3,(FIND(" ",A3)-1))="Base",ISERROR(FIND("shallow",A3))=FALSE),300,IF(LEFT(A3,(FIND(" ",A3)-1))="Tower",600,IF(LEFT(A3,(FIND(" ",A3)-1))="Wall",300,IF(LEFT(A3,(FIND(" ",A3)-1))="Boiler",360,IF(ISERROR(FIND("spacer",A3))=FALSE,"100","Check spelling in description"))))))))))</f>
        <v>600</v>
      </c>
      <c r="E3" s="152">
        <f>IFERROR(__xludf.DUMMYFUNCTION("IF(OR(A3="""",AND(ISERROR(FIND(""drawer box"",A3))=FALSE,KitchenDrawerType="""")),"""",IF(OR(ISERROR(FIND(""larder"",A3))=FALSE,ISERROR(FIND(""fridge/freezer"",A3))=FALSE,ISERROR(FIND(""double oven"",A3))=FALSE,ISERROR(FIND(""single oven"",A3))=FALSE),VLO"&amp;"OKUP(LEFT(A3,FIND("" "",A3))&amp;""carcass ""&amp;RIGHT(A3,LEN(A3)-(LEN(A3)-3)),KitchensData,5,0),IF(ISERROR(FIND(""sink"",A3))=FALSE,VLOOKUP(LEFT(A3,FIND("" "",A3))&amp;""carcass ""&amp;VALUE(REGEXREPLACE(A3,""[^[:digit:]]"", """")),KitchensData,5,0)+(((C3/1000)*(300/10"&amp;"00))*VLOOKUP(KitchenCarcassMaterial,SheetsData,8,0)),IF(ISERROR(FIND(""bins"",A3))=FALSE,IF(ISERROR(FIND(""veneer"",KitchenCarcassMaterial))=FALSE,VLOOKUP(""Base carcass 600"",KitchensData,5,0)+(0.72*(VLOOKUP(LEFT(KitchenCarcassMaterial,FIND("" "",Kitchen"&amp;"CarcassMaterial)-1)&amp;"" (solid m3)"",SolidData,5,0)*0.016)),VLOOKUP(""Base carcass 600"",KitchensData,5,0)+(0.72*VLOOKUP(KitchenCarcassMaterial,SheetsData,8,0))),IF(ISERROR(FIND(""Cutlery insert 600"",A3))=FALSE,IF(ISERROR(FIND(""veneer"",KitchenCarcassMat"&amp;"erial))=FALSE,0.54*(VLOOKUP(LEFT(KitchenCarcassMaterial,FIND("" "",KitchenCarcassMaterial)-1)&amp;"" (solid m3)"",SolidData,5,0)*0.016),0.54*VLOOKUP(KitchenCarcassMaterial,SheetsData,8,0)),IF(ISERROR(FIND(""Cutlery insert 1200"",A3))=FALSE,IF(ISERROR(FIND(""v"&amp;"eneer"",KitchenCarcassMaterial))=FALSE,0.84*(VLOOKUP(LEFT(KitchenCarcassMaterial,FIND("" "",KitchenCarcassMaterial)-1)&amp;"" (solid m3)"",SolidData,5,0)*0.016),0.84*VLOOKUP(KitchenCarcassMaterial,SheetsData,8,0)),IF(ISERROR(FIND(""Pan/tray rack 600"",A3))=FA"&amp;"LSE,IF(ISERROR(FIND(""veneer"",KitchenCarcassMaterial))=FALSE,1.44*(VLOOKUP(LEFT(KitchenCarcassMaterial,FIND("" "",KitchenCarcassMaterial)-1)&amp;"" (solid m3)"",SolidData,5,0)*0.016),1.44*VLOOKUP(KitchenCarcassMaterial,SheetsData,8,0)),IF(ISERROR(FIND(""Pan/"&amp;"tray rack 1200"",A3))=FALSE,IF(ISERROR(FIND(""veneer"",KitchenCarcassMaterial))=FALSE,2.7*(VLOOKUP(LEFT(KitchenCarcassMaterial,FIND("" "",KitchenCarcassMaterial)-1)&amp;"" (solid m3)"",SolidData,5,0)*0.016),2.7*VLOOKUP(KitchenCarcassMaterial,SheetsData,8,0)),"&amp;"IF(ISERROR(FIND(""drawer front"",A3))=FALSE,((B3/1000)*(C3/1000))*VLOOKUP(KitchenDoorMaterial,SheetsData,8,0),IF(AND(KitchenDrawerType=""Match carcass"",ISERROR(FIND(""drawer box"",A3))=FALSE),(((((B3/1000)*(C3/1000))+((B3/1000)*(D3/1000)))*2)*VLOOKUP(Kit"&amp;"chenCarcassMaterial,SheetsData,8,0))+(((C3/1000)*(D3/1000))*VLOOKUP(LEFT(KitchenCarcassMaterial,FIND(""("",KitchenCarcassMaterial)-1)&amp;IF(OR(ISERROR(FIND(""ply"",KitchenCarcassMaterial))=FALSE,ISERROR(FIND(""H/F"",KitchenCarcassMaterial))=FALSE),""(9mm)"","&amp;"""(10mm)""),SheetsData,8,0)),IF(AND(KitchenDrawerType=""Solid dovetail"",ISERROR(FIND(""drawer box"",A3))=FALSE),(((((B3/1000)*(C3/1000))+((B3/1000)*(D3/1000)))*2)*(16/1000)*VLOOKUP(LEFT(KitchenCarcassMaterial,FIND("" "",KitchenCarcassMaterial))&amp;""(solid "&amp;"m3)"",SolidData,5,0))+(((C3/1000)*(D3/1000))*VLOOKUP(LEFT(KitchenCarcassMaterial,FIND(""("",KitchenCarcassMaterial)-1)&amp;IF(OR(ISERROR(FIND(""ply"",KitchenCarcassMaterial))=FALSE,ISERROR(FIND(""H/F"",KitchenCarcassMaterial))=FALSE),""(9mm)"",""(10mm)""),She"&amp;"etsData,8,0)),IF(ISERROR(FIND(""spacer"",A3))=FALSE,((D3/1000)*(C3/1000))*VLOOKUP(""Poplar ply (18mm)"",SheetsData,8,0),IF(ISERROR(FIND(""filler panel"",A3))=FALSE,((B3/1000)*(C3/1000))*VLOOKUP(KitchenDoorMaterial,SheetsData,8,0),IF(ISERROR(FIND(""shelf"""&amp;",A3))=FALSE,((D3/1000)*(C3/1000))*VLOOKUP(KitchenCarcassMaterial,SheetsData,8,0),IF(ISERROR(FIND(""lost corner"",A3))=FALSE,VLOOKUP(LEFT(A3,FIND("" "",A3))&amp;""carcass ""&amp;VALUE(REGEXREPLACE(A3,""[^[:digit:]]"", """")),KitchensData,5,0)+((((B3/1000)*(C3/1000"&amp;"))+((B3/1000)*(60/1000)))*VLOOKUP(KitchenCarcassMaterial,SheetsData,8,0)),IF(ISERROR(FIND(""carcass"",A3))=FALSE,(((((B3/1000)*2)*(D3/1000))+(((C3/1000)*2)*(D3/1000)))*VLOOKUP(KitchenCarcassMaterial,SheetsData,8,0))+((B3/1000)*(C3/1000))*VLOOKUP(LEFT(Kitc"&amp;"henCarcassMaterial,FIND(""("",KitchenCarcassMaterial)-1)&amp;IF(OR(ISERROR(FIND(""ply"",KitchenCarcassMaterial))=FALSE,ISERROR(FIND(""H/F"",KitchenCarcassMaterial))=FALSE),""(9mm)"",""(10mm)""),SheetsData,8,0),IF(OR(ISERROR(FIND(""Plinth"",A3))=FALSE,ISERROR("&amp;"FIND(""Cornice (flat)"",A3))=FALSE),((B3/1000)*(C3/1000))*VLOOKUP(""H/F (18mm)"",SheetsData,8,0),IF(ISERROR(FIND(""Cornice (stacked)"",A3))=FALSE,((0.08*(C3/1000))*2)*VLOOKUP(""H/F (22mm)"",SheetsData,8,0),IF(ISERROR(FIND(""Base end panel"",A3))=FALSE,VLO"&amp;"OKUP(KitchenDoorMaterial,SheetsData,5,0)/3,IF(ISERROR(FIND(""Wall end panel"",A3))=FALSE,VLOOKUP(KitchenDoorMaterial,SheetsData,5,0)/9,IF(ISERROR(FIND(""Tower end panel"",A3))=FALSE,VLOOKUP(KitchenDoorMaterial,SheetsData,5,0),IF(ISERROR(FIND(""Fillers"",A"&amp;"3))=FALSE,(((0.06*(C3/1000))*2)*VLOOKUP(""H/F (18mm)"",SheetsData,8,0))+(((0.06*(C3/1000))*2)*VLOOKUP(""H/F (9mm)"",SheetsData,8,0)),IF(ISERROR(FIND(""corner post"",A3))=FALSE,(((B3/1000)*0.05)*2)*VLOOKUP(KitchenDoorMaterial,SheetsData,8,0),IF(ISERROR(FIN"&amp;"D(""Pelmet"",A3))=FALSE,((((B3/1000)*(C3/1000))*2)*VLOOKUP(""H/F (18mm)"",SheetsData,8,0)),IF(ISERROR(FIND(""door"",A3))=TRUE,""Check description"",IF(KitchenDoorStyle=""Flat"",((B3/1000)*(C3/1000))*VLOOKUP(KitchenDoorMaterial,SheetsData,8,0),IF(LEFT(Kitc"&amp;"henDoorStyle,5)=""Panel"",(((((B3/1000)*2)*0.08)+((((C3/1000)-0.16)*2)*0.08))*VLOOKUP(""H/F (22mm)"",SheetsData,8,0))+(((B3/1000)-0.14)*((C3/1000)-0.14)*VLOOKUP(""H/F (9mm)"",SheetsData,8,0)),IF(KitchenDoorStyle=""In-frame flat"",((((((B3/1000)*0.019)*0.0"&amp;"38)+((((C3-38)/1000)*0.038)*0.038))*2)*VLOOKUP(""Tulip (solid m3)"",SolidData,5,0))+(((B3-76)/1000)*((C3-38)/1000))*VLOOKUP(""H/F (22mm)"",SheetsData,8,0),IF(LEFT(KitchenDoorStyle,14)=""In-frame panel"",(((((((B3/1000)*0.019)*0.038)+((((C3-38)/1000)*0.038"&amp;")*0.038))*2)*VLOOKUP(""Tulip (solid m3)"",SolidData,5,0))+(((((((B3-76)/1000)*2)*0.08)+(((((C3-198)/1000)*2)*0.08)))*VLOOKUP(""H/F (22mm)"",SheetsData,8,0))+(((B3-216)/1000)*((C3-178)/1000)*VLOOKUP(""H/F (9mm)"",SheetsData,8,0)))))))))))))))))))))))))))))"&amp;"))))"),112.36697124428918)</f>
        <v>112.3669712</v>
      </c>
      <c r="F3" s="152">
        <f>IFERROR(__xludf.DUMMYFUNCTION("IF(OR(A3="""",AND(ISERROR(FIND(""drawer box"",A3))=FALSE,KitchenDrawerType=""Solid dovetail"")),"""",IF(ISERROR(FIND(""bins"",A3))=FALSE,VLOOKUP(""Base carcass 600"",KitchensData,6,0),IF(OR(ISERROR(FIND(""larder"",A3))=FALSE,ISERROR(FIND(""unit"",A3))=FAL"&amp;"SE),VLOOKUP(LEFT(A3,FIND("" "",A3))&amp;""carcass ""&amp;RIGHT(A3,LEN(A3)-len(regexextract(A3,"".* ""))),KitchensData,6,0),IF(ISERROR(FIND(""drawer front"",A3))=FALSE,IF(ISERROR(FIND(""veneer"",KitchenCarcassMaterial))=TRUE,0,(((B3+C3)/1000)*2)*VLOOKUP(""Edge ban"&amp;"ding (per M)"",SheetsData,5,0)),IF(ISERROR(FIND(""drawer box"",A3))=FALSE,IF(ISERROR(FIND(""veneer"",KitchenCarcassMaterial))=TRUE,0,(((C3+D3)/1000)*2)*VLOOKUP(""Edge banding (per M)"",SheetsData,5,0)),IF(ISERROR(FIND(""shelf"",A3))=FALSE,IF(ISERROR(FIND("&amp;"""veneer"",KitchenCarcassMaterial))=TRUE,0,(C3/1000)*VLOOKUP(""Edge banding (per M)"",SheetsData,5,0)),IF(AND(ISERROR(FIND(""carcass"",A3))=FALSE,ISERROR(FIND(""shelf"",A3))=TRUE),IF(ISERROR(FIND(""veneer"",KitchenCarcassMaterial))=TRUE,0,((2*(B3+C3))/100"&amp;"0)*VLOOKUP(""Edge banding (per M)"",SheetsData,5,0)),IF(ISERROR(FIND(""door"",A3))=TRUE,"""",IF(ISERROR(FIND(""veneer"",KitchenDoorMaterial))=TRUE,"""",((2*(B3+C3))/1000)*VLOOKUP(""Edge banding (per M)"",SheetsData,5,0))))))))))"),0.0)</f>
        <v>0</v>
      </c>
      <c r="G3" s="153">
        <f>IF(A3="","",IF(ISERROR(FIND("bins",A3))=FALSE,VLOOKUP("Base carcass 600",KitchensData,7,0),IF(OR(ISERROR(FIND("larder",A3))=FALSE,ISERROR(FIND("fridge/freezer",A3))=FALSE,ISERROR(FIND("double oven",A3))=FALSE,ISERROR(FIND("single oven",A3))=FALSE),VLOOKUP(LEFT(A3,FIND(" ",A3))&amp;"carcass "&amp;RIGHT(A3,LEN(A3)-(LEN(A3)-3)),KitchensData,7,0),IF(AND(ISERROR(FIND("carcass",A3))=FALSE,ISERROR(FIND("shelf",A3))=TRUE),IF(OR(ISERROR(FIND("Base",A3))=FALSE,ISERROR(FIND("Tower",A3))=FALSE),IF(OR(ISERROR(FIND("1200",A3))=FALSE, ISERROR(FIND("lost corner",A3))=FALSE),6*VLOOKUP("Plinth foot (2 Parts 80mm)",FurnitureData,5,0),4*VLOOKUP("Plinth foot (2 Parts 80mm)",FurnitureData,5,0)),""),""))))</f>
        <v>5.7</v>
      </c>
      <c r="H3" s="115" t="str">
        <f>IF(OR(A3="",ISERROR(FIND("door",A3))=TRUE),"",IF(ISERROR(FIND("Wall",A3))=FALSE,VLOOKUP("Hinges &amp; plates (Hettich thick door)",FurnitureData,5,0)*2,IF(ISERROR(FIND("Base",A3))=FALSE,VLOOKUP("Hinges &amp; plates (Hettich thick door)",FurnitureData,5,0)*3,IF(ISERROR(FIND("Boiler",A3))=FALSE,VLOOKUP("Hinges &amp; plates (Hettich thick door)",FurnitureData,5,0)*4,IF(ISERROR(FIND("Tower",A3))=FALSE,VLOOKUP("Hinges &amp; plates (Hettich thick door)",FurnitureData,5,0)*5)))))</f>
        <v/>
      </c>
      <c r="I3" s="115" t="str">
        <f>IF(ISERROR(FIND("shelf",A3))=FALSE,(VLOOKUP("Shelf pegs",FurnitureData,5,0)/100)*4,"")</f>
        <v/>
      </c>
      <c r="J3" s="152">
        <f>IF(OR(ISERROR(FIND("fridge/freezer",A3))=FALSE,ISERROR(FIND("larder",A3))=FALSE,AND(ISERROR(FIND("Base",A3))=FALSE,ISERROR(FIND("bins",A3))=TRUE,ISERROR(FIND("no shelves",A3))=TRUE,OR(ISERROR(FIND("carcass",A3))=FALSE,ISERROR(FIND("unit",A3))=FALSE))),VLOOKUP("Deep shelf "&amp;C3,KitchensData,18,0),IF(AND(ISERROR(FIND("Wall",A3))=FALSE,ISERROR(FIND("carcass",A3))=FALSE),2*VLOOKUP("Shallow shelf "&amp;C3,KitchensData,18,0),IF(AND(ISERROR(FIND("Tower",A3))=FALSE,ISERROR(FIND("oven",A3))=FALSE),4*VLOOKUP("Deep shelf "&amp;C3,KitchensData,18,0),IF(AND(ISERROR(FIND("Tower",A3))=FALSE,ISERROR(FIND("carcass",A3))=FALSE),5*VLOOKUP("Deep shelf "&amp;C3,KitchensData,18,0),""))))</f>
        <v>71.4644825</v>
      </c>
      <c r="K3" s="152">
        <f>IF(ISERROR(FIND("sink",A3))=FALSE,VLOOKUP("Sink liner - Aluminium "&amp;RIGHT(A3,LEN(A3)-22)&amp;"mm",ExceptionalData,5,0),IF(ISERROR(FIND("bins",A3))=FALSE,VLOOKUP("Drawer runners and clip set for bin unit (500) Dynapro",FurnitureData,5,0)+(2*VLOOKUP("Bin (42L Anthracite)",FurnitureData,5,0)),IF(ISERROR(FIND("larder",A3))=FALSE,VLOOKUP("Pull out larder unit 600mm",FurnitureData,5,0),IF(AND(ISERROR(FIND("drawer box",A3))=FALSE,ISERROR(FIND("internal",A3))=TRUE),VLOOKUP("Drawer runners and clip set (550) Dynapro",FurnitureData,5,0),IF(ISERROR(FIND("internal drawer box",A3))=FALSE,VLOOKUP("Drawer runners and clip set (450) Dynapro",FurnitureData,5,0),"")))))</f>
        <v>30.168</v>
      </c>
      <c r="L3" s="152">
        <f t="shared" ref="L3:L200" si="3">IF(A3="","",IF(ISNUMBER(AF3)=TRUE,SUM(E3:K3)+AF3,SUM(E3:K3)))</f>
        <v>219.6994537</v>
      </c>
      <c r="M3" s="154">
        <f>IFERROR(__xludf.DUMMYFUNCTION("IF(A3="""","""",IF(OR(ISERROR(FIND(""larder"",A3))=FALSE,ISERROR(FIND(""unit"",A3))=FALSE),VLOOKUP(LEFT(A3,FIND("" "",A3))&amp;""carcass ""&amp;RIGHT(A3,LEN(A3)-len(regexextract(A3,"".* ""))),KitchensData,13,0),IF(ISERROR(FIND(""bins"",A3))=FALSE,0.95,IF(ISERROR("&amp;"FIND(""Cutlery insert 600"",A3))=FALSE,1.3,IF(ISERROR(FIND(""Cutlery insert 1200"",A3))=FALSE,2,IF(ISERROR(FIND(""Pan/tray rack 600"",A3))=FALSE,3.25,IF(ISERROR(FIND(""Pan/tray rack 1200"",A3))=FALSE,5.9,IF(ISERROR(FIND(""split"",A3))=FALSE,(((C3/1000)*0."&amp;"022)*2)+VLOOKUP(SUBSTITUTE(A3,"" split"",""""),KitchensData,13,0),IF(AND(ISERROR(FIND(""drawer front"",A3))=FALSE,KitchenDoorStyle=""Flat""),(((B3/1000)*(C3/1000))*2)+((((B3+C3)/1000)*2)*0.022),IF(AND(ISERROR(FIND(""drawer front"",A3))=FALSE,LEFT(KitchenD"&amp;"oorStyle,5)=""Panel""),(((B3/1000)*(C3/1000))*2)+((((B3+C3)/1000)*2)*0.022)+((((C3/1000)-0.16)*0.013)*2)+((((D3/1000)-0.16)*0.013)*2),IF(AND(ISERROR(FIND(""drawer front"",A3))=FALSE,KitchenDoorStyle=""In-frame flat""),((((B3-76)/1000)*((C3-38)/1000))*2)+("&amp;"MID(KitchenDoorMaterial,FIND(""("",KitchenDoorMaterial)+1,2)/1000)*((((B3-76)+(C3-38))/1000)*2)+(((B3/1000)*0.032)*2)+((((B3-76)/1000)*0.032)*2)+(((B3/1000)*0.019)*4)+(((C3/1000)*0.032)*2)+((((C3-38)/1000)*0.032)*2)+(((C3/1000)*0.038)*4),IF(AND(ISERROR(FI"&amp;"ND(""drawer front"",A3))=FALSE,LEFT(KitchenDoorStyle,14)=""In-frame panel""),((((B3-76)/1000)*((C3-38)/1000))*2)+((MID(KitchenDoorMaterial,FIND(""("",KitchenDoorMaterial)+1,2)/1000)*((((B3-76)+(C3-38))/1000)*2))+((((B3-236)/1000)+((C3-198)/1000)*2)*0.013)"&amp;"+(((B3/1000)*0.032)*2)+((((B3-76)/1000)*0.032)*2)+(((B3/1000)*0.019)*4)+(((C3/1000)*0.032)*2)+((((C3-38)/1000)*0.032)*2)+(((C3/1000)*0.038)*4),IF(ISERROR(FIND(""drawer box"",A3))=FALSE,((((B3/1000)*(D3/1000))+((B3/1000)*(C3/1000)))*4)+((((D3/1000)+(C3/100"&amp;"0))*0.016)*4)+(((C3/1000)*(D3/1000))*2),IF(OR(ISERROR(FIND(""shelf"",A3))=FALSE,ISERROR(FIND(""spacer"",A3))=FALSE,,ISERROR(FIND(""filler panel"",A3))=FALSE),(((C3/1000)*(D3/1000))*2)+((((C3+D3)*2)/1000)*0.022),IF(ISERROR(FIND(""lost corner"",A3))=FALSE,("&amp;"((B3/1000)*(C3/1000))*2)+((B3/1000)*(C3/1000))+((B3/1000)*((C3/2)/1000))+((((B3/1000)*0.025)+((C3/1000)*0.025))*2),IF(ISERROR(FIND(""carcass"",A3))=FALSE,(((C3/1000)*(D3/1000))*2)+(((B3/1000)*(D3/1000))*2)+((B3/1000)*(C3/1000))+((((B3/1000)*0.025)+((C3/10"&amp;"00)*0.025))*2),IF(AND(ISERROR(FIND(""door"",A3))=FALSE,KitchenDoorStyle=""Flat""),(((B3/1000)*(C3/1000))*2)+(MID(KitchenDoorMaterial,FIND(""("",KitchenDoorMaterial)+1,2)/1000)*(((B3+C3)/1000)*2),IF(AND(ISERROR(FIND(""door"",A3))=FALSE,LEFT(KitchenDoorStyl"&amp;"e,5)=""Panel""),(((B3/1000)*(C3/1000))*2)+((MID(KitchenDoorMaterial,FIND(""("",KitchenDoorMaterial)+1,2)/1000)*(((B3+C3)/1000)*2))+(((((B3-160)+(C3-160))*2)/1000)*(0.013)),IF(AND(ISERROR(FIND(""door"",A3))=FALSE,KitchenDoorStyle=""In-frame flat""),((((B3-"&amp;"76)/1000)*((C3-38)/1000))*2)+(MID(KitchenDoorMaterial,FIND(""("",KitchenDoorMaterial)+1,2)/1000)*((((B3-76)+(C3-38))/1000)*2)+(((B3/1000)*0.032)*2)+((((B3-76)/1000)*0.032)*2)+(((B3/1000)*0.019)*4)+(((C3/1000)*0.032)*2)+((((C3-38)/1000)*0.032)*2)+(((C3/100"&amp;"0)*0.038)*4),IF(AND(ISERROR(FIND(""door"",A3))=FALSE,LEFT(KitchenDoorStyle,14)=""In-frame panel""),((((B3-76)/1000)*((C3-38)/1000))*2)+((MID(KitchenDoorMaterial,FIND(""("",KitchenDoorMaterial)+1,2)/1000)*((((B3-76)+(C3-38))/1000)*2))+((((B3-236)/1000)+((C"&amp;"3-198)/1000)*2)*0.013)+(((B3/1000)*0.032)*2)+((((B3-76)/1000)*0.032)*2)+(((B3/1000)*0.019)*4)+(((C3/1000)*0.032)*2)+((((C3-38)/1000)*0.032)*2)+(((C3/1000)*0.038)*4),IF(ISERROR(FIND(""Plinth"",A3))=FALSE,((B3/1000)*(C3/1000))+(((C3/1000)*0.018)*2)+(((B3/10"&amp;"00)*0.018)*2),IF(ISERROR(FIND(""Cornice"",A3))=FALSE,(((C3/1000)*0.1)*2)+(((C3/1000)*0.044)*2)+(((B3/1000)*0.08)*2),IF(ISERROR(FIND(""Base end panel"",A3))=FALSE,((B3/1000)*(C3/1000))+(0.022*((B3/1000)+((C3/1000)*2)))+((B3/1000)*0.05),IF(ISERROR(FIND(""Wa"&amp;"ll end panel"",A3))=FALSE,((B3/1000)*(C3/1000))+(0.022*((B3/1000)+((C3/1000)*2)))+((B3/1000)*0.05),IF(ISERROR(FIND(""Tower end panel"",A3))=FALSE,((B3/1000)*(C3/1000))+(0.022*((B3/1000)+((C3/1000)*2)))+((B3/1000)*0.05),IF(ISERROR(FIND(""Fillers"",A3))=FAL"&amp;"SE,((C3/1000)*0.06)+((C3/1000)*0.069)+((0.06*0.018)*2)+((0.06*0.009)*2)+((C3/1000)*0.009)+((C3/1000)*0.018),IF(ISERROR(FIND(""corner post"",A3))=FALSE,(((B3/1000*0.05)*2)+((B3/1000)*0.022)*2)+((B3/1000)*0.072)+((B3/1000)*0.05)+((0.072*0.022)*2)+((0.05*0.0"&amp;"22)*2),IF(ISERROR(FIND(""Pelmet"",A3))=FALSE,((C3/1000)*0.05)+((C3/1000)*0.068)+((0.05*0.018)*4)+(((C3/1000)*0.018))*2))))))))))))))))))))))))))))"),3.46)</f>
        <v>3.46</v>
      </c>
      <c r="N3" s="152">
        <f>IF(M3="","",IF(AND(ISERROR(FIND("carcass",A3))=TRUE,ISERROR(FIND("unit",A3))=TRUE,ISERROR(FIND("insert",A3))=TRUE,ISERROR(FIND("rack",A3))=TRUE,ISERROR(FIND("box",A3))=TRUE,ISERROR(FIND("shelf",#REF!))=TRUE),VLOOKUP(KitchenDoorFinish,Finishing!$A$2:$K$10,9,0)*M3,VLOOKUP(KitchenCarcassFinish,Finishing!$A$2:$K$40,9,0)*M3))</f>
        <v>12.975</v>
      </c>
      <c r="O3" s="155">
        <v>1.0</v>
      </c>
      <c r="P3" s="155">
        <v>1.0</v>
      </c>
      <c r="Q3" s="152">
        <f>IF(OR(O3="",P3=""),"",((O3*X3)*(VLOOKUP("Workshop",Labour!$A$3:$E$20,4,0)/8))+((P3*AE3)*(VLOOKUP("Finishing",Labour!$A$3:$E$20,4,0)/8)))</f>
        <v>71.75</v>
      </c>
      <c r="R3" s="152">
        <f t="shared" ref="R3:R200" si="4">IF(OR(L3="",N3="",L3=0,N3=0),"",L3+N3+Q3+AF3)</f>
        <v>304.4244537</v>
      </c>
      <c r="S3" s="156">
        <f>IF(OR(O3="",P3=""),"",IF(OR(ISERROR(FIND("carcass",$A3))=FALSE,ISERROR(FIND("unit",$A3))=FALSE),VLOOKUP(KitchenCarcassMaterial,FixedListsCarcassMaterial,2,0),0))</f>
        <v>1</v>
      </c>
      <c r="T3" s="156">
        <f>IF(OR(O3="",P3=""),"",IF(ISERROR(FIND("door",$A3))=FALSE,VLOOKUP(KitchenDoorStyle,FixedListsDoorStyle,2,0),0))</f>
        <v>0</v>
      </c>
      <c r="U3" s="156">
        <f>IF(OR(O3="",P3=""),"",IF(ISERROR(FIND("door",$A3))=FALSE,VLOOKUP(KitchenDoorMaterial,FixedListsDoorMaterial,2,0),0))</f>
        <v>0</v>
      </c>
      <c r="V3" s="156">
        <f>IF(OR(O3="",P3=""),"",IF(ISERROR(FIND("drawer",$A3))=FALSE,VLOOKUP(KitchenDrawerType,FixedListsDrawerType,2,0),0))</f>
        <v>0</v>
      </c>
      <c r="W3" s="156">
        <f>IF(OR(O3="",P3=""),"",IF(OR(S3&gt;0, T3&gt;0,V3&gt;0),VLOOKUP(KitchenHandleType,FixedListsHandleType,2,FALSE)*IF(KitchenHandleType="Simple",0,IF(S3&gt;0,VLOOKUP(KitchenHandleType,FixedListsHandleType,4,FALSE),IF(OR(T3&gt;0,V3&gt;0),1-VLOOKUP(KitchenHandleType,FixedListsHandleType,4,FALSE),"Error"))),0))</f>
        <v>0</v>
      </c>
      <c r="X3" s="156">
        <f t="shared" ref="X3:X200" si="5">IF(OR(S3="",T3="",U3="",V3="",W3=""),"",IF((1*(IF(S3=1,0,S3))+(IF(T3=1,0,T3))+(IF(U3=1,0,U3))+(IF(V3=1,0,V3))+(IF(W3=1,0,W3)))=0,1,(1*(IF(S3=1,0,S3))+(IF(T3=1,0,T3))+(IF(U3=1,0,U3))+(IF(V3=1,0,V3))+(IF(W3=1,0,W3)))))</f>
        <v>1</v>
      </c>
      <c r="Y3" s="156">
        <f>IF(OR(O3="",P3=""),"",IF(OR(ISERROR(FIND("carcass",$A3))=FALSE,ISERROR(FIND("unit",$A3))=FALSE),VLOOKUP(KitchenCarcassMaterial,FixedListsCarcassMaterial,3,0),0))</f>
        <v>1</v>
      </c>
      <c r="Z3" s="156">
        <f>IF(OR(O3="",P3=""),"",IF(ISERROR(FIND("door",$A3))=FALSE,VLOOKUP(KitchenDoorStyle,FixedListsDoorStyle,3,0),0))</f>
        <v>0</v>
      </c>
      <c r="AA3" s="156">
        <f>IF(OR(O3="",P3=""),"",IF(ISERROR(FIND("door",$A3))=FALSE,VLOOKUP(KitchenDoorMaterial,FixedListsDoorMaterial,3,0),0))</f>
        <v>0</v>
      </c>
      <c r="AB3" s="156">
        <f>IF(OR(O3="",P3=""),"",IF(ISERROR(FIND("drawer",$A3))=FALSE,VLOOKUP(KitchenDrawerType,FixedListsDrawerType,3,0),0))</f>
        <v>0</v>
      </c>
      <c r="AC3" s="156">
        <f>IF(OR(O3="",P3=""),"",IF(OR(Y3&gt;0,Z3&gt;0,AB3&gt;0),VLOOKUP(KitchenHandleType,FixedListsHandleType,3,FALSE),0))</f>
        <v>1</v>
      </c>
      <c r="AD3" s="156">
        <f>IF(OR(O3="",P3=""),"",IF(OR(ISERROR(FIND("carcass",$A3))=FALSE,ISERROR(FIND("unit",$A3))=FALSE),VLOOKUP(KitchenCarcassFinish,FixedListsFinishes,3,0),IF(OR(ISERROR(FIND("door",$A3))=FALSE,ISERROR(FIND("Plinth",$A3))=FALSE,ISERROR(FIND("Cornice",$A3))=FALSE,ISERROR(FIND("Fillers",$A3))=FALSE,ISERROR(FIND("Pelmet",$A3))=FALSE,ISERROR(FIND("panel",$A3))=FALSE,ISERROR(FIND("post",$A3))=FALSE),VLOOKUP(KitchenDoorFinish,FixedListsFinishes,3,0),IF(OR(ISERROR(FIND("drawer",$A3))=FALSE,ISERROR(FIND("insert",$A3))=FALSE,ISERROR(FIND("rck",$A3))=FALSE),VLOOKUP(KitchenCarcassFinish,FixedListsFinishes,3,0),0))))</f>
        <v>1</v>
      </c>
      <c r="AE3" s="156">
        <f t="shared" ref="AE3:AE200" si="6">IF(OR(Y3="",Z3="",AA3="",AB3="",AC3="",AD3=""),"",IF((1*(IF(Y3=1,0,Y3))+(IF(Z3=1,0,Z3))+(IF(AA3=1,0,AA3))+(IF(AB3=1,0,AB3))+(IF(AC3=1,0,AC3))+(IF(AD3=1,0,AD3)))=0,1,(1*(IF(Y3=1,0,Y3))+(IF(Z3=1,0,Z3))+(IF(AA3=1,0,AA3))+(IF(AB3=1,0,AB3))+(IF(AC3=1,0,AC3))+(IF(AD3=1,0,AD3)))))</f>
        <v>1</v>
      </c>
      <c r="AF3" s="157" t="str">
        <f>IF(AND(KitchenHandleType="Channel",OR(ISERROR(FIND("arcass",$A3))=FALSE,ISERROR(FIND("unit",$A3))=FALSE)),IF(ISERROR(FIND("Tower",$A3))=TRUE,IF(KitchenHandleFinish="Match carcass",IF(ISERROR(FIND("Walnut",KitchenCarcassMaterial))=FALSE,(0.035*0.075*($C3/1000))*VLOOKUP("Walnut (solid m3)",SolidData,4,FALSE),IF(ISERROR(FIND("Oak",KitchenCarcassMaterial))=FALSE,(0.035*0.075*($C3/1000))*VLOOKUP("Oak (solid m3)",SolidData,4,FALSE),IF(ISERROR(FIND("ply",KitchenCarcassMaterial))=FALSE,(0.1*($C3/1000))*VLOOKUP("Birch ply (24mm)",SheetsData,7,FALSE),IF(ISERROR(FIND("H/F",KitchenCarcassMaterial))=FALSE,(0.1*($C3/1000))*VLOOKUP("H/F (22mm)",SheetsData,7,FALSE),"Carcass - not tower - new material")))),IF(KitchenHandleFinish="Match door",IF(ISERROR(FIND("Walnut",KitchenDoorMaterial))=FALSE,(0.035*0.075*($C3/1000))*VLOOKUP("Walnut (solid m3)",SolidData,4,FALSE),IF(ISERROR(FIND("Oak",KitchenDoorMaterial))=FALSE,(0.035*0.075*($C3/1000))*VLOOKUP("Oak (solid m3)",SolidData,4,FALSE),IF(ISERROR(FIND("ply",KitchenDoorMaterial))=FALSE,(0.1*($C3/1000))*VLOOKUP("Birch ply (24mm)",SheetsData,7,FALSE),IF(ISERROR(FIND("H/F",KitchenCarcassMaterial))=FALSE,(0.1*($C3/1000))*VLOOKUP("H/F (22mm)",SheetsData,7,FALSE),"Door - not tower - new material")))),"Channel - not tower - handle set to other")),IF(ISERROR(FIND("Tower",$A3))=FALSE,IF(KitchenHandleFinish="Match carcass",IF(ISERROR(FIND("Walnut",KitchenCarcassMaterial))=FALSE,(0.035*0.075*($B3/1000))*VLOOKUP("Walnut (solid m3)",SolidData,4,FALSE),IF(ISERROR(FIND("Oak",KitchenCarcassMaterial))=FALSE,(0.035*0.075*($B3/1000))*VLOOKUP("Oak (solid m3)",SolidData,4,FALSE),IF(ISERROR(FIND("ply",KitchenCarcassMaterial))=FALSE,(0.1*($B3/1000))*VLOOKUP("Birch ply (24mm)",SheetsData,7,FALSE),IF(ISERROR(FIND("H/F",KitchenCarcassMaterial))=FALSE,(0.1*($C3/1000))*VLOOKUP("H/F (22mm)",SheetsData,7,FALSE),"Carcass - tower - new material")))),IF(KitchenHandleFinish="Match door",IF(ISERROR(FIND("Walnut",KitchenDoorMaterial))=FALSE,(0.035*0.075*($B3/1000))*VLOOKUP("Walnut (solid m3)",SolidData,4,FALSE),IF(ISERROR(FIND("Oak",KitchenDoorMaterial))=FALSE,(0.035*0.075*($B3/1000))*VLOOKUP("Oak (solid m3)",SolidData,4,FALSE),IF(ISERROR(FIND("ply",KitchenDoorMaterial))=FALSE,(0.1*($B3/1000))*VLOOKUP("Birch ply (24mm)",SheetData,7,FALSE),IF(ISERROR(FIND("H/F",KitchenCarcassMaterial))=FALSE,(0.1*($C3/1000))*VLOOKUP("H/F (22mm)",SheetsData,7,FALSE),"Door - tower - new material")))),"Channel - tower - handle set to other")))),"")</f>
        <v/>
      </c>
    </row>
    <row r="4">
      <c r="A4" s="150" t="s">
        <v>112</v>
      </c>
      <c r="B4" s="115">
        <f t="shared" si="1"/>
        <v>800</v>
      </c>
      <c r="C4" s="115" t="str">
        <f>IFERROR(__xludf.DUMMYFUNCTION("IF(A4="""","""",IF(OR(RIGHT(A4,LEN(A4)-len(regexextract(A4,"".* "")))=""1200"",RIGHT(A4,LEN(A4)-len(regexextract(A4,"".* "")))=""600"",RIGHT(A4,LEN(A4)-len(regexextract(A4,"".* "")))=""400"",RIGHT(A4,LEN(A4)-len(regexextract(A4,"".* "")))=""300"",RIGHT(A4"&amp;",LEN(A4)-len(regexextract(A4,"".* "")))=""700"",RIGHT(A4,LEN(A4)-len(regexextract(A4,"".* "")))=""2400"",RIGHT(A4,LEN(A4)-len(regexextract(A4,"".* "")))=""650"",RIGHT(A4,LEN(A4)-len(regexextract(A4,"".* "")))=""350"",RIGHT(A4,LEN(A4)-len(regexextract(A4,"&amp;""".* "")))=""50""),RIGHT(A4,LEN(A4)-len(regexextract(A4,"".* ""))),IF(OR(ISERROR(FIND(""spacer"",A4))=FALSE,ISERROR(FIND(""filler panel"",A4))=FALSE),""1000"",""Unexpected size in description"")))"),"600")</f>
        <v>600</v>
      </c>
      <c r="D4" s="151">
        <f t="shared" si="2"/>
        <v>600</v>
      </c>
      <c r="E4" s="152">
        <f>IFERROR(__xludf.DUMMYFUNCTION("IF(OR(A4="""",AND(ISERROR(FIND(""drawer box"",A4))=FALSE,KitchenDrawerType="""")),"""",IF(OR(ISERROR(FIND(""larder"",A4))=FALSE,ISERROR(FIND(""fridge/freezer"",A4))=FALSE,ISERROR(FIND(""double oven"",A4))=FALSE,ISERROR(FIND(""single oven"",A4))=FALSE),VLO"&amp;"OKUP(LEFT(A4,FIND("" "",A4))&amp;""carcass ""&amp;RIGHT(A4,LEN(A4)-(LEN(A4)-3)),KitchensData,5,0),IF(ISERROR(FIND(""sink"",A4))=FALSE,VLOOKUP(LEFT(A4,FIND("" "",A4))&amp;""carcass ""&amp;VALUE(REGEXREPLACE(A4,""[^[:digit:]]"", """")),KitchensData,5,0)+(((C4/1000)*(300/10"&amp;"00))*VLOOKUP(KitchenCarcassMaterial,SheetsData,8,0)),IF(ISERROR(FIND(""bins"",A4))=FALSE,IF(ISERROR(FIND(""veneer"",KitchenCarcassMaterial))=FALSE,VLOOKUP(""Base carcass 600"",KitchensData,5,0)+(0.72*(VLOOKUP(LEFT(KitchenCarcassMaterial,FIND("" "",Kitchen"&amp;"CarcassMaterial)-1)&amp;"" (solid m3)"",SolidData,5,0)*0.016)),VLOOKUP(""Base carcass 600"",KitchensData,5,0)+(0.72*VLOOKUP(KitchenCarcassMaterial,SheetsData,8,0))),IF(ISERROR(FIND(""Cutlery insert 600"",A4))=FALSE,IF(ISERROR(FIND(""veneer"",KitchenCarcassMat"&amp;"erial))=FALSE,0.54*(VLOOKUP(LEFT(KitchenCarcassMaterial,FIND("" "",KitchenCarcassMaterial)-1)&amp;"" (solid m3)"",SolidData,5,0)*0.016),0.54*VLOOKUP(KitchenCarcassMaterial,SheetsData,8,0)),IF(ISERROR(FIND(""Cutlery insert 1200"",A4))=FALSE,IF(ISERROR(FIND(""v"&amp;"eneer"",KitchenCarcassMaterial))=FALSE,0.84*(VLOOKUP(LEFT(KitchenCarcassMaterial,FIND("" "",KitchenCarcassMaterial)-1)&amp;"" (solid m3)"",SolidData,5,0)*0.016),0.84*VLOOKUP(KitchenCarcassMaterial,SheetsData,8,0)),IF(ISERROR(FIND(""Pan/tray rack 600"",A4))=FA"&amp;"LSE,IF(ISERROR(FIND(""veneer"",KitchenCarcassMaterial))=FALSE,1.44*(VLOOKUP(LEFT(KitchenCarcassMaterial,FIND("" "",KitchenCarcassMaterial)-1)&amp;"" (solid m3)"",SolidData,5,0)*0.016),1.44*VLOOKUP(KitchenCarcassMaterial,SheetsData,8,0)),IF(ISERROR(FIND(""Pan/"&amp;"tray rack 1200"",A4))=FALSE,IF(ISERROR(FIND(""veneer"",KitchenCarcassMaterial))=FALSE,2.7*(VLOOKUP(LEFT(KitchenCarcassMaterial,FIND("" "",KitchenCarcassMaterial)-1)&amp;"" (solid m3)"",SolidData,5,0)*0.016),2.7*VLOOKUP(KitchenCarcassMaterial,SheetsData,8,0)),"&amp;"IF(ISERROR(FIND(""drawer front"",A4))=FALSE,((B4/1000)*(C4/1000))*VLOOKUP(KitchenDoorMaterial,SheetsData,8,0),IF(AND(KitchenDrawerType=""Match carcass"",ISERROR(FIND(""drawer box"",A4))=FALSE),(((((B4/1000)*(C4/1000))+((B4/1000)*(D4/1000)))*2)*VLOOKUP(Kit"&amp;"chenCarcassMaterial,SheetsData,8,0))+(((C4/1000)*(D4/1000))*VLOOKUP(LEFT(KitchenCarcassMaterial,FIND(""("",KitchenCarcassMaterial)-1)&amp;IF(OR(ISERROR(FIND(""ply"",KitchenCarcassMaterial))=FALSE,ISERROR(FIND(""H/F"",KitchenCarcassMaterial))=FALSE),""(9mm)"","&amp;"""(10mm)""),SheetsData,8,0)),IF(AND(KitchenDrawerType=""Solid dovetail"",ISERROR(FIND(""drawer box"",A4))=FALSE),(((((B4/1000)*(C4/1000))+((B4/1000)*(D4/1000)))*2)*(16/1000)*VLOOKUP(LEFT(KitchenCarcassMaterial,FIND("" "",KitchenCarcassMaterial))&amp;""(solid "&amp;"m3)"",SolidData,5,0))+(((C4/1000)*(D4/1000))*VLOOKUP(LEFT(KitchenCarcassMaterial,FIND(""("",KitchenCarcassMaterial)-1)&amp;IF(OR(ISERROR(FIND(""ply"",KitchenCarcassMaterial))=FALSE,ISERROR(FIND(""H/F"",KitchenCarcassMaterial))=FALSE),""(9mm)"",""(10mm)""),She"&amp;"etsData,8,0)),IF(ISERROR(FIND(""spacer"",A4))=FALSE,((D4/1000)*(C4/1000))*VLOOKUP(""Poplar ply (18mm)"",SheetsData,8,0),IF(ISERROR(FIND(""filler panel"",A4))=FALSE,((B4/1000)*(C4/1000))*VLOOKUP(KitchenDoorMaterial,SheetsData,8,0),IF(ISERROR(FIND(""shelf"""&amp;",A4))=FALSE,((D4/1000)*(C4/1000))*VLOOKUP(KitchenCarcassMaterial,SheetsData,8,0),IF(ISERROR(FIND(""lost corner"",A4))=FALSE,VLOOKUP(LEFT(A4,FIND("" "",A4))&amp;""carcass ""&amp;VALUE(REGEXREPLACE(A4,""[^[:digit:]]"", """")),KitchensData,5,0)+((((B4/1000)*(C4/1000"&amp;"))+((B4/1000)*(60/1000)))*VLOOKUP(KitchenCarcassMaterial,SheetsData,8,0)),IF(ISERROR(FIND(""carcass"",A4))=FALSE,(((((B4/1000)*2)*(D4/1000))+(((C4/1000)*2)*(D4/1000)))*VLOOKUP(KitchenCarcassMaterial,SheetsData,8,0))+((B4/1000)*(C4/1000))*VLOOKUP(LEFT(Kitc"&amp;"henCarcassMaterial,FIND(""("",KitchenCarcassMaterial)-1)&amp;IF(OR(ISERROR(FIND(""ply"",KitchenCarcassMaterial))=FALSE,ISERROR(FIND(""H/F"",KitchenCarcassMaterial))=FALSE),""(9mm)"",""(10mm)""),SheetsData,8,0),IF(OR(ISERROR(FIND(""Plinth"",A4))=FALSE,ISERROR("&amp;"FIND(""Cornice (flat)"",A4))=FALSE),((B4/1000)*(C4/1000))*VLOOKUP(""H/F (18mm)"",SheetsData,8,0),IF(ISERROR(FIND(""Cornice (stacked)"",A4))=FALSE,((0.08*(C4/1000))*2)*VLOOKUP(""H/F (22mm)"",SheetsData,8,0),IF(ISERROR(FIND(""Base end panel"",A4))=FALSE,VLO"&amp;"OKUP(KitchenDoorMaterial,SheetsData,5,0)/3,IF(ISERROR(FIND(""Wall end panel"",A4))=FALSE,VLOOKUP(KitchenDoorMaterial,SheetsData,5,0)/9,IF(ISERROR(FIND(""Tower end panel"",A4))=FALSE,VLOOKUP(KitchenDoorMaterial,SheetsData,5,0),IF(ISERROR(FIND(""Fillers"",A"&amp;"4))=FALSE,(((0.06*(C4/1000))*2)*VLOOKUP(""H/F (18mm)"",SheetsData,8,0))+(((0.06*(C4/1000))*2)*VLOOKUP(""H/F (9mm)"",SheetsData,8,0)),IF(ISERROR(FIND(""corner post"",A4))=FALSE,(((B4/1000)*0.05)*2)*VLOOKUP(KitchenDoorMaterial,SheetsData,8,0),IF(ISERROR(FIN"&amp;"D(""Pelmet"",A4))=FALSE,((((B4/1000)*(C4/1000))*2)*VLOOKUP(""H/F (18mm)"",SheetsData,8,0)),IF(ISERROR(FIND(""door"",A4))=TRUE,""Check description"",IF(KitchenDoorStyle=""Flat"",((B4/1000)*(C4/1000))*VLOOKUP(KitchenDoorMaterial,SheetsData,8,0),IF(LEFT(Kitc"&amp;"henDoorStyle,5)=""Panel"",(((((B4/1000)*2)*0.08)+((((C4/1000)-0.16)*2)*0.08))*VLOOKUP(""H/F (22mm)"",SheetsData,8,0))+(((B4/1000)-0.14)*((C4/1000)-0.14)*VLOOKUP(""H/F (9mm)"",SheetsData,8,0)),IF(KitchenDoorStyle=""In-frame flat"",((((((B4/1000)*0.019)*0.0"&amp;"38)+((((C4-38)/1000)*0.038)*0.038))*2)*VLOOKUP(""Tulip (solid m3)"",SolidData,5,0))+(((B4-76)/1000)*((C4-38)/1000))*VLOOKUP(""H/F (22mm)"",SheetsData,8,0),IF(LEFT(KitchenDoorStyle,14)=""In-frame panel"",(((((((B4/1000)*0.019)*0.038)+((((C4-38)/1000)*0.038"&amp;")*0.038))*2)*VLOOKUP(""Tulip (solid m3)"",SolidData,5,0))+(((((((B4-76)/1000)*2)*0.08)+(((((C4-198)/1000)*2)*0.08)))*VLOOKUP(""H/F (22mm)"",SheetsData,8,0))+(((B4-216)/1000)*((C4-178)/1000)*VLOOKUP(""H/F (9mm)"",SheetsData,8,0)))))))))))))))))))))))))))))"&amp;"))))"),72.13887395861329)</f>
        <v>72.13887396</v>
      </c>
      <c r="F4" s="152">
        <f>IFERROR(__xludf.DUMMYFUNCTION("IF(OR(A4="""",AND(ISERROR(FIND(""drawer box"",A4))=FALSE,KitchenDrawerType=""Solid dovetail"")),"""",IF(ISERROR(FIND(""bins"",A4))=FALSE,VLOOKUP(""Base carcass 600"",KitchensData,6,0),IF(OR(ISERROR(FIND(""larder"",A4))=FALSE,ISERROR(FIND(""unit"",A4))=FAL"&amp;"SE),VLOOKUP(LEFT(A4,FIND("" "",A4))&amp;""carcass ""&amp;RIGHT(A4,LEN(A4)-len(regexextract(A4,"".* ""))),KitchensData,6,0),IF(ISERROR(FIND(""drawer front"",A4))=FALSE,IF(ISERROR(FIND(""veneer"",KitchenCarcassMaterial))=TRUE,0,(((B4+C4)/1000)*2)*VLOOKUP(""Edge ban"&amp;"ding (per M)"",SheetsData,5,0)),IF(ISERROR(FIND(""drawer box"",A4))=FALSE,IF(ISERROR(FIND(""veneer"",KitchenCarcassMaterial))=TRUE,0,(((C4+D4)/1000)*2)*VLOOKUP(""Edge banding (per M)"",SheetsData,5,0)),IF(ISERROR(FIND(""shelf"",A4))=FALSE,IF(ISERROR(FIND("&amp;"""veneer"",KitchenCarcassMaterial))=TRUE,0,(C4/1000)*VLOOKUP(""Edge banding (per M)"",SheetsData,5,0)),IF(AND(ISERROR(FIND(""carcass"",A4))=FALSE,ISERROR(FIND(""shelf"",A4))=TRUE),IF(ISERROR(FIND(""veneer"",KitchenCarcassMaterial))=TRUE,0,((2*(B4+C4))/100"&amp;"0)*VLOOKUP(""Edge banding (per M)"",SheetsData,5,0)),IF(ISERROR(FIND(""door"",A4))=TRUE,"""",IF(ISERROR(FIND(""veneer"",KitchenDoorMaterial))=TRUE,"""",((2*(B4+C4))/1000)*VLOOKUP(""Edge banding (per M)"",SheetsData,5,0))))))))))"),0.0)</f>
        <v>0</v>
      </c>
      <c r="G4" s="153">
        <f>IF(A4="","",IF(ISERROR(FIND("bins",A4))=FALSE,VLOOKUP("Base carcass 600",KitchensData,7,0),IF(OR(ISERROR(FIND("larder",A4))=FALSE,ISERROR(FIND("fridge/freezer",A4))=FALSE,ISERROR(FIND("double oven",A4))=FALSE,ISERROR(FIND("single oven",A4))=FALSE),VLOOKUP(LEFT(A4,FIND(" ",A4))&amp;"carcass "&amp;RIGHT(A4,LEN(A4)-(LEN(A4)-3)),KitchensData,7,0),IF(AND(ISERROR(FIND("carcass",A4))=FALSE,ISERROR(FIND("shelf",A4))=TRUE),IF(OR(ISERROR(FIND("Base",A4))=FALSE,ISERROR(FIND("Tower",A4))=FALSE),IF(OR(ISERROR(FIND("1200",A4))=FALSE, ISERROR(FIND("lost corner",A4))=FALSE),6*VLOOKUP("Plinth foot (2 Parts 80mm)",FurnitureData,5,0),4*VLOOKUP("Plinth foot (2 Parts 80mm)",FurnitureData,5,0)),""),""))))</f>
        <v>3.8</v>
      </c>
      <c r="H4" s="115" t="str">
        <f>IF(OR(A4="",ISERROR(FIND("door",A4))=TRUE),"",IF(ISERROR(FIND("Wall",A4))=FALSE,VLOOKUP("Hinges &amp; plates (Hettich thick door)",FurnitureData,5,0)*2,IF(ISERROR(FIND("Base",A4))=FALSE,VLOOKUP("Hinges &amp; plates (Hettich thick door)",FurnitureData,5,0)*3,IF(ISERROR(FIND("Boiler",A4))=FALSE,VLOOKUP("Hinges &amp; plates (Hettich thick door)",FurnitureData,5,0)*4,IF(ISERROR(FIND("Tower",A4))=FALSE,VLOOKUP("Hinges &amp; plates (Hettich thick door)",FurnitureData,5,0)*5)))))</f>
        <v/>
      </c>
      <c r="I4" s="115" t="str">
        <f>IF(ISERROR(FIND("shelf",A4))=FALSE,(VLOOKUP("Shelf pegs",FurnitureData,5,0)/100)*4,"")</f>
        <v/>
      </c>
      <c r="J4" s="152">
        <f>IF(OR(ISERROR(FIND("fridge/freezer",A4))=FALSE,ISERROR(FIND("larder",A4))=FALSE,AND(ISERROR(FIND("Base",A4))=FALSE,ISERROR(FIND("bins",A4))=TRUE,ISERROR(FIND("no shelves",A4))=TRUE,OR(ISERROR(FIND("carcass",A4))=FALSE,ISERROR(FIND("unit",A4))=FALSE))),VLOOKUP("Deep shelf "&amp;C4,KitchensData,18,0),IF(AND(ISERROR(FIND("Wall",A4))=FALSE,ISERROR(FIND("carcass",A4))=FALSE),2*VLOOKUP("Shallow shelf "&amp;C4,KitchensData,18,0),IF(AND(ISERROR(FIND("Tower",A4))=FALSE,ISERROR(FIND("oven",A4))=FALSE),4*VLOOKUP("Deep shelf "&amp;C4,KitchensData,18,0),IF(AND(ISERROR(FIND("Tower",A4))=FALSE,ISERROR(FIND("carcass",A4))=FALSE),5*VLOOKUP("Deep shelf "&amp;C4,KitchensData,18,0),""))))</f>
        <v>53.89994125</v>
      </c>
      <c r="K4" s="152">
        <f>IF(ISERROR(FIND("sink",A4))=FALSE,VLOOKUP("Sink liner - Aluminium "&amp;RIGHT(A4,LEN(A4)-22)&amp;"mm",ExceptionalData,5,0),IF(ISERROR(FIND("bins",A4))=FALSE,VLOOKUP("Drawer runners and clip set for bin unit (500) Dynapro",FurnitureData,5,0)+(2*VLOOKUP("Bin (42L Anthracite)",FurnitureData,5,0)),IF(ISERROR(FIND("larder",A4))=FALSE,VLOOKUP("Pull out larder unit 600mm",FurnitureData,5,0),IF(AND(ISERROR(FIND("drawer box",A4))=FALSE,ISERROR(FIND("internal",A4))=TRUE),VLOOKUP("Drawer runners and clip set (550) Dynapro",FurnitureData,5,0),IF(ISERROR(FIND("internal drawer box",A4))=FALSE,VLOOKUP("Drawer runners and clip set (450) Dynapro",FurnitureData,5,0),"")))))</f>
        <v>14.892</v>
      </c>
      <c r="L4" s="152">
        <f t="shared" si="3"/>
        <v>144.7308152</v>
      </c>
      <c r="M4" s="154">
        <f>IFERROR(__xludf.DUMMYFUNCTION("IF(A4="""","""",IF(OR(ISERROR(FIND(""larder"",A4))=FALSE,ISERROR(FIND(""unit"",A4))=FALSE),VLOOKUP(LEFT(A4,FIND("" "",A4))&amp;""carcass ""&amp;RIGHT(A4,LEN(A4)-len(regexextract(A4,"".* ""))),KitchensData,13,0),IF(ISERROR(FIND(""bins"",A4))=FALSE,0.95,IF(ISERROR("&amp;"FIND(""Cutlery insert 600"",A4))=FALSE,1.3,IF(ISERROR(FIND(""Cutlery insert 1200"",A4))=FALSE,2,IF(ISERROR(FIND(""Pan/tray rack 600"",A4))=FALSE,3.25,IF(ISERROR(FIND(""Pan/tray rack 1200"",A4))=FALSE,5.9,IF(ISERROR(FIND(""split"",A4))=FALSE,(((C4/1000)*0."&amp;"022)*2)+VLOOKUP(SUBSTITUTE(A4,"" split"",""""),KitchensData,13,0),IF(AND(ISERROR(FIND(""drawer front"",A4))=FALSE,KitchenDoorStyle=""Flat""),(((B4/1000)*(C4/1000))*2)+((((B4+C4)/1000)*2)*0.022),IF(AND(ISERROR(FIND(""drawer front"",A4))=FALSE,LEFT(KitchenD"&amp;"oorStyle,5)=""Panel""),(((B4/1000)*(C4/1000))*2)+((((B4+C4)/1000)*2)*0.022)+((((C4/1000)-0.16)*0.013)*2)+((((D4/1000)-0.16)*0.013)*2),IF(AND(ISERROR(FIND(""drawer front"",A4))=FALSE,KitchenDoorStyle=""In-frame flat""),((((B4-76)/1000)*((C4-38)/1000))*2)+("&amp;"MID(KitchenDoorMaterial,FIND(""("",KitchenDoorMaterial)+1,2)/1000)*((((B4-76)+(C4-38))/1000)*2)+(((B4/1000)*0.032)*2)+((((B4-76)/1000)*0.032)*2)+(((B4/1000)*0.019)*4)+(((C4/1000)*0.032)*2)+((((C4-38)/1000)*0.032)*2)+(((C4/1000)*0.038)*4),IF(AND(ISERROR(FI"&amp;"ND(""drawer front"",A4))=FALSE,LEFT(KitchenDoorStyle,14)=""In-frame panel""),((((B4-76)/1000)*((C4-38)/1000))*2)+((MID(KitchenDoorMaterial,FIND(""("",KitchenDoorMaterial)+1,2)/1000)*((((B4-76)+(C4-38))/1000)*2))+((((B4-236)/1000)+((C4-198)/1000)*2)*0.013)"&amp;"+(((B4/1000)*0.032)*2)+((((B4-76)/1000)*0.032)*2)+(((B4/1000)*0.019)*4)+(((C4/1000)*0.032)*2)+((((C4-38)/1000)*0.032)*2)+(((C4/1000)*0.038)*4),IF(ISERROR(FIND(""drawer box"",A4))=FALSE,((((B4/1000)*(D4/1000))+((B4/1000)*(C4/1000)))*4)+((((D4/1000)+(C4/100"&amp;"0))*0.016)*4)+(((C4/1000)*(D4/1000))*2),IF(OR(ISERROR(FIND(""shelf"",A4))=FALSE,ISERROR(FIND(""spacer"",A4))=FALSE,,ISERROR(FIND(""filler panel"",A4))=FALSE),(((C4/1000)*(D4/1000))*2)+((((C4+D4)*2)/1000)*0.022),IF(ISERROR(FIND(""lost corner"",A4))=FALSE,("&amp;"((B4/1000)*(C4/1000))*2)+((B4/1000)*(C4/1000))+((B4/1000)*((C4/2)/1000))+((((B4/1000)*0.025)+((C4/1000)*0.025))*2),IF(ISERROR(FIND(""carcass"",A4))=FALSE,(((C4/1000)*(D4/1000))*2)+(((B4/1000)*(D4/1000))*2)+((B4/1000)*(C4/1000))+((((B4/1000)*0.025)+((C4/10"&amp;"00)*0.025))*2),IF(AND(ISERROR(FIND(""door"",A4))=FALSE,KitchenDoorStyle=""Flat""),(((B4/1000)*(C4/1000))*2)+(MID(KitchenDoorMaterial,FIND(""("",KitchenDoorMaterial)+1,2)/1000)*(((B4+C4)/1000)*2),IF(AND(ISERROR(FIND(""door"",A4))=FALSE,LEFT(KitchenDoorStyl"&amp;"e,5)=""Panel""),(((B4/1000)*(C4/1000))*2)+((MID(KitchenDoorMaterial,FIND(""("",KitchenDoorMaterial)+1,2)/1000)*(((B4+C4)/1000)*2))+(((((B4-160)+(C4-160))*2)/1000)*(0.013)),IF(AND(ISERROR(FIND(""door"",A4))=FALSE,KitchenDoorStyle=""In-frame flat""),((((B4-"&amp;"76)/1000)*((C4-38)/1000))*2)+(MID(KitchenDoorMaterial,FIND(""("",KitchenDoorMaterial)+1,2)/1000)*((((B4-76)+(C4-38))/1000)*2)+(((B4/1000)*0.032)*2)+((((B4-76)/1000)*0.032)*2)+(((B4/1000)*0.019)*4)+(((C4/1000)*0.032)*2)+((((C4-38)/1000)*0.032)*2)+(((C4/100"&amp;"0)*0.038)*4),IF(AND(ISERROR(FIND(""door"",A4))=FALSE,LEFT(KitchenDoorStyle,14)=""In-frame panel""),((((B4-76)/1000)*((C4-38)/1000))*2)+((MID(KitchenDoorMaterial,FIND(""("",KitchenDoorMaterial)+1,2)/1000)*((((B4-76)+(C4-38))/1000)*2))+((((B4-236)/1000)+((C"&amp;"4-198)/1000)*2)*0.013)+(((B4/1000)*0.032)*2)+((((B4-76)/1000)*0.032)*2)+(((B4/1000)*0.019)*4)+(((C4/1000)*0.032)*2)+((((C4-38)/1000)*0.032)*2)+(((C4/1000)*0.038)*4),IF(ISERROR(FIND(""Plinth"",A4))=FALSE,((B4/1000)*(C4/1000))+(((C4/1000)*0.018)*2)+(((B4/10"&amp;"00)*0.018)*2),IF(ISERROR(FIND(""Cornice"",A4))=FALSE,(((C4/1000)*0.1)*2)+(((C4/1000)*0.044)*2)+(((B4/1000)*0.08)*2),IF(ISERROR(FIND(""Base end panel"",A4))=FALSE,((B4/1000)*(C4/1000))+(0.022*((B4/1000)+((C4/1000)*2)))+((B4/1000)*0.05),IF(ISERROR(FIND(""Wa"&amp;"ll end panel"",A4))=FALSE,((B4/1000)*(C4/1000))+(0.022*((B4/1000)+((C4/1000)*2)))+((B4/1000)*0.05),IF(ISERROR(FIND(""Tower end panel"",A4))=FALSE,((B4/1000)*(C4/1000))+(0.022*((B4/1000)+((C4/1000)*2)))+((B4/1000)*0.05),IF(ISERROR(FIND(""Fillers"",A4))=FAL"&amp;"SE,((C4/1000)*0.06)+((C4/1000)*0.069)+((0.06*0.018)*2)+((0.06*0.009)*2)+((C4/1000)*0.009)+((C4/1000)*0.018),IF(ISERROR(FIND(""corner post"",A4))=FALSE,(((B4/1000*0.05)*2)+((B4/1000)*0.022)*2)+((B4/1000)*0.072)+((B4/1000)*0.05)+((0.072*0.022)*2)+((0.05*0.0"&amp;"22)*2),IF(ISERROR(FIND(""Pelmet"",A4))=FALSE,((C4/1000)*0.05)+((C4/1000)*0.068)+((0.05*0.018)*4)+(((C4/1000)*0.018))*2))))))))))))))))))))))))))))"),2.23)</f>
        <v>2.23</v>
      </c>
      <c r="N4" s="152">
        <f>IF(M4="","",IF(AND(ISERROR(FIND("carcass",A4))=TRUE,ISERROR(FIND("unit",A4))=TRUE,ISERROR(FIND("insert",A4))=TRUE,ISERROR(FIND("rack",A4))=TRUE,ISERROR(FIND("box",A4))=TRUE,ISERROR(FIND("shelf",#REF!))=TRUE),VLOOKUP(KitchenDoorFinish,Finishing!$A$2:$K$10,9,0)*M4,VLOOKUP(KitchenCarcassFinish,Finishing!$A$2:$K$40,9,0)*M4))</f>
        <v>8.3625</v>
      </c>
      <c r="O4" s="155">
        <v>1.0</v>
      </c>
      <c r="P4" s="155">
        <v>1.0</v>
      </c>
      <c r="Q4" s="152">
        <f>IF(OR(O4="",P4=""),"",((O4*X4)*(VLOOKUP("Workshop",Labour!$A$3:$E$20,4,0)/8))+((P4*AE4)*(VLOOKUP("Finishing",Labour!$A$3:$E$20,4,0)/8)))</f>
        <v>71.75</v>
      </c>
      <c r="R4" s="152">
        <f t="shared" si="4"/>
        <v>224.8433152</v>
      </c>
      <c r="S4" s="156">
        <f>IF(OR(O4="",P4=""),"",IF(OR(ISERROR(FIND("carcass",$A4))=FALSE,ISERROR(FIND("unit",$A4))=FALSE),VLOOKUP(KitchenCarcassMaterial,FixedListsCarcassMaterial,2,0),0))</f>
        <v>1</v>
      </c>
      <c r="T4" s="156">
        <f>IF(OR(O4="",P4=""),"",IF(ISERROR(FIND("door",$A4))=FALSE,VLOOKUP(KitchenDoorStyle,FixedListsDoorStyle,2,0),0))</f>
        <v>0</v>
      </c>
      <c r="U4" s="156">
        <f>IF(OR(O4="",P4=""),"",IF(ISERROR(FIND("door",$A4))=FALSE,VLOOKUP(KitchenDoorMaterial,FixedListsDoorMaterial,2,0),0))</f>
        <v>0</v>
      </c>
      <c r="V4" s="156">
        <f>IF(OR(O4="",P4=""),"",IF(ISERROR(FIND("drawer",$A4))=FALSE,VLOOKUP(KitchenDrawerType,FixedListsDrawerType,2,0),0))</f>
        <v>0</v>
      </c>
      <c r="W4" s="156">
        <f>IF(OR(O4="",P4=""),"",IF(OR(S4&gt;0, T4&gt;0,V4&gt;0),VLOOKUP(KitchenHandleType,FixedListsHandleType,2,FALSE)*IF(KitchenHandleType="Simple",0,IF(S4&gt;0,VLOOKUP(KitchenHandleType,FixedListsHandleType,4,FALSE),IF(OR(T4&gt;0,V4&gt;0),1-VLOOKUP(KitchenHandleType,FixedListsHandleType,4,FALSE),"Error"))),0))</f>
        <v>0</v>
      </c>
      <c r="X4" s="156">
        <f t="shared" si="5"/>
        <v>1</v>
      </c>
      <c r="Y4" s="156">
        <f>IF(OR(O4="",P4=""),"",IF(OR(ISERROR(FIND("carcass",$A4))=FALSE,ISERROR(FIND("unit",$A4))=FALSE),VLOOKUP(KitchenCarcassMaterial,FixedListsCarcassMaterial,3,0),0))</f>
        <v>1</v>
      </c>
      <c r="Z4" s="156">
        <f>IF(OR(O4="",P4=""),"",IF(ISERROR(FIND("door",$A4))=FALSE,VLOOKUP(KitchenDoorStyle,FixedListsDoorStyle,3,0),0))</f>
        <v>0</v>
      </c>
      <c r="AA4" s="156">
        <f>IF(OR(O4="",P4=""),"",IF(ISERROR(FIND("door",$A4))=FALSE,VLOOKUP(KitchenDoorMaterial,FixedListsDoorMaterial,3,0),0))</f>
        <v>0</v>
      </c>
      <c r="AB4" s="156">
        <f>IF(OR(O4="",P4=""),"",IF(ISERROR(FIND("drawer",$A4))=FALSE,VLOOKUP(KitchenDrawerType,FixedListsDrawerType,3,0),0))</f>
        <v>0</v>
      </c>
      <c r="AC4" s="156">
        <f>IF(OR(O4="",P4=""),"",IF(OR(Y4&gt;0,Z4&gt;0,AB4&gt;0),VLOOKUP(KitchenHandleType,FixedListsHandleType,3,FALSE),0))</f>
        <v>1</v>
      </c>
      <c r="AD4" s="156">
        <f>IF(OR(O4="",P4=""),"",IF(OR(ISERROR(FIND("carcass",$A4))=FALSE,ISERROR(FIND("unit",$A4))=FALSE),VLOOKUP(KitchenCarcassFinish,FixedListsFinishes,3,0),IF(OR(ISERROR(FIND("door",$A4))=FALSE,ISERROR(FIND("Plinth",$A4))=FALSE,ISERROR(FIND("Cornice",$A4))=FALSE,ISERROR(FIND("Fillers",$A4))=FALSE,ISERROR(FIND("Pelmet",$A4))=FALSE,ISERROR(FIND("panel",$A4))=FALSE,ISERROR(FIND("post",$A4))=FALSE),VLOOKUP(KitchenDoorFinish,FixedListsFinishes,3,0),IF(OR(ISERROR(FIND("drawer",$A4))=FALSE,ISERROR(FIND("insert",$A4))=FALSE,ISERROR(FIND("rck",$A4))=FALSE),VLOOKUP(KitchenCarcassFinish,FixedListsFinishes,3,0),0))))</f>
        <v>1</v>
      </c>
      <c r="AE4" s="156">
        <f t="shared" si="6"/>
        <v>1</v>
      </c>
      <c r="AF4" s="157" t="str">
        <f>IF(AND(KitchenHandleType="Channel",OR(ISERROR(FIND("arcass",$A4))=FALSE,ISERROR(FIND("unit",$A4))=FALSE)),IF(ISERROR(FIND("Tower",$A4))=TRUE,IF(KitchenHandleFinish="Match carcass",IF(ISERROR(FIND("Walnut",KitchenCarcassMaterial))=FALSE,(0.035*0.075*($C4/1000))*VLOOKUP("Walnut (solid m3)",SolidData,4,FALSE),IF(ISERROR(FIND("Oak",KitchenCarcassMaterial))=FALSE,(0.035*0.075*($C4/1000))*VLOOKUP("Oak (solid m3)",SolidData,4,FALSE),IF(ISERROR(FIND("ply",KitchenCarcassMaterial))=FALSE,(0.1*($C4/1000))*VLOOKUP("Birch ply (24mm)",SheetsData,7,FALSE),IF(ISERROR(FIND("H/F",KitchenCarcassMaterial))=FALSE,(0.1*($C4/1000))*VLOOKUP("H/F (22mm)",SheetsData,7,FALSE),"Carcass - not tower - new material")))),IF(KitchenHandleFinish="Match door",IF(ISERROR(FIND("Walnut",KitchenDoorMaterial))=FALSE,(0.035*0.075*($C4/1000))*VLOOKUP("Walnut (solid m3)",SolidData,4,FALSE),IF(ISERROR(FIND("Oak",KitchenDoorMaterial))=FALSE,(0.035*0.075*($C4/1000))*VLOOKUP("Oak (solid m3)",SolidData,4,FALSE),IF(ISERROR(FIND("ply",KitchenDoorMaterial))=FALSE,(0.1*($C4/1000))*VLOOKUP("Birch ply (24mm)",SheetsData,7,FALSE),IF(ISERROR(FIND("H/F",KitchenCarcassMaterial))=FALSE,(0.1*($C4/1000))*VLOOKUP("H/F (22mm)",SheetsData,7,FALSE),"Door - not tower - new material")))),"Channel - not tower - handle set to other")),IF(ISERROR(FIND("Tower",$A4))=FALSE,IF(KitchenHandleFinish="Match carcass",IF(ISERROR(FIND("Walnut",KitchenCarcassMaterial))=FALSE,(0.035*0.075*($B4/1000))*VLOOKUP("Walnut (solid m3)",SolidData,4,FALSE),IF(ISERROR(FIND("Oak",KitchenCarcassMaterial))=FALSE,(0.035*0.075*($B4/1000))*VLOOKUP("Oak (solid m3)",SolidData,4,FALSE),IF(ISERROR(FIND("ply",KitchenCarcassMaterial))=FALSE,(0.1*($B4/1000))*VLOOKUP("Birch ply (24mm)",SheetsData,7,FALSE),IF(ISERROR(FIND("H/F",KitchenCarcassMaterial))=FALSE,(0.1*($C4/1000))*VLOOKUP("H/F (22mm)",SheetsData,7,FALSE),"Carcass - tower - new material")))),IF(KitchenHandleFinish="Match door",IF(ISERROR(FIND("Walnut",KitchenDoorMaterial))=FALSE,(0.035*0.075*($B4/1000))*VLOOKUP("Walnut (solid m3)",SolidData,4,FALSE),IF(ISERROR(FIND("Oak",KitchenDoorMaterial))=FALSE,(0.035*0.075*($B4/1000))*VLOOKUP("Oak (solid m3)",SolidData,4,FALSE),IF(ISERROR(FIND("ply",KitchenDoorMaterial))=FALSE,(0.1*($B4/1000))*VLOOKUP("Birch ply (24mm)",SheetData,7,FALSE),IF(ISERROR(FIND("H/F",KitchenCarcassMaterial))=FALSE,(0.1*($C4/1000))*VLOOKUP("H/F (22mm)",SheetsData,7,FALSE),"Door - tower - new material")))),"Channel - tower - handle set to other")))),"")</f>
        <v/>
      </c>
    </row>
    <row r="5">
      <c r="A5" s="151" t="s">
        <v>113</v>
      </c>
      <c r="B5" s="115">
        <f t="shared" si="1"/>
        <v>800</v>
      </c>
      <c r="C5" s="115" t="str">
        <f>IFERROR(__xludf.DUMMYFUNCTION("IF(A5="""","""",IF(OR(RIGHT(A5,LEN(A5)-len(regexextract(A5,"".* "")))=""1200"",RIGHT(A5,LEN(A5)-len(regexextract(A5,"".* "")))=""600"",RIGHT(A5,LEN(A5)-len(regexextract(A5,"".* "")))=""400"",RIGHT(A5,LEN(A5)-len(regexextract(A5,"".* "")))=""300"",RIGHT(A5"&amp;",LEN(A5)-len(regexextract(A5,"".* "")))=""700"",RIGHT(A5,LEN(A5)-len(regexextract(A5,"".* "")))=""2400"",RIGHT(A5,LEN(A5)-len(regexextract(A5,"".* "")))=""650"",RIGHT(A5,LEN(A5)-len(regexextract(A5,"".* "")))=""350"",RIGHT(A5,LEN(A5)-len(regexextract(A5,"&amp;""".* "")))=""50""),RIGHT(A5,LEN(A5)-len(regexextract(A5,"".* ""))),IF(OR(ISERROR(FIND(""spacer"",A5))=FALSE,ISERROR(FIND(""filler panel"",A5))=FALSE),""1000"",""Unexpected size in description"")))"),"1200")</f>
        <v>1200</v>
      </c>
      <c r="D5" s="151">
        <f t="shared" si="2"/>
        <v>600</v>
      </c>
      <c r="E5" s="152">
        <f>IFERROR(__xludf.DUMMYFUNCTION("IF(OR(A5="""",AND(ISERROR(FIND(""drawer box"",A5))=FALSE,KitchenDrawerType="""")),"""",IF(OR(ISERROR(FIND(""larder"",A5))=FALSE,ISERROR(FIND(""fridge/freezer"",A5))=FALSE,ISERROR(FIND(""double oven"",A5))=FALSE,ISERROR(FIND(""single oven"",A5))=FALSE),VLO"&amp;"OKUP(LEFT(A5,FIND("" "",A5))&amp;""carcass ""&amp;RIGHT(A5,LEN(A5)-(LEN(A5)-3)),KitchensData,5,0),IF(ISERROR(FIND(""sink"",A5))=FALSE,VLOOKUP(LEFT(A5,FIND("" "",A5))&amp;""carcass ""&amp;VALUE(REGEXREPLACE(A5,""[^[:digit:]]"", """")),KitchensData,5,0)+(((C5/1000)*(300/10"&amp;"00))*VLOOKUP(KitchenCarcassMaterial,SheetsData,8,0)),IF(ISERROR(FIND(""bins"",A5))=FALSE,IF(ISERROR(FIND(""veneer"",KitchenCarcassMaterial))=FALSE,VLOOKUP(""Base carcass 600"",KitchensData,5,0)+(0.72*(VLOOKUP(LEFT(KitchenCarcassMaterial,FIND("" "",Kitchen"&amp;"CarcassMaterial)-1)&amp;"" (solid m3)"",SolidData,5,0)*0.016)),VLOOKUP(""Base carcass 600"",KitchensData,5,0)+(0.72*VLOOKUP(KitchenCarcassMaterial,SheetsData,8,0))),IF(ISERROR(FIND(""Cutlery insert 600"",A5))=FALSE,IF(ISERROR(FIND(""veneer"",KitchenCarcassMat"&amp;"erial))=FALSE,0.54*(VLOOKUP(LEFT(KitchenCarcassMaterial,FIND("" "",KitchenCarcassMaterial)-1)&amp;"" (solid m3)"",SolidData,5,0)*0.016),0.54*VLOOKUP(KitchenCarcassMaterial,SheetsData,8,0)),IF(ISERROR(FIND(""Cutlery insert 1200"",A5))=FALSE,IF(ISERROR(FIND(""v"&amp;"eneer"",KitchenCarcassMaterial))=FALSE,0.84*(VLOOKUP(LEFT(KitchenCarcassMaterial,FIND("" "",KitchenCarcassMaterial)-1)&amp;"" (solid m3)"",SolidData,5,0)*0.016),0.84*VLOOKUP(KitchenCarcassMaterial,SheetsData,8,0)),IF(ISERROR(FIND(""Pan/tray rack 600"",A5))=FA"&amp;"LSE,IF(ISERROR(FIND(""veneer"",KitchenCarcassMaterial))=FALSE,1.44*(VLOOKUP(LEFT(KitchenCarcassMaterial,FIND("" "",KitchenCarcassMaterial)-1)&amp;"" (solid m3)"",SolidData,5,0)*0.016),1.44*VLOOKUP(KitchenCarcassMaterial,SheetsData,8,0)),IF(ISERROR(FIND(""Pan/"&amp;"tray rack 1200"",A5))=FALSE,IF(ISERROR(FIND(""veneer"",KitchenCarcassMaterial))=FALSE,2.7*(VLOOKUP(LEFT(KitchenCarcassMaterial,FIND("" "",KitchenCarcassMaterial)-1)&amp;"" (solid m3)"",SolidData,5,0)*0.016),2.7*VLOOKUP(KitchenCarcassMaterial,SheetsData,8,0)),"&amp;"IF(ISERROR(FIND(""drawer front"",A5))=FALSE,((B5/1000)*(C5/1000))*VLOOKUP(KitchenDoorMaterial,SheetsData,8,0),IF(AND(KitchenDrawerType=""Match carcass"",ISERROR(FIND(""drawer box"",A5))=FALSE),(((((B5/1000)*(C5/1000))+((B5/1000)*(D5/1000)))*2)*VLOOKUP(Kit"&amp;"chenCarcassMaterial,SheetsData,8,0))+(((C5/1000)*(D5/1000))*VLOOKUP(LEFT(KitchenCarcassMaterial,FIND(""("",KitchenCarcassMaterial)-1)&amp;IF(OR(ISERROR(FIND(""ply"",KitchenCarcassMaterial))=FALSE,ISERROR(FIND(""H/F"",KitchenCarcassMaterial))=FALSE),""(9mm)"","&amp;"""(10mm)""),SheetsData,8,0)),IF(AND(KitchenDrawerType=""Solid dovetail"",ISERROR(FIND(""drawer box"",A5))=FALSE),(((((B5/1000)*(C5/1000))+((B5/1000)*(D5/1000)))*2)*(16/1000)*VLOOKUP(LEFT(KitchenCarcassMaterial,FIND("" "",KitchenCarcassMaterial))&amp;""(solid "&amp;"m3)"",SolidData,5,0))+(((C5/1000)*(D5/1000))*VLOOKUP(LEFT(KitchenCarcassMaterial,FIND(""("",KitchenCarcassMaterial)-1)&amp;IF(OR(ISERROR(FIND(""ply"",KitchenCarcassMaterial))=FALSE,ISERROR(FIND(""H/F"",KitchenCarcassMaterial))=FALSE),""(9mm)"",""(10mm)""),She"&amp;"etsData,8,0)),IF(ISERROR(FIND(""spacer"",A5))=FALSE,((D5/1000)*(C5/1000))*VLOOKUP(""Poplar ply (18mm)"",SheetsData,8,0),IF(ISERROR(FIND(""filler panel"",A5))=FALSE,((B5/1000)*(C5/1000))*VLOOKUP(KitchenDoorMaterial,SheetsData,8,0),IF(ISERROR(FIND(""shelf"""&amp;",A5))=FALSE,((D5/1000)*(C5/1000))*VLOOKUP(KitchenCarcassMaterial,SheetsData,8,0),IF(ISERROR(FIND(""lost corner"",A5))=FALSE,VLOOKUP(LEFT(A5,FIND("" "",A5))&amp;""carcass ""&amp;VALUE(REGEXREPLACE(A5,""[^[:digit:]]"", """")),KitchensData,5,0)+((((B5/1000)*(C5/1000"&amp;"))+((B5/1000)*(60/1000)))*VLOOKUP(KitchenCarcassMaterial,SheetsData,8,0)),IF(ISERROR(FIND(""carcass"",A5))=FALSE,(((((B5/1000)*2)*(D5/1000))+(((C5/1000)*2)*(D5/1000)))*VLOOKUP(KitchenCarcassMaterial,SheetsData,8,0))+((B5/1000)*(C5/1000))*VLOOKUP(LEFT(Kitc"&amp;"henCarcassMaterial,FIND(""("",KitchenCarcassMaterial)-1)&amp;IF(OR(ISERROR(FIND(""ply"",KitchenCarcassMaterial))=FALSE,ISERROR(FIND(""H/F"",KitchenCarcassMaterial))=FALSE),""(9mm)"",""(10mm)""),SheetsData,8,0),IF(OR(ISERROR(FIND(""Plinth"",A5))=FALSE,ISERROR("&amp;"FIND(""Cornice (flat)"",A5))=FALSE),((B5/1000)*(C5/1000))*VLOOKUP(""H/F (18mm)"",SheetsData,8,0),IF(ISERROR(FIND(""Cornice (stacked)"",A5))=FALSE,((0.08*(C5/1000))*2)*VLOOKUP(""H/F (22mm)"",SheetsData,8,0),IF(ISERROR(FIND(""Base end panel"",A5))=FALSE,VLO"&amp;"OKUP(KitchenDoorMaterial,SheetsData,5,0)/3,IF(ISERROR(FIND(""Wall end panel"",A5))=FALSE,VLOOKUP(KitchenDoorMaterial,SheetsData,5,0)/9,IF(ISERROR(FIND(""Tower end panel"",A5))=FALSE,VLOOKUP(KitchenDoorMaterial,SheetsData,5,0),IF(ISERROR(FIND(""Fillers"",A"&amp;"5))=FALSE,(((0.06*(C5/1000))*2)*VLOOKUP(""H/F (18mm)"",SheetsData,8,0))+(((0.06*(C5/1000))*2)*VLOOKUP(""H/F (9mm)"",SheetsData,8,0)),IF(ISERROR(FIND(""corner post"",A5))=FALSE,(((B5/1000)*0.05)*2)*VLOOKUP(KitchenDoorMaterial,SheetsData,8,0),IF(ISERROR(FIN"&amp;"D(""Pelmet"",A5))=FALSE,((((B5/1000)*(C5/1000))*2)*VLOOKUP(""H/F (18mm)"",SheetsData,8,0)),IF(ISERROR(FIND(""door"",A5))=TRUE,""Check description"",IF(KitchenDoorStyle=""Flat"",((B5/1000)*(C5/1000))*VLOOKUP(KitchenDoorMaterial,SheetsData,8,0),IF(LEFT(Kitc"&amp;"henDoorStyle,5)=""Panel"",(((((B5/1000)*2)*0.08)+((((C5/1000)-0.16)*2)*0.08))*VLOOKUP(""H/F (22mm)"",SheetsData,8,0))+(((B5/1000)-0.14)*((C5/1000)-0.14)*VLOOKUP(""H/F (9mm)"",SheetsData,8,0)),IF(KitchenDoorStyle=""In-frame flat"",((((((B5/1000)*0.019)*0.0"&amp;"38)+((((C5-38)/1000)*0.038)*0.038))*2)*VLOOKUP(""Tulip (solid m3)"",SolidData,5,0))+(((B5-76)/1000)*((C5-38)/1000))*VLOOKUP(""H/F (22mm)"",SheetsData,8,0),IF(LEFT(KitchenDoorStyle,14)=""In-frame panel"",(((((((B5/1000)*0.019)*0.038)+((((C5-38)/1000)*0.038"&amp;")*0.038))*2)*VLOOKUP(""Tulip (solid m3)"",SolidData,5,0))+(((((((B5-76)/1000)*2)*0.08)+(((((C5-198)/1000)*2)*0.08)))*VLOOKUP(""H/F (22mm)"",SheetsData,8,0))+(((B5-216)/1000)*((C5-178)/1000)*VLOOKUP(""H/F (9mm)"",SheetsData,8,0)))))))))))))))))))))))))))))"&amp;"))))"),100.40042999193766)</f>
        <v>100.40043</v>
      </c>
      <c r="F5" s="152">
        <f>IFERROR(__xludf.DUMMYFUNCTION("IF(OR(A5="""",AND(ISERROR(FIND(""drawer box"",A5))=FALSE,KitchenDrawerType=""Solid dovetail"")),"""",IF(ISERROR(FIND(""bins"",A5))=FALSE,VLOOKUP(""Base carcass 600"",KitchensData,6,0),IF(OR(ISERROR(FIND(""larder"",A5))=FALSE,ISERROR(FIND(""unit"",A5))=FAL"&amp;"SE),VLOOKUP(LEFT(A5,FIND("" "",A5))&amp;""carcass ""&amp;RIGHT(A5,LEN(A5)-len(regexextract(A5,"".* ""))),KitchensData,6,0),IF(ISERROR(FIND(""drawer front"",A5))=FALSE,IF(ISERROR(FIND(""veneer"",KitchenCarcassMaterial))=TRUE,0,(((B5+C5)/1000)*2)*VLOOKUP(""Edge ban"&amp;"ding (per M)"",SheetsData,5,0)),IF(ISERROR(FIND(""drawer box"",A5))=FALSE,IF(ISERROR(FIND(""veneer"",KitchenCarcassMaterial))=TRUE,0,(((C5+D5)/1000)*2)*VLOOKUP(""Edge banding (per M)"",SheetsData,5,0)),IF(ISERROR(FIND(""shelf"",A5))=FALSE,IF(ISERROR(FIND("&amp;"""veneer"",KitchenCarcassMaterial))=TRUE,0,(C5/1000)*VLOOKUP(""Edge banding (per M)"",SheetsData,5,0)),IF(AND(ISERROR(FIND(""carcass"",A5))=FALSE,ISERROR(FIND(""shelf"",A5))=TRUE),IF(ISERROR(FIND(""veneer"",KitchenCarcassMaterial))=TRUE,0,((2*(B5+C5))/100"&amp;"0)*VLOOKUP(""Edge banding (per M)"",SheetsData,5,0)),IF(ISERROR(FIND(""door"",A5))=TRUE,"""",IF(ISERROR(FIND(""veneer"",KitchenDoorMaterial))=TRUE,"""",((2*(B5+C5))/1000)*VLOOKUP(""Edge banding (per M)"",SheetsData,5,0))))))))))"),0.0)</f>
        <v>0</v>
      </c>
      <c r="G5" s="153">
        <f>IF(A5="","",IF(ISERROR(FIND("bins",A5))=FALSE,VLOOKUP("Base carcass 600",KitchensData,7,0),IF(OR(ISERROR(FIND("larder",A5))=FALSE,ISERROR(FIND("fridge/freezer",A5))=FALSE,ISERROR(FIND("double oven",A5))=FALSE,ISERROR(FIND("single oven",A5))=FALSE),VLOOKUP(LEFT(A5,FIND(" ",A5))&amp;"carcass "&amp;RIGHT(A5,LEN(A5)-(LEN(A5)-3)),KitchensData,7,0),IF(AND(ISERROR(FIND("carcass",A5))=FALSE,ISERROR(FIND("shelf",A5))=TRUE),IF(OR(ISERROR(FIND("Base",A5))=FALSE,ISERROR(FIND("Tower",A5))=FALSE),IF(OR(ISERROR(FIND("1200",A5))=FALSE, ISERROR(FIND("lost corner",A5))=FALSE),6*VLOOKUP("Plinth foot (2 Parts 80mm)",FurnitureData,5,0),4*VLOOKUP("Plinth foot (2 Parts 80mm)",FurnitureData,5,0)),""),""))))</f>
        <v>5.7</v>
      </c>
      <c r="H5" s="115" t="str">
        <f>IF(OR(A5="",ISERROR(FIND("door",A5))=TRUE),"",IF(ISERROR(FIND("Wall",A5))=FALSE,VLOOKUP("Hinges &amp; plates (Hettich thick door)",FurnitureData,5,0)*2,IF(ISERROR(FIND("Base",A5))=FALSE,VLOOKUP("Hinges &amp; plates (Hettich thick door)",FurnitureData,5,0)*3,IF(ISERROR(FIND("Boiler",A5))=FALSE,VLOOKUP("Hinges &amp; plates (Hettich thick door)",FurnitureData,5,0)*4,IF(ISERROR(FIND("Tower",A5))=FALSE,VLOOKUP("Hinges &amp; plates (Hettich thick door)",FurnitureData,5,0)*5)))))</f>
        <v/>
      </c>
      <c r="I5" s="115" t="str">
        <f>IF(ISERROR(FIND("shelf",A5))=FALSE,(VLOOKUP("Shelf pegs",FurnitureData,5,0)/100)*4,"")</f>
        <v/>
      </c>
      <c r="J5" s="152">
        <f>IF(OR(ISERROR(FIND("fridge/freezer",A5))=FALSE,ISERROR(FIND("larder",A5))=FALSE,AND(ISERROR(FIND("Base",A5))=FALSE,ISERROR(FIND("bins",A5))=TRUE,ISERROR(FIND("no shelves",A5))=TRUE,OR(ISERROR(FIND("carcass",A5))=FALSE,ISERROR(FIND("unit",A5))=FALSE))),VLOOKUP("Deep shelf "&amp;C5,KitchensData,18,0),IF(AND(ISERROR(FIND("Wall",A5))=FALSE,ISERROR(FIND("carcass",A5))=FALSE),2*VLOOKUP("Shallow shelf "&amp;C5,KitchensData,18,0),IF(AND(ISERROR(FIND("Tower",A5))=FALSE,ISERROR(FIND("oven",A5))=FALSE),4*VLOOKUP("Deep shelf "&amp;C5,KitchensData,18,0),IF(AND(ISERROR(FIND("Tower",A5))=FALSE,ISERROR(FIND("carcass",A5))=FALSE),5*VLOOKUP("Deep shelf "&amp;C5,KitchensData,18,0),""))))</f>
        <v>71.4644825</v>
      </c>
      <c r="K5" s="152" t="str">
        <f>IF(ISERROR(FIND("sink",A5))=FALSE,VLOOKUP("Sink liner - Aluminium "&amp;RIGHT(A5,LEN(A5)-22)&amp;"mm",ExceptionalData,5,0),IF(ISERROR(FIND("bins",A5))=FALSE,VLOOKUP("Drawer runners and clip set for bin unit (500) Dynapro",FurnitureData,5,0)+(2*VLOOKUP("Bin (42L Anthracite)",FurnitureData,5,0)),IF(ISERROR(FIND("larder",A5))=FALSE,VLOOKUP("Pull out larder unit 600mm",FurnitureData,5,0),IF(AND(ISERROR(FIND("drawer box",A5))=FALSE,ISERROR(FIND("internal",A5))=TRUE),VLOOKUP("Drawer runners and clip set (550) Dynapro",FurnitureData,5,0),IF(ISERROR(FIND("internal drawer box",A5))=FALSE,VLOOKUP("Drawer runners and clip set (450) Dynapro",FurnitureData,5,0),"")))))</f>
        <v/>
      </c>
      <c r="L5" s="152">
        <f t="shared" si="3"/>
        <v>177.5649125</v>
      </c>
      <c r="M5" s="154">
        <f>IFERROR(__xludf.DUMMYFUNCTION("IF(A5="""","""",IF(OR(ISERROR(FIND(""larder"",A5))=FALSE,ISERROR(FIND(""unit"",A5))=FALSE),VLOOKUP(LEFT(A5,FIND("" "",A5))&amp;""carcass ""&amp;RIGHT(A5,LEN(A5)-len(regexextract(A5,"".* ""))),KitchensData,13,0),IF(ISERROR(FIND(""bins"",A5))=FALSE,0.95,IF(ISERROR("&amp;"FIND(""Cutlery insert 600"",A5))=FALSE,1.3,IF(ISERROR(FIND(""Cutlery insert 1200"",A5))=FALSE,2,IF(ISERROR(FIND(""Pan/tray rack 600"",A5))=FALSE,3.25,IF(ISERROR(FIND(""Pan/tray rack 1200"",A5))=FALSE,5.9,IF(ISERROR(FIND(""split"",A5))=FALSE,(((C5/1000)*0."&amp;"022)*2)+VLOOKUP(SUBSTITUTE(A5,"" split"",""""),KitchensData,13,0),IF(AND(ISERROR(FIND(""drawer front"",A5))=FALSE,KitchenDoorStyle=""Flat""),(((B5/1000)*(C5/1000))*2)+((((B5+C5)/1000)*2)*0.022),IF(AND(ISERROR(FIND(""drawer front"",A5))=FALSE,LEFT(KitchenD"&amp;"oorStyle,5)=""Panel""),(((B5/1000)*(C5/1000))*2)+((((B5+C5)/1000)*2)*0.022)+((((C5/1000)-0.16)*0.013)*2)+((((D5/1000)-0.16)*0.013)*2),IF(AND(ISERROR(FIND(""drawer front"",A5))=FALSE,KitchenDoorStyle=""In-frame flat""),((((B5-76)/1000)*((C5-38)/1000))*2)+("&amp;"MID(KitchenDoorMaterial,FIND(""("",KitchenDoorMaterial)+1,2)/1000)*((((B5-76)+(C5-38))/1000)*2)+(((B5/1000)*0.032)*2)+((((B5-76)/1000)*0.032)*2)+(((B5/1000)*0.019)*4)+(((C5/1000)*0.032)*2)+((((C5-38)/1000)*0.032)*2)+(((C5/1000)*0.038)*4),IF(AND(ISERROR(FI"&amp;"ND(""drawer front"",A5))=FALSE,LEFT(KitchenDoorStyle,14)=""In-frame panel""),((((B5-76)/1000)*((C5-38)/1000))*2)+((MID(KitchenDoorMaterial,FIND(""("",KitchenDoorMaterial)+1,2)/1000)*((((B5-76)+(C5-38))/1000)*2))+((((B5-236)/1000)+((C5-198)/1000)*2)*0.013)"&amp;"+(((B5/1000)*0.032)*2)+((((B5-76)/1000)*0.032)*2)+(((B5/1000)*0.019)*4)+(((C5/1000)*0.032)*2)+((((C5-38)/1000)*0.032)*2)+(((C5/1000)*0.038)*4),IF(ISERROR(FIND(""drawer box"",A5))=FALSE,((((B5/1000)*(D5/1000))+((B5/1000)*(C5/1000)))*4)+((((D5/1000)+(C5/100"&amp;"0))*0.016)*4)+(((C5/1000)*(D5/1000))*2),IF(OR(ISERROR(FIND(""shelf"",A5))=FALSE,ISERROR(FIND(""spacer"",A5))=FALSE,,ISERROR(FIND(""filler panel"",A5))=FALSE),(((C5/1000)*(D5/1000))*2)+((((C5+D5)*2)/1000)*0.022),IF(ISERROR(FIND(""lost corner"",A5))=FALSE,("&amp;"((B5/1000)*(C5/1000))*2)+((B5/1000)*(C5/1000))+((B5/1000)*((C5/2)/1000))+((((B5/1000)*0.025)+((C5/1000)*0.025))*2),IF(ISERROR(FIND(""carcass"",A5))=FALSE,(((C5/1000)*(D5/1000))*2)+(((B5/1000)*(D5/1000))*2)+((B5/1000)*(C5/1000))+((((B5/1000)*0.025)+((C5/10"&amp;"00)*0.025))*2),IF(AND(ISERROR(FIND(""door"",A5))=FALSE,KitchenDoorStyle=""Flat""),(((B5/1000)*(C5/1000))*2)+(MID(KitchenDoorMaterial,FIND(""("",KitchenDoorMaterial)+1,2)/1000)*(((B5+C5)/1000)*2),IF(AND(ISERROR(FIND(""door"",A5))=FALSE,LEFT(KitchenDoorStyl"&amp;"e,5)=""Panel""),(((B5/1000)*(C5/1000))*2)+((MID(KitchenDoorMaterial,FIND(""("",KitchenDoorMaterial)+1,2)/1000)*(((B5+C5)/1000)*2))+(((((B5-160)+(C5-160))*2)/1000)*(0.013)),IF(AND(ISERROR(FIND(""door"",A5))=FALSE,KitchenDoorStyle=""In-frame flat""),((((B5-"&amp;"76)/1000)*((C5-38)/1000))*2)+(MID(KitchenDoorMaterial,FIND(""("",KitchenDoorMaterial)+1,2)/1000)*((((B5-76)+(C5-38))/1000)*2)+(((B5/1000)*0.032)*2)+((((B5-76)/1000)*0.032)*2)+(((B5/1000)*0.019)*4)+(((C5/1000)*0.032)*2)+((((C5-38)/1000)*0.032)*2)+(((C5/100"&amp;"0)*0.038)*4),IF(AND(ISERROR(FIND(""door"",A5))=FALSE,LEFT(KitchenDoorStyle,14)=""In-frame panel""),((((B5-76)/1000)*((C5-38)/1000))*2)+((MID(KitchenDoorMaterial,FIND(""("",KitchenDoorMaterial)+1,2)/1000)*((((B5-76)+(C5-38))/1000)*2))+((((B5-236)/1000)+((C"&amp;"5-198)/1000)*2)*0.013)+(((B5/1000)*0.032)*2)+((((B5-76)/1000)*0.032)*2)+(((B5/1000)*0.019)*4)+(((C5/1000)*0.032)*2)+((((C5-38)/1000)*0.032)*2)+(((C5/1000)*0.038)*4),IF(ISERROR(FIND(""Plinth"",A5))=FALSE,((B5/1000)*(C5/1000))+(((C5/1000)*0.018)*2)+(((B5/10"&amp;"00)*0.018)*2),IF(ISERROR(FIND(""Cornice"",A5))=FALSE,(((C5/1000)*0.1)*2)+(((C5/1000)*0.044)*2)+(((B5/1000)*0.08)*2),IF(ISERROR(FIND(""Base end panel"",A5))=FALSE,((B5/1000)*(C5/1000))+(0.022*((B5/1000)+((C5/1000)*2)))+((B5/1000)*0.05),IF(ISERROR(FIND(""Wa"&amp;"ll end panel"",A5))=FALSE,((B5/1000)*(C5/1000))+(0.022*((B5/1000)+((C5/1000)*2)))+((B5/1000)*0.05),IF(ISERROR(FIND(""Tower end panel"",A5))=FALSE,((B5/1000)*(C5/1000))+(0.022*((B5/1000)+((C5/1000)*2)))+((B5/1000)*0.05),IF(ISERROR(FIND(""Fillers"",A5))=FAL"&amp;"SE,((C5/1000)*0.06)+((C5/1000)*0.069)+((0.06*0.018)*2)+((0.06*0.009)*2)+((C5/1000)*0.009)+((C5/1000)*0.018),IF(ISERROR(FIND(""corner post"",A5))=FALSE,(((B5/1000*0.05)*2)+((B5/1000)*0.022)*2)+((B5/1000)*0.072)+((B5/1000)*0.05)+((0.072*0.022)*2)+((0.05*0.0"&amp;"22)*2),IF(ISERROR(FIND(""Pelmet"",A5))=FALSE,((C5/1000)*0.05)+((C5/1000)*0.068)+((0.05*0.018)*4)+(((C5/1000)*0.018))*2))))))))))))))))))))))))))))"),3.46)</f>
        <v>3.46</v>
      </c>
      <c r="N5" s="152">
        <f>IF(M5="","",IF(AND(ISERROR(FIND("carcass",A5))=TRUE,ISERROR(FIND("unit",A5))=TRUE,ISERROR(FIND("insert",A5))=TRUE,ISERROR(FIND("rack",A5))=TRUE,ISERROR(FIND("box",A5))=TRUE,ISERROR(FIND("shelf",#REF!))=TRUE),VLOOKUP(KitchenDoorFinish,Finishing!$A$2:$K$10,9,0)*M5,VLOOKUP(KitchenCarcassFinish,Finishing!$A$2:$K$40,9,0)*M5))</f>
        <v>12.975</v>
      </c>
      <c r="O5" s="155">
        <v>1.0</v>
      </c>
      <c r="P5" s="155">
        <v>1.0</v>
      </c>
      <c r="Q5" s="152">
        <f>IF(OR(O5="",P5=""),"",((O5*X5)*(VLOOKUP("Workshop",Labour!$A$3:$E$20,4,0)/8))+((P5*AE5)*(VLOOKUP("Finishing",Labour!$A$3:$E$20,4,0)/8)))</f>
        <v>71.75</v>
      </c>
      <c r="R5" s="152">
        <f t="shared" si="4"/>
        <v>262.2899125</v>
      </c>
      <c r="S5" s="156">
        <f>IF(OR(O5="",P5=""),"",IF(OR(ISERROR(FIND("carcass",$A5))=FALSE,ISERROR(FIND("unit",$A5))=FALSE),VLOOKUP(KitchenCarcassMaterial,FixedListsCarcassMaterial,2,0),0))</f>
        <v>1</v>
      </c>
      <c r="T5" s="156">
        <f>IF(OR(O5="",P5=""),"",IF(ISERROR(FIND("door",$A5))=FALSE,VLOOKUP(KitchenDoorStyle,FixedListsDoorStyle,2,0),0))</f>
        <v>0</v>
      </c>
      <c r="U5" s="156">
        <f>IF(OR(O5="",P5=""),"",IF(ISERROR(FIND("door",$A5))=FALSE,VLOOKUP(KitchenDoorMaterial,FixedListsDoorMaterial,2,0),0))</f>
        <v>0</v>
      </c>
      <c r="V5" s="156">
        <f>IF(OR(O5="",P5=""),"",IF(ISERROR(FIND("drawer",$A5))=FALSE,VLOOKUP(KitchenDrawerType,FixedListsDrawerType,2,0),0))</f>
        <v>0</v>
      </c>
      <c r="W5" s="156">
        <f>IF(OR(O5="",P5=""),"",IF(OR(S5&gt;0, T5&gt;0,V5&gt;0),VLOOKUP(KitchenHandleType,FixedListsHandleType,2,FALSE)*IF(KitchenHandleType="Simple",0,IF(S5&gt;0,VLOOKUP(KitchenHandleType,FixedListsHandleType,4,FALSE),IF(OR(T5&gt;0,V5&gt;0),1-VLOOKUP(KitchenHandleType,FixedListsHandleType,4,FALSE),"Error"))),0))</f>
        <v>0</v>
      </c>
      <c r="X5" s="156">
        <f t="shared" si="5"/>
        <v>1</v>
      </c>
      <c r="Y5" s="156">
        <f>IF(OR(O5="",P5=""),"",IF(OR(ISERROR(FIND("carcass",$A5))=FALSE,ISERROR(FIND("unit",$A5))=FALSE),VLOOKUP(KitchenCarcassMaterial,FixedListsCarcassMaterial,3,0),0))</f>
        <v>1</v>
      </c>
      <c r="Z5" s="156">
        <f>IF(OR(O5="",P5=""),"",IF(ISERROR(FIND("door",$A5))=FALSE,VLOOKUP(KitchenDoorStyle,FixedListsDoorStyle,3,0),0))</f>
        <v>0</v>
      </c>
      <c r="AA5" s="156">
        <f>IF(OR(O5="",P5=""),"",IF(ISERROR(FIND("door",$A5))=FALSE,VLOOKUP(KitchenDoorMaterial,FixedListsDoorMaterial,3,0),0))</f>
        <v>0</v>
      </c>
      <c r="AB5" s="156">
        <f>IF(OR(O5="",P5=""),"",IF(ISERROR(FIND("drawer",$A5))=FALSE,VLOOKUP(KitchenDrawerType,FixedListsDrawerType,3,0),0))</f>
        <v>0</v>
      </c>
      <c r="AC5" s="156">
        <f>IF(OR(O5="",P5=""),"",IF(OR(Y5&gt;0,Z5&gt;0,AB5&gt;0),VLOOKUP(KitchenHandleType,FixedListsHandleType,3,FALSE),0))</f>
        <v>1</v>
      </c>
      <c r="AD5" s="156">
        <f>IF(OR(O5="",P5=""),"",IF(OR(ISERROR(FIND("carcass",$A5))=FALSE,ISERROR(FIND("unit",$A5))=FALSE),VLOOKUP(KitchenCarcassFinish,FixedListsFinishes,3,0),IF(OR(ISERROR(FIND("door",$A5))=FALSE,ISERROR(FIND("Plinth",$A5))=FALSE,ISERROR(FIND("Cornice",$A5))=FALSE,ISERROR(FIND("Fillers",$A5))=FALSE,ISERROR(FIND("Pelmet",$A5))=FALSE,ISERROR(FIND("panel",$A5))=FALSE,ISERROR(FIND("post",$A5))=FALSE),VLOOKUP(KitchenDoorFinish,FixedListsFinishes,3,0),IF(OR(ISERROR(FIND("drawer",$A5))=FALSE,ISERROR(FIND("insert",$A5))=FALSE,ISERROR(FIND("rck",$A5))=FALSE),VLOOKUP(KitchenCarcassFinish,FixedListsFinishes,3,0),0))))</f>
        <v>1</v>
      </c>
      <c r="AE5" s="156">
        <f t="shared" si="6"/>
        <v>1</v>
      </c>
      <c r="AF5" s="157" t="str">
        <f>IF(AND(KitchenHandleType="Channel",OR(ISERROR(FIND("arcass",$A5))=FALSE,ISERROR(FIND("unit",$A5))=FALSE)),IF(ISERROR(FIND("Tower",$A5))=TRUE,IF(KitchenHandleFinish="Match carcass",IF(ISERROR(FIND("Walnut",KitchenCarcassMaterial))=FALSE,(0.035*0.075*($C5/1000))*VLOOKUP("Walnut (solid m3)",SolidData,4,FALSE),IF(ISERROR(FIND("Oak",KitchenCarcassMaterial))=FALSE,(0.035*0.075*($C5/1000))*VLOOKUP("Oak (solid m3)",SolidData,4,FALSE),IF(ISERROR(FIND("ply",KitchenCarcassMaterial))=FALSE,(0.1*($C5/1000))*VLOOKUP("Birch ply (24mm)",SheetsData,7,FALSE),IF(ISERROR(FIND("H/F",KitchenCarcassMaterial))=FALSE,(0.1*($C5/1000))*VLOOKUP("H/F (22mm)",SheetsData,7,FALSE),"Carcass - not tower - new material")))),IF(KitchenHandleFinish="Match door",IF(ISERROR(FIND("Walnut",KitchenDoorMaterial))=FALSE,(0.035*0.075*($C5/1000))*VLOOKUP("Walnut (solid m3)",SolidData,4,FALSE),IF(ISERROR(FIND("Oak",KitchenDoorMaterial))=FALSE,(0.035*0.075*($C5/1000))*VLOOKUP("Oak (solid m3)",SolidData,4,FALSE),IF(ISERROR(FIND("ply",KitchenDoorMaterial))=FALSE,(0.1*($C5/1000))*VLOOKUP("Birch ply (24mm)",SheetsData,7,FALSE),IF(ISERROR(FIND("H/F",KitchenCarcassMaterial))=FALSE,(0.1*($C5/1000))*VLOOKUP("H/F (22mm)",SheetsData,7,FALSE),"Door - not tower - new material")))),"Channel - not tower - handle set to other")),IF(ISERROR(FIND("Tower",$A5))=FALSE,IF(KitchenHandleFinish="Match carcass",IF(ISERROR(FIND("Walnut",KitchenCarcassMaterial))=FALSE,(0.035*0.075*($B5/1000))*VLOOKUP("Walnut (solid m3)",SolidData,4,FALSE),IF(ISERROR(FIND("Oak",KitchenCarcassMaterial))=FALSE,(0.035*0.075*($B5/1000))*VLOOKUP("Oak (solid m3)",SolidData,4,FALSE),IF(ISERROR(FIND("ply",KitchenCarcassMaterial))=FALSE,(0.1*($B5/1000))*VLOOKUP("Birch ply (24mm)",SheetsData,7,FALSE),IF(ISERROR(FIND("H/F",KitchenCarcassMaterial))=FALSE,(0.1*($C5/1000))*VLOOKUP("H/F (22mm)",SheetsData,7,FALSE),"Carcass - tower - new material")))),IF(KitchenHandleFinish="Match door",IF(ISERROR(FIND("Walnut",KitchenDoorMaterial))=FALSE,(0.035*0.075*($B5/1000))*VLOOKUP("Walnut (solid m3)",SolidData,4,FALSE),IF(ISERROR(FIND("Oak",KitchenDoorMaterial))=FALSE,(0.035*0.075*($B5/1000))*VLOOKUP("Oak (solid m3)",SolidData,4,FALSE),IF(ISERROR(FIND("ply",KitchenDoorMaterial))=FALSE,(0.1*($B5/1000))*VLOOKUP("Birch ply (24mm)",SheetData,7,FALSE),IF(ISERROR(FIND("H/F",KitchenCarcassMaterial))=FALSE,(0.1*($C5/1000))*VLOOKUP("H/F (22mm)",SheetsData,7,FALSE),"Door - tower - new material")))),"Channel - tower - handle set to other")))),"")</f>
        <v/>
      </c>
    </row>
    <row r="6">
      <c r="A6" s="151" t="s">
        <v>114</v>
      </c>
      <c r="B6" s="115">
        <f t="shared" si="1"/>
        <v>800</v>
      </c>
      <c r="C6" s="115" t="str">
        <f>IFERROR(__xludf.DUMMYFUNCTION("IF(A6="""","""",IF(OR(RIGHT(A6,LEN(A6)-len(regexextract(A6,"".* "")))=""1200"",RIGHT(A6,LEN(A6)-len(regexextract(A6,"".* "")))=""600"",RIGHT(A6,LEN(A6)-len(regexextract(A6,"".* "")))=""400"",RIGHT(A6,LEN(A6)-len(regexextract(A6,"".* "")))=""300"",RIGHT(A6"&amp;",LEN(A6)-len(regexextract(A6,"".* "")))=""700"",RIGHT(A6,LEN(A6)-len(regexextract(A6,"".* "")))=""2400"",RIGHT(A6,LEN(A6)-len(regexextract(A6,"".* "")))=""650"",RIGHT(A6,LEN(A6)-len(regexextract(A6,"".* "")))=""350"",RIGHT(A6,LEN(A6)-len(regexextract(A6,"&amp;""".* "")))=""50""),RIGHT(A6,LEN(A6)-len(regexextract(A6,"".* ""))),IF(OR(ISERROR(FIND(""spacer"",A6))=FALSE,ISERROR(FIND(""filler panel"",A6))=FALSE),""1000"",""Unexpected size in description"")))"),"600")</f>
        <v>600</v>
      </c>
      <c r="D6" s="151">
        <f t="shared" si="2"/>
        <v>600</v>
      </c>
      <c r="E6" s="152">
        <f>IFERROR(__xludf.DUMMYFUNCTION("IF(OR(A6="""",AND(ISERROR(FIND(""drawer box"",A6))=FALSE,KitchenDrawerType="""")),"""",IF(OR(ISERROR(FIND(""larder"",A6))=FALSE,ISERROR(FIND(""fridge/freezer"",A6))=FALSE,ISERROR(FIND(""double oven"",A6))=FALSE,ISERROR(FIND(""single oven"",A6))=FALSE),VLO"&amp;"OKUP(LEFT(A6,FIND("" "",A6))&amp;""carcass ""&amp;RIGHT(A6,LEN(A6)-(LEN(A6)-3)),KitchensData,5,0),IF(ISERROR(FIND(""sink"",A6))=FALSE,VLOOKUP(LEFT(A6,FIND("" "",A6))&amp;""carcass ""&amp;VALUE(REGEXREPLACE(A6,""[^[:digit:]]"", """")),KitchensData,5,0)+(((C6/1000)*(300/10"&amp;"00))*VLOOKUP(KitchenCarcassMaterial,SheetsData,8,0)),IF(ISERROR(FIND(""bins"",A6))=FALSE,IF(ISERROR(FIND(""veneer"",KitchenCarcassMaterial))=FALSE,VLOOKUP(""Base carcass 600"",KitchensData,5,0)+(0.72*(VLOOKUP(LEFT(KitchenCarcassMaterial,FIND("" "",Kitchen"&amp;"CarcassMaterial)-1)&amp;"" (solid m3)"",SolidData,5,0)*0.016)),VLOOKUP(""Base carcass 600"",KitchensData,5,0)+(0.72*VLOOKUP(KitchenCarcassMaterial,SheetsData,8,0))),IF(ISERROR(FIND(""Cutlery insert 600"",A6))=FALSE,IF(ISERROR(FIND(""veneer"",KitchenCarcassMat"&amp;"erial))=FALSE,0.54*(VLOOKUP(LEFT(KitchenCarcassMaterial,FIND("" "",KitchenCarcassMaterial)-1)&amp;"" (solid m3)"",SolidData,5,0)*0.016),0.54*VLOOKUP(KitchenCarcassMaterial,SheetsData,8,0)),IF(ISERROR(FIND(""Cutlery insert 1200"",A6))=FALSE,IF(ISERROR(FIND(""v"&amp;"eneer"",KitchenCarcassMaterial))=FALSE,0.84*(VLOOKUP(LEFT(KitchenCarcassMaterial,FIND("" "",KitchenCarcassMaterial)-1)&amp;"" (solid m3)"",SolidData,5,0)*0.016),0.84*VLOOKUP(KitchenCarcassMaterial,SheetsData,8,0)),IF(ISERROR(FIND(""Pan/tray rack 600"",A6))=FA"&amp;"LSE,IF(ISERROR(FIND(""veneer"",KitchenCarcassMaterial))=FALSE,1.44*(VLOOKUP(LEFT(KitchenCarcassMaterial,FIND("" "",KitchenCarcassMaterial)-1)&amp;"" (solid m3)"",SolidData,5,0)*0.016),1.44*VLOOKUP(KitchenCarcassMaterial,SheetsData,8,0)),IF(ISERROR(FIND(""Pan/"&amp;"tray rack 1200"",A6))=FALSE,IF(ISERROR(FIND(""veneer"",KitchenCarcassMaterial))=FALSE,2.7*(VLOOKUP(LEFT(KitchenCarcassMaterial,FIND("" "",KitchenCarcassMaterial)-1)&amp;"" (solid m3)"",SolidData,5,0)*0.016),2.7*VLOOKUP(KitchenCarcassMaterial,SheetsData,8,0)),"&amp;"IF(ISERROR(FIND(""drawer front"",A6))=FALSE,((B6/1000)*(C6/1000))*VLOOKUP(KitchenDoorMaterial,SheetsData,8,0),IF(AND(KitchenDrawerType=""Match carcass"",ISERROR(FIND(""drawer box"",A6))=FALSE),(((((B6/1000)*(C6/1000))+((B6/1000)*(D6/1000)))*2)*VLOOKUP(Kit"&amp;"chenCarcassMaterial,SheetsData,8,0))+(((C6/1000)*(D6/1000))*VLOOKUP(LEFT(KitchenCarcassMaterial,FIND(""("",KitchenCarcassMaterial)-1)&amp;IF(OR(ISERROR(FIND(""ply"",KitchenCarcassMaterial))=FALSE,ISERROR(FIND(""H/F"",KitchenCarcassMaterial))=FALSE),""(9mm)"","&amp;"""(10mm)""),SheetsData,8,0)),IF(AND(KitchenDrawerType=""Solid dovetail"",ISERROR(FIND(""drawer box"",A6))=FALSE),(((((B6/1000)*(C6/1000))+((B6/1000)*(D6/1000)))*2)*(16/1000)*VLOOKUP(LEFT(KitchenCarcassMaterial,FIND("" "",KitchenCarcassMaterial))&amp;""(solid "&amp;"m3)"",SolidData,5,0))+(((C6/1000)*(D6/1000))*VLOOKUP(LEFT(KitchenCarcassMaterial,FIND(""("",KitchenCarcassMaterial)-1)&amp;IF(OR(ISERROR(FIND(""ply"",KitchenCarcassMaterial))=FALSE,ISERROR(FIND(""H/F"",KitchenCarcassMaterial))=FALSE),""(9mm)"",""(10mm)""),She"&amp;"etsData,8,0)),IF(ISERROR(FIND(""spacer"",A6))=FALSE,((D6/1000)*(C6/1000))*VLOOKUP(""Poplar ply (18mm)"",SheetsData,8,0),IF(ISERROR(FIND(""filler panel"",A6))=FALSE,((B6/1000)*(C6/1000))*VLOOKUP(KitchenDoorMaterial,SheetsData,8,0),IF(ISERROR(FIND(""shelf"""&amp;",A6))=FALSE,((D6/1000)*(C6/1000))*VLOOKUP(KitchenCarcassMaterial,SheetsData,8,0),IF(ISERROR(FIND(""lost corner"",A6))=FALSE,VLOOKUP(LEFT(A6,FIND("" "",A6))&amp;""carcass ""&amp;VALUE(REGEXREPLACE(A6,""[^[:digit:]]"", """")),KitchensData,5,0)+((((B6/1000)*(C6/1000"&amp;"))+((B6/1000)*(60/1000)))*VLOOKUP(KitchenCarcassMaterial,SheetsData,8,0)),IF(ISERROR(FIND(""carcass"",A6))=FALSE,(((((B6/1000)*2)*(D6/1000))+(((C6/1000)*2)*(D6/1000)))*VLOOKUP(KitchenCarcassMaterial,SheetsData,8,0))+((B6/1000)*(C6/1000))*VLOOKUP(LEFT(Kitc"&amp;"henCarcassMaterial,FIND(""("",KitchenCarcassMaterial)-1)&amp;IF(OR(ISERROR(FIND(""ply"",KitchenCarcassMaterial))=FALSE,ISERROR(FIND(""H/F"",KitchenCarcassMaterial))=FALSE),""(9mm)"",""(10mm)""),SheetsData,8,0),IF(OR(ISERROR(FIND(""Plinth"",A6))=FALSE,ISERROR("&amp;"FIND(""Cornice (flat)"",A6))=FALSE),((B6/1000)*(C6/1000))*VLOOKUP(""H/F (18mm)"",SheetsData,8,0),IF(ISERROR(FIND(""Cornice (stacked)"",A6))=FALSE,((0.08*(C6/1000))*2)*VLOOKUP(""H/F (22mm)"",SheetsData,8,0),IF(ISERROR(FIND(""Base end panel"",A6))=FALSE,VLO"&amp;"OKUP(KitchenDoorMaterial,SheetsData,5,0)/3,IF(ISERROR(FIND(""Wall end panel"",A6))=FALSE,VLOOKUP(KitchenDoorMaterial,SheetsData,5,0)/9,IF(ISERROR(FIND(""Tower end panel"",A6))=FALSE,VLOOKUP(KitchenDoorMaterial,SheetsData,5,0),IF(ISERROR(FIND(""Fillers"",A"&amp;"6))=FALSE,(((0.06*(C6/1000))*2)*VLOOKUP(""H/F (18mm)"",SheetsData,8,0))+(((0.06*(C6/1000))*2)*VLOOKUP(""H/F (9mm)"",SheetsData,8,0)),IF(ISERROR(FIND(""corner post"",A6))=FALSE,(((B6/1000)*0.05)*2)*VLOOKUP(KitchenDoorMaterial,SheetsData,8,0),IF(ISERROR(FIN"&amp;"D(""Pelmet"",A6))=FALSE,((((B6/1000)*(C6/1000))*2)*VLOOKUP(""H/F (18mm)"",SheetsData,8,0)),IF(ISERROR(FIND(""door"",A6))=TRUE,""Check description"",IF(KitchenDoorStyle=""Flat"",((B6/1000)*(C6/1000))*VLOOKUP(KitchenDoorMaterial,SheetsData,8,0),IF(LEFT(Kitc"&amp;"henDoorStyle,5)=""Panel"",(((((B6/1000)*2)*0.08)+((((C6/1000)-0.16)*2)*0.08))*VLOOKUP(""H/F (22mm)"",SheetsData,8,0))+(((B6/1000)-0.14)*((C6/1000)-0.14)*VLOOKUP(""H/F (9mm)"",SheetsData,8,0)),IF(KitchenDoorStyle=""In-frame flat"",((((((B6/1000)*0.019)*0.0"&amp;"38)+((((C6-38)/1000)*0.038)*0.038))*2)*VLOOKUP(""Tulip (solid m3)"",SolidData,5,0))+(((B6-76)/1000)*((C6-38)/1000))*VLOOKUP(""H/F (22mm)"",SheetsData,8,0),IF(LEFT(KitchenDoorStyle,14)=""In-frame panel"",(((((((B6/1000)*0.019)*0.038)+((((C6-38)/1000)*0.038"&amp;")*0.038))*2)*VLOOKUP(""Tulip (solid m3)"",SolidData,5,0))+(((((((B6-76)/1000)*2)*0.08)+(((((C6-198)/1000)*2)*0.08)))*VLOOKUP(""H/F (22mm)"",SheetsData,8,0))+(((B6-216)/1000)*((C6-178)/1000)*VLOOKUP(""H/F (9mm)"",SheetsData,8,0)))))))))))))))))))))))))))))"&amp;"))))"),66.15560333243752)</f>
        <v>66.15560333</v>
      </c>
      <c r="F6" s="152">
        <f>IFERROR(__xludf.DUMMYFUNCTION("IF(OR(A6="""",AND(ISERROR(FIND(""drawer box"",A6))=FALSE,KitchenDrawerType=""Solid dovetail"")),"""",IF(ISERROR(FIND(""bins"",A6))=FALSE,VLOOKUP(""Base carcass 600"",KitchensData,6,0),IF(OR(ISERROR(FIND(""larder"",A6))=FALSE,ISERROR(FIND(""unit"",A6))=FAL"&amp;"SE),VLOOKUP(LEFT(A6,FIND("" "",A6))&amp;""carcass ""&amp;RIGHT(A6,LEN(A6)-len(regexextract(A6,"".* ""))),KitchensData,6,0),IF(ISERROR(FIND(""drawer front"",A6))=FALSE,IF(ISERROR(FIND(""veneer"",KitchenCarcassMaterial))=TRUE,0,(((B6+C6)/1000)*2)*VLOOKUP(""Edge ban"&amp;"ding (per M)"",SheetsData,5,0)),IF(ISERROR(FIND(""drawer box"",A6))=FALSE,IF(ISERROR(FIND(""veneer"",KitchenCarcassMaterial))=TRUE,0,(((C6+D6)/1000)*2)*VLOOKUP(""Edge banding (per M)"",SheetsData,5,0)),IF(ISERROR(FIND(""shelf"",A6))=FALSE,IF(ISERROR(FIND("&amp;"""veneer"",KitchenCarcassMaterial))=TRUE,0,(C6/1000)*VLOOKUP(""Edge banding (per M)"",SheetsData,5,0)),IF(AND(ISERROR(FIND(""carcass"",A6))=FALSE,ISERROR(FIND(""shelf"",A6))=TRUE),IF(ISERROR(FIND(""veneer"",KitchenCarcassMaterial))=TRUE,0,((2*(B6+C6))/100"&amp;"0)*VLOOKUP(""Edge banding (per M)"",SheetsData,5,0)),IF(ISERROR(FIND(""door"",A6))=TRUE,"""",IF(ISERROR(FIND(""veneer"",KitchenDoorMaterial))=TRUE,"""",((2*(B6+C6))/1000)*VLOOKUP(""Edge banding (per M)"",SheetsData,5,0))))))))))"),0.0)</f>
        <v>0</v>
      </c>
      <c r="G6" s="153">
        <f>IF(A6="","",IF(ISERROR(FIND("bins",A6))=FALSE,VLOOKUP("Base carcass 600",KitchensData,7,0),IF(OR(ISERROR(FIND("larder",A6))=FALSE,ISERROR(FIND("fridge/freezer",A6))=FALSE,ISERROR(FIND("double oven",A6))=FALSE,ISERROR(FIND("single oven",A6))=FALSE),VLOOKUP(LEFT(A6,FIND(" ",A6))&amp;"carcass "&amp;RIGHT(A6,LEN(A6)-(LEN(A6)-3)),KitchensData,7,0),IF(AND(ISERROR(FIND("carcass",A6))=FALSE,ISERROR(FIND("shelf",A6))=TRUE),IF(OR(ISERROR(FIND("Base",A6))=FALSE,ISERROR(FIND("Tower",A6))=FALSE),IF(OR(ISERROR(FIND("1200",A6))=FALSE, ISERROR(FIND("lost corner",A6))=FALSE),6*VLOOKUP("Plinth foot (2 Parts 80mm)",FurnitureData,5,0),4*VLOOKUP("Plinth foot (2 Parts 80mm)",FurnitureData,5,0)),""),""))))</f>
        <v>3.8</v>
      </c>
      <c r="H6" s="115" t="str">
        <f>IF(OR(A6="",ISERROR(FIND("door",A6))=TRUE),"",IF(ISERROR(FIND("Wall",A6))=FALSE,VLOOKUP("Hinges &amp; plates (Hettich thick door)",FurnitureData,5,0)*2,IF(ISERROR(FIND("Base",A6))=FALSE,VLOOKUP("Hinges &amp; plates (Hettich thick door)",FurnitureData,5,0)*3,IF(ISERROR(FIND("Boiler",A6))=FALSE,VLOOKUP("Hinges &amp; plates (Hettich thick door)",FurnitureData,5,0)*4,IF(ISERROR(FIND("Tower",A6))=FALSE,VLOOKUP("Hinges &amp; plates (Hettich thick door)",FurnitureData,5,0)*5)))))</f>
        <v/>
      </c>
      <c r="I6" s="115" t="str">
        <f>IF(ISERROR(FIND("shelf",A6))=FALSE,(VLOOKUP("Shelf pegs",FurnitureData,5,0)/100)*4,"")</f>
        <v/>
      </c>
      <c r="J6" s="152">
        <f>IF(OR(ISERROR(FIND("fridge/freezer",A6))=FALSE,ISERROR(FIND("larder",A6))=FALSE,AND(ISERROR(FIND("Base",A6))=FALSE,ISERROR(FIND("bins",A6))=TRUE,ISERROR(FIND("no shelves",A6))=TRUE,OR(ISERROR(FIND("carcass",A6))=FALSE,ISERROR(FIND("unit",A6))=FALSE))),VLOOKUP("Deep shelf "&amp;C6,KitchensData,18,0),IF(AND(ISERROR(FIND("Wall",A6))=FALSE,ISERROR(FIND("carcass",A6))=FALSE),2*VLOOKUP("Shallow shelf "&amp;C6,KitchensData,18,0),IF(AND(ISERROR(FIND("Tower",A6))=FALSE,ISERROR(FIND("oven",A6))=FALSE),4*VLOOKUP("Deep shelf "&amp;C6,KitchensData,18,0),IF(AND(ISERROR(FIND("Tower",A6))=FALSE,ISERROR(FIND("carcass",A6))=FALSE),5*VLOOKUP("Deep shelf "&amp;C6,KitchensData,18,0),""))))</f>
        <v>53.89994125</v>
      </c>
      <c r="K6" s="152" t="str">
        <f>IF(ISERROR(FIND("sink",A6))=FALSE,VLOOKUP("Sink liner - Aluminium "&amp;RIGHT(A6,LEN(A6)-22)&amp;"mm",ExceptionalData,5,0),IF(ISERROR(FIND("bins",A6))=FALSE,VLOOKUP("Drawer runners and clip set for bin unit (500) Dynapro",FurnitureData,5,0)+(2*VLOOKUP("Bin (42L Anthracite)",FurnitureData,5,0)),IF(ISERROR(FIND("larder",A6))=FALSE,VLOOKUP("Pull out larder unit 600mm",FurnitureData,5,0),IF(AND(ISERROR(FIND("drawer box",A6))=FALSE,ISERROR(FIND("internal",A6))=TRUE),VLOOKUP("Drawer runners and clip set (550) Dynapro",FurnitureData,5,0),IF(ISERROR(FIND("internal drawer box",A6))=FALSE,VLOOKUP("Drawer runners and clip set (450) Dynapro",FurnitureData,5,0),"")))))</f>
        <v/>
      </c>
      <c r="L6" s="152">
        <f t="shared" si="3"/>
        <v>123.8555446</v>
      </c>
      <c r="M6" s="154">
        <f>IFERROR(__xludf.DUMMYFUNCTION("IF(A6="""","""",IF(OR(ISERROR(FIND(""larder"",A6))=FALSE,ISERROR(FIND(""unit"",A6))=FALSE),VLOOKUP(LEFT(A6,FIND("" "",A6))&amp;""carcass ""&amp;RIGHT(A6,LEN(A6)-len(regexextract(A6,"".* ""))),KitchensData,13,0),IF(ISERROR(FIND(""bins"",A6))=FALSE,0.95,IF(ISERROR("&amp;"FIND(""Cutlery insert 600"",A6))=FALSE,1.3,IF(ISERROR(FIND(""Cutlery insert 1200"",A6))=FALSE,2,IF(ISERROR(FIND(""Pan/tray rack 600"",A6))=FALSE,3.25,IF(ISERROR(FIND(""Pan/tray rack 1200"",A6))=FALSE,5.9,IF(ISERROR(FIND(""split"",A6))=FALSE,(((C6/1000)*0."&amp;"022)*2)+VLOOKUP(SUBSTITUTE(A6,"" split"",""""),KitchensData,13,0),IF(AND(ISERROR(FIND(""drawer front"",A6))=FALSE,KitchenDoorStyle=""Flat""),(((B6/1000)*(C6/1000))*2)+((((B6+C6)/1000)*2)*0.022),IF(AND(ISERROR(FIND(""drawer front"",A6))=FALSE,LEFT(KitchenD"&amp;"oorStyle,5)=""Panel""),(((B6/1000)*(C6/1000))*2)+((((B6+C6)/1000)*2)*0.022)+((((C6/1000)-0.16)*0.013)*2)+((((D6/1000)-0.16)*0.013)*2),IF(AND(ISERROR(FIND(""drawer front"",A6))=FALSE,KitchenDoorStyle=""In-frame flat""),((((B6-76)/1000)*((C6-38)/1000))*2)+("&amp;"MID(KitchenDoorMaterial,FIND(""("",KitchenDoorMaterial)+1,2)/1000)*((((B6-76)+(C6-38))/1000)*2)+(((B6/1000)*0.032)*2)+((((B6-76)/1000)*0.032)*2)+(((B6/1000)*0.019)*4)+(((C6/1000)*0.032)*2)+((((C6-38)/1000)*0.032)*2)+(((C6/1000)*0.038)*4),IF(AND(ISERROR(FI"&amp;"ND(""drawer front"",A6))=FALSE,LEFT(KitchenDoorStyle,14)=""In-frame panel""),((((B6-76)/1000)*((C6-38)/1000))*2)+((MID(KitchenDoorMaterial,FIND(""("",KitchenDoorMaterial)+1,2)/1000)*((((B6-76)+(C6-38))/1000)*2))+((((B6-236)/1000)+((C6-198)/1000)*2)*0.013)"&amp;"+(((B6/1000)*0.032)*2)+((((B6-76)/1000)*0.032)*2)+(((B6/1000)*0.019)*4)+(((C6/1000)*0.032)*2)+((((C6-38)/1000)*0.032)*2)+(((C6/1000)*0.038)*4),IF(ISERROR(FIND(""drawer box"",A6))=FALSE,((((B6/1000)*(D6/1000))+((B6/1000)*(C6/1000)))*4)+((((D6/1000)+(C6/100"&amp;"0))*0.016)*4)+(((C6/1000)*(D6/1000))*2),IF(OR(ISERROR(FIND(""shelf"",A6))=FALSE,ISERROR(FIND(""spacer"",A6))=FALSE,,ISERROR(FIND(""filler panel"",A6))=FALSE),(((C6/1000)*(D6/1000))*2)+((((C6+D6)*2)/1000)*0.022),IF(ISERROR(FIND(""lost corner"",A6))=FALSE,("&amp;"((B6/1000)*(C6/1000))*2)+((B6/1000)*(C6/1000))+((B6/1000)*((C6/2)/1000))+((((B6/1000)*0.025)+((C6/1000)*0.025))*2),IF(ISERROR(FIND(""carcass"",A6))=FALSE,(((C6/1000)*(D6/1000))*2)+(((B6/1000)*(D6/1000))*2)+((B6/1000)*(C6/1000))+((((B6/1000)*0.025)+((C6/10"&amp;"00)*0.025))*2),IF(AND(ISERROR(FIND(""door"",A6))=FALSE,KitchenDoorStyle=""Flat""),(((B6/1000)*(C6/1000))*2)+(MID(KitchenDoorMaterial,FIND(""("",KitchenDoorMaterial)+1,2)/1000)*(((B6+C6)/1000)*2),IF(AND(ISERROR(FIND(""door"",A6))=FALSE,LEFT(KitchenDoorStyl"&amp;"e,5)=""Panel""),(((B6/1000)*(C6/1000))*2)+((MID(KitchenDoorMaterial,FIND(""("",KitchenDoorMaterial)+1,2)/1000)*(((B6+C6)/1000)*2))+(((((B6-160)+(C6-160))*2)/1000)*(0.013)),IF(AND(ISERROR(FIND(""door"",A6))=FALSE,KitchenDoorStyle=""In-frame flat""),((((B6-"&amp;"76)/1000)*((C6-38)/1000))*2)+(MID(KitchenDoorMaterial,FIND(""("",KitchenDoorMaterial)+1,2)/1000)*((((B6-76)+(C6-38))/1000)*2)+(((B6/1000)*0.032)*2)+((((B6-76)/1000)*0.032)*2)+(((B6/1000)*0.019)*4)+(((C6/1000)*0.032)*2)+((((C6-38)/1000)*0.032)*2)+(((C6/100"&amp;"0)*0.038)*4),IF(AND(ISERROR(FIND(""door"",A6))=FALSE,LEFT(KitchenDoorStyle,14)=""In-frame panel""),((((B6-76)/1000)*((C6-38)/1000))*2)+((MID(KitchenDoorMaterial,FIND(""("",KitchenDoorMaterial)+1,2)/1000)*((((B6-76)+(C6-38))/1000)*2))+((((B6-236)/1000)+((C"&amp;"6-198)/1000)*2)*0.013)+(((B6/1000)*0.032)*2)+((((B6-76)/1000)*0.032)*2)+(((B6/1000)*0.019)*4)+(((C6/1000)*0.032)*2)+((((C6-38)/1000)*0.032)*2)+(((C6/1000)*0.038)*4),IF(ISERROR(FIND(""Plinth"",A6))=FALSE,((B6/1000)*(C6/1000))+(((C6/1000)*0.018)*2)+(((B6/10"&amp;"00)*0.018)*2),IF(ISERROR(FIND(""Cornice"",A6))=FALSE,(((C6/1000)*0.1)*2)+(((C6/1000)*0.044)*2)+(((B6/1000)*0.08)*2),IF(ISERROR(FIND(""Base end panel"",A6))=FALSE,((B6/1000)*(C6/1000))+(0.022*((B6/1000)+((C6/1000)*2)))+((B6/1000)*0.05),IF(ISERROR(FIND(""Wa"&amp;"ll end panel"",A6))=FALSE,((B6/1000)*(C6/1000))+(0.022*((B6/1000)+((C6/1000)*2)))+((B6/1000)*0.05),IF(ISERROR(FIND(""Tower end panel"",A6))=FALSE,((B6/1000)*(C6/1000))+(0.022*((B6/1000)+((C6/1000)*2)))+((B6/1000)*0.05),IF(ISERROR(FIND(""Fillers"",A6))=FAL"&amp;"SE,((C6/1000)*0.06)+((C6/1000)*0.069)+((0.06*0.018)*2)+((0.06*0.009)*2)+((C6/1000)*0.009)+((C6/1000)*0.018),IF(ISERROR(FIND(""corner post"",A6))=FALSE,(((B6/1000*0.05)*2)+((B6/1000)*0.022)*2)+((B6/1000)*0.072)+((B6/1000)*0.05)+((0.072*0.022)*2)+((0.05*0.0"&amp;"22)*2),IF(ISERROR(FIND(""Pelmet"",A6))=FALSE,((C6/1000)*0.05)+((C6/1000)*0.068)+((0.05*0.018)*4)+(((C6/1000)*0.018))*2))))))))))))))))))))))))))))"),2.23)</f>
        <v>2.23</v>
      </c>
      <c r="N6" s="152">
        <f>IF(M6="","",IF(AND(ISERROR(FIND("carcass",A6))=TRUE,ISERROR(FIND("unit",A6))=TRUE,ISERROR(FIND("insert",A6))=TRUE,ISERROR(FIND("rack",A6))=TRUE,ISERROR(FIND("box",A6))=TRUE,ISERROR(FIND("shelf",#REF!))=TRUE),VLOOKUP(KitchenDoorFinish,Finishing!$A$2:$K$10,9,0)*M6,VLOOKUP(KitchenCarcassFinish,Finishing!$A$2:$K$40,9,0)*M6))</f>
        <v>8.3625</v>
      </c>
      <c r="O6" s="155">
        <v>1.0</v>
      </c>
      <c r="P6" s="155">
        <v>1.0</v>
      </c>
      <c r="Q6" s="152">
        <f>IF(OR(O6="",P6=""),"",((O6*X6)*(VLOOKUP("Workshop",Labour!$A$3:$E$20,4,0)/8))+((P6*AE6)*(VLOOKUP("Finishing",Labour!$A$3:$E$20,4,0)/8)))</f>
        <v>71.75</v>
      </c>
      <c r="R6" s="152">
        <f t="shared" si="4"/>
        <v>203.9680446</v>
      </c>
      <c r="S6" s="156">
        <f>IF(OR(O6="",P6=""),"",IF(OR(ISERROR(FIND("carcass",$A6))=FALSE,ISERROR(FIND("unit",$A6))=FALSE),VLOOKUP(KitchenCarcassMaterial,FixedListsCarcassMaterial,2,0),0))</f>
        <v>1</v>
      </c>
      <c r="T6" s="156">
        <f>IF(OR(O6="",P6=""),"",IF(ISERROR(FIND("door",$A6))=FALSE,VLOOKUP(KitchenDoorStyle,FixedListsDoorStyle,2,0),0))</f>
        <v>0</v>
      </c>
      <c r="U6" s="156">
        <f>IF(OR(O6="",P6=""),"",IF(ISERROR(FIND("door",$A6))=FALSE,VLOOKUP(KitchenDoorMaterial,FixedListsDoorMaterial,2,0),0))</f>
        <v>0</v>
      </c>
      <c r="V6" s="156">
        <f>IF(OR(O6="",P6=""),"",IF(ISERROR(FIND("drawer",$A6))=FALSE,VLOOKUP(KitchenDrawerType,FixedListsDrawerType,2,0),0))</f>
        <v>0</v>
      </c>
      <c r="W6" s="156">
        <f>IF(OR(O6="",P6=""),"",IF(OR(S6&gt;0, T6&gt;0,V6&gt;0),VLOOKUP(KitchenHandleType,FixedListsHandleType,2,FALSE)*IF(KitchenHandleType="Simple",0,IF(S6&gt;0,VLOOKUP(KitchenHandleType,FixedListsHandleType,4,FALSE),IF(OR(T6&gt;0,V6&gt;0),1-VLOOKUP(KitchenHandleType,FixedListsHandleType,4,FALSE),"Error"))),0))</f>
        <v>0</v>
      </c>
      <c r="X6" s="156">
        <f t="shared" si="5"/>
        <v>1</v>
      </c>
      <c r="Y6" s="156">
        <f>IF(OR(O6="",P6=""),"",IF(OR(ISERROR(FIND("carcass",$A6))=FALSE,ISERROR(FIND("unit",$A6))=FALSE),VLOOKUP(KitchenCarcassMaterial,FixedListsCarcassMaterial,3,0),0))</f>
        <v>1</v>
      </c>
      <c r="Z6" s="156">
        <f>IF(OR(O6="",P6=""),"",IF(ISERROR(FIND("door",$A6))=FALSE,VLOOKUP(KitchenDoorStyle,FixedListsDoorStyle,3,0),0))</f>
        <v>0</v>
      </c>
      <c r="AA6" s="156">
        <f>IF(OR(O6="",P6=""),"",IF(ISERROR(FIND("door",$A6))=FALSE,VLOOKUP(KitchenDoorMaterial,FixedListsDoorMaterial,3,0),0))</f>
        <v>0</v>
      </c>
      <c r="AB6" s="156">
        <f>IF(OR(O6="",P6=""),"",IF(ISERROR(FIND("drawer",$A6))=FALSE,VLOOKUP(KitchenDrawerType,FixedListsDrawerType,3,0),0))</f>
        <v>0</v>
      </c>
      <c r="AC6" s="156">
        <f>IF(OR(O6="",P6=""),"",IF(OR(Y6&gt;0,Z6&gt;0,AB6&gt;0),VLOOKUP(KitchenHandleType,FixedListsHandleType,3,FALSE),0))</f>
        <v>1</v>
      </c>
      <c r="AD6" s="156">
        <f>IF(OR(O6="",P6=""),"",IF(OR(ISERROR(FIND("carcass",$A6))=FALSE,ISERROR(FIND("unit",$A6))=FALSE),VLOOKUP(KitchenCarcassFinish,FixedListsFinishes,3,0),IF(OR(ISERROR(FIND("door",$A6))=FALSE,ISERROR(FIND("Plinth",$A6))=FALSE,ISERROR(FIND("Cornice",$A6))=FALSE,ISERROR(FIND("Fillers",$A6))=FALSE,ISERROR(FIND("Pelmet",$A6))=FALSE,ISERROR(FIND("panel",$A6))=FALSE,ISERROR(FIND("post",$A6))=FALSE),VLOOKUP(KitchenDoorFinish,FixedListsFinishes,3,0),IF(OR(ISERROR(FIND("drawer",$A6))=FALSE,ISERROR(FIND("insert",$A6))=FALSE,ISERROR(FIND("rck",$A6))=FALSE),VLOOKUP(KitchenCarcassFinish,FixedListsFinishes,3,0),0))))</f>
        <v>1</v>
      </c>
      <c r="AE6" s="156">
        <f t="shared" si="6"/>
        <v>1</v>
      </c>
      <c r="AF6" s="157" t="str">
        <f>IF(AND(KitchenHandleType="Channel",OR(ISERROR(FIND("arcass",$A6))=FALSE,ISERROR(FIND("unit",$A6))=FALSE)),IF(ISERROR(FIND("Tower",$A6))=TRUE,IF(KitchenHandleFinish="Match carcass",IF(ISERROR(FIND("Walnut",KitchenCarcassMaterial))=FALSE,(0.035*0.075*($C6/1000))*VLOOKUP("Walnut (solid m3)",SolidData,4,FALSE),IF(ISERROR(FIND("Oak",KitchenCarcassMaterial))=FALSE,(0.035*0.075*($C6/1000))*VLOOKUP("Oak (solid m3)",SolidData,4,FALSE),IF(ISERROR(FIND("ply",KitchenCarcassMaterial))=FALSE,(0.1*($C6/1000))*VLOOKUP("Birch ply (24mm)",SheetsData,7,FALSE),IF(ISERROR(FIND("H/F",KitchenCarcassMaterial))=FALSE,(0.1*($C6/1000))*VLOOKUP("H/F (22mm)",SheetsData,7,FALSE),"Carcass - not tower - new material")))),IF(KitchenHandleFinish="Match door",IF(ISERROR(FIND("Walnut",KitchenDoorMaterial))=FALSE,(0.035*0.075*($C6/1000))*VLOOKUP("Walnut (solid m3)",SolidData,4,FALSE),IF(ISERROR(FIND("Oak",KitchenDoorMaterial))=FALSE,(0.035*0.075*($C6/1000))*VLOOKUP("Oak (solid m3)",SolidData,4,FALSE),IF(ISERROR(FIND("ply",KitchenDoorMaterial))=FALSE,(0.1*($C6/1000))*VLOOKUP("Birch ply (24mm)",SheetsData,7,FALSE),IF(ISERROR(FIND("H/F",KitchenCarcassMaterial))=FALSE,(0.1*($C6/1000))*VLOOKUP("H/F (22mm)",SheetsData,7,FALSE),"Door - not tower - new material")))),"Channel - not tower - handle set to other")),IF(ISERROR(FIND("Tower",$A6))=FALSE,IF(KitchenHandleFinish="Match carcass",IF(ISERROR(FIND("Walnut",KitchenCarcassMaterial))=FALSE,(0.035*0.075*($B6/1000))*VLOOKUP("Walnut (solid m3)",SolidData,4,FALSE),IF(ISERROR(FIND("Oak",KitchenCarcassMaterial))=FALSE,(0.035*0.075*($B6/1000))*VLOOKUP("Oak (solid m3)",SolidData,4,FALSE),IF(ISERROR(FIND("ply",KitchenCarcassMaterial))=FALSE,(0.1*($B6/1000))*VLOOKUP("Birch ply (24mm)",SheetsData,7,FALSE),IF(ISERROR(FIND("H/F",KitchenCarcassMaterial))=FALSE,(0.1*($C6/1000))*VLOOKUP("H/F (22mm)",SheetsData,7,FALSE),"Carcass - tower - new material")))),IF(KitchenHandleFinish="Match door",IF(ISERROR(FIND("Walnut",KitchenDoorMaterial))=FALSE,(0.035*0.075*($B6/1000))*VLOOKUP("Walnut (solid m3)",SolidData,4,FALSE),IF(ISERROR(FIND("Oak",KitchenDoorMaterial))=FALSE,(0.035*0.075*($B6/1000))*VLOOKUP("Oak (solid m3)",SolidData,4,FALSE),IF(ISERROR(FIND("ply",KitchenDoorMaterial))=FALSE,(0.1*($B6/1000))*VLOOKUP("Birch ply (24mm)",SheetData,7,FALSE),IF(ISERROR(FIND("H/F",KitchenCarcassMaterial))=FALSE,(0.1*($C6/1000))*VLOOKUP("H/F (22mm)",SheetsData,7,FALSE),"Door - tower - new material")))),"Channel - tower - handle set to other")))),"")</f>
        <v/>
      </c>
    </row>
    <row r="7">
      <c r="A7" s="151" t="s">
        <v>115</v>
      </c>
      <c r="B7" s="115">
        <f t="shared" si="1"/>
        <v>800</v>
      </c>
      <c r="C7" s="115" t="str">
        <f>IFERROR(__xludf.DUMMYFUNCTION("IF(A7="""","""",IF(OR(RIGHT(A7,LEN(A7)-len(regexextract(A7,"".* "")))=""1200"",RIGHT(A7,LEN(A7)-len(regexextract(A7,"".* "")))=""600"",RIGHT(A7,LEN(A7)-len(regexextract(A7,"".* "")))=""400"",RIGHT(A7,LEN(A7)-len(regexextract(A7,"".* "")))=""300"",RIGHT(A7"&amp;",LEN(A7)-len(regexextract(A7,"".* "")))=""700"",RIGHT(A7,LEN(A7)-len(regexextract(A7,"".* "")))=""2400"",RIGHT(A7,LEN(A7)-len(regexextract(A7,"".* "")))=""650"",RIGHT(A7,LEN(A7)-len(regexextract(A7,"".* "")))=""350"",RIGHT(A7,LEN(A7)-len(regexextract(A7,"&amp;""".* "")))=""50""),RIGHT(A7,LEN(A7)-len(regexextract(A7,"".* ""))),IF(OR(ISERROR(FIND(""spacer"",A7))=FALSE,ISERROR(FIND(""filler panel"",A7))=FALSE),""1000"",""Unexpected size in description"")))"),"400")</f>
        <v>400</v>
      </c>
      <c r="D7" s="151">
        <f t="shared" si="2"/>
        <v>600</v>
      </c>
      <c r="E7" s="152">
        <f>IFERROR(__xludf.DUMMYFUNCTION("IF(OR(A7="""",AND(ISERROR(FIND(""drawer box"",A7))=FALSE,KitchenDrawerType="""")),"""",IF(OR(ISERROR(FIND(""larder"",A7))=FALSE,ISERROR(FIND(""fridge/freezer"",A7))=FALSE,ISERROR(FIND(""double oven"",A7))=FALSE,ISERROR(FIND(""single oven"",A7))=FALSE),VLO"&amp;"OKUP(LEFT(A7,FIND("" "",A7))&amp;""carcass ""&amp;RIGHT(A7,LEN(A7)-(LEN(A7)-3)),KitchensData,5,0),IF(ISERROR(FIND(""sink"",A7))=FALSE,VLOOKUP(LEFT(A7,FIND("" "",A7))&amp;""carcass ""&amp;VALUE(REGEXREPLACE(A7,""[^[:digit:]]"", """")),KitchensData,5,0)+(((C7/1000)*(300/10"&amp;"00))*VLOOKUP(KitchenCarcassMaterial,SheetsData,8,0)),IF(ISERROR(FIND(""bins"",A7))=FALSE,IF(ISERROR(FIND(""veneer"",KitchenCarcassMaterial))=FALSE,VLOOKUP(""Base carcass 600"",KitchensData,5,0)+(0.72*(VLOOKUP(LEFT(KitchenCarcassMaterial,FIND("" "",Kitchen"&amp;"CarcassMaterial)-1)&amp;"" (solid m3)"",SolidData,5,0)*0.016)),VLOOKUP(""Base carcass 600"",KitchensData,5,0)+(0.72*VLOOKUP(KitchenCarcassMaterial,SheetsData,8,0))),IF(ISERROR(FIND(""Cutlery insert 600"",A7))=FALSE,IF(ISERROR(FIND(""veneer"",KitchenCarcassMat"&amp;"erial))=FALSE,0.54*(VLOOKUP(LEFT(KitchenCarcassMaterial,FIND("" "",KitchenCarcassMaterial)-1)&amp;"" (solid m3)"",SolidData,5,0)*0.016),0.54*VLOOKUP(KitchenCarcassMaterial,SheetsData,8,0)),IF(ISERROR(FIND(""Cutlery insert 1200"",A7))=FALSE,IF(ISERROR(FIND(""v"&amp;"eneer"",KitchenCarcassMaterial))=FALSE,0.84*(VLOOKUP(LEFT(KitchenCarcassMaterial,FIND("" "",KitchenCarcassMaterial)-1)&amp;"" (solid m3)"",SolidData,5,0)*0.016),0.84*VLOOKUP(KitchenCarcassMaterial,SheetsData,8,0)),IF(ISERROR(FIND(""Pan/tray rack 600"",A7))=FA"&amp;"LSE,IF(ISERROR(FIND(""veneer"",KitchenCarcassMaterial))=FALSE,1.44*(VLOOKUP(LEFT(KitchenCarcassMaterial,FIND("" "",KitchenCarcassMaterial)-1)&amp;"" (solid m3)"",SolidData,5,0)*0.016),1.44*VLOOKUP(KitchenCarcassMaterial,SheetsData,8,0)),IF(ISERROR(FIND(""Pan/"&amp;"tray rack 1200"",A7))=FALSE,IF(ISERROR(FIND(""veneer"",KitchenCarcassMaterial))=FALSE,2.7*(VLOOKUP(LEFT(KitchenCarcassMaterial,FIND("" "",KitchenCarcassMaterial)-1)&amp;"" (solid m3)"",SolidData,5,0)*0.016),2.7*VLOOKUP(KitchenCarcassMaterial,SheetsData,8,0)),"&amp;"IF(ISERROR(FIND(""drawer front"",A7))=FALSE,((B7/1000)*(C7/1000))*VLOOKUP(KitchenDoorMaterial,SheetsData,8,0),IF(AND(KitchenDrawerType=""Match carcass"",ISERROR(FIND(""drawer box"",A7))=FALSE),(((((B7/1000)*(C7/1000))+((B7/1000)*(D7/1000)))*2)*VLOOKUP(Kit"&amp;"chenCarcassMaterial,SheetsData,8,0))+(((C7/1000)*(D7/1000))*VLOOKUP(LEFT(KitchenCarcassMaterial,FIND(""("",KitchenCarcassMaterial)-1)&amp;IF(OR(ISERROR(FIND(""ply"",KitchenCarcassMaterial))=FALSE,ISERROR(FIND(""H/F"",KitchenCarcassMaterial))=FALSE),""(9mm)"","&amp;"""(10mm)""),SheetsData,8,0)),IF(AND(KitchenDrawerType=""Solid dovetail"",ISERROR(FIND(""drawer box"",A7))=FALSE),(((((B7/1000)*(C7/1000))+((B7/1000)*(D7/1000)))*2)*(16/1000)*VLOOKUP(LEFT(KitchenCarcassMaterial,FIND("" "",KitchenCarcassMaterial))&amp;""(solid "&amp;"m3)"",SolidData,5,0))+(((C7/1000)*(D7/1000))*VLOOKUP(LEFT(KitchenCarcassMaterial,FIND(""("",KitchenCarcassMaterial)-1)&amp;IF(OR(ISERROR(FIND(""ply"",KitchenCarcassMaterial))=FALSE,ISERROR(FIND(""H/F"",KitchenCarcassMaterial))=FALSE),""(9mm)"",""(10mm)""),She"&amp;"etsData,8,0)),IF(ISERROR(FIND(""spacer"",A7))=FALSE,((D7/1000)*(C7/1000))*VLOOKUP(""Poplar ply (18mm)"",SheetsData,8,0),IF(ISERROR(FIND(""filler panel"",A7))=FALSE,((B7/1000)*(C7/1000))*VLOOKUP(KitchenDoorMaterial,SheetsData,8,0),IF(ISERROR(FIND(""shelf"""&amp;",A7))=FALSE,((D7/1000)*(C7/1000))*VLOOKUP(KitchenCarcassMaterial,SheetsData,8,0),IF(ISERROR(FIND(""lost corner"",A7))=FALSE,VLOOKUP(LEFT(A7,FIND("" "",A7))&amp;""carcass ""&amp;VALUE(REGEXREPLACE(A7,""[^[:digit:]]"", """")),KitchensData,5,0)+((((B7/1000)*(C7/1000"&amp;"))+((B7/1000)*(60/1000)))*VLOOKUP(KitchenCarcassMaterial,SheetsData,8,0)),IF(ISERROR(FIND(""carcass"",A7))=FALSE,(((((B7/1000)*2)*(D7/1000))+(((C7/1000)*2)*(D7/1000)))*VLOOKUP(KitchenCarcassMaterial,SheetsData,8,0))+((B7/1000)*(C7/1000))*VLOOKUP(LEFT(Kitc"&amp;"henCarcassMaterial,FIND(""("",KitchenCarcassMaterial)-1)&amp;IF(OR(ISERROR(FIND(""ply"",KitchenCarcassMaterial))=FALSE,ISERROR(FIND(""H/F"",KitchenCarcassMaterial))=FALSE),""(9mm)"",""(10mm)""),SheetsData,8,0),IF(OR(ISERROR(FIND(""Plinth"",A7))=FALSE,ISERROR("&amp;"FIND(""Cornice (flat)"",A7))=FALSE),((B7/1000)*(C7/1000))*VLOOKUP(""H/F (18mm)"",SheetsData,8,0),IF(ISERROR(FIND(""Cornice (stacked)"",A7))=FALSE,((0.08*(C7/1000))*2)*VLOOKUP(""H/F (22mm)"",SheetsData,8,0),IF(ISERROR(FIND(""Base end panel"",A7))=FALSE,VLO"&amp;"OKUP(KitchenDoorMaterial,SheetsData,5,0)/3,IF(ISERROR(FIND(""Wall end panel"",A7))=FALSE,VLOOKUP(KitchenDoorMaterial,SheetsData,5,0)/9,IF(ISERROR(FIND(""Tower end panel"",A7))=FALSE,VLOOKUP(KitchenDoorMaterial,SheetsData,5,0),IF(ISERROR(FIND(""Fillers"",A"&amp;"7))=FALSE,(((0.06*(C7/1000))*2)*VLOOKUP(""H/F (18mm)"",SheetsData,8,0))+(((0.06*(C7/1000))*2)*VLOOKUP(""H/F (9mm)"",SheetsData,8,0)),IF(ISERROR(FIND(""corner post"",A7))=FALSE,(((B7/1000)*0.05)*2)*VLOOKUP(KitchenDoorMaterial,SheetsData,8,0),IF(ISERROR(FIN"&amp;"D(""Pelmet"",A7))=FALSE,((((B7/1000)*(C7/1000))*2)*VLOOKUP(""H/F (18mm)"",SheetsData,8,0)),IF(ISERROR(FIND(""door"",A7))=TRUE,""Check description"",IF(KitchenDoorStyle=""Flat"",((B7/1000)*(C7/1000))*VLOOKUP(KitchenDoorMaterial,SheetsData,8,0),IF(LEFT(Kitc"&amp;"henDoorStyle,5)=""Panel"",(((((B7/1000)*2)*0.08)+((((C7/1000)-0.16)*2)*0.08))*VLOOKUP(""H/F (22mm)"",SheetsData,8,0))+(((B7/1000)-0.14)*((C7/1000)-0.14)*VLOOKUP(""H/F (9mm)"",SheetsData,8,0)),IF(KitchenDoorStyle=""In-frame flat"",((((((B7/1000)*0.019)*0.0"&amp;"38)+((((C7-38)/1000)*0.038)*0.038))*2)*VLOOKUP(""Tulip (solid m3)"",SolidData,5,0))+(((B7-76)/1000)*((C7-38)/1000))*VLOOKUP(""H/F (22mm)"",SheetsData,8,0),IF(LEFT(KitchenDoorStyle,14)=""In-frame panel"",(((((((B7/1000)*0.019)*0.038)+((((C7-38)/1000)*0.038"&amp;")*0.038))*2)*VLOOKUP(""Tulip (solid m3)"",SolidData,5,0))+(((((((B7-76)/1000)*2)*0.08)+(((((C7-198)/1000)*2)*0.08)))*VLOOKUP(""H/F (22mm)"",SheetsData,8,0))+(((B7-216)/1000)*((C7-178)/1000)*VLOOKUP(""H/F (9mm)"",SheetsData,8,0)))))))))))))))))))))))))))))"&amp;"))))"),54.740661112604144)</f>
        <v>54.74066111</v>
      </c>
      <c r="F7" s="152">
        <f>IFERROR(__xludf.DUMMYFUNCTION("IF(OR(A7="""",AND(ISERROR(FIND(""drawer box"",A7))=FALSE,KitchenDrawerType=""Solid dovetail"")),"""",IF(ISERROR(FIND(""bins"",A7))=FALSE,VLOOKUP(""Base carcass 600"",KitchensData,6,0),IF(OR(ISERROR(FIND(""larder"",A7))=FALSE,ISERROR(FIND(""unit"",A7))=FAL"&amp;"SE),VLOOKUP(LEFT(A7,FIND("" "",A7))&amp;""carcass ""&amp;RIGHT(A7,LEN(A7)-len(regexextract(A7,"".* ""))),KitchensData,6,0),IF(ISERROR(FIND(""drawer front"",A7))=FALSE,IF(ISERROR(FIND(""veneer"",KitchenCarcassMaterial))=TRUE,0,(((B7+C7)/1000)*2)*VLOOKUP(""Edge ban"&amp;"ding (per M)"",SheetsData,5,0)),IF(ISERROR(FIND(""drawer box"",A7))=FALSE,IF(ISERROR(FIND(""veneer"",KitchenCarcassMaterial))=TRUE,0,(((C7+D7)/1000)*2)*VLOOKUP(""Edge banding (per M)"",SheetsData,5,0)),IF(ISERROR(FIND(""shelf"",A7))=FALSE,IF(ISERROR(FIND("&amp;"""veneer"",KitchenCarcassMaterial))=TRUE,0,(C7/1000)*VLOOKUP(""Edge banding (per M)"",SheetsData,5,0)),IF(AND(ISERROR(FIND(""carcass"",A7))=FALSE,ISERROR(FIND(""shelf"",A7))=TRUE),IF(ISERROR(FIND(""veneer"",KitchenCarcassMaterial))=TRUE,0,((2*(B7+C7))/100"&amp;"0)*VLOOKUP(""Edge banding (per M)"",SheetsData,5,0)),IF(ISERROR(FIND(""door"",A7))=TRUE,"""",IF(ISERROR(FIND(""veneer"",KitchenDoorMaterial))=TRUE,"""",((2*(B7+C7))/1000)*VLOOKUP(""Edge banding (per M)"",SheetsData,5,0))))))))))"),0.0)</f>
        <v>0</v>
      </c>
      <c r="G7" s="153">
        <f>IF(A7="","",IF(ISERROR(FIND("bins",A7))=FALSE,VLOOKUP("Base carcass 600",KitchensData,7,0),IF(OR(ISERROR(FIND("larder",A7))=FALSE,ISERROR(FIND("fridge/freezer",A7))=FALSE,ISERROR(FIND("double oven",A7))=FALSE,ISERROR(FIND("single oven",A7))=FALSE),VLOOKUP(LEFT(A7,FIND(" ",A7))&amp;"carcass "&amp;RIGHT(A7,LEN(A7)-(LEN(A7)-3)),KitchensData,7,0),IF(AND(ISERROR(FIND("carcass",A7))=FALSE,ISERROR(FIND("shelf",A7))=TRUE),IF(OR(ISERROR(FIND("Base",A7))=FALSE,ISERROR(FIND("Tower",A7))=FALSE),IF(OR(ISERROR(FIND("1200",A7))=FALSE, ISERROR(FIND("lost corner",A7))=FALSE),6*VLOOKUP("Plinth foot (2 Parts 80mm)",FurnitureData,5,0),4*VLOOKUP("Plinth foot (2 Parts 80mm)",FurnitureData,5,0)),""),""))))</f>
        <v>3.8</v>
      </c>
      <c r="H7" s="115" t="str">
        <f>IF(OR(A7="",ISERROR(FIND("door",A7))=TRUE),"",IF(ISERROR(FIND("Wall",A7))=FALSE,VLOOKUP("Hinges &amp; plates (Hettich thick door)",FurnitureData,5,0)*2,IF(ISERROR(FIND("Base",A7))=FALSE,VLOOKUP("Hinges &amp; plates (Hettich thick door)",FurnitureData,5,0)*3,IF(ISERROR(FIND("Boiler",A7))=FALSE,VLOOKUP("Hinges &amp; plates (Hettich thick door)",FurnitureData,5,0)*4,IF(ISERROR(FIND("Tower",A7))=FALSE,VLOOKUP("Hinges &amp; plates (Hettich thick door)",FurnitureData,5,0)*5)))))</f>
        <v/>
      </c>
      <c r="I7" s="115" t="str">
        <f>IF(ISERROR(FIND("shelf",A7))=FALSE,(VLOOKUP("Shelf pegs",FurnitureData,5,0)/100)*4,"")</f>
        <v/>
      </c>
      <c r="J7" s="152">
        <f>IF(OR(ISERROR(FIND("fridge/freezer",A7))=FALSE,ISERROR(FIND("larder",A7))=FALSE,AND(ISERROR(FIND("Base",A7))=FALSE,ISERROR(FIND("bins",A7))=TRUE,ISERROR(FIND("no shelves",A7))=TRUE,OR(ISERROR(FIND("carcass",A7))=FALSE,ISERROR(FIND("unit",A7))=FALSE))),VLOOKUP("Deep shelf "&amp;C7,KitchensData,18,0),IF(AND(ISERROR(FIND("Wall",A7))=FALSE,ISERROR(FIND("carcass",A7))=FALSE),2*VLOOKUP("Shallow shelf "&amp;C7,KitchensData,18,0),IF(AND(ISERROR(FIND("Tower",A7))=FALSE,ISERROR(FIND("oven",A7))=FALSE),4*VLOOKUP("Deep shelf "&amp;C7,KitchensData,18,0),IF(AND(ISERROR(FIND("Tower",A7))=FALSE,ISERROR(FIND("carcass",A7))=FALSE),5*VLOOKUP("Deep shelf "&amp;C7,KitchensData,18,0),""))))</f>
        <v>48.04509417</v>
      </c>
      <c r="K7" s="152" t="str">
        <f>IF(ISERROR(FIND("sink",A7))=FALSE,VLOOKUP("Sink liner - Aluminium "&amp;RIGHT(A7,LEN(A7)-22)&amp;"mm",ExceptionalData,5,0),IF(ISERROR(FIND("bins",A7))=FALSE,VLOOKUP("Drawer runners and clip set for bin unit (500) Dynapro",FurnitureData,5,0)+(2*VLOOKUP("Bin (42L Anthracite)",FurnitureData,5,0)),IF(ISERROR(FIND("larder",A7))=FALSE,VLOOKUP("Pull out larder unit 600mm",FurnitureData,5,0),IF(AND(ISERROR(FIND("drawer box",A7))=FALSE,ISERROR(FIND("internal",A7))=TRUE),VLOOKUP("Drawer runners and clip set (550) Dynapro",FurnitureData,5,0),IF(ISERROR(FIND("internal drawer box",A7))=FALSE,VLOOKUP("Drawer runners and clip set (450) Dynapro",FurnitureData,5,0),"")))))</f>
        <v/>
      </c>
      <c r="L7" s="152">
        <f t="shared" si="3"/>
        <v>106.5857553</v>
      </c>
      <c r="M7" s="154">
        <f>IFERROR(__xludf.DUMMYFUNCTION("IF(A7="""","""",IF(OR(ISERROR(FIND(""larder"",A7))=FALSE,ISERROR(FIND(""unit"",A7))=FALSE),VLOOKUP(LEFT(A7,FIND("" "",A7))&amp;""carcass ""&amp;RIGHT(A7,LEN(A7)-len(regexextract(A7,"".* ""))),KitchensData,13,0),IF(ISERROR(FIND(""bins"",A7))=FALSE,0.95,IF(ISERROR("&amp;"FIND(""Cutlery insert 600"",A7))=FALSE,1.3,IF(ISERROR(FIND(""Cutlery insert 1200"",A7))=FALSE,2,IF(ISERROR(FIND(""Pan/tray rack 600"",A7))=FALSE,3.25,IF(ISERROR(FIND(""Pan/tray rack 1200"",A7))=FALSE,5.9,IF(ISERROR(FIND(""split"",A7))=FALSE,(((C7/1000)*0."&amp;"022)*2)+VLOOKUP(SUBSTITUTE(A7,"" split"",""""),KitchensData,13,0),IF(AND(ISERROR(FIND(""drawer front"",A7))=FALSE,KitchenDoorStyle=""Flat""),(((B7/1000)*(C7/1000))*2)+((((B7+C7)/1000)*2)*0.022),IF(AND(ISERROR(FIND(""drawer front"",A7))=FALSE,LEFT(KitchenD"&amp;"oorStyle,5)=""Panel""),(((B7/1000)*(C7/1000))*2)+((((B7+C7)/1000)*2)*0.022)+((((C7/1000)-0.16)*0.013)*2)+((((D7/1000)-0.16)*0.013)*2),IF(AND(ISERROR(FIND(""drawer front"",A7))=FALSE,KitchenDoorStyle=""In-frame flat""),((((B7-76)/1000)*((C7-38)/1000))*2)+("&amp;"MID(KitchenDoorMaterial,FIND(""("",KitchenDoorMaterial)+1,2)/1000)*((((B7-76)+(C7-38))/1000)*2)+(((B7/1000)*0.032)*2)+((((B7-76)/1000)*0.032)*2)+(((B7/1000)*0.019)*4)+(((C7/1000)*0.032)*2)+((((C7-38)/1000)*0.032)*2)+(((C7/1000)*0.038)*4),IF(AND(ISERROR(FI"&amp;"ND(""drawer front"",A7))=FALSE,LEFT(KitchenDoorStyle,14)=""In-frame panel""),((((B7-76)/1000)*((C7-38)/1000))*2)+((MID(KitchenDoorMaterial,FIND(""("",KitchenDoorMaterial)+1,2)/1000)*((((B7-76)+(C7-38))/1000)*2))+((((B7-236)/1000)+((C7-198)/1000)*2)*0.013)"&amp;"+(((B7/1000)*0.032)*2)+((((B7-76)/1000)*0.032)*2)+(((B7/1000)*0.019)*4)+(((C7/1000)*0.032)*2)+((((C7-38)/1000)*0.032)*2)+(((C7/1000)*0.038)*4),IF(ISERROR(FIND(""drawer box"",A7))=FALSE,((((B7/1000)*(D7/1000))+((B7/1000)*(C7/1000)))*4)+((((D7/1000)+(C7/100"&amp;"0))*0.016)*4)+(((C7/1000)*(D7/1000))*2),IF(OR(ISERROR(FIND(""shelf"",A7))=FALSE,ISERROR(FIND(""spacer"",A7))=FALSE,,ISERROR(FIND(""filler panel"",A7))=FALSE),(((C7/1000)*(D7/1000))*2)+((((C7+D7)*2)/1000)*0.022),IF(ISERROR(FIND(""lost corner"",A7))=FALSE,("&amp;"((B7/1000)*(C7/1000))*2)+((B7/1000)*(C7/1000))+((B7/1000)*((C7/2)/1000))+((((B7/1000)*0.025)+((C7/1000)*0.025))*2),IF(ISERROR(FIND(""carcass"",A7))=FALSE,(((C7/1000)*(D7/1000))*2)+(((B7/1000)*(D7/1000))*2)+((B7/1000)*(C7/1000))+((((B7/1000)*0.025)+((C7/10"&amp;"00)*0.025))*2),IF(AND(ISERROR(FIND(""door"",A7))=FALSE,KitchenDoorStyle=""Flat""),(((B7/1000)*(C7/1000))*2)+(MID(KitchenDoorMaterial,FIND(""("",KitchenDoorMaterial)+1,2)/1000)*(((B7+C7)/1000)*2),IF(AND(ISERROR(FIND(""door"",A7))=FALSE,LEFT(KitchenDoorStyl"&amp;"e,5)=""Panel""),(((B7/1000)*(C7/1000))*2)+((MID(KitchenDoorMaterial,FIND(""("",KitchenDoorMaterial)+1,2)/1000)*(((B7+C7)/1000)*2))+(((((B7-160)+(C7-160))*2)/1000)*(0.013)),IF(AND(ISERROR(FIND(""door"",A7))=FALSE,KitchenDoorStyle=""In-frame flat""),((((B7-"&amp;"76)/1000)*((C7-38)/1000))*2)+(MID(KitchenDoorMaterial,FIND(""("",KitchenDoorMaterial)+1,2)/1000)*((((B7-76)+(C7-38))/1000)*2)+(((B7/1000)*0.032)*2)+((((B7-76)/1000)*0.032)*2)+(((B7/1000)*0.019)*4)+(((C7/1000)*0.032)*2)+((((C7-38)/1000)*0.032)*2)+(((C7/100"&amp;"0)*0.038)*4),IF(AND(ISERROR(FIND(""door"",A7))=FALSE,LEFT(KitchenDoorStyle,14)=""In-frame panel""),((((B7-76)/1000)*((C7-38)/1000))*2)+((MID(KitchenDoorMaterial,FIND(""("",KitchenDoorMaterial)+1,2)/1000)*((((B7-76)+(C7-38))/1000)*2))+((((B7-236)/1000)+((C"&amp;"7-198)/1000)*2)*0.013)+(((B7/1000)*0.032)*2)+((((B7-76)/1000)*0.032)*2)+(((B7/1000)*0.019)*4)+(((C7/1000)*0.032)*2)+((((C7-38)/1000)*0.032)*2)+(((C7/1000)*0.038)*4),IF(ISERROR(FIND(""Plinth"",A7))=FALSE,((B7/1000)*(C7/1000))+(((C7/1000)*0.018)*2)+(((B7/10"&amp;"00)*0.018)*2),IF(ISERROR(FIND(""Cornice"",A7))=FALSE,(((C7/1000)*0.1)*2)+(((C7/1000)*0.044)*2)+(((B7/1000)*0.08)*2),IF(ISERROR(FIND(""Base end panel"",A7))=FALSE,((B7/1000)*(C7/1000))+(0.022*((B7/1000)+((C7/1000)*2)))+((B7/1000)*0.05),IF(ISERROR(FIND(""Wa"&amp;"ll end panel"",A7))=FALSE,((B7/1000)*(C7/1000))+(0.022*((B7/1000)+((C7/1000)*2)))+((B7/1000)*0.05),IF(ISERROR(FIND(""Tower end panel"",A7))=FALSE,((B7/1000)*(C7/1000))+(0.022*((B7/1000)+((C7/1000)*2)))+((B7/1000)*0.05),IF(ISERROR(FIND(""Fillers"",A7))=FAL"&amp;"SE,((C7/1000)*0.06)+((C7/1000)*0.069)+((0.06*0.018)*2)+((0.06*0.009)*2)+((C7/1000)*0.009)+((C7/1000)*0.018),IF(ISERROR(FIND(""corner post"",A7))=FALSE,(((B7/1000*0.05)*2)+((B7/1000)*0.022)*2)+((B7/1000)*0.072)+((B7/1000)*0.05)+((0.072*0.022)*2)+((0.05*0.0"&amp;"22)*2),IF(ISERROR(FIND(""Pelmet"",A7))=FALSE,((C7/1000)*0.05)+((C7/1000)*0.068)+((0.05*0.018)*4)+(((C7/1000)*0.018))*2))))))))))))))))))))))))))))"),1.82)</f>
        <v>1.82</v>
      </c>
      <c r="N7" s="152">
        <f>IF(M7="","",IF(AND(ISERROR(FIND("carcass",A7))=TRUE,ISERROR(FIND("unit",A7))=TRUE,ISERROR(FIND("insert",A7))=TRUE,ISERROR(FIND("rack",A7))=TRUE,ISERROR(FIND("box",A7))=TRUE,ISERROR(FIND("shelf",#REF!))=TRUE),VLOOKUP(KitchenDoorFinish,Finishing!$A$2:$K$10,9,0)*M7,VLOOKUP(KitchenCarcassFinish,Finishing!$A$2:$K$40,9,0)*M7))</f>
        <v>6.825</v>
      </c>
      <c r="O7" s="155">
        <v>1.0</v>
      </c>
      <c r="P7" s="155">
        <v>1.0</v>
      </c>
      <c r="Q7" s="152">
        <f>IF(OR(O7="",P7=""),"",((O7*X7)*(VLOOKUP("Workshop",Labour!$A$3:$E$20,4,0)/8))+((P7*AE7)*(VLOOKUP("Finishing",Labour!$A$3:$E$20,4,0)/8)))</f>
        <v>71.75</v>
      </c>
      <c r="R7" s="152">
        <f t="shared" si="4"/>
        <v>185.1607553</v>
      </c>
      <c r="S7" s="156">
        <f>IF(OR(O7="",P7=""),"",IF(OR(ISERROR(FIND("carcass",$A7))=FALSE,ISERROR(FIND("unit",$A7))=FALSE),VLOOKUP(KitchenCarcassMaterial,FixedListsCarcassMaterial,2,0),0))</f>
        <v>1</v>
      </c>
      <c r="T7" s="156">
        <f>IF(OR(O7="",P7=""),"",IF(ISERROR(FIND("door",$A7))=FALSE,VLOOKUP(KitchenDoorStyle,FixedListsDoorStyle,2,0),0))</f>
        <v>0</v>
      </c>
      <c r="U7" s="156">
        <f>IF(OR(O7="",P7=""),"",IF(ISERROR(FIND("door",$A7))=FALSE,VLOOKUP(KitchenDoorMaterial,FixedListsDoorMaterial,2,0),0))</f>
        <v>0</v>
      </c>
      <c r="V7" s="156">
        <f>IF(OR(O7="",P7=""),"",IF(ISERROR(FIND("drawer",$A7))=FALSE,VLOOKUP(KitchenDrawerType,FixedListsDrawerType,2,0),0))</f>
        <v>0</v>
      </c>
      <c r="W7" s="156">
        <f>IF(OR(O7="",P7=""),"",IF(OR(S7&gt;0, T7&gt;0,V7&gt;0),VLOOKUP(KitchenHandleType,FixedListsHandleType,2,FALSE)*IF(KitchenHandleType="Simple",0,IF(S7&gt;0,VLOOKUP(KitchenHandleType,FixedListsHandleType,4,FALSE),IF(OR(T7&gt;0,V7&gt;0),1-VLOOKUP(KitchenHandleType,FixedListsHandleType,4,FALSE),"Error"))),0))</f>
        <v>0</v>
      </c>
      <c r="X7" s="156">
        <f t="shared" si="5"/>
        <v>1</v>
      </c>
      <c r="Y7" s="156">
        <f>IF(OR(O7="",P7=""),"",IF(OR(ISERROR(FIND("carcass",$A7))=FALSE,ISERROR(FIND("unit",$A7))=FALSE),VLOOKUP(KitchenCarcassMaterial,FixedListsCarcassMaterial,3,0),0))</f>
        <v>1</v>
      </c>
      <c r="Z7" s="156">
        <f>IF(OR(O7="",P7=""),"",IF(ISERROR(FIND("door",$A7))=FALSE,VLOOKUP(KitchenDoorStyle,FixedListsDoorStyle,3,0),0))</f>
        <v>0</v>
      </c>
      <c r="AA7" s="156">
        <f>IF(OR(O7="",P7=""),"",IF(ISERROR(FIND("door",$A7))=FALSE,VLOOKUP(KitchenDoorMaterial,FixedListsDoorMaterial,3,0),0))</f>
        <v>0</v>
      </c>
      <c r="AB7" s="156">
        <f>IF(OR(O7="",P7=""),"",IF(ISERROR(FIND("drawer",$A7))=FALSE,VLOOKUP(KitchenDrawerType,FixedListsDrawerType,3,0),0))</f>
        <v>0</v>
      </c>
      <c r="AC7" s="156">
        <f>IF(OR(O7="",P7=""),"",IF(OR(Y7&gt;0,Z7&gt;0,AB7&gt;0),VLOOKUP(KitchenHandleType,FixedListsHandleType,3,FALSE),0))</f>
        <v>1</v>
      </c>
      <c r="AD7" s="156">
        <f>IF(OR(O7="",P7=""),"",IF(OR(ISERROR(FIND("carcass",$A7))=FALSE,ISERROR(FIND("unit",$A7))=FALSE),VLOOKUP(KitchenCarcassFinish,FixedListsFinishes,3,0),IF(OR(ISERROR(FIND("door",$A7))=FALSE,ISERROR(FIND("Plinth",$A7))=FALSE,ISERROR(FIND("Cornice",$A7))=FALSE,ISERROR(FIND("Fillers",$A7))=FALSE,ISERROR(FIND("Pelmet",$A7))=FALSE,ISERROR(FIND("panel",$A7))=FALSE,ISERROR(FIND("post",$A7))=FALSE),VLOOKUP(KitchenDoorFinish,FixedListsFinishes,3,0),IF(OR(ISERROR(FIND("drawer",$A7))=FALSE,ISERROR(FIND("insert",$A7))=FALSE,ISERROR(FIND("rck",$A7))=FALSE),VLOOKUP(KitchenCarcassFinish,FixedListsFinishes,3,0),0))))</f>
        <v>1</v>
      </c>
      <c r="AE7" s="156">
        <f t="shared" si="6"/>
        <v>1</v>
      </c>
      <c r="AF7" s="157" t="str">
        <f>IF(AND(KitchenHandleType="Channel",OR(ISERROR(FIND("arcass",$A7))=FALSE,ISERROR(FIND("unit",$A7))=FALSE)),IF(ISERROR(FIND("Tower",$A7))=TRUE,IF(KitchenHandleFinish="Match carcass",IF(ISERROR(FIND("Walnut",KitchenCarcassMaterial))=FALSE,(0.035*0.075*($C7/1000))*VLOOKUP("Walnut (solid m3)",SolidData,4,FALSE),IF(ISERROR(FIND("Oak",KitchenCarcassMaterial))=FALSE,(0.035*0.075*($C7/1000))*VLOOKUP("Oak (solid m3)",SolidData,4,FALSE),IF(ISERROR(FIND("ply",KitchenCarcassMaterial))=FALSE,(0.1*($C7/1000))*VLOOKUP("Birch ply (24mm)",SheetsData,7,FALSE),IF(ISERROR(FIND("H/F",KitchenCarcassMaterial))=FALSE,(0.1*($C7/1000))*VLOOKUP("H/F (22mm)",SheetsData,7,FALSE),"Carcass - not tower - new material")))),IF(KitchenHandleFinish="Match door",IF(ISERROR(FIND("Walnut",KitchenDoorMaterial))=FALSE,(0.035*0.075*($C7/1000))*VLOOKUP("Walnut (solid m3)",SolidData,4,FALSE),IF(ISERROR(FIND("Oak",KitchenDoorMaterial))=FALSE,(0.035*0.075*($C7/1000))*VLOOKUP("Oak (solid m3)",SolidData,4,FALSE),IF(ISERROR(FIND("ply",KitchenDoorMaterial))=FALSE,(0.1*($C7/1000))*VLOOKUP("Birch ply (24mm)",SheetsData,7,FALSE),IF(ISERROR(FIND("H/F",KitchenCarcassMaterial))=FALSE,(0.1*($C7/1000))*VLOOKUP("H/F (22mm)",SheetsData,7,FALSE),"Door - not tower - new material")))),"Channel - not tower - handle set to other")),IF(ISERROR(FIND("Tower",$A7))=FALSE,IF(KitchenHandleFinish="Match carcass",IF(ISERROR(FIND("Walnut",KitchenCarcassMaterial))=FALSE,(0.035*0.075*($B7/1000))*VLOOKUP("Walnut (solid m3)",SolidData,4,FALSE),IF(ISERROR(FIND("Oak",KitchenCarcassMaterial))=FALSE,(0.035*0.075*($B7/1000))*VLOOKUP("Oak (solid m3)",SolidData,4,FALSE),IF(ISERROR(FIND("ply",KitchenCarcassMaterial))=FALSE,(0.1*($B7/1000))*VLOOKUP("Birch ply (24mm)",SheetsData,7,FALSE),IF(ISERROR(FIND("H/F",KitchenCarcassMaterial))=FALSE,(0.1*($C7/1000))*VLOOKUP("H/F (22mm)",SheetsData,7,FALSE),"Carcass - tower - new material")))),IF(KitchenHandleFinish="Match door",IF(ISERROR(FIND("Walnut",KitchenDoorMaterial))=FALSE,(0.035*0.075*($B7/1000))*VLOOKUP("Walnut (solid m3)",SolidData,4,FALSE),IF(ISERROR(FIND("Oak",KitchenDoorMaterial))=FALSE,(0.035*0.075*($B7/1000))*VLOOKUP("Oak (solid m3)",SolidData,4,FALSE),IF(ISERROR(FIND("ply",KitchenDoorMaterial))=FALSE,(0.1*($B7/1000))*VLOOKUP("Birch ply (24mm)",SheetData,7,FALSE),IF(ISERROR(FIND("H/F",KitchenCarcassMaterial))=FALSE,(0.1*($C7/1000))*VLOOKUP("H/F (22mm)",SheetsData,7,FALSE),"Door - tower - new material")))),"Channel - tower - handle set to other")))),"")</f>
        <v/>
      </c>
    </row>
    <row r="8">
      <c r="A8" s="151" t="s">
        <v>116</v>
      </c>
      <c r="B8" s="115">
        <f t="shared" si="1"/>
        <v>800</v>
      </c>
      <c r="C8" s="115" t="str">
        <f>IFERROR(__xludf.DUMMYFUNCTION("IF(A8="""","""",IF(OR(RIGHT(A8,LEN(A8)-len(regexextract(A8,"".* "")))=""1200"",RIGHT(A8,LEN(A8)-len(regexextract(A8,"".* "")))=""600"",RIGHT(A8,LEN(A8)-len(regexextract(A8,"".* "")))=""400"",RIGHT(A8,LEN(A8)-len(regexextract(A8,"".* "")))=""300"",RIGHT(A8"&amp;",LEN(A8)-len(regexextract(A8,"".* "")))=""700"",RIGHT(A8,LEN(A8)-len(regexextract(A8,"".* "")))=""2400"",RIGHT(A8,LEN(A8)-len(regexextract(A8,"".* "")))=""650"",RIGHT(A8,LEN(A8)-len(regexextract(A8,"".* "")))=""350"",RIGHT(A8,LEN(A8)-len(regexextract(A8,"&amp;""".* "")))=""50""),RIGHT(A8,LEN(A8)-len(regexextract(A8,"".* ""))),IF(OR(ISERROR(FIND(""spacer"",A8))=FALSE,ISERROR(FIND(""filler panel"",A8))=FALSE),""1000"",""Unexpected size in description"")))"),"300")</f>
        <v>300</v>
      </c>
      <c r="D8" s="151">
        <f t="shared" si="2"/>
        <v>600</v>
      </c>
      <c r="E8" s="152">
        <f>IFERROR(__xludf.DUMMYFUNCTION("IF(OR(A8="""",AND(ISERROR(FIND(""drawer box"",A8))=FALSE,KitchenDrawerType="""")),"""",IF(OR(ISERROR(FIND(""larder"",A8))=FALSE,ISERROR(FIND(""fridge/freezer"",A8))=FALSE,ISERROR(FIND(""double oven"",A8))=FALSE,ISERROR(FIND(""single oven"",A8))=FALSE),VLO"&amp;"OKUP(LEFT(A8,FIND("" "",A8))&amp;""carcass ""&amp;RIGHT(A8,LEN(A8)-(LEN(A8)-3)),KitchensData,5,0),IF(ISERROR(FIND(""sink"",A8))=FALSE,VLOOKUP(LEFT(A8,FIND("" "",A8))&amp;""carcass ""&amp;VALUE(REGEXREPLACE(A8,""[^[:digit:]]"", """")),KitchensData,5,0)+(((C8/1000)*(300/10"&amp;"00))*VLOOKUP(KitchenCarcassMaterial,SheetsData,8,0)),IF(ISERROR(FIND(""bins"",A8))=FALSE,IF(ISERROR(FIND(""veneer"",KitchenCarcassMaterial))=FALSE,VLOOKUP(""Base carcass 600"",KitchensData,5,0)+(0.72*(VLOOKUP(LEFT(KitchenCarcassMaterial,FIND("" "",Kitchen"&amp;"CarcassMaterial)-1)&amp;"" (solid m3)"",SolidData,5,0)*0.016)),VLOOKUP(""Base carcass 600"",KitchensData,5,0)+(0.72*VLOOKUP(KitchenCarcassMaterial,SheetsData,8,0))),IF(ISERROR(FIND(""Cutlery insert 600"",A8))=FALSE,IF(ISERROR(FIND(""veneer"",KitchenCarcassMat"&amp;"erial))=FALSE,0.54*(VLOOKUP(LEFT(KitchenCarcassMaterial,FIND("" "",KitchenCarcassMaterial)-1)&amp;"" (solid m3)"",SolidData,5,0)*0.016),0.54*VLOOKUP(KitchenCarcassMaterial,SheetsData,8,0)),IF(ISERROR(FIND(""Cutlery insert 1200"",A8))=FALSE,IF(ISERROR(FIND(""v"&amp;"eneer"",KitchenCarcassMaterial))=FALSE,0.84*(VLOOKUP(LEFT(KitchenCarcassMaterial,FIND("" "",KitchenCarcassMaterial)-1)&amp;"" (solid m3)"",SolidData,5,0)*0.016),0.84*VLOOKUP(KitchenCarcassMaterial,SheetsData,8,0)),IF(ISERROR(FIND(""Pan/tray rack 600"",A8))=FA"&amp;"LSE,IF(ISERROR(FIND(""veneer"",KitchenCarcassMaterial))=FALSE,1.44*(VLOOKUP(LEFT(KitchenCarcassMaterial,FIND("" "",KitchenCarcassMaterial)-1)&amp;"" (solid m3)"",SolidData,5,0)*0.016),1.44*VLOOKUP(KitchenCarcassMaterial,SheetsData,8,0)),IF(ISERROR(FIND(""Pan/"&amp;"tray rack 1200"",A8))=FALSE,IF(ISERROR(FIND(""veneer"",KitchenCarcassMaterial))=FALSE,2.7*(VLOOKUP(LEFT(KitchenCarcassMaterial,FIND("" "",KitchenCarcassMaterial)-1)&amp;"" (solid m3)"",SolidData,5,0)*0.016),2.7*VLOOKUP(KitchenCarcassMaterial,SheetsData,8,0)),"&amp;"IF(ISERROR(FIND(""drawer front"",A8))=FALSE,((B8/1000)*(C8/1000))*VLOOKUP(KitchenDoorMaterial,SheetsData,8,0),IF(AND(KitchenDrawerType=""Match carcass"",ISERROR(FIND(""drawer box"",A8))=FALSE),(((((B8/1000)*(C8/1000))+((B8/1000)*(D8/1000)))*2)*VLOOKUP(Kit"&amp;"chenCarcassMaterial,SheetsData,8,0))+(((C8/1000)*(D8/1000))*VLOOKUP(LEFT(KitchenCarcassMaterial,FIND(""("",KitchenCarcassMaterial)-1)&amp;IF(OR(ISERROR(FIND(""ply"",KitchenCarcassMaterial))=FALSE,ISERROR(FIND(""H/F"",KitchenCarcassMaterial))=FALSE),""(9mm)"","&amp;"""(10mm)""),SheetsData,8,0)),IF(AND(KitchenDrawerType=""Solid dovetail"",ISERROR(FIND(""drawer box"",A8))=FALSE),(((((B8/1000)*(C8/1000))+((B8/1000)*(D8/1000)))*2)*(16/1000)*VLOOKUP(LEFT(KitchenCarcassMaterial,FIND("" "",KitchenCarcassMaterial))&amp;""(solid "&amp;"m3)"",SolidData,5,0))+(((C8/1000)*(D8/1000))*VLOOKUP(LEFT(KitchenCarcassMaterial,FIND(""("",KitchenCarcassMaterial)-1)&amp;IF(OR(ISERROR(FIND(""ply"",KitchenCarcassMaterial))=FALSE,ISERROR(FIND(""H/F"",KitchenCarcassMaterial))=FALSE),""(9mm)"",""(10mm)""),She"&amp;"etsData,8,0)),IF(ISERROR(FIND(""spacer"",A8))=FALSE,((D8/1000)*(C8/1000))*VLOOKUP(""Poplar ply (18mm)"",SheetsData,8,0),IF(ISERROR(FIND(""filler panel"",A8))=FALSE,((B8/1000)*(C8/1000))*VLOOKUP(KitchenDoorMaterial,SheetsData,8,0),IF(ISERROR(FIND(""shelf"""&amp;",A8))=FALSE,((D8/1000)*(C8/1000))*VLOOKUP(KitchenCarcassMaterial,SheetsData,8,0),IF(ISERROR(FIND(""lost corner"",A8))=FALSE,VLOOKUP(LEFT(A8,FIND("" "",A8))&amp;""carcass ""&amp;VALUE(REGEXREPLACE(A8,""[^[:digit:]]"", """")),KitchensData,5,0)+((((B8/1000)*(C8/1000"&amp;"))+((B8/1000)*(60/1000)))*VLOOKUP(KitchenCarcassMaterial,SheetsData,8,0)),IF(ISERROR(FIND(""carcass"",A8))=FALSE,(((((B8/1000)*2)*(D8/1000))+(((C8/1000)*2)*(D8/1000)))*VLOOKUP(KitchenCarcassMaterial,SheetsData,8,0))+((B8/1000)*(C8/1000))*VLOOKUP(LEFT(Kitc"&amp;"henCarcassMaterial,FIND(""("",KitchenCarcassMaterial)-1)&amp;IF(OR(ISERROR(FIND(""ply"",KitchenCarcassMaterial))=FALSE,ISERROR(FIND(""H/F"",KitchenCarcassMaterial))=FALSE),""(9mm)"",""(10mm)""),SheetsData,8,0),IF(OR(ISERROR(FIND(""Plinth"",A8))=FALSE,ISERROR("&amp;"FIND(""Cornice (flat)"",A8))=FALSE),((B8/1000)*(C8/1000))*VLOOKUP(""H/F (18mm)"",SheetsData,8,0),IF(ISERROR(FIND(""Cornice (stacked)"",A8))=FALSE,((0.08*(C8/1000))*2)*VLOOKUP(""H/F (22mm)"",SheetsData,8,0),IF(ISERROR(FIND(""Base end panel"",A8))=FALSE,VLO"&amp;"OKUP(KitchenDoorMaterial,SheetsData,5,0)/3,IF(ISERROR(FIND(""Wall end panel"",A8))=FALSE,VLOOKUP(KitchenDoorMaterial,SheetsData,5,0)/9,IF(ISERROR(FIND(""Tower end panel"",A8))=FALSE,VLOOKUP(KitchenDoorMaterial,SheetsData,5,0),IF(ISERROR(FIND(""Fillers"",A"&amp;"8))=FALSE,(((0.06*(C8/1000))*2)*VLOOKUP(""H/F (18mm)"",SheetsData,8,0))+(((0.06*(C8/1000))*2)*VLOOKUP(""H/F (9mm)"",SheetsData,8,0)),IF(ISERROR(FIND(""corner post"",A8))=FALSE,(((B8/1000)*0.05)*2)*VLOOKUP(KitchenDoorMaterial,SheetsData,8,0),IF(ISERROR(FIN"&amp;"D(""Pelmet"",A8))=FALSE,((((B8/1000)*(C8/1000))*2)*VLOOKUP(""H/F (18mm)"",SheetsData,8,0)),IF(ISERROR(FIND(""door"",A8))=TRUE,""Check description"",IF(KitchenDoorStyle=""Flat"",((B8/1000)*(C8/1000))*VLOOKUP(KitchenDoorMaterial,SheetsData,8,0),IF(LEFT(Kitc"&amp;"henDoorStyle,5)=""Panel"",(((((B8/1000)*2)*0.08)+((((C8/1000)-0.16)*2)*0.08))*VLOOKUP(""H/F (22mm)"",SheetsData,8,0))+(((B8/1000)-0.14)*((C8/1000)-0.14)*VLOOKUP(""H/F (9mm)"",SheetsData,8,0)),IF(KitchenDoorStyle=""In-frame flat"",((((((B8/1000)*0.019)*0.0"&amp;"38)+((((C8-38)/1000)*0.038)*0.038))*2)*VLOOKUP(""Tulip (solid m3)"",SolidData,5,0))+(((B8-76)/1000)*((C8-38)/1000))*VLOOKUP(""H/F (22mm)"",SheetsData,8,0),IF(LEFT(KitchenDoorStyle,14)=""In-frame panel"",(((((((B8/1000)*0.019)*0.038)+((((C8-38)/1000)*0.038"&amp;")*0.038))*2)*VLOOKUP(""Tulip (solid m3)"",SolidData,5,0))+(((((((B8-76)/1000)*2)*0.08)+(((((C8-198)/1000)*2)*0.08)))*VLOOKUP(""H/F (22mm)"",SheetsData,8,0))+(((B8-216)/1000)*((C8-178)/1000)*VLOOKUP(""H/F (9mm)"",SheetsData,8,0)))))))))))))))))))))))))))))"&amp;"))))"),49.03319000268745)</f>
        <v>49.03319</v>
      </c>
      <c r="F8" s="152">
        <f>IFERROR(__xludf.DUMMYFUNCTION("IF(OR(A8="""",AND(ISERROR(FIND(""drawer box"",A8))=FALSE,KitchenDrawerType=""Solid dovetail"")),"""",IF(ISERROR(FIND(""bins"",A8))=FALSE,VLOOKUP(""Base carcass 600"",KitchensData,6,0),IF(OR(ISERROR(FIND(""larder"",A8))=FALSE,ISERROR(FIND(""unit"",A8))=FAL"&amp;"SE),VLOOKUP(LEFT(A8,FIND("" "",A8))&amp;""carcass ""&amp;RIGHT(A8,LEN(A8)-len(regexextract(A8,"".* ""))),KitchensData,6,0),IF(ISERROR(FIND(""drawer front"",A8))=FALSE,IF(ISERROR(FIND(""veneer"",KitchenCarcassMaterial))=TRUE,0,(((B8+C8)/1000)*2)*VLOOKUP(""Edge ban"&amp;"ding (per M)"",SheetsData,5,0)),IF(ISERROR(FIND(""drawer box"",A8))=FALSE,IF(ISERROR(FIND(""veneer"",KitchenCarcassMaterial))=TRUE,0,(((C8+D8)/1000)*2)*VLOOKUP(""Edge banding (per M)"",SheetsData,5,0)),IF(ISERROR(FIND(""shelf"",A8))=FALSE,IF(ISERROR(FIND("&amp;"""veneer"",KitchenCarcassMaterial))=TRUE,0,(C8/1000)*VLOOKUP(""Edge banding (per M)"",SheetsData,5,0)),IF(AND(ISERROR(FIND(""carcass"",A8))=FALSE,ISERROR(FIND(""shelf"",A8))=TRUE),IF(ISERROR(FIND(""veneer"",KitchenCarcassMaterial))=TRUE,0,((2*(B8+C8))/100"&amp;"0)*VLOOKUP(""Edge banding (per M)"",SheetsData,5,0)),IF(ISERROR(FIND(""door"",A8))=TRUE,"""",IF(ISERROR(FIND(""veneer"",KitchenDoorMaterial))=TRUE,"""",((2*(B8+C8))/1000)*VLOOKUP(""Edge banding (per M)"",SheetsData,5,0))))))))))"),0.0)</f>
        <v>0</v>
      </c>
      <c r="G8" s="153">
        <f>IF(A8="","",IF(ISERROR(FIND("bins",A8))=FALSE,VLOOKUP("Base carcass 600",KitchensData,7,0),IF(OR(ISERROR(FIND("larder",A8))=FALSE,ISERROR(FIND("fridge/freezer",A8))=FALSE,ISERROR(FIND("double oven",A8))=FALSE,ISERROR(FIND("single oven",A8))=FALSE),VLOOKUP(LEFT(A8,FIND(" ",A8))&amp;"carcass "&amp;RIGHT(A8,LEN(A8)-(LEN(A8)-3)),KitchensData,7,0),IF(AND(ISERROR(FIND("carcass",A8))=FALSE,ISERROR(FIND("shelf",A8))=TRUE),IF(OR(ISERROR(FIND("Base",A8))=FALSE,ISERROR(FIND("Tower",A8))=FALSE),IF(OR(ISERROR(FIND("1200",A8))=FALSE, ISERROR(FIND("lost corner",A8))=FALSE),6*VLOOKUP("Plinth foot (2 Parts 80mm)",FurnitureData,5,0),4*VLOOKUP("Plinth foot (2 Parts 80mm)",FurnitureData,5,0)),""),""))))</f>
        <v>3.8</v>
      </c>
      <c r="H8" s="115" t="str">
        <f>IF(OR(A8="",ISERROR(FIND("door",A8))=TRUE),"",IF(ISERROR(FIND("Wall",A8))=FALSE,VLOOKUP("Hinges &amp; plates (Hettich thick door)",FurnitureData,5,0)*2,IF(ISERROR(FIND("Base",A8))=FALSE,VLOOKUP("Hinges &amp; plates (Hettich thick door)",FurnitureData,5,0)*3,IF(ISERROR(FIND("Boiler",A8))=FALSE,VLOOKUP("Hinges &amp; plates (Hettich thick door)",FurnitureData,5,0)*4,IF(ISERROR(FIND("Tower",A8))=FALSE,VLOOKUP("Hinges &amp; plates (Hettich thick door)",FurnitureData,5,0)*5)))))</f>
        <v/>
      </c>
      <c r="I8" s="115" t="str">
        <f>IF(ISERROR(FIND("shelf",A8))=FALSE,(VLOOKUP("Shelf pegs",FurnitureData,5,0)/100)*4,"")</f>
        <v/>
      </c>
      <c r="J8" s="152">
        <f>IF(OR(ISERROR(FIND("fridge/freezer",A8))=FALSE,ISERROR(FIND("larder",A8))=FALSE,AND(ISERROR(FIND("Base",A8))=FALSE,ISERROR(FIND("bins",A8))=TRUE,ISERROR(FIND("no shelves",A8))=TRUE,OR(ISERROR(FIND("carcass",A8))=FALSE,ISERROR(FIND("unit",A8))=FALSE))),VLOOKUP("Deep shelf "&amp;C8,KitchensData,18,0),IF(AND(ISERROR(FIND("Wall",A8))=FALSE,ISERROR(FIND("carcass",A8))=FALSE),2*VLOOKUP("Shallow shelf "&amp;C8,KitchensData,18,0),IF(AND(ISERROR(FIND("Tower",A8))=FALSE,ISERROR(FIND("oven",A8))=FALSE),4*VLOOKUP("Deep shelf "&amp;C8,KitchensData,18,0),IF(AND(ISERROR(FIND("Tower",A8))=FALSE,ISERROR(FIND("carcass",A8))=FALSE),5*VLOOKUP("Deep shelf "&amp;C8,KitchensData,18,0),""))))</f>
        <v>45.11767063</v>
      </c>
      <c r="K8" s="152" t="str">
        <f>IF(ISERROR(FIND("sink",A8))=FALSE,VLOOKUP("Sink liner - Aluminium "&amp;RIGHT(A8,LEN(A8)-22)&amp;"mm",ExceptionalData,5,0),IF(ISERROR(FIND("bins",A8))=FALSE,VLOOKUP("Drawer runners and clip set for bin unit (500) Dynapro",FurnitureData,5,0)+(2*VLOOKUP("Bin (42L Anthracite)",FurnitureData,5,0)),IF(ISERROR(FIND("larder",A8))=FALSE,VLOOKUP("Pull out larder unit 600mm",FurnitureData,5,0),IF(AND(ISERROR(FIND("drawer box",A8))=FALSE,ISERROR(FIND("internal",A8))=TRUE),VLOOKUP("Drawer runners and clip set (550) Dynapro",FurnitureData,5,0),IF(ISERROR(FIND("internal drawer box",A8))=FALSE,VLOOKUP("Drawer runners and clip set (450) Dynapro",FurnitureData,5,0),"")))))</f>
        <v/>
      </c>
      <c r="L8" s="152">
        <f t="shared" si="3"/>
        <v>97.95086063</v>
      </c>
      <c r="M8" s="154">
        <f>IFERROR(__xludf.DUMMYFUNCTION("IF(A8="""","""",IF(OR(ISERROR(FIND(""larder"",A8))=FALSE,ISERROR(FIND(""unit"",A8))=FALSE),VLOOKUP(LEFT(A8,FIND("" "",A8))&amp;""carcass ""&amp;RIGHT(A8,LEN(A8)-len(regexextract(A8,"".* ""))),KitchensData,13,0),IF(ISERROR(FIND(""bins"",A8))=FALSE,0.95,IF(ISERROR("&amp;"FIND(""Cutlery insert 600"",A8))=FALSE,1.3,IF(ISERROR(FIND(""Cutlery insert 1200"",A8))=FALSE,2,IF(ISERROR(FIND(""Pan/tray rack 600"",A8))=FALSE,3.25,IF(ISERROR(FIND(""Pan/tray rack 1200"",A8))=FALSE,5.9,IF(ISERROR(FIND(""split"",A8))=FALSE,(((C8/1000)*0."&amp;"022)*2)+VLOOKUP(SUBSTITUTE(A8,"" split"",""""),KitchensData,13,0),IF(AND(ISERROR(FIND(""drawer front"",A8))=FALSE,KitchenDoorStyle=""Flat""),(((B8/1000)*(C8/1000))*2)+((((B8+C8)/1000)*2)*0.022),IF(AND(ISERROR(FIND(""drawer front"",A8))=FALSE,LEFT(KitchenD"&amp;"oorStyle,5)=""Panel""),(((B8/1000)*(C8/1000))*2)+((((B8+C8)/1000)*2)*0.022)+((((C8/1000)-0.16)*0.013)*2)+((((D8/1000)-0.16)*0.013)*2),IF(AND(ISERROR(FIND(""drawer front"",A8))=FALSE,KitchenDoorStyle=""In-frame flat""),((((B8-76)/1000)*((C8-38)/1000))*2)+("&amp;"MID(KitchenDoorMaterial,FIND(""("",KitchenDoorMaterial)+1,2)/1000)*((((B8-76)+(C8-38))/1000)*2)+(((B8/1000)*0.032)*2)+((((B8-76)/1000)*0.032)*2)+(((B8/1000)*0.019)*4)+(((C8/1000)*0.032)*2)+((((C8-38)/1000)*0.032)*2)+(((C8/1000)*0.038)*4),IF(AND(ISERROR(FI"&amp;"ND(""drawer front"",A8))=FALSE,LEFT(KitchenDoorStyle,14)=""In-frame panel""),((((B8-76)/1000)*((C8-38)/1000))*2)+((MID(KitchenDoorMaterial,FIND(""("",KitchenDoorMaterial)+1,2)/1000)*((((B8-76)+(C8-38))/1000)*2))+((((B8-236)/1000)+((C8-198)/1000)*2)*0.013)"&amp;"+(((B8/1000)*0.032)*2)+((((B8-76)/1000)*0.032)*2)+(((B8/1000)*0.019)*4)+(((C8/1000)*0.032)*2)+((((C8-38)/1000)*0.032)*2)+(((C8/1000)*0.038)*4),IF(ISERROR(FIND(""drawer box"",A8))=FALSE,((((B8/1000)*(D8/1000))+((B8/1000)*(C8/1000)))*4)+((((D8/1000)+(C8/100"&amp;"0))*0.016)*4)+(((C8/1000)*(D8/1000))*2),IF(OR(ISERROR(FIND(""shelf"",A8))=FALSE,ISERROR(FIND(""spacer"",A8))=FALSE,,ISERROR(FIND(""filler panel"",A8))=FALSE),(((C8/1000)*(D8/1000))*2)+((((C8+D8)*2)/1000)*0.022),IF(ISERROR(FIND(""lost corner"",A8))=FALSE,("&amp;"((B8/1000)*(C8/1000))*2)+((B8/1000)*(C8/1000))+((B8/1000)*((C8/2)/1000))+((((B8/1000)*0.025)+((C8/1000)*0.025))*2),IF(ISERROR(FIND(""carcass"",A8))=FALSE,(((C8/1000)*(D8/1000))*2)+(((B8/1000)*(D8/1000))*2)+((B8/1000)*(C8/1000))+((((B8/1000)*0.025)+((C8/10"&amp;"00)*0.025))*2),IF(AND(ISERROR(FIND(""door"",A8))=FALSE,KitchenDoorStyle=""Flat""),(((B8/1000)*(C8/1000))*2)+(MID(KitchenDoorMaterial,FIND(""("",KitchenDoorMaterial)+1,2)/1000)*(((B8+C8)/1000)*2),IF(AND(ISERROR(FIND(""door"",A8))=FALSE,LEFT(KitchenDoorStyl"&amp;"e,5)=""Panel""),(((B8/1000)*(C8/1000))*2)+((MID(KitchenDoorMaterial,FIND(""("",KitchenDoorMaterial)+1,2)/1000)*(((B8+C8)/1000)*2))+(((((B8-160)+(C8-160))*2)/1000)*(0.013)),IF(AND(ISERROR(FIND(""door"",A8))=FALSE,KitchenDoorStyle=""In-frame flat""),((((B8-"&amp;"76)/1000)*((C8-38)/1000))*2)+(MID(KitchenDoorMaterial,FIND(""("",KitchenDoorMaterial)+1,2)/1000)*((((B8-76)+(C8-38))/1000)*2)+(((B8/1000)*0.032)*2)+((((B8-76)/1000)*0.032)*2)+(((B8/1000)*0.019)*4)+(((C8/1000)*0.032)*2)+((((C8-38)/1000)*0.032)*2)+(((C8/100"&amp;"0)*0.038)*4),IF(AND(ISERROR(FIND(""door"",A8))=FALSE,LEFT(KitchenDoorStyle,14)=""In-frame panel""),((((B8-76)/1000)*((C8-38)/1000))*2)+((MID(KitchenDoorMaterial,FIND(""("",KitchenDoorMaterial)+1,2)/1000)*((((B8-76)+(C8-38))/1000)*2))+((((B8-236)/1000)+((C"&amp;"8-198)/1000)*2)*0.013)+(((B8/1000)*0.032)*2)+((((B8-76)/1000)*0.032)*2)+(((B8/1000)*0.019)*4)+(((C8/1000)*0.032)*2)+((((C8-38)/1000)*0.032)*2)+(((C8/1000)*0.038)*4),IF(ISERROR(FIND(""Plinth"",A8))=FALSE,((B8/1000)*(C8/1000))+(((C8/1000)*0.018)*2)+(((B8/10"&amp;"00)*0.018)*2),IF(ISERROR(FIND(""Cornice"",A8))=FALSE,(((C8/1000)*0.1)*2)+(((C8/1000)*0.044)*2)+(((B8/1000)*0.08)*2),IF(ISERROR(FIND(""Base end panel"",A8))=FALSE,((B8/1000)*(C8/1000))+(0.022*((B8/1000)+((C8/1000)*2)))+((B8/1000)*0.05),IF(ISERROR(FIND(""Wa"&amp;"ll end panel"",A8))=FALSE,((B8/1000)*(C8/1000))+(0.022*((B8/1000)+((C8/1000)*2)))+((B8/1000)*0.05),IF(ISERROR(FIND(""Tower end panel"",A8))=FALSE,((B8/1000)*(C8/1000))+(0.022*((B8/1000)+((C8/1000)*2)))+((B8/1000)*0.05),IF(ISERROR(FIND(""Fillers"",A8))=FAL"&amp;"SE,((C8/1000)*0.06)+((C8/1000)*0.069)+((0.06*0.018)*2)+((0.06*0.009)*2)+((C8/1000)*0.009)+((C8/1000)*0.018),IF(ISERROR(FIND(""corner post"",A8))=FALSE,(((B8/1000*0.05)*2)+((B8/1000)*0.022)*2)+((B8/1000)*0.072)+((B8/1000)*0.05)+((0.072*0.022)*2)+((0.05*0.0"&amp;"22)*2),IF(ISERROR(FIND(""Pelmet"",A8))=FALSE,((C8/1000)*0.05)+((C8/1000)*0.068)+((0.05*0.018)*4)+(((C8/1000)*0.018))*2))))))))))))))))))))))))))))"),1.6149999999999998)</f>
        <v>1.615</v>
      </c>
      <c r="N8" s="152">
        <f>IF(M8="","",IF(AND(ISERROR(FIND("carcass",A8))=TRUE,ISERROR(FIND("unit",A8))=TRUE,ISERROR(FIND("insert",A8))=TRUE,ISERROR(FIND("rack",A8))=TRUE,ISERROR(FIND("box",A8))=TRUE,ISERROR(FIND("shelf",#REF!))=TRUE),VLOOKUP(KitchenDoorFinish,Finishing!$A$2:$K$10,9,0)*M8,VLOOKUP(KitchenCarcassFinish,Finishing!$A$2:$K$40,9,0)*M8))</f>
        <v>6.05625</v>
      </c>
      <c r="O8" s="155">
        <v>1.0</v>
      </c>
      <c r="P8" s="155">
        <v>1.0</v>
      </c>
      <c r="Q8" s="152">
        <f>IF(OR(O8="",P8=""),"",((O8*X8)*(VLOOKUP("Workshop",Labour!$A$3:$E$20,4,0)/8))+((P8*AE8)*(VLOOKUP("Finishing",Labour!$A$3:$E$20,4,0)/8)))</f>
        <v>71.75</v>
      </c>
      <c r="R8" s="152">
        <f t="shared" si="4"/>
        <v>175.7571106</v>
      </c>
      <c r="S8" s="156">
        <f>IF(OR(O8="",P8=""),"",IF(OR(ISERROR(FIND("carcass",$A8))=FALSE,ISERROR(FIND("unit",$A8))=FALSE),VLOOKUP(KitchenCarcassMaterial,FixedListsCarcassMaterial,2,0),0))</f>
        <v>1</v>
      </c>
      <c r="T8" s="156">
        <f>IF(OR(O8="",P8=""),"",IF(ISERROR(FIND("door",$A8))=FALSE,VLOOKUP(KitchenDoorStyle,FixedListsDoorStyle,2,0),0))</f>
        <v>0</v>
      </c>
      <c r="U8" s="156">
        <f>IF(OR(O8="",P8=""),"",IF(ISERROR(FIND("door",$A8))=FALSE,VLOOKUP(KitchenDoorMaterial,FixedListsDoorMaterial,2,0),0))</f>
        <v>0</v>
      </c>
      <c r="V8" s="156">
        <f>IF(OR(O8="",P8=""),"",IF(ISERROR(FIND("drawer",$A8))=FALSE,VLOOKUP(KitchenDrawerType,FixedListsDrawerType,2,0),0))</f>
        <v>0</v>
      </c>
      <c r="W8" s="156">
        <f>IF(OR(O8="",P8=""),"",IF(OR(S8&gt;0, T8&gt;0,V8&gt;0),VLOOKUP(KitchenHandleType,FixedListsHandleType,2,FALSE)*IF(KitchenHandleType="Simple",0,IF(S8&gt;0,VLOOKUP(KitchenHandleType,FixedListsHandleType,4,FALSE),IF(OR(T8&gt;0,V8&gt;0),1-VLOOKUP(KitchenHandleType,FixedListsHandleType,4,FALSE),"Error"))),0))</f>
        <v>0</v>
      </c>
      <c r="X8" s="156">
        <f t="shared" si="5"/>
        <v>1</v>
      </c>
      <c r="Y8" s="156">
        <f>IF(OR(O8="",P8=""),"",IF(OR(ISERROR(FIND("carcass",$A8))=FALSE,ISERROR(FIND("unit",$A8))=FALSE),VLOOKUP(KitchenCarcassMaterial,FixedListsCarcassMaterial,3,0),0))</f>
        <v>1</v>
      </c>
      <c r="Z8" s="156">
        <f>IF(OR(O8="",P8=""),"",IF(ISERROR(FIND("door",$A8))=FALSE,VLOOKUP(KitchenDoorStyle,FixedListsDoorStyle,3,0),0))</f>
        <v>0</v>
      </c>
      <c r="AA8" s="156">
        <f>IF(OR(O8="",P8=""),"",IF(ISERROR(FIND("door",$A8))=FALSE,VLOOKUP(KitchenDoorMaterial,FixedListsDoorMaterial,3,0),0))</f>
        <v>0</v>
      </c>
      <c r="AB8" s="156">
        <f>IF(OR(O8="",P8=""),"",IF(ISERROR(FIND("drawer",$A8))=FALSE,VLOOKUP(KitchenDrawerType,FixedListsDrawerType,3,0),0))</f>
        <v>0</v>
      </c>
      <c r="AC8" s="156">
        <f>IF(OR(O8="",P8=""),"",IF(OR(Y8&gt;0,Z8&gt;0,AB8&gt;0),VLOOKUP(KitchenHandleType,FixedListsHandleType,3,FALSE),0))</f>
        <v>1</v>
      </c>
      <c r="AD8" s="156">
        <f>IF(OR(O8="",P8=""),"",IF(OR(ISERROR(FIND("carcass",$A8))=FALSE,ISERROR(FIND("unit",$A8))=FALSE),VLOOKUP(KitchenCarcassFinish,FixedListsFinishes,3,0),IF(OR(ISERROR(FIND("door",$A8))=FALSE,ISERROR(FIND("Plinth",$A8))=FALSE,ISERROR(FIND("Cornice",$A8))=FALSE,ISERROR(FIND("Fillers",$A8))=FALSE,ISERROR(FIND("Pelmet",$A8))=FALSE,ISERROR(FIND("panel",$A8))=FALSE,ISERROR(FIND("post",$A8))=FALSE),VLOOKUP(KitchenDoorFinish,FixedListsFinishes,3,0),IF(OR(ISERROR(FIND("drawer",$A8))=FALSE,ISERROR(FIND("insert",$A8))=FALSE,ISERROR(FIND("rck",$A8))=FALSE),VLOOKUP(KitchenCarcassFinish,FixedListsFinishes,3,0),0))))</f>
        <v>1</v>
      </c>
      <c r="AE8" s="156">
        <f t="shared" si="6"/>
        <v>1</v>
      </c>
      <c r="AF8" s="157" t="str">
        <f>IF(AND(KitchenHandleType="Channel",OR(ISERROR(FIND("arcass",$A8))=FALSE,ISERROR(FIND("unit",$A8))=FALSE)),IF(ISERROR(FIND("Tower",$A8))=TRUE,IF(KitchenHandleFinish="Match carcass",IF(ISERROR(FIND("Walnut",KitchenCarcassMaterial))=FALSE,(0.035*0.075*($C8/1000))*VLOOKUP("Walnut (solid m3)",SolidData,4,FALSE),IF(ISERROR(FIND("Oak",KitchenCarcassMaterial))=FALSE,(0.035*0.075*($C8/1000))*VLOOKUP("Oak (solid m3)",SolidData,4,FALSE),IF(ISERROR(FIND("ply",KitchenCarcassMaterial))=FALSE,(0.1*($C8/1000))*VLOOKUP("Birch ply (24mm)",SheetsData,7,FALSE),IF(ISERROR(FIND("H/F",KitchenCarcassMaterial))=FALSE,(0.1*($C8/1000))*VLOOKUP("H/F (22mm)",SheetsData,7,FALSE),"Carcass - not tower - new material")))),IF(KitchenHandleFinish="Match door",IF(ISERROR(FIND("Walnut",KitchenDoorMaterial))=FALSE,(0.035*0.075*($C8/1000))*VLOOKUP("Walnut (solid m3)",SolidData,4,FALSE),IF(ISERROR(FIND("Oak",KitchenDoorMaterial))=FALSE,(0.035*0.075*($C8/1000))*VLOOKUP("Oak (solid m3)",SolidData,4,FALSE),IF(ISERROR(FIND("ply",KitchenDoorMaterial))=FALSE,(0.1*($C8/1000))*VLOOKUP("Birch ply (24mm)",SheetsData,7,FALSE),IF(ISERROR(FIND("H/F",KitchenCarcassMaterial))=FALSE,(0.1*($C8/1000))*VLOOKUP("H/F (22mm)",SheetsData,7,FALSE),"Door - not tower - new material")))),"Channel - not tower - handle set to other")),IF(ISERROR(FIND("Tower",$A8))=FALSE,IF(KitchenHandleFinish="Match carcass",IF(ISERROR(FIND("Walnut",KitchenCarcassMaterial))=FALSE,(0.035*0.075*($B8/1000))*VLOOKUP("Walnut (solid m3)",SolidData,4,FALSE),IF(ISERROR(FIND("Oak",KitchenCarcassMaterial))=FALSE,(0.035*0.075*($B8/1000))*VLOOKUP("Oak (solid m3)",SolidData,4,FALSE),IF(ISERROR(FIND("ply",KitchenCarcassMaterial))=FALSE,(0.1*($B8/1000))*VLOOKUP("Birch ply (24mm)",SheetsData,7,FALSE),IF(ISERROR(FIND("H/F",KitchenCarcassMaterial))=FALSE,(0.1*($C8/1000))*VLOOKUP("H/F (22mm)",SheetsData,7,FALSE),"Carcass - tower - new material")))),IF(KitchenHandleFinish="Match door",IF(ISERROR(FIND("Walnut",KitchenDoorMaterial))=FALSE,(0.035*0.075*($B8/1000))*VLOOKUP("Walnut (solid m3)",SolidData,4,FALSE),IF(ISERROR(FIND("Oak",KitchenDoorMaterial))=FALSE,(0.035*0.075*($B8/1000))*VLOOKUP("Oak (solid m3)",SolidData,4,FALSE),IF(ISERROR(FIND("ply",KitchenDoorMaterial))=FALSE,(0.1*($B8/1000))*VLOOKUP("Birch ply (24mm)",SheetData,7,FALSE),IF(ISERROR(FIND("H/F",KitchenCarcassMaterial))=FALSE,(0.1*($C8/1000))*VLOOKUP("H/F (22mm)",SheetsData,7,FALSE),"Door - tower - new material")))),"Channel - tower - handle set to other")))),"")</f>
        <v/>
      </c>
    </row>
    <row r="9">
      <c r="A9" s="151" t="s">
        <v>117</v>
      </c>
      <c r="B9" s="115">
        <f t="shared" si="1"/>
        <v>2200</v>
      </c>
      <c r="C9" s="115" t="str">
        <f>IFERROR(__xludf.DUMMYFUNCTION("IF(A9="""","""",IF(OR(RIGHT(A9,LEN(A9)-len(regexextract(A9,"".* "")))=""1200"",RIGHT(A9,LEN(A9)-len(regexextract(A9,"".* "")))=""600"",RIGHT(A9,LEN(A9)-len(regexextract(A9,"".* "")))=""400"",RIGHT(A9,LEN(A9)-len(regexextract(A9,"".* "")))=""300"",RIGHT(A9"&amp;",LEN(A9)-len(regexextract(A9,"".* "")))=""700"",RIGHT(A9,LEN(A9)-len(regexextract(A9,"".* "")))=""2400"",RIGHT(A9,LEN(A9)-len(regexextract(A9,"".* "")))=""650"",RIGHT(A9,LEN(A9)-len(regexextract(A9,"".* "")))=""350"",RIGHT(A9,LEN(A9)-len(regexextract(A9,"&amp;""".* "")))=""50""),RIGHT(A9,LEN(A9)-len(regexextract(A9,"".* ""))),IF(OR(ISERROR(FIND(""spacer"",A9))=FALSE,ISERROR(FIND(""filler panel"",A9))=FALSE),""1000"",""Unexpected size in description"")))"),"1200")</f>
        <v>1200</v>
      </c>
      <c r="D9" s="151">
        <f t="shared" si="2"/>
        <v>600</v>
      </c>
      <c r="E9" s="152">
        <f>IFERROR(__xludf.DUMMYFUNCTION("IF(OR(A9="""",AND(ISERROR(FIND(""drawer box"",A9))=FALSE,KitchenDrawerType="""")),"""",IF(OR(ISERROR(FIND(""larder"",A9))=FALSE,ISERROR(FIND(""fridge/freezer"",A9))=FALSE,ISERROR(FIND(""double oven"",A9))=FALSE,ISERROR(FIND(""single oven"",A9))=FALSE),VLO"&amp;"OKUP(LEFT(A9,FIND("" "",A9))&amp;""carcass ""&amp;RIGHT(A9,LEN(A9)-(LEN(A9)-3)),KitchensData,5,0),IF(ISERROR(FIND(""sink"",A9))=FALSE,VLOOKUP(LEFT(A9,FIND("" "",A9))&amp;""carcass ""&amp;VALUE(REGEXREPLACE(A9,""[^[:digit:]]"", """")),KitchensData,5,0)+(((C9/1000)*(300/10"&amp;"00))*VLOOKUP(KitchenCarcassMaterial,SheetsData,8,0)),IF(ISERROR(FIND(""bins"",A9))=FALSE,IF(ISERROR(FIND(""veneer"",KitchenCarcassMaterial))=FALSE,VLOOKUP(""Base carcass 600"",KitchensData,5,0)+(0.72*(VLOOKUP(LEFT(KitchenCarcassMaterial,FIND("" "",Kitchen"&amp;"CarcassMaterial)-1)&amp;"" (solid m3)"",SolidData,5,0)*0.016)),VLOOKUP(""Base carcass 600"",KitchensData,5,0)+(0.72*VLOOKUP(KitchenCarcassMaterial,SheetsData,8,0))),IF(ISERROR(FIND(""Cutlery insert 600"",A9))=FALSE,IF(ISERROR(FIND(""veneer"",KitchenCarcassMat"&amp;"erial))=FALSE,0.54*(VLOOKUP(LEFT(KitchenCarcassMaterial,FIND("" "",KitchenCarcassMaterial)-1)&amp;"" (solid m3)"",SolidData,5,0)*0.016),0.54*VLOOKUP(KitchenCarcassMaterial,SheetsData,8,0)),IF(ISERROR(FIND(""Cutlery insert 1200"",A9))=FALSE,IF(ISERROR(FIND(""v"&amp;"eneer"",KitchenCarcassMaterial))=FALSE,0.84*(VLOOKUP(LEFT(KitchenCarcassMaterial,FIND("" "",KitchenCarcassMaterial)-1)&amp;"" (solid m3)"",SolidData,5,0)*0.016),0.84*VLOOKUP(KitchenCarcassMaterial,SheetsData,8,0)),IF(ISERROR(FIND(""Pan/tray rack 600"",A9))=FA"&amp;"LSE,IF(ISERROR(FIND(""veneer"",KitchenCarcassMaterial))=FALSE,1.44*(VLOOKUP(LEFT(KitchenCarcassMaterial,FIND("" "",KitchenCarcassMaterial)-1)&amp;"" (solid m3)"",SolidData,5,0)*0.016),1.44*VLOOKUP(KitchenCarcassMaterial,SheetsData,8,0)),IF(ISERROR(FIND(""Pan/"&amp;"tray rack 1200"",A9))=FALSE,IF(ISERROR(FIND(""veneer"",KitchenCarcassMaterial))=FALSE,2.7*(VLOOKUP(LEFT(KitchenCarcassMaterial,FIND("" "",KitchenCarcassMaterial)-1)&amp;"" (solid m3)"",SolidData,5,0)*0.016),2.7*VLOOKUP(KitchenCarcassMaterial,SheetsData,8,0)),"&amp;"IF(ISERROR(FIND(""drawer front"",A9))=FALSE,((B9/1000)*(C9/1000))*VLOOKUP(KitchenDoorMaterial,SheetsData,8,0),IF(AND(KitchenDrawerType=""Match carcass"",ISERROR(FIND(""drawer box"",A9))=FALSE),(((((B9/1000)*(C9/1000))+((B9/1000)*(D9/1000)))*2)*VLOOKUP(Kit"&amp;"chenCarcassMaterial,SheetsData,8,0))+(((C9/1000)*(D9/1000))*VLOOKUP(LEFT(KitchenCarcassMaterial,FIND(""("",KitchenCarcassMaterial)-1)&amp;IF(OR(ISERROR(FIND(""ply"",KitchenCarcassMaterial))=FALSE,ISERROR(FIND(""H/F"",KitchenCarcassMaterial))=FALSE),""(9mm)"","&amp;"""(10mm)""),SheetsData,8,0)),IF(AND(KitchenDrawerType=""Solid dovetail"",ISERROR(FIND(""drawer box"",A9))=FALSE),(((((B9/1000)*(C9/1000))+((B9/1000)*(D9/1000)))*2)*(16/1000)*VLOOKUP(LEFT(KitchenCarcassMaterial,FIND("" "",KitchenCarcassMaterial))&amp;""(solid "&amp;"m3)"",SolidData,5,0))+(((C9/1000)*(D9/1000))*VLOOKUP(LEFT(KitchenCarcassMaterial,FIND(""("",KitchenCarcassMaterial)-1)&amp;IF(OR(ISERROR(FIND(""ply"",KitchenCarcassMaterial))=FALSE,ISERROR(FIND(""H/F"",KitchenCarcassMaterial))=FALSE),""(9mm)"",""(10mm)""),She"&amp;"etsData,8,0)),IF(ISERROR(FIND(""spacer"",A9))=FALSE,((D9/1000)*(C9/1000))*VLOOKUP(""Poplar ply (18mm)"",SheetsData,8,0),IF(ISERROR(FIND(""filler panel"",A9))=FALSE,((B9/1000)*(C9/1000))*VLOOKUP(KitchenDoorMaterial,SheetsData,8,0),IF(ISERROR(FIND(""shelf"""&amp;",A9))=FALSE,((D9/1000)*(C9/1000))*VLOOKUP(KitchenCarcassMaterial,SheetsData,8,0),IF(ISERROR(FIND(""lost corner"",A9))=FALSE,VLOOKUP(LEFT(A9,FIND("" "",A9))&amp;""carcass ""&amp;VALUE(REGEXREPLACE(A9,""[^[:digit:]]"", """")),KitchensData,5,0)+((((B9/1000)*(C9/1000"&amp;"))+((B9/1000)*(60/1000)))*VLOOKUP(KitchenCarcassMaterial,SheetsData,8,0)),IF(ISERROR(FIND(""carcass"",A9))=FALSE,(((((B9/1000)*2)*(D9/1000))+(((C9/1000)*2)*(D9/1000)))*VLOOKUP(KitchenCarcassMaterial,SheetsData,8,0))+((B9/1000)*(C9/1000))*VLOOKUP(LEFT(Kitc"&amp;"henCarcassMaterial,FIND(""("",KitchenCarcassMaterial)-1)&amp;IF(OR(ISERROR(FIND(""ply"",KitchenCarcassMaterial))=FALSE,ISERROR(FIND(""H/F"",KitchenCarcassMaterial))=FALSE),""(9mm)"",""(10mm)""),SheetsData,8,0),IF(OR(ISERROR(FIND(""Plinth"",A9))=FALSE,ISERROR("&amp;"FIND(""Cornice (flat)"",A9))=FALSE),((B9/1000)*(C9/1000))*VLOOKUP(""H/F (18mm)"",SheetsData,8,0),IF(ISERROR(FIND(""Cornice (stacked)"",A9))=FALSE,((0.08*(C9/1000))*2)*VLOOKUP(""H/F (22mm)"",SheetsData,8,0),IF(ISERROR(FIND(""Base end panel"",A9))=FALSE,VLO"&amp;"OKUP(KitchenDoorMaterial,SheetsData,5,0)/3,IF(ISERROR(FIND(""Wall end panel"",A9))=FALSE,VLOOKUP(KitchenDoorMaterial,SheetsData,5,0)/9,IF(ISERROR(FIND(""Tower end panel"",A9))=FALSE,VLOOKUP(KitchenDoorMaterial,SheetsData,5,0),IF(ISERROR(FIND(""Fillers"",A"&amp;"9))=FALSE,(((0.06*(C9/1000))*2)*VLOOKUP(""H/F (18mm)"",SheetsData,8,0))+(((0.06*(C9/1000))*2)*VLOOKUP(""H/F (9mm)"",SheetsData,8,0)),IF(ISERROR(FIND(""corner post"",A9))=FALSE,(((B9/1000)*0.05)*2)*VLOOKUP(KitchenDoorMaterial,SheetsData,8,0),IF(ISERROR(FIN"&amp;"D(""Pelmet"",A9))=FALSE,((((B9/1000)*(C9/1000))*2)*VLOOKUP(""H/F (18mm)"",SheetsData,8,0)),IF(ISERROR(FIND(""door"",A9))=TRUE,""Check description"",IF(KitchenDoorStyle=""Flat"",((B9/1000)*(C9/1000))*VLOOKUP(KitchenDoorMaterial,SheetsData,8,0),IF(LEFT(Kitc"&amp;"henDoorStyle,5)=""Panel"",(((((B9/1000)*2)*0.08)+((((C9/1000)-0.16)*2)*0.08))*VLOOKUP(""H/F (22mm)"",SheetsData,8,0))+(((B9/1000)-0.14)*((C9/1000)-0.14)*VLOOKUP(""H/F (9mm)"",SheetsData,8,0)),IF(KitchenDoorStyle=""In-frame flat"",((((((B9/1000)*0.019)*0.0"&amp;"38)+((((C9-38)/1000)*0.038)*0.038))*2)*VLOOKUP(""Tulip (solid m3)"",SolidData,5,0))+(((B9-76)/1000)*((C9-38)/1000))*VLOOKUP(""H/F (22mm)"",SheetsData,8,0),IF(LEFT(KitchenDoorStyle,14)=""In-frame panel"",(((((((B9/1000)*0.019)*0.038)+((((C9-38)/1000)*0.038"&amp;")*0.038))*2)*VLOOKUP(""Tulip (solid m3)"",SolidData,5,0))+(((((((B9-76)/1000)*2)*0.08)+(((((C9-198)/1000)*2)*0.08)))*VLOOKUP(""H/F (22mm)"",SheetsData,8,0))+(((B9-216)/1000)*((C9-178)/1000)*VLOOKUP(""H/F (9mm)"",SheetsData,8,0)))))))))))))))))))))))))))))"&amp;"))))"),192.33539371136794)</f>
        <v>192.3353937</v>
      </c>
      <c r="F9" s="152">
        <f>IFERROR(__xludf.DUMMYFUNCTION("IF(OR(A9="""",AND(ISERROR(FIND(""drawer box"",A9))=FALSE,KitchenDrawerType=""Solid dovetail"")),"""",IF(ISERROR(FIND(""bins"",A9))=FALSE,VLOOKUP(""Base carcass 600"",KitchensData,6,0),IF(OR(ISERROR(FIND(""larder"",A9))=FALSE,ISERROR(FIND(""unit"",A9))=FAL"&amp;"SE),VLOOKUP(LEFT(A9,FIND("" "",A9))&amp;""carcass ""&amp;RIGHT(A9,LEN(A9)-len(regexextract(A9,"".* ""))),KitchensData,6,0),IF(ISERROR(FIND(""drawer front"",A9))=FALSE,IF(ISERROR(FIND(""veneer"",KitchenCarcassMaterial))=TRUE,0,(((B9+C9)/1000)*2)*VLOOKUP(""Edge ban"&amp;"ding (per M)"",SheetsData,5,0)),IF(ISERROR(FIND(""drawer box"",A9))=FALSE,IF(ISERROR(FIND(""veneer"",KitchenCarcassMaterial))=TRUE,0,(((C9+D9)/1000)*2)*VLOOKUP(""Edge banding (per M)"",SheetsData,5,0)),IF(ISERROR(FIND(""shelf"",A9))=FALSE,IF(ISERROR(FIND("&amp;"""veneer"",KitchenCarcassMaterial))=TRUE,0,(C9/1000)*VLOOKUP(""Edge banding (per M)"",SheetsData,5,0)),IF(AND(ISERROR(FIND(""carcass"",A9))=FALSE,ISERROR(FIND(""shelf"",A9))=TRUE),IF(ISERROR(FIND(""veneer"",KitchenCarcassMaterial))=TRUE,0,((2*(B9+C9))/100"&amp;"0)*VLOOKUP(""Edge banding (per M)"",SheetsData,5,0)),IF(ISERROR(FIND(""door"",A9))=TRUE,"""",IF(ISERROR(FIND(""veneer"",KitchenDoorMaterial))=TRUE,"""",((2*(B9+C9))/1000)*VLOOKUP(""Edge banding (per M)"",SheetsData,5,0))))))))))"),0.0)</f>
        <v>0</v>
      </c>
      <c r="G9" s="153">
        <f>IF(A9="","",IF(ISERROR(FIND("bins",A9))=FALSE,VLOOKUP("Base carcass 600",KitchensData,7,0),IF(OR(ISERROR(FIND("larder",A9))=FALSE,ISERROR(FIND("fridge/freezer",A9))=FALSE,ISERROR(FIND("double oven",A9))=FALSE,ISERROR(FIND("single oven",A9))=FALSE),VLOOKUP(LEFT(A9,FIND(" ",A9))&amp;"carcass "&amp;RIGHT(A9,LEN(A9)-(LEN(A9)-3)),KitchensData,7,0),IF(AND(ISERROR(FIND("carcass",A9))=FALSE,ISERROR(FIND("shelf",A9))=TRUE),IF(OR(ISERROR(FIND("Base",A9))=FALSE,ISERROR(FIND("Tower",A9))=FALSE),IF(OR(ISERROR(FIND("1200",A9))=FALSE, ISERROR(FIND("lost corner",A9))=FALSE),6*VLOOKUP("Plinth foot (2 Parts 80mm)",FurnitureData,5,0),4*VLOOKUP("Plinth foot (2 Parts 80mm)",FurnitureData,5,0)),""),""))))</f>
        <v>5.7</v>
      </c>
      <c r="H9" s="115" t="str">
        <f>IF(OR(A9="",ISERROR(FIND("door",A9))=TRUE),"",IF(ISERROR(FIND("Wall",A9))=FALSE,VLOOKUP("Hinges &amp; plates (Hettich thick door)",FurnitureData,5,0)*2,IF(ISERROR(FIND("Base",A9))=FALSE,VLOOKUP("Hinges &amp; plates (Hettich thick door)",FurnitureData,5,0)*3,IF(ISERROR(FIND("Boiler",A9))=FALSE,VLOOKUP("Hinges &amp; plates (Hettich thick door)",FurnitureData,5,0)*4,IF(ISERROR(FIND("Tower",A9))=FALSE,VLOOKUP("Hinges &amp; plates (Hettich thick door)",FurnitureData,5,0)*5)))))</f>
        <v/>
      </c>
      <c r="I9" s="115" t="str">
        <f>IF(ISERROR(FIND("shelf",A9))=FALSE,(VLOOKUP("Shelf pegs",FurnitureData,5,0)/100)*4,"")</f>
        <v/>
      </c>
      <c r="J9" s="152">
        <f>IF(OR(ISERROR(FIND("fridge/freezer",A9))=FALSE,ISERROR(FIND("larder",A9))=FALSE,AND(ISERROR(FIND("Base",A9))=FALSE,ISERROR(FIND("bins",A9))=TRUE,ISERROR(FIND("no shelves",A9))=TRUE,OR(ISERROR(FIND("carcass",A9))=FALSE,ISERROR(FIND("unit",A9))=FALSE))),VLOOKUP("Deep shelf "&amp;C9,KitchensData,18,0),IF(AND(ISERROR(FIND("Wall",A9))=FALSE,ISERROR(FIND("carcass",A9))=FALSE),2*VLOOKUP("Shallow shelf "&amp;C9,KitchensData,18,0),IF(AND(ISERROR(FIND("Tower",A9))=FALSE,ISERROR(FIND("oven",A9))=FALSE),4*VLOOKUP("Deep shelf "&amp;C9,KitchensData,18,0),IF(AND(ISERROR(FIND("Tower",A9))=FALSE,ISERROR(FIND("carcass",A9))=FALSE),5*VLOOKUP("Deep shelf "&amp;C9,KitchensData,18,0),""))))</f>
        <v>357.3224125</v>
      </c>
      <c r="K9" s="152" t="str">
        <f>IF(ISERROR(FIND("sink",A9))=FALSE,VLOOKUP("Sink liner - Aluminium "&amp;RIGHT(A9,LEN(A9)-22)&amp;"mm",ExceptionalData,5,0),IF(ISERROR(FIND("bins",A9))=FALSE,VLOOKUP("Drawer runners and clip set for bin unit (500) Dynapro",FurnitureData,5,0)+(2*VLOOKUP("Bin (42L Anthracite)",FurnitureData,5,0)),IF(ISERROR(FIND("larder",A9))=FALSE,VLOOKUP("Pull out larder unit 600mm",FurnitureData,5,0),IF(AND(ISERROR(FIND("drawer box",A9))=FALSE,ISERROR(FIND("internal",A9))=TRUE),VLOOKUP("Drawer runners and clip set (550) Dynapro",FurnitureData,5,0),IF(ISERROR(FIND("internal drawer box",A9))=FALSE,VLOOKUP("Drawer runners and clip set (450) Dynapro",FurnitureData,5,0),"")))))</f>
        <v/>
      </c>
      <c r="L9" s="152">
        <f t="shared" si="3"/>
        <v>555.3578062</v>
      </c>
      <c r="M9" s="154">
        <f>IFERROR(__xludf.DUMMYFUNCTION("IF(A9="""","""",IF(OR(ISERROR(FIND(""larder"",A9))=FALSE,ISERROR(FIND(""unit"",A9))=FALSE),VLOOKUP(LEFT(A9,FIND("" "",A9))&amp;""carcass ""&amp;RIGHT(A9,LEN(A9)-len(regexextract(A9,"".* ""))),KitchensData,13,0),IF(ISERROR(FIND(""bins"",A9))=FALSE,0.95,IF(ISERROR("&amp;"FIND(""Cutlery insert 600"",A9))=FALSE,1.3,IF(ISERROR(FIND(""Cutlery insert 1200"",A9))=FALSE,2,IF(ISERROR(FIND(""Pan/tray rack 600"",A9))=FALSE,3.25,IF(ISERROR(FIND(""Pan/tray rack 1200"",A9))=FALSE,5.9,IF(ISERROR(FIND(""split"",A9))=FALSE,(((C9/1000)*0."&amp;"022)*2)+VLOOKUP(SUBSTITUTE(A9,"" split"",""""),KitchensData,13,0),IF(AND(ISERROR(FIND(""drawer front"",A9))=FALSE,KitchenDoorStyle=""Flat""),(((B9/1000)*(C9/1000))*2)+((((B9+C9)/1000)*2)*0.022),IF(AND(ISERROR(FIND(""drawer front"",A9))=FALSE,LEFT(KitchenD"&amp;"oorStyle,5)=""Panel""),(((B9/1000)*(C9/1000))*2)+((((B9+C9)/1000)*2)*0.022)+((((C9/1000)-0.16)*0.013)*2)+((((D9/1000)-0.16)*0.013)*2),IF(AND(ISERROR(FIND(""drawer front"",A9))=FALSE,KitchenDoorStyle=""In-frame flat""),((((B9-76)/1000)*((C9-38)/1000))*2)+("&amp;"MID(KitchenDoorMaterial,FIND(""("",KitchenDoorMaterial)+1,2)/1000)*((((B9-76)+(C9-38))/1000)*2)+(((B9/1000)*0.032)*2)+((((B9-76)/1000)*0.032)*2)+(((B9/1000)*0.019)*4)+(((C9/1000)*0.032)*2)+((((C9-38)/1000)*0.032)*2)+(((C9/1000)*0.038)*4),IF(AND(ISERROR(FI"&amp;"ND(""drawer front"",A9))=FALSE,LEFT(KitchenDoorStyle,14)=""In-frame panel""),((((B9-76)/1000)*((C9-38)/1000))*2)+((MID(KitchenDoorMaterial,FIND(""("",KitchenDoorMaterial)+1,2)/1000)*((((B9-76)+(C9-38))/1000)*2))+((((B9-236)/1000)+((C9-198)/1000)*2)*0.013)"&amp;"+(((B9/1000)*0.032)*2)+((((B9-76)/1000)*0.032)*2)+(((B9/1000)*0.019)*4)+(((C9/1000)*0.032)*2)+((((C9-38)/1000)*0.032)*2)+(((C9/1000)*0.038)*4),IF(ISERROR(FIND(""drawer box"",A9))=FALSE,((((B9/1000)*(D9/1000))+((B9/1000)*(C9/1000)))*4)+((((D9/1000)+(C9/100"&amp;"0))*0.016)*4)+(((C9/1000)*(D9/1000))*2),IF(OR(ISERROR(FIND(""shelf"",A9))=FALSE,ISERROR(FIND(""spacer"",A9))=FALSE,,ISERROR(FIND(""filler panel"",A9))=FALSE),(((C9/1000)*(D9/1000))*2)+((((C9+D9)*2)/1000)*0.022),IF(ISERROR(FIND(""lost corner"",A9))=FALSE,("&amp;"((B9/1000)*(C9/1000))*2)+((B9/1000)*(C9/1000))+((B9/1000)*((C9/2)/1000))+((((B9/1000)*0.025)+((C9/1000)*0.025))*2),IF(ISERROR(FIND(""carcass"",A9))=FALSE,(((C9/1000)*(D9/1000))*2)+(((B9/1000)*(D9/1000))*2)+((B9/1000)*(C9/1000))+((((B9/1000)*0.025)+((C9/10"&amp;"00)*0.025))*2),IF(AND(ISERROR(FIND(""door"",A9))=FALSE,KitchenDoorStyle=""Flat""),(((B9/1000)*(C9/1000))*2)+(MID(KitchenDoorMaterial,FIND(""("",KitchenDoorMaterial)+1,2)/1000)*(((B9+C9)/1000)*2),IF(AND(ISERROR(FIND(""door"",A9))=FALSE,LEFT(KitchenDoorStyl"&amp;"e,5)=""Panel""),(((B9/1000)*(C9/1000))*2)+((MID(KitchenDoorMaterial,FIND(""("",KitchenDoorMaterial)+1,2)/1000)*(((B9+C9)/1000)*2))+(((((B9-160)+(C9-160))*2)/1000)*(0.013)),IF(AND(ISERROR(FIND(""door"",A9))=FALSE,KitchenDoorStyle=""In-frame flat""),((((B9-"&amp;"76)/1000)*((C9-38)/1000))*2)+(MID(KitchenDoorMaterial,FIND(""("",KitchenDoorMaterial)+1,2)/1000)*((((B9-76)+(C9-38))/1000)*2)+(((B9/1000)*0.032)*2)+((((B9-76)/1000)*0.032)*2)+(((B9/1000)*0.019)*4)+(((C9/1000)*0.032)*2)+((((C9-38)/1000)*0.032)*2)+(((C9/100"&amp;"0)*0.038)*4),IF(AND(ISERROR(FIND(""door"",A9))=FALSE,LEFT(KitchenDoorStyle,14)=""In-frame panel""),((((B9-76)/1000)*((C9-38)/1000))*2)+((MID(KitchenDoorMaterial,FIND(""("",KitchenDoorMaterial)+1,2)/1000)*((((B9-76)+(C9-38))/1000)*2))+((((B9-236)/1000)+((C"&amp;"9-198)/1000)*2)*0.013)+(((B9/1000)*0.032)*2)+((((B9-76)/1000)*0.032)*2)+(((B9/1000)*0.019)*4)+(((C9/1000)*0.032)*2)+((((C9-38)/1000)*0.032)*2)+(((C9/1000)*0.038)*4),IF(ISERROR(FIND(""Plinth"",A9))=FALSE,((B9/1000)*(C9/1000))+(((C9/1000)*0.018)*2)+(((B9/10"&amp;"00)*0.018)*2),IF(ISERROR(FIND(""Cornice"",A9))=FALSE,(((C9/1000)*0.1)*2)+(((C9/1000)*0.044)*2)+(((B9/1000)*0.08)*2),IF(ISERROR(FIND(""Base end panel"",A9))=FALSE,((B9/1000)*(C9/1000))+(0.022*((B9/1000)+((C9/1000)*2)))+((B9/1000)*0.05),IF(ISERROR(FIND(""Wa"&amp;"ll end panel"",A9))=FALSE,((B9/1000)*(C9/1000))+(0.022*((B9/1000)+((C9/1000)*2)))+((B9/1000)*0.05),IF(ISERROR(FIND(""Tower end panel"",A9))=FALSE,((B9/1000)*(C9/1000))+(0.022*((B9/1000)+((C9/1000)*2)))+((B9/1000)*0.05),IF(ISERROR(FIND(""Fillers"",A9))=FAL"&amp;"SE,((C9/1000)*0.06)+((C9/1000)*0.069)+((0.06*0.018)*2)+((0.06*0.009)*2)+((C9/1000)*0.009)+((C9/1000)*0.018),IF(ISERROR(FIND(""corner post"",A9))=FALSE,(((B9/1000*0.05)*2)+((B9/1000)*0.022)*2)+((B9/1000)*0.072)+((B9/1000)*0.05)+((0.072*0.022)*2)+((0.05*0.0"&amp;"22)*2),IF(ISERROR(FIND(""Pelmet"",A9))=FALSE,((C9/1000)*0.05)+((C9/1000)*0.068)+((0.05*0.018)*4)+(((C9/1000)*0.018))*2))))))))))))))))))))))))))))"),6.890000000000001)</f>
        <v>6.89</v>
      </c>
      <c r="N9" s="152">
        <f>IF(M9="","",IF(AND(ISERROR(FIND("carcass",A9))=TRUE,ISERROR(FIND("unit",A9))=TRUE,ISERROR(FIND("insert",A9))=TRUE,ISERROR(FIND("rack",A9))=TRUE,ISERROR(FIND("box",A9))=TRUE,ISERROR(FIND("shelf",#REF!))=TRUE),VLOOKUP(KitchenDoorFinish,Finishing!$A$2:$K$10,9,0)*M9,VLOOKUP(KitchenCarcassFinish,Finishing!$A$2:$K$40,9,0)*M9))</f>
        <v>25.8375</v>
      </c>
      <c r="O9" s="155">
        <v>1.5</v>
      </c>
      <c r="P9" s="155">
        <v>1.5</v>
      </c>
      <c r="Q9" s="152">
        <f>IF(OR(O9="",P9=""),"",((O9*X9)*(VLOOKUP("Workshop",Labour!$A$3:$E$20,4,0)/8))+((P9*AE9)*(VLOOKUP("Finishing",Labour!$A$3:$E$20,4,0)/8)))</f>
        <v>107.625</v>
      </c>
      <c r="R9" s="152">
        <f t="shared" si="4"/>
        <v>688.8203062</v>
      </c>
      <c r="S9" s="156">
        <f>IF(OR(O9="",P9=""),"",IF(OR(ISERROR(FIND("carcass",$A9))=FALSE,ISERROR(FIND("unit",$A9))=FALSE),VLOOKUP(KitchenCarcassMaterial,FixedListsCarcassMaterial,2,0),0))</f>
        <v>1</v>
      </c>
      <c r="T9" s="156">
        <f>IF(OR(O9="",P9=""),"",IF(ISERROR(FIND("door",$A9))=FALSE,VLOOKUP(KitchenDoorStyle,FixedListsDoorStyle,2,0),0))</f>
        <v>0</v>
      </c>
      <c r="U9" s="156">
        <f>IF(OR(O9="",P9=""),"",IF(ISERROR(FIND("door",$A9))=FALSE,VLOOKUP(KitchenDoorMaterial,FixedListsDoorMaterial,2,0),0))</f>
        <v>0</v>
      </c>
      <c r="V9" s="156">
        <f>IF(OR(O9="",P9=""),"",IF(ISERROR(FIND("drawer",$A9))=FALSE,VLOOKUP(KitchenDrawerType,FixedListsDrawerType,2,0),0))</f>
        <v>0</v>
      </c>
      <c r="W9" s="156">
        <f>IF(OR(O9="",P9=""),"",IF(OR(S9&gt;0, T9&gt;0,V9&gt;0),VLOOKUP(KitchenHandleType,FixedListsHandleType,2,FALSE)*IF(KitchenHandleType="Simple",0,IF(S9&gt;0,VLOOKUP(KitchenHandleType,FixedListsHandleType,4,FALSE),IF(OR(T9&gt;0,V9&gt;0),1-VLOOKUP(KitchenHandleType,FixedListsHandleType,4,FALSE),"Error"))),0))</f>
        <v>0</v>
      </c>
      <c r="X9" s="156">
        <f t="shared" si="5"/>
        <v>1</v>
      </c>
      <c r="Y9" s="156">
        <f>IF(OR(O9="",P9=""),"",IF(OR(ISERROR(FIND("carcass",$A9))=FALSE,ISERROR(FIND("unit",$A9))=FALSE),VLOOKUP(KitchenCarcassMaterial,FixedListsCarcassMaterial,3,0),0))</f>
        <v>1</v>
      </c>
      <c r="Z9" s="156">
        <f>IF(OR(O9="",P9=""),"",IF(ISERROR(FIND("door",$A9))=FALSE,VLOOKUP(KitchenDoorStyle,FixedListsDoorStyle,3,0),0))</f>
        <v>0</v>
      </c>
      <c r="AA9" s="156">
        <f>IF(OR(O9="",P9=""),"",IF(ISERROR(FIND("door",$A9))=FALSE,VLOOKUP(KitchenDoorMaterial,FixedListsDoorMaterial,3,0),0))</f>
        <v>0</v>
      </c>
      <c r="AB9" s="156">
        <f>IF(OR(O9="",P9=""),"",IF(ISERROR(FIND("drawer",$A9))=FALSE,VLOOKUP(KitchenDrawerType,FixedListsDrawerType,3,0),0))</f>
        <v>0</v>
      </c>
      <c r="AC9" s="156">
        <f>IF(OR(O9="",P9=""),"",IF(OR(Y9&gt;0,Z9&gt;0,AB9&gt;0),VLOOKUP(KitchenHandleType,FixedListsHandleType,3,FALSE),0))</f>
        <v>1</v>
      </c>
      <c r="AD9" s="156">
        <f>IF(OR(O9="",P9=""),"",IF(OR(ISERROR(FIND("carcass",$A9))=FALSE,ISERROR(FIND("unit",$A9))=FALSE),VLOOKUP(KitchenCarcassFinish,FixedListsFinishes,3,0),IF(OR(ISERROR(FIND("door",$A9))=FALSE,ISERROR(FIND("Plinth",$A9))=FALSE,ISERROR(FIND("Cornice",$A9))=FALSE,ISERROR(FIND("Fillers",$A9))=FALSE,ISERROR(FIND("Pelmet",$A9))=FALSE,ISERROR(FIND("panel",$A9))=FALSE,ISERROR(FIND("post",$A9))=FALSE),VLOOKUP(KitchenDoorFinish,FixedListsFinishes,3,0),IF(OR(ISERROR(FIND("drawer",$A9))=FALSE,ISERROR(FIND("insert",$A9))=FALSE,ISERROR(FIND("rck",$A9))=FALSE),VLOOKUP(KitchenCarcassFinish,FixedListsFinishes,3,0),0))))</f>
        <v>1</v>
      </c>
      <c r="AE9" s="156">
        <f t="shared" si="6"/>
        <v>1</v>
      </c>
      <c r="AF9" s="157" t="str">
        <f>IF(AND(KitchenHandleType="Channel",OR(ISERROR(FIND("arcass",$A9))=FALSE,ISERROR(FIND("unit",$A9))=FALSE)),IF(ISERROR(FIND("Tower",$A9))=TRUE,IF(KitchenHandleFinish="Match carcass",IF(ISERROR(FIND("Walnut",KitchenCarcassMaterial))=FALSE,(0.035*0.075*($C9/1000))*VLOOKUP("Walnut (solid m3)",SolidData,4,FALSE),IF(ISERROR(FIND("Oak",KitchenCarcassMaterial))=FALSE,(0.035*0.075*($C9/1000))*VLOOKUP("Oak (solid m3)",SolidData,4,FALSE),IF(ISERROR(FIND("ply",KitchenCarcassMaterial))=FALSE,(0.1*($C9/1000))*VLOOKUP("Birch ply (24mm)",SheetsData,7,FALSE),IF(ISERROR(FIND("H/F",KitchenCarcassMaterial))=FALSE,(0.1*($C9/1000))*VLOOKUP("H/F (22mm)",SheetsData,7,FALSE),"Carcass - not tower - new material")))),IF(KitchenHandleFinish="Match door",IF(ISERROR(FIND("Walnut",KitchenDoorMaterial))=FALSE,(0.035*0.075*($C9/1000))*VLOOKUP("Walnut (solid m3)",SolidData,4,FALSE),IF(ISERROR(FIND("Oak",KitchenDoorMaterial))=FALSE,(0.035*0.075*($C9/1000))*VLOOKUP("Oak (solid m3)",SolidData,4,FALSE),IF(ISERROR(FIND("ply",KitchenDoorMaterial))=FALSE,(0.1*($C9/1000))*VLOOKUP("Birch ply (24mm)",SheetsData,7,FALSE),IF(ISERROR(FIND("H/F",KitchenCarcassMaterial))=FALSE,(0.1*($C9/1000))*VLOOKUP("H/F (22mm)",SheetsData,7,FALSE),"Door - not tower - new material")))),"Channel - not tower - handle set to other")),IF(ISERROR(FIND("Tower",$A9))=FALSE,IF(KitchenHandleFinish="Match carcass",IF(ISERROR(FIND("Walnut",KitchenCarcassMaterial))=FALSE,(0.035*0.075*($B9/1000))*VLOOKUP("Walnut (solid m3)",SolidData,4,FALSE),IF(ISERROR(FIND("Oak",KitchenCarcassMaterial))=FALSE,(0.035*0.075*($B9/1000))*VLOOKUP("Oak (solid m3)",SolidData,4,FALSE),IF(ISERROR(FIND("ply",KitchenCarcassMaterial))=FALSE,(0.1*($B9/1000))*VLOOKUP("Birch ply (24mm)",SheetsData,7,FALSE),IF(ISERROR(FIND("H/F",KitchenCarcassMaterial))=FALSE,(0.1*($C9/1000))*VLOOKUP("H/F (22mm)",SheetsData,7,FALSE),"Carcass - tower - new material")))),IF(KitchenHandleFinish="Match door",IF(ISERROR(FIND("Walnut",KitchenDoorMaterial))=FALSE,(0.035*0.075*($B9/1000))*VLOOKUP("Walnut (solid m3)",SolidData,4,FALSE),IF(ISERROR(FIND("Oak",KitchenDoorMaterial))=FALSE,(0.035*0.075*($B9/1000))*VLOOKUP("Oak (solid m3)",SolidData,4,FALSE),IF(ISERROR(FIND("ply",KitchenDoorMaterial))=FALSE,(0.1*($B9/1000))*VLOOKUP("Birch ply (24mm)",SheetData,7,FALSE),IF(ISERROR(FIND("H/F",KitchenCarcassMaterial))=FALSE,(0.1*($C9/1000))*VLOOKUP("H/F (22mm)",SheetsData,7,FALSE),"Door - tower - new material")))),"Channel - tower - handle set to other")))),"")</f>
        <v/>
      </c>
    </row>
    <row r="10">
      <c r="A10" s="151" t="s">
        <v>118</v>
      </c>
      <c r="B10" s="115">
        <f t="shared" si="1"/>
        <v>2200</v>
      </c>
      <c r="C10" s="115" t="str">
        <f>IFERROR(__xludf.DUMMYFUNCTION("IF(A10="""","""",IF(OR(RIGHT(A10,LEN(A10)-len(regexextract(A10,"".* "")))=""1200"",RIGHT(A10,LEN(A10)-len(regexextract(A10,"".* "")))=""600"",RIGHT(A10,LEN(A10)-len(regexextract(A10,"".* "")))=""400"",RIGHT(A10,LEN(A10)-len(regexextract(A10,"".* "")))=""3"&amp;"00"",RIGHT(A10,LEN(A10)-len(regexextract(A10,"".* "")))=""700"",RIGHT(A10,LEN(A10)-len(regexextract(A10,"".* "")))=""2400"",RIGHT(A10,LEN(A10)-len(regexextract(A10,"".* "")))=""650"",RIGHT(A10,LEN(A10)-len(regexextract(A10,"".* "")))=""350"",RIGHT(A10,LEN"&amp;"(A10)-len(regexextract(A10,"".* "")))=""50""),RIGHT(A10,LEN(A10)-len(regexextract(A10,"".* ""))),IF(OR(ISERROR(FIND(""spacer"",A10))=FALSE,ISERROR(FIND(""filler panel"",A10))=FALSE),""1000"",""Unexpected size in description"")))"),"600")</f>
        <v>600</v>
      </c>
      <c r="D10" s="151">
        <f t="shared" si="2"/>
        <v>600</v>
      </c>
      <c r="E10" s="152">
        <f>IFERROR(__xludf.DUMMYFUNCTION("IF(OR(A10="""",AND(ISERROR(FIND(""drawer box"",A10))=FALSE,KitchenDrawerType="""")),"""",IF(OR(ISERROR(FIND(""larder"",A10))=FALSE,ISERROR(FIND(""fridge/freezer"",A10))=FALSE,ISERROR(FIND(""double oven"",A10))=FALSE,ISERROR(FIND(""single oven"",A10))=FALS"&amp;"E),VLOOKUP(LEFT(A10,FIND("" "",A10))&amp;""carcass ""&amp;RIGHT(A10,LEN(A10)-(LEN(A10)-3)),KitchensData,5,0),IF(ISERROR(FIND(""sink"",A10))=FALSE,VLOOKUP(LEFT(A10,FIND("" "",A10))&amp;""carcass ""&amp;VALUE(REGEXREPLACE(A10,""[^[:digit:]]"", """")),KitchensData,5,0)+(((C"&amp;"10/1000)*(300/1000))*VLOOKUP(KitchenCarcassMaterial,SheetsData,8,0)),IF(ISERROR(FIND(""bins"",A10))=FALSE,IF(ISERROR(FIND(""veneer"",KitchenCarcassMaterial))=FALSE,VLOOKUP(""Base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600"",A10))=FALSE,IF(ISERROR(FIND(""veneer"""&amp;",KitchenCarcassMaterial))=FALSE,0.54*(VLOOKUP(LEFT(KitchenCarcassMaterial,FIND(""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1200"",A10))=FALSE,"&amp;"IF(ISERROR(FIND(""veneer"",KitchenCarcassMaterial))=FALSE,0.84*(VLOOKUP(LEFT(KitchenCarcassMaterial,FIND(""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600"",A10))=FALSE,IF(ISERROR(FIND(""veneer"",KitchenCarcassMaterial))=FALSE,1.44*(VLOOKUP(LEFT(KitchenCarcassMaterial,FIND(""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1200"",A10))=FALSE,IF(ISERROR(FIND(""veneer"",KitchenCarcassMaterial))=FALSE,2.7*(VLOOKUP(LEFT(KitchenCarcassMaterial,FIND(""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front"",A10))=FALSE,((B10/1000)*(C10/1000))*VLOOKUP(KitchenDoorMaterial,SheetsData,8,0),IF(AND(KitchenDrawerType=""Match carcass"",ISERROR(FIND(""drawer box"",A10))=FALSE),(((((B10/1000)*(C10/1000))+((B10/1000"&amp;")*(D10/1000)))*2)*VLOOKUP(KitchenCarcassMaterial,SheetsData,8,0))+(((C10/1000)*(D10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box"",A10))=FALSE),(((((B10/1000)*(C10/1000))+((B10/1000)*(D10/1000)))*2)*(16/1000)*VLOOKUP(LEFT(KitchenCarcassMaterial,FIND("" "&amp;""",KitchenCarcassMaterial))&amp;""(solid m3)"",SolidData,5,0))+(((C10/1000)*(D10/1000))*VLOOKUP(LEFT(KitchenCarcassMaterial,FIND(""("",KitchenCarcassMaterial)-1)&amp;IF(OR(ISERROR(FIND(""ply"",KitchenCarcassMaterial))=FALSE,ISERROR(FIND(""H/F"",KitchenCarcassMate"&amp;"rial))=FALSE),""(9mm)"",""(10mm)""),SheetsData,8,0)),IF(ISERROR(FIND(""spacer"",A10))=FALSE,((D10/1000)*(C10/1000))*VLOOKUP(""Poplar ply (18mm)"",SheetsData,8,0),IF(ISERROR(FIND(""filler panel"",A10))=FALSE,((B10/1000)*(C10/1000))*VLOOKUP(KitchenDoorMater"&amp;"ial,SheetsData,8,0),IF(ISERROR(FIND(""shelf"",A10))=FALSE,((D10/1000)*(C10/1000))*VLOOKUP(KitchenCarcassMaterial,SheetsData,8,0),IF(ISERROR(FIND(""lost corner"",A10))=FALSE,VLOOKUP(LEFT(A10,FIND("" "",A10))&amp;""carcass ""&amp;VALUE(REGEXREPLACE(A10,""[^[:digit:"&amp;"]]"", """")),KitchensData,5,0)+((((B10/1000)*(C10/1000))+((B10/1000)*(60/1000)))*VLOOKUP(KitchenCarcassMaterial,SheetsData,8,0)),IF(ISERROR(FIND(""carcass"",A10))=FALSE,(((((B10/1000)*2)*(D10/1000))+(((C10/1000)*2)*(D10/1000)))*VLOOKUP(KitchenCarcassMater"&amp;"ial,SheetsData,8,0))+((B10/1000)*(C10/1000))*VLOOKUP(LEFT(KitchenCarcassMaterial,FIND(""("",KitchenCarcassMaterial)-1)&amp;IF(OR(ISERROR(FIND(""ply"",KitchenCarcassMaterial))=FALSE,ISERROR(FIND(""H/F"",KitchenCarcassMaterial))=FALSE),""(9mm)"",""(10mm)""),She"&amp;"etsData,8,0),IF(OR(ISERROR(FIND(""Plinth"",A10))=FALSE,ISERROR(FIND(""Cornice (flat)"",A10))=FALSE),((B10/1000)*(C10/1000))*VLOOKUP(""H/F (18mm)"",SheetsData,8,0),IF(ISERROR(FIND(""Cornice (stacked)"",A10))=FALSE,((0.08*(C10/1000))*2)*VLOOKUP(""H/F (22mm)"&amp;""",SheetsData,8,0),IF(ISERROR(FIND(""Base end panel"",A10))=FALSE,VLOOKUP(KitchenDoorMaterial,SheetsData,5,0)/3,IF(ISERROR(FIND(""Wall end panel"",A10))=FALSE,VLOOKUP(KitchenDoorMaterial,SheetsData,5,0)/9,IF(ISERROR(FIND(""Tower end panel"",A10))=FALSE,VL"&amp;"OOKUP(KitchenDoorMaterial,SheetsData,5,0),IF(ISERROR(FIND(""Fillers"",A10))=FALSE,(((0.06*(C10/1000))*2)*VLOOKUP(""H/F (18mm)"",SheetsData,8,0))+(((0.06*(C10/1000))*2)*VLOOKUP(""H/F (9mm)"",SheetsData,8,0)),IF(ISERROR(FIND(""corner post"",A10))=FALSE,(((B"&amp;"10/1000)*0.05)*2)*VLOOKUP(KitchenDoorMaterial,SheetsData,8,0),IF(ISERROR(FIND(""Pelmet"",A10))=FALSE,((((B10/1000)*(C10/1000))*2)*VLOOKUP(""H/F (18mm)"",SheetsData,8,0)),IF(ISERROR(FIND(""door"",A10))=TRUE,""Check description"",IF(KitchenDoorStyle=""Flat"&amp;""",((B10/1000)*(C10/1000))*VLOOKUP(KitchenDoorMaterial,SheetsData,8,0),IF(LEFT(KitchenDoorStyle,5)=""Panel"",(((((B10/1000)*2)*0.08)+((((C10/1000)-0.16)*2)*0.08))*VLOOKUP(""H/F (22mm)"",SheetsData,8,0))+(((B10/1000)-0.14)*((C10/1000)-0.14)*VLOOKUP(""H/F ("&amp;"9mm)"",SheetsData,8,0)),IF(KitchenDoorStyle=""In-frame flat"",((((((B10/1000)*0.019)*0.038)+((((C10-38)/1000)*0.038)*0.038))*2)*VLOOKUP(""Tulip (solid m3)"",SolidData,5,0))+(((B10-76)/1000)*((C10-38)/1000))*VLOOKUP(""H/F (22mm)"",SheetsData,8,0),IF(LEFT(K"&amp;"itchenDoorStyle,14)=""In-frame panel"",(((((((B10/1000)*0.019)*0.038)+((((C10-38)/1000)*0.038)*0.038))*2)*VLOOKUP(""Tulip (solid m3)"",SolidData,5,0))+(((((((B10-76)/1000)*2)*0.08)+(((((C10-198)/1000)*2)*0.08)))*VLOOKUP(""H/F (22mm)"",SheetsData,8,0))+((("&amp;"B10-216)/1000)*((C10-178)/1000)*VLOOKUP(""H/F (9mm)"",SheetsData,8,0)))))))))))))))))))))))))))))))))"),140.04501478097288)</f>
        <v>140.0450148</v>
      </c>
      <c r="F10" s="152">
        <f>IFERROR(__xludf.DUMMYFUNCTION("IF(OR(A10="""",AND(ISERROR(FIND(""drawer box"",A10))=FALSE,KitchenDrawerType=""Solid dovetail"")),"""",IF(ISERROR(FIND(""bins"",A10))=FALSE,VLOOKUP(""Base carcass 600"",KitchensData,6,0),IF(OR(ISERROR(FIND(""larder"",A10))=FALSE,ISERROR(FIND(""unit"",A10)"&amp;")=FALSE),VLOOKUP(LEFT(A10,FIND("" "",A10))&amp;""carcass ""&amp;RIGHT(A10,LEN(A10)-len(regexextract(A10,"".* ""))),KitchensData,6,0),IF(ISERROR(FIND(""drawer front"",A10))=FALSE,IF(ISERROR(FIND(""veneer"",KitchenCarcassMaterial))=TRUE,0,(((B10+C10)/1000)*2)*VLOOK"&amp;"UP(""Edge banding (per M)"",SheetsData,5,0)),IF(ISERROR(FIND(""drawer box"",A10))=FALSE,IF(ISERROR(FIND(""veneer"",KitchenCarcassMaterial))=TRUE,0,(((C10+D10)/1000)*2)*VLOOKUP(""Edge banding (per M)"",SheetsData,5,0)),IF(ISERROR(FIND(""shelf"",A10))=FALSE"&amp;",IF(ISERROR(FIND(""veneer"",KitchenCarcassMaterial))=TRUE,0,(C10/1000)*VLOOKUP(""Edge banding (per M)"",SheetsData,5,0)),IF(AND(ISERROR(FIND(""carcass"",A10))=FALSE,ISERROR(FIND(""shelf"",A10))=TRUE),IF(ISERROR(FIND(""veneer"",KitchenCarcassMaterial))=TRU"&amp;"E,0,((2*(B10+C10))/1000)*VLOOKUP(""Edge banding (per M)"",SheetsData,5,0)),IF(ISERROR(FIND(""door"",A10))=TRUE,"""",IF(ISERROR(FIND(""veneer"",KitchenDoorMaterial))=TRUE,"""",((2*(B10+C10))/1000)*VLOOKUP(""Edge banding (per M)"",SheetsData,5,0))))))))))"),0.0)</f>
        <v>0</v>
      </c>
      <c r="G10" s="153">
        <f>IF(A10="","",IF(ISERROR(FIND("bins",A10))=FALSE,VLOOKUP("Base carcass 600",KitchensData,7,0),IF(OR(ISERROR(FIND("larder",A10))=FALSE,ISERROR(FIND("fridge/freezer",A10))=FALSE,ISERROR(FIND("double oven",A10))=FALSE,ISERROR(FIND("single oven",A10))=FALSE),VLOOKUP(LEFT(A10,FIND(" ",A10))&amp;"carcass "&amp;RIGHT(A10,LEN(A10)-(LEN(A10)-3)),KitchensData,7,0),IF(AND(ISERROR(FIND("carcass",A10))=FALSE,ISERROR(FIND("shelf",A10))=TRUE),IF(OR(ISERROR(FIND("Base",A10))=FALSE,ISERROR(FIND("Tower",A10))=FALSE),IF(OR(ISERROR(FIND("1200",A10))=FALSE, ISERROR(FIND("lost corner",A10))=FALSE),6*VLOOKUP("Plinth foot (2 Parts 80mm)",FurnitureData,5,0),4*VLOOKUP("Plinth foot (2 Parts 80mm)",FurnitureData,5,0)),""),""))))</f>
        <v>3.8</v>
      </c>
      <c r="H10" s="115" t="str">
        <f>IF(OR(A10="",ISERROR(FIND("door",A10))=TRUE),"",IF(ISERROR(FIND("Wall",A10))=FALSE,VLOOKUP("Hinges &amp; plates (Hettich thick door)",FurnitureData,5,0)*2,IF(ISERROR(FIND("Base",A10))=FALSE,VLOOKUP("Hinges &amp; plates (Hettich thick door)",FurnitureData,5,0)*3,IF(ISERROR(FIND("Boiler",A10))=FALSE,VLOOKUP("Hinges &amp; plates (Hettich thick door)",FurnitureData,5,0)*4,IF(ISERROR(FIND("Tower",A10))=FALSE,VLOOKUP("Hinges &amp; plates (Hettich thick door)",FurnitureData,5,0)*5)))))</f>
        <v/>
      </c>
      <c r="I10" s="115" t="str">
        <f>IF(ISERROR(FIND("shelf",A10))=FALSE,(VLOOKUP("Shelf pegs",FurnitureData,5,0)/100)*4,"")</f>
        <v/>
      </c>
      <c r="J10" s="152">
        <f>IF(OR(ISERROR(FIND("fridge/freezer",A10))=FALSE,ISERROR(FIND("larder",A10))=FALSE,AND(ISERROR(FIND("Base",A10))=FALSE,ISERROR(FIND("bins",A10))=TRUE,ISERROR(FIND("no shelves",A10))=TRUE,OR(ISERROR(FIND("carcass",A10))=FALSE,ISERROR(FIND("unit",A10))=FALSE))),VLOOKUP("Deep shelf "&amp;C10,KitchensData,18,0),IF(AND(ISERROR(FIND("Wall",A10))=FALSE,ISERROR(FIND("carcass",A10))=FALSE),2*VLOOKUP("Shallow shelf "&amp;C10,KitchensData,18,0),IF(AND(ISERROR(FIND("Tower",A10))=FALSE,ISERROR(FIND("oven",A10))=FALSE),4*VLOOKUP("Deep shelf "&amp;C10,KitchensData,18,0),IF(AND(ISERROR(FIND("Tower",A10))=FALSE,ISERROR(FIND("carcass",A10))=FALSE),5*VLOOKUP("Deep shelf "&amp;C10,KitchensData,18,0),""))))</f>
        <v>269.4997063</v>
      </c>
      <c r="K10" s="152" t="str">
        <f>IF(ISERROR(FIND("sink",A10))=FALSE,VLOOKUP("Sink liner - Aluminium "&amp;RIGHT(A10,LEN(A10)-22)&amp;"mm",ExceptionalData,5,0),IF(ISERROR(FIND("bins",A10))=FALSE,VLOOKUP("Drawer runners and clip set for bin unit (500) Dynapro",FurnitureData,5,0)+(2*VLOOKUP("Bin (42L Anthracite)",FurnitureData,5,0)),IF(ISERROR(FIND("larder",A10))=FALSE,VLOOKUP("Pull out larder unit 600mm",FurnitureData,5,0),IF(AND(ISERROR(FIND("drawer box",A10))=FALSE,ISERROR(FIND("internal",A10))=TRUE),VLOOKUP("Drawer runners and clip set (550) Dynapro",FurnitureData,5,0),IF(ISERROR(FIND("internal drawer box",A10))=FALSE,VLOOKUP("Drawer runners and clip set (450) Dynapro",FurnitureData,5,0),"")))))</f>
        <v/>
      </c>
      <c r="L10" s="152">
        <f t="shared" si="3"/>
        <v>413.344721</v>
      </c>
      <c r="M10" s="154">
        <f>IFERROR(__xludf.DUMMYFUNCTION("IF(A10="""","""",IF(OR(ISERROR(FIND(""larder"",A10))=FALSE,ISERROR(FIND(""unit"",A10))=FALSE),VLOOKUP(LEFT(A10,FIND("" "",A10))&amp;""carcass ""&amp;RIGHT(A10,LEN(A10)-len(regexextract(A10,"".* ""))),KitchensData,13,0),IF(ISERROR(FIND(""bins"",A10))=FALSE,0.95,IF"&amp;"(ISERROR(FIND(""Cutlery insert 600"",A10))=FALSE,1.3,IF(ISERROR(FIND(""Cutlery insert 1200"",A10))=FALSE,2,IF(ISERROR(FIND(""Pan/tray rack 600"",A10))=FALSE,3.25,IF(ISERROR(FIND(""Pan/tray rack 1200"",A10))=FALSE,5.9,IF(ISERROR(FIND(""split"",A10))=FALSE,"&amp;"(((C10/1000)*0.022)*2)+VLOOKUP(SUBSTITUTE(A10,"" split"",""""),KitchensData,13,0),IF(AND(ISERROR(FIND(""drawer front"",A10))=FALSE,KitchenDoorStyle=""Flat""),(((B10/1000)*(C10/1000))*2)+((((B10+C10)/1000)*2)*0.022),IF(AND(ISERROR(FIND(""drawer front"",A10"&amp;"))=FALSE,LEFT(KitchenDoorStyle,5)=""Panel""),(((B10/1000)*(C10/1000))*2)+((((B10+C10)/1000)*2)*0.022)+((((C10/1000)-0.16)*0.013)*2)+((((D10/1000)-0.16)*0.013)*2),IF(AND(ISERROR(FIND(""drawer front"",A10))=FALSE,KitchenDoorStyle=""In-frame flat""),((((B10-"&amp;"76)/1000)*((C10-38)/1000))*2)+(MID(KitchenDoorMaterial,FIND(""("",KitchenDoorMaterial)+1,2)/1000)*((((B10-76)+(C10-38))/1000)*2)+(((B10/1000)*0.032)*2)+((((B10-76)/1000)*0.032)*2)+(((B10/1000)*0.019)*4)+(((C10/1000)*0.032)*2)+((((C10-38)/1000)*0.032)*2)+("&amp;"((C10/1000)*0.038)*4),IF(AND(ISERROR(FIND(""drawer front"",A10))=FALSE,LEFT(KitchenDoorStyle,14)=""In-frame panel""),((((B10-76)/1000)*((C10-38)/1000))*2)+((MID(KitchenDoorMaterial,FIND(""("",KitchenDoorMaterial)+1,2)/1000)*((((B10-76)+(C10-38))/1000)*2))"&amp;"+((((B10-236)/1000)+((C10-198)/1000)*2)*0.013)+(((B10/1000)*0.032)*2)+((((B10-76)/1000)*0.032)*2)+(((B10/1000)*0.019)*4)+(((C10/1000)*0.032)*2)+((((C10-38)/1000)*0.032)*2)+(((C10/1000)*0.038)*4),IF(ISERROR(FIND(""drawer box"",A10))=FALSE,((((B10/1000)*(D1"&amp;"0/1000))+((B10/1000)*(C10/1000)))*4)+((((D10/1000)+(C10/1000))*0.016)*4)+(((C10/1000)*(D10/1000))*2),IF(OR(ISERROR(FIND(""shelf"",A10))=FALSE,ISERROR(FIND(""spacer"",A10))=FALSE,,ISERROR(FIND(""filler panel"",A10))=FALSE),(((C10/1000)*(D10/1000))*2)+((((C"&amp;"10+D10)*2)/1000)*0.022),IF(ISERROR(FIND(""lost corner"",A10))=FALSE,(((B10/1000)*(C10/1000))*2)+((B10/1000)*(C10/1000))+((B10/1000)*((C10/2)/1000))+((((B10/1000)*0.025)+((C10/1000)*0.025))*2),IF(ISERROR(FIND(""carcass"",A10))=FALSE,(((C10/1000)*(D10/1000)"&amp;")*2)+(((B10/1000)*(D10/1000))*2)+((B10/1000)*(C10/1000))+((((B10/1000)*0.025)+((C10/1000)*0.025))*2),IF(AND(ISERROR(FIND(""door"",A10))=FALSE,KitchenDoorStyle=""Flat""),(((B10/1000)*(C10/1000))*2)+(MID(KitchenDoorMaterial,FIND(""("",KitchenDoorMaterial)+1"&amp;",2)/1000)*(((B10+C10)/1000)*2),IF(AND(ISERROR(FIND(""door"",A10))=FALSE,LEFT(KitchenDoorStyle,5)=""Panel""),(((B10/1000)*(C10/1000))*2)+((MID(KitchenDoorMaterial,FIND(""("",KitchenDoorMaterial)+1,2)/1000)*(((B10+C10)/1000)*2))+(((((B10-160)+(C10-160))*2)/"&amp;"1000)*(0.013)),IF(AND(ISERROR(FIND(""door"",A10))=FALSE,KitchenDoorStyle=""In-frame flat""),((((B10-76)/1000)*((C10-38)/1000))*2)+(MID(KitchenDoorMaterial,FIND(""("",KitchenDoorMaterial)+1,2)/1000)*((((B10-76)+(C10-38))/1000)*2)+(((B10/1000)*0.032)*2)+((("&amp;"(B10-76)/1000)*0.032)*2)+(((B10/1000)*0.019)*4)+(((C10/1000)*0.032)*2)+((((C10-38)/1000)*0.032)*2)+(((C10/1000)*0.038)*4),IF(AND(ISERROR(FIND(""door"",A10))=FALSE,LEFT(KitchenDoorStyle,14)=""In-frame panel""),((((B10-76)/1000)*((C10-38)/1000))*2)+((MID(Ki"&amp;"tchenDoorMaterial,FIND(""("",KitchenDoorMaterial)+1,2)/1000)*((((B10-76)+(C10-38))/1000)*2))+((((B10-236)/1000)+((C10-198)/1000)*2)*0.013)+(((B10/1000)*0.032)*2)+((((B10-76)/1000)*0.032)*2)+(((B10/1000)*0.019)*4)+(((C10/1000)*0.032)*2)+((((C10-38)/1000)*0"&amp;".032)*2)+(((C10/1000)*0.038)*4),IF(ISERROR(FIND(""Plinth"",A10))=FALSE,((B10/1000)*(C10/1000))+(((C10/1000)*0.018)*2)+(((B10/1000)*0.018)*2),IF(ISERROR(FIND(""Cornice"",A10))=FALSE,(((C10/1000)*0.1)*2)+(((C10/1000)*0.044)*2)+(((B10/1000)*0.08)*2),IF(ISERR"&amp;"OR(FIND(""Base end panel"",A10))=FALSE,((B10/1000)*(C10/1000))+(0.022*((B10/1000)+((C10/1000)*2)))+((B10/1000)*0.05),IF(ISERROR(FIND(""Wall end panel"",A10))=FALSE,((B10/1000)*(C10/1000))+(0.022*((B10/1000)+((C10/1000)*2)))+((B10/1000)*0.05),IF(ISERROR(FI"&amp;"ND(""Tower end panel"",A10))=FALSE,((B10/1000)*(C10/1000))+(0.022*((B10/1000)+((C10/1000)*2)))+((B10/1000)*0.05),IF(ISERROR(FIND(""Fillers"",A10))=FALSE,((C10/1000)*0.06)+((C10/1000)*0.069)+((0.06*0.018)*2)+((0.06*0.009)*2)+((C10/1000)*0.009)+((C10/1000)*"&amp;"0.018),IF(ISERROR(FIND(""corner post"",A10))=FALSE,(((B10/1000*0.05)*2)+((B10/1000)*0.022)*2)+((B10/1000)*0.072)+((B10/1000)*0.05)+((0.072*0.022)*2)+((0.05*0.022)*2),IF(ISERROR(FIND(""Pelmet"",A10))=FALSE,((C10/1000)*0.05)+((C10/1000)*0.068)+((0.05*0.018)"&amp;"*4)+(((C10/1000)*0.018))*2))))))))))))))))))))))))))))"),4.82)</f>
        <v>4.82</v>
      </c>
      <c r="N10" s="152">
        <f>IF(M10="","",IF(AND(ISERROR(FIND("carcass",A10))=TRUE,ISERROR(FIND("unit",A10))=TRUE,ISERROR(FIND("insert",A10))=TRUE,ISERROR(FIND("rack",A10))=TRUE,ISERROR(FIND("box",A10))=TRUE,ISERROR(FIND("shelf",#REF!))=TRUE),VLOOKUP(KitchenDoorFinish,Finishing!$A$2:$K$10,9,0)*M10,VLOOKUP(KitchenCarcassFinish,Finishing!$A$2:$K$40,9,0)*M10))</f>
        <v>18.075</v>
      </c>
      <c r="O10" s="155">
        <v>1.5</v>
      </c>
      <c r="P10" s="155">
        <v>1.5</v>
      </c>
      <c r="Q10" s="152">
        <f>IF(OR(O10="",P10=""),"",((O10*X10)*(VLOOKUP("Workshop",Labour!$A$3:$E$20,4,0)/8))+((P10*AE10)*(VLOOKUP("Finishing",Labour!$A$3:$E$20,4,0)/8)))</f>
        <v>107.625</v>
      </c>
      <c r="R10" s="152">
        <f t="shared" si="4"/>
        <v>539.044721</v>
      </c>
      <c r="S10" s="156">
        <f>IF(OR(O10="",P10=""),"",IF(OR(ISERROR(FIND("carcass",$A10))=FALSE,ISERROR(FIND("unit",$A10))=FALSE),VLOOKUP(KitchenCarcassMaterial,FixedListsCarcassMaterial,2,0),0))</f>
        <v>1</v>
      </c>
      <c r="T10" s="156">
        <f>IF(OR(O10="",P10=""),"",IF(ISERROR(FIND("door",$A10))=FALSE,VLOOKUP(KitchenDoorStyle,FixedListsDoorStyle,2,0),0))</f>
        <v>0</v>
      </c>
      <c r="U10" s="156">
        <f>IF(OR(O10="",P10=""),"",IF(ISERROR(FIND("door",$A10))=FALSE,VLOOKUP(KitchenDoorMaterial,FixedListsDoorMaterial,2,0),0))</f>
        <v>0</v>
      </c>
      <c r="V10" s="156">
        <f>IF(OR(O10="",P10=""),"",IF(ISERROR(FIND("drawer",$A10))=FALSE,VLOOKUP(KitchenDrawerType,FixedListsDrawerType,2,0),0))</f>
        <v>0</v>
      </c>
      <c r="W10" s="156">
        <f>IF(OR(O10="",P10=""),"",IF(OR(S10&gt;0, T10&gt;0,V10&gt;0),VLOOKUP(KitchenHandleType,FixedListsHandleType,2,FALSE)*IF(KitchenHandleType="Simple",0,IF(S10&gt;0,VLOOKUP(KitchenHandleType,FixedListsHandleType,4,FALSE),IF(OR(T10&gt;0,V10&gt;0),1-VLOOKUP(KitchenHandleType,FixedListsHandleType,4,FALSE),"Error"))),0))</f>
        <v>0</v>
      </c>
      <c r="X10" s="156">
        <f t="shared" si="5"/>
        <v>1</v>
      </c>
      <c r="Y10" s="156">
        <f>IF(OR(O10="",P10=""),"",IF(OR(ISERROR(FIND("carcass",$A10))=FALSE,ISERROR(FIND("unit",$A10))=FALSE),VLOOKUP(KitchenCarcassMaterial,FixedListsCarcassMaterial,3,0),0))</f>
        <v>1</v>
      </c>
      <c r="Z10" s="156">
        <f>IF(OR(O10="",P10=""),"",IF(ISERROR(FIND("door",$A10))=FALSE,VLOOKUP(KitchenDoorStyle,FixedListsDoorStyle,3,0),0))</f>
        <v>0</v>
      </c>
      <c r="AA10" s="156">
        <f>IF(OR(O10="",P10=""),"",IF(ISERROR(FIND("door",$A10))=FALSE,VLOOKUP(KitchenDoorMaterial,FixedListsDoorMaterial,3,0),0))</f>
        <v>0</v>
      </c>
      <c r="AB10" s="156">
        <f>IF(OR(O10="",P10=""),"",IF(ISERROR(FIND("drawer",$A10))=FALSE,VLOOKUP(KitchenDrawerType,FixedListsDrawerType,3,0),0))</f>
        <v>0</v>
      </c>
      <c r="AC10" s="156">
        <f>IF(OR(O10="",P10=""),"",IF(OR(Y10&gt;0,Z10&gt;0,AB10&gt;0),VLOOKUP(KitchenHandleType,FixedListsHandleType,3,FALSE),0))</f>
        <v>1</v>
      </c>
      <c r="AD10" s="156">
        <f>IF(OR(O10="",P10=""),"",IF(OR(ISERROR(FIND("carcass",$A10))=FALSE,ISERROR(FIND("unit",$A10))=FALSE),VLOOKUP(KitchenCarcassFinish,FixedListsFinishes,3,0),IF(OR(ISERROR(FIND("door",$A10))=FALSE,ISERROR(FIND("Plinth",$A10))=FALSE,ISERROR(FIND("Cornice",$A10))=FALSE,ISERROR(FIND("Fillers",$A10))=FALSE,ISERROR(FIND("Pelmet",$A10))=FALSE,ISERROR(FIND("panel",$A10))=FALSE,ISERROR(FIND("post",$A10))=FALSE),VLOOKUP(KitchenDoorFinish,FixedListsFinishes,3,0),IF(OR(ISERROR(FIND("drawer",$A10))=FALSE,ISERROR(FIND("insert",$A10))=FALSE,ISERROR(FIND("rck",$A10))=FALSE),VLOOKUP(KitchenCarcassFinish,FixedListsFinishes,3,0),0))))</f>
        <v>1</v>
      </c>
      <c r="AE10" s="156">
        <f t="shared" si="6"/>
        <v>1</v>
      </c>
      <c r="AF10" s="157" t="str">
        <f>IF(AND(KitchenHandleType="Channel",OR(ISERROR(FIND("arcass",$A10))=FALSE,ISERROR(FIND("unit",$A10))=FALSE)),IF(ISERROR(FIND("Tower",$A10))=TRUE,IF(KitchenHandleFinish="Match carcass",IF(ISERROR(FIND("Walnut",KitchenCarcassMaterial))=FALSE,(0.035*0.075*($C10/1000))*VLOOKUP("Walnut (solid m3)",SolidData,4,FALSE),IF(ISERROR(FIND("Oak",KitchenCarcassMaterial))=FALSE,(0.035*0.075*($C10/1000))*VLOOKUP("Oak (solid m3)",SolidData,4,FALSE),IF(ISERROR(FIND("ply",KitchenCarcassMaterial))=FALSE,(0.1*($C10/1000))*VLOOKUP("Birch ply (24mm)",SheetsData,7,FALSE),IF(ISERROR(FIND("H/F",KitchenCarcassMaterial))=FALSE,(0.1*($C10/1000))*VLOOKUP("H/F (22mm)",SheetsData,7,FALSE),"Carcass - not tower - new material")))),IF(KitchenHandleFinish="Match door",IF(ISERROR(FIND("Walnut",KitchenDoorMaterial))=FALSE,(0.035*0.075*($C10/1000))*VLOOKUP("Walnut (solid m3)",SolidData,4,FALSE),IF(ISERROR(FIND("Oak",KitchenDoorMaterial))=FALSE,(0.035*0.075*($C10/1000))*VLOOKUP("Oak (solid m3)",SolidData,4,FALSE),IF(ISERROR(FIND("ply",KitchenDoorMaterial))=FALSE,(0.1*($C10/1000))*VLOOKUP("Birch ply (24mm)",SheetsData,7,FALSE),IF(ISERROR(FIND("H/F",KitchenCarcassMaterial))=FALSE,(0.1*($C10/1000))*VLOOKUP("H/F (22mm)",SheetsData,7,FALSE),"Door - not tower - new material")))),"Channel - not tower - handle set to other")),IF(ISERROR(FIND("Tower",$A10))=FALSE,IF(KitchenHandleFinish="Match carcass",IF(ISERROR(FIND("Walnut",KitchenCarcassMaterial))=FALSE,(0.035*0.075*($B10/1000))*VLOOKUP("Walnut (solid m3)",SolidData,4,FALSE),IF(ISERROR(FIND("Oak",KitchenCarcassMaterial))=FALSE,(0.035*0.075*($B10/1000))*VLOOKUP("Oak (solid m3)",SolidData,4,FALSE),IF(ISERROR(FIND("ply",KitchenCarcassMaterial))=FALSE,(0.1*($B10/1000))*VLOOKUP("Birch ply (24mm)",SheetsData,7,FALSE),IF(ISERROR(FIND("H/F",KitchenCarcassMaterial))=FALSE,(0.1*($C10/1000))*VLOOKUP("H/F (22mm)",SheetsData,7,FALSE),"Carcass - tower - new material")))),IF(KitchenHandleFinish="Match door",IF(ISERROR(FIND("Walnut",KitchenDoorMaterial))=FALSE,(0.035*0.075*($B10/1000))*VLOOKUP("Walnut (solid m3)",SolidData,4,FALSE),IF(ISERROR(FIND("Oak",KitchenDoorMaterial))=FALSE,(0.035*0.075*($B10/1000))*VLOOKUP("Oak (solid m3)",SolidData,4,FALSE),IF(ISERROR(FIND("ply",KitchenDoorMaterial))=FALSE,(0.1*($B10/1000))*VLOOKUP("Birch ply (24mm)",SheetData,7,FALSE),IF(ISERROR(FIND("H/F",KitchenCarcassMaterial))=FALSE,(0.1*($C10/1000))*VLOOKUP("H/F (22mm)",SheetsData,7,FALSE),"Door - tower - new material")))),"Channel - tower - handle set to other")))),"")</f>
        <v/>
      </c>
    </row>
    <row r="11">
      <c r="A11" s="151" t="s">
        <v>119</v>
      </c>
      <c r="B11" s="115">
        <f t="shared" si="1"/>
        <v>2200</v>
      </c>
      <c r="C11" s="115" t="str">
        <f>IFERROR(__xludf.DUMMYFUNCTION("IF(A11="""","""",IF(OR(RIGHT(A11,LEN(A11)-len(regexextract(A11,"".* "")))=""1200"",RIGHT(A11,LEN(A11)-len(regexextract(A11,"".* "")))=""600"",RIGHT(A11,LEN(A11)-len(regexextract(A11,"".* "")))=""400"",RIGHT(A11,LEN(A11)-len(regexextract(A11,"".* "")))=""3"&amp;"00"",RIGHT(A11,LEN(A11)-len(regexextract(A11,"".* "")))=""700"",RIGHT(A11,LEN(A11)-len(regexextract(A11,"".* "")))=""2400"",RIGHT(A11,LEN(A11)-len(regexextract(A11,"".* "")))=""650"",RIGHT(A11,LEN(A11)-len(regexextract(A11,"".* "")))=""350"",RIGHT(A11,LEN"&amp;"(A11)-len(regexextract(A11,"".* "")))=""50""),RIGHT(A11,LEN(A11)-len(regexextract(A11,"".* ""))),IF(OR(ISERROR(FIND(""spacer"",A11))=FALSE,ISERROR(FIND(""filler panel"",A11))=FALSE),""1000"",""Unexpected size in description"")))"),"400")</f>
        <v>400</v>
      </c>
      <c r="D11" s="151">
        <f t="shared" si="2"/>
        <v>600</v>
      </c>
      <c r="E11" s="152">
        <f>IFERROR(__xludf.DUMMYFUNCTION("IF(OR(A11="""",AND(ISERROR(FIND(""drawer box"",A11))=FALSE,KitchenDrawerType="""")),"""",IF(OR(ISERROR(FIND(""larder"",A11))=FALSE,ISERROR(FIND(""fridge/freezer"",A11))=FALSE,ISERROR(FIND(""double oven"",A11))=FALSE,ISERROR(FIND(""single oven"",A11))=FALS"&amp;"E),VLOOKUP(LEFT(A11,FIND("" "",A11))&amp;""carcass ""&amp;RIGHT(A11,LEN(A11)-(LEN(A11)-3)),KitchensData,5,0),IF(ISERROR(FIND(""sink"",A11))=FALSE,VLOOKUP(LEFT(A11,FIND("" "",A11))&amp;""carcass ""&amp;VALUE(REGEXREPLACE(A11,""[^[:digit:]]"", """")),KitchensData,5,0)+(((C"&amp;"11/1000)*(300/1000))*VLOOKUP(KitchenCarcassMaterial,SheetsData,8,0)),IF(ISERROR(FIND(""bins"",A11))=FALSE,IF(ISERROR(FIND(""veneer"",KitchenCarcassMaterial))=FALSE,VLOOKUP(""Base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600"",A11))=FALSE,IF(ISERROR(FIND(""veneer"""&amp;",KitchenCarcassMaterial))=FALSE,0.54*(VLOOKUP(LEFT(KitchenCarcassMaterial,FIND(""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1200"",A11))=FALSE,"&amp;"IF(ISERROR(FIND(""veneer"",KitchenCarcassMaterial))=FALSE,0.84*(VLOOKUP(LEFT(KitchenCarcassMaterial,FIND(""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600"",A11))=FALSE,IF(ISERROR(FIND(""veneer"",KitchenCarcassMaterial))=FALSE,1.44*(VLOOKUP(LEFT(KitchenCarcassMaterial,FIND(""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1200"",A11))=FALSE,IF(ISERROR(FIND(""veneer"",KitchenCarcassMaterial))=FALSE,2.7*(VLOOKUP(LEFT(KitchenCarcassMaterial,FIND(""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front"",A11))=FALSE,((B11/1000)*(C11/1000))*VLOOKUP(KitchenDoorMaterial,SheetsData,8,0),IF(AND(KitchenDrawerType=""Match carcass"",ISERROR(FIND(""drawer box"",A11))=FALSE),(((((B11/1000)*(C11/1000))+((B11/1000"&amp;")*(D11/1000)))*2)*VLOOKUP(KitchenCarcassMaterial,SheetsData,8,0))+(((C11/1000)*(D11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box"",A11))=FALSE),(((((B11/1000)*(C11/1000))+((B11/1000)*(D11/1000)))*2)*(16/1000)*VLOOKUP(LEFT(KitchenCarcassMaterial,FIND("" "&amp;""",KitchenCarcassMaterial))&amp;""(solid m3)"",SolidData,5,0))+(((C11/1000)*(D11/1000))*VLOOKUP(LEFT(KitchenCarcassMaterial,FIND(""("",KitchenCarcassMaterial)-1)&amp;IF(OR(ISERROR(FIND(""ply"",KitchenCarcassMaterial))=FALSE,ISERROR(FIND(""H/F"",KitchenCarcassMate"&amp;"rial))=FALSE),""(9mm)"",""(10mm)""),SheetsData,8,0)),IF(ISERROR(FIND(""spacer"",A11))=FALSE,((D11/1000)*(C11/1000))*VLOOKUP(""Poplar ply (18mm)"",SheetsData,8,0),IF(ISERROR(FIND(""filler panel"",A11))=FALSE,((B11/1000)*(C11/1000))*VLOOKUP(KitchenDoorMater"&amp;"ial,SheetsData,8,0),IF(ISERROR(FIND(""shelf"",A11))=FALSE,((D11/1000)*(C11/1000))*VLOOKUP(KitchenCarcassMaterial,SheetsData,8,0),IF(ISERROR(FIND(""lost corner"",A11))=FALSE,VLOOKUP(LEFT(A11,FIND("" "",A11))&amp;""carcass ""&amp;VALUE(REGEXREPLACE(A11,""[^[:digit:"&amp;"]]"", """")),KitchensData,5,0)+((((B11/1000)*(C11/1000))+((B11/1000)*(60/1000)))*VLOOKUP(KitchenCarcassMaterial,SheetsData,8,0)),IF(ISERROR(FIND(""carcass"",A11))=FALSE,(((((B11/1000)*2)*(D11/1000))+(((C11/1000)*2)*(D11/1000)))*VLOOKUP(KitchenCarcassMater"&amp;"ial,SheetsData,8,0))+((B11/1000)*(C11/1000))*VLOOKUP(LEFT(KitchenCarcassMaterial,FIND(""("",KitchenCarcassMaterial)-1)&amp;IF(OR(ISERROR(FIND(""ply"",KitchenCarcassMaterial))=FALSE,ISERROR(FIND(""H/F"",KitchenCarcassMaterial))=FALSE),""(9mm)"",""(10mm)""),She"&amp;"etsData,8,0),IF(OR(ISERROR(FIND(""Plinth"",A11))=FALSE,ISERROR(FIND(""Cornice (flat)"",A11))=FALSE),((B11/1000)*(C11/1000))*VLOOKUP(""H/F (18mm)"",SheetsData,8,0),IF(ISERROR(FIND(""Cornice (stacked)"",A11))=FALSE,((0.08*(C11/1000))*2)*VLOOKUP(""H/F (22mm)"&amp;""",SheetsData,8,0),IF(ISERROR(FIND(""Base end panel"",A11))=FALSE,VLOOKUP(KitchenDoorMaterial,SheetsData,5,0)/3,IF(ISERROR(FIND(""Wall end panel"",A11))=FALSE,VLOOKUP(KitchenDoorMaterial,SheetsData,5,0)/9,IF(ISERROR(FIND(""Tower end panel"",A11))=FALSE,VL"&amp;"OOKUP(KitchenDoorMaterial,SheetsData,5,0),IF(ISERROR(FIND(""Fillers"",A11))=FALSE,(((0.06*(C11/1000))*2)*VLOOKUP(""H/F (18mm)"",SheetsData,8,0))+(((0.06*(C11/1000))*2)*VLOOKUP(""H/F (9mm)"",SheetsData,8,0)),IF(ISERROR(FIND(""corner post"",A11))=FALSE,(((B"&amp;"11/1000)*0.05)*2)*VLOOKUP(KitchenDoorMaterial,SheetsData,8,0),IF(ISERROR(FIND(""Pelmet"",A11))=FALSE,((((B11/1000)*(C11/1000))*2)*VLOOKUP(""H/F (18mm)"",SheetsData,8,0)),IF(ISERROR(FIND(""door"",A11))=TRUE,""Check description"",IF(KitchenDoorStyle=""Flat"&amp;""",((B11/1000)*(C11/1000))*VLOOKUP(KitchenDoorMaterial,SheetsData,8,0),IF(LEFT(KitchenDoorStyle,5)=""Panel"",(((((B11/1000)*2)*0.08)+((((C11/1000)-0.16)*2)*0.08))*VLOOKUP(""H/F (22mm)"",SheetsData,8,0))+(((B11/1000)-0.14)*((C11/1000)-0.14)*VLOOKUP(""H/F ("&amp;"9mm)"",SheetsData,8,0)),IF(KitchenDoorStyle=""In-frame flat"",((((((B11/1000)*0.019)*0.038)+((((C11-38)/1000)*0.038)*0.038))*2)*VLOOKUP(""Tulip (solid m3)"",SolidData,5,0))+(((B11-76)/1000)*((C11-38)/1000))*VLOOKUP(""H/F (22mm)"",SheetsData,8,0),IF(LEFT(K"&amp;"itchenDoorStyle,14)=""In-frame panel"",(((((((B11/1000)*0.019)*0.038)+((((C11-38)/1000)*0.038)*0.038))*2)*VLOOKUP(""Tulip (solid m3)"",SolidData,5,0))+(((((((B11-76)/1000)*2)*0.08)+(((((C11-198)/1000)*2)*0.08)))*VLOOKUP(""H/F (22mm)"",SheetsData,8,0))+((("&amp;"B11-216)/1000)*((C11-178)/1000)*VLOOKUP(""H/F (9mm)"",SheetsData,8,0)))))))))))))))))))))))))))))))))"),122.6148884708412)</f>
        <v>122.6148885</v>
      </c>
      <c r="F11" s="152">
        <f>IFERROR(__xludf.DUMMYFUNCTION("IF(OR(A11="""",AND(ISERROR(FIND(""drawer box"",A11))=FALSE,KitchenDrawerType=""Solid dovetail"")),"""",IF(ISERROR(FIND(""bins"",A11))=FALSE,VLOOKUP(""Base carcass 600"",KitchensData,6,0),IF(OR(ISERROR(FIND(""larder"",A11))=FALSE,ISERROR(FIND(""unit"",A11)"&amp;")=FALSE),VLOOKUP(LEFT(A11,FIND("" "",A11))&amp;""carcass ""&amp;RIGHT(A11,LEN(A11)-len(regexextract(A11,"".* ""))),KitchensData,6,0),IF(ISERROR(FIND(""drawer front"",A11))=FALSE,IF(ISERROR(FIND(""veneer"",KitchenCarcassMaterial))=TRUE,0,(((B11+C11)/1000)*2)*VLOOK"&amp;"UP(""Edge banding (per M)"",SheetsData,5,0)),IF(ISERROR(FIND(""drawer box"",A11))=FALSE,IF(ISERROR(FIND(""veneer"",KitchenCarcassMaterial))=TRUE,0,(((C11+D11)/1000)*2)*VLOOKUP(""Edge banding (per M)"",SheetsData,5,0)),IF(ISERROR(FIND(""shelf"",A11))=FALSE"&amp;",IF(ISERROR(FIND(""veneer"",KitchenCarcassMaterial))=TRUE,0,(C11/1000)*VLOOKUP(""Edge banding (per M)"",SheetsData,5,0)),IF(AND(ISERROR(FIND(""carcass"",A11))=FALSE,ISERROR(FIND(""shelf"",A11))=TRUE),IF(ISERROR(FIND(""veneer"",KitchenCarcassMaterial))=TRU"&amp;"E,0,((2*(B11+C11))/1000)*VLOOKUP(""Edge banding (per M)"",SheetsData,5,0)),IF(ISERROR(FIND(""door"",A11))=TRUE,"""",IF(ISERROR(FIND(""veneer"",KitchenDoorMaterial))=TRUE,"""",((2*(B11+C11))/1000)*VLOOKUP(""Edge banding (per M)"",SheetsData,5,0))))))))))"),0.0)</f>
        <v>0</v>
      </c>
      <c r="G11" s="153">
        <f>IF(A11="","",IF(ISERROR(FIND("bins",A11))=FALSE,VLOOKUP("Base carcass 600",KitchensData,7,0),IF(OR(ISERROR(FIND("larder",A11))=FALSE,ISERROR(FIND("fridge/freezer",A11))=FALSE,ISERROR(FIND("double oven",A11))=FALSE,ISERROR(FIND("single oven",A11))=FALSE),VLOOKUP(LEFT(A11,FIND(" ",A11))&amp;"carcass "&amp;RIGHT(A11,LEN(A11)-(LEN(A11)-3)),KitchensData,7,0),IF(AND(ISERROR(FIND("carcass",A11))=FALSE,ISERROR(FIND("shelf",A11))=TRUE),IF(OR(ISERROR(FIND("Base",A11))=FALSE,ISERROR(FIND("Tower",A11))=FALSE),IF(OR(ISERROR(FIND("1200",A11))=FALSE, ISERROR(FIND("lost corner",A11))=FALSE),6*VLOOKUP("Plinth foot (2 Parts 80mm)",FurnitureData,5,0),4*VLOOKUP("Plinth foot (2 Parts 80mm)",FurnitureData,5,0)),""),""))))</f>
        <v>3.8</v>
      </c>
      <c r="H11" s="115" t="str">
        <f>IF(OR(A11="",ISERROR(FIND("door",A11))=TRUE),"",IF(ISERROR(FIND("Wall",A11))=FALSE,VLOOKUP("Hinges &amp; plates (Hettich thick door)",FurnitureData,5,0)*2,IF(ISERROR(FIND("Base",A11))=FALSE,VLOOKUP("Hinges &amp; plates (Hettich thick door)",FurnitureData,5,0)*3,IF(ISERROR(FIND("Boiler",A11))=FALSE,VLOOKUP("Hinges &amp; plates (Hettich thick door)",FurnitureData,5,0)*4,IF(ISERROR(FIND("Tower",A11))=FALSE,VLOOKUP("Hinges &amp; plates (Hettich thick door)",FurnitureData,5,0)*5)))))</f>
        <v/>
      </c>
      <c r="I11" s="115" t="str">
        <f>IF(ISERROR(FIND("shelf",A11))=FALSE,(VLOOKUP("Shelf pegs",FurnitureData,5,0)/100)*4,"")</f>
        <v/>
      </c>
      <c r="J11" s="152">
        <f>IF(OR(ISERROR(FIND("fridge/freezer",A11))=FALSE,ISERROR(FIND("larder",A11))=FALSE,AND(ISERROR(FIND("Base",A11))=FALSE,ISERROR(FIND("bins",A11))=TRUE,ISERROR(FIND("no shelves",A11))=TRUE,OR(ISERROR(FIND("carcass",A11))=FALSE,ISERROR(FIND("unit",A11))=FALSE))),VLOOKUP("Deep shelf "&amp;C11,KitchensData,18,0),IF(AND(ISERROR(FIND("Wall",A11))=FALSE,ISERROR(FIND("carcass",A11))=FALSE),2*VLOOKUP("Shallow shelf "&amp;C11,KitchensData,18,0),IF(AND(ISERROR(FIND("Tower",A11))=FALSE,ISERROR(FIND("oven",A11))=FALSE),4*VLOOKUP("Deep shelf "&amp;C11,KitchensData,18,0),IF(AND(ISERROR(FIND("Tower",A11))=FALSE,ISERROR(FIND("carcass",A11))=FALSE),5*VLOOKUP("Deep shelf "&amp;C11,KitchensData,18,0),""))))</f>
        <v>240.2254708</v>
      </c>
      <c r="K11" s="152" t="str">
        <f>IF(ISERROR(FIND("sink",A11))=FALSE,VLOOKUP("Sink liner - Aluminium "&amp;RIGHT(A11,LEN(A11)-22)&amp;"mm",ExceptionalData,5,0),IF(ISERROR(FIND("bins",A11))=FALSE,VLOOKUP("Drawer runners and clip set for bin unit (500) Dynapro",FurnitureData,5,0)+(2*VLOOKUP("Bin (42L Anthracite)",FurnitureData,5,0)),IF(ISERROR(FIND("larder",A11))=FALSE,VLOOKUP("Pull out larder unit 600mm",FurnitureData,5,0),IF(AND(ISERROR(FIND("drawer box",A11))=FALSE,ISERROR(FIND("internal",A11))=TRUE),VLOOKUP("Drawer runners and clip set (550) Dynapro",FurnitureData,5,0),IF(ISERROR(FIND("internal drawer box",A11))=FALSE,VLOOKUP("Drawer runners and clip set (450) Dynapro",FurnitureData,5,0),"")))))</f>
        <v/>
      </c>
      <c r="L11" s="152">
        <f t="shared" si="3"/>
        <v>366.6403593</v>
      </c>
      <c r="M11" s="154">
        <f>IFERROR(__xludf.DUMMYFUNCTION("IF(A11="""","""",IF(OR(ISERROR(FIND(""larder"",A11))=FALSE,ISERROR(FIND(""unit"",A11))=FALSE),VLOOKUP(LEFT(A11,FIND("" "",A11))&amp;""carcass ""&amp;RIGHT(A11,LEN(A11)-len(regexextract(A11,"".* ""))),KitchensData,13,0),IF(ISERROR(FIND(""bins"",A11))=FALSE,0.95,IF"&amp;"(ISERROR(FIND(""Cutlery insert 600"",A11))=FALSE,1.3,IF(ISERROR(FIND(""Cutlery insert 1200"",A11))=FALSE,2,IF(ISERROR(FIND(""Pan/tray rack 600"",A11))=FALSE,3.25,IF(ISERROR(FIND(""Pan/tray rack 1200"",A11))=FALSE,5.9,IF(ISERROR(FIND(""split"",A11))=FALSE,"&amp;"(((C11/1000)*0.022)*2)+VLOOKUP(SUBSTITUTE(A11,"" split"",""""),KitchensData,13,0),IF(AND(ISERROR(FIND(""drawer front"",A11))=FALSE,KitchenDoorStyle=""Flat""),(((B11/1000)*(C11/1000))*2)+((((B11+C11)/1000)*2)*0.022),IF(AND(ISERROR(FIND(""drawer front"",A11"&amp;"))=FALSE,LEFT(KitchenDoorStyle,5)=""Panel""),(((B11/1000)*(C11/1000))*2)+((((B11+C11)/1000)*2)*0.022)+((((C11/1000)-0.16)*0.013)*2)+((((D11/1000)-0.16)*0.013)*2),IF(AND(ISERROR(FIND(""drawer front"",A11))=FALSE,KitchenDoorStyle=""In-frame flat""),((((B11-"&amp;"76)/1000)*((C11-38)/1000))*2)+(MID(KitchenDoorMaterial,FIND(""("",KitchenDoorMaterial)+1,2)/1000)*((((B11-76)+(C11-38))/1000)*2)+(((B11/1000)*0.032)*2)+((((B11-76)/1000)*0.032)*2)+(((B11/1000)*0.019)*4)+(((C11/1000)*0.032)*2)+((((C11-38)/1000)*0.032)*2)+("&amp;"((C11/1000)*0.038)*4),IF(AND(ISERROR(FIND(""drawer front"",A11))=FALSE,LEFT(KitchenDoorStyle,14)=""In-frame panel""),((((B11-76)/1000)*((C11-38)/1000))*2)+((MID(KitchenDoorMaterial,FIND(""("",KitchenDoorMaterial)+1,2)/1000)*((((B11-76)+(C11-38))/1000)*2))"&amp;"+((((B11-236)/1000)+((C11-198)/1000)*2)*0.013)+(((B11/1000)*0.032)*2)+((((B11-76)/1000)*0.032)*2)+(((B11/1000)*0.019)*4)+(((C11/1000)*0.032)*2)+((((C11-38)/1000)*0.032)*2)+(((C11/1000)*0.038)*4),IF(ISERROR(FIND(""drawer box"",A11))=FALSE,((((B11/1000)*(D1"&amp;"1/1000))+((B11/1000)*(C11/1000)))*4)+((((D11/1000)+(C11/1000))*0.016)*4)+(((C11/1000)*(D11/1000))*2),IF(OR(ISERROR(FIND(""shelf"",A11))=FALSE,ISERROR(FIND(""spacer"",A11))=FALSE,,ISERROR(FIND(""filler panel"",A11))=FALSE),(((C11/1000)*(D11/1000))*2)+((((C"&amp;"11+D11)*2)/1000)*0.022),IF(ISERROR(FIND(""lost corner"",A11))=FALSE,(((B11/1000)*(C11/1000))*2)+((B11/1000)*(C11/1000))+((B11/1000)*((C11/2)/1000))+((((B11/1000)*0.025)+((C11/1000)*0.025))*2),IF(ISERROR(FIND(""carcass"",A11))=FALSE,(((C11/1000)*(D11/1000)"&amp;")*2)+(((B11/1000)*(D11/1000))*2)+((B11/1000)*(C11/1000))+((((B11/1000)*0.025)+((C11/1000)*0.025))*2),IF(AND(ISERROR(FIND(""door"",A11))=FALSE,KitchenDoorStyle=""Flat""),(((B11/1000)*(C11/1000))*2)+(MID(KitchenDoorMaterial,FIND(""("",KitchenDoorMaterial)+1"&amp;",2)/1000)*(((B11+C11)/1000)*2),IF(AND(ISERROR(FIND(""door"",A11))=FALSE,LEFT(KitchenDoorStyle,5)=""Panel""),(((B11/1000)*(C11/1000))*2)+((MID(KitchenDoorMaterial,FIND(""("",KitchenDoorMaterial)+1,2)/1000)*(((B11+C11)/1000)*2))+(((((B11-160)+(C11-160))*2)/"&amp;"1000)*(0.013)),IF(AND(ISERROR(FIND(""door"",A11))=FALSE,KitchenDoorStyle=""In-frame flat""),((((B11-76)/1000)*((C11-38)/1000))*2)+(MID(KitchenDoorMaterial,FIND(""("",KitchenDoorMaterial)+1,2)/1000)*((((B11-76)+(C11-38))/1000)*2)+(((B11/1000)*0.032)*2)+((("&amp;"(B11-76)/1000)*0.032)*2)+(((B11/1000)*0.019)*4)+(((C11/1000)*0.032)*2)+((((C11-38)/1000)*0.032)*2)+(((C11/1000)*0.038)*4),IF(AND(ISERROR(FIND(""door"",A11))=FALSE,LEFT(KitchenDoorStyle,14)=""In-frame panel""),((((B11-76)/1000)*((C11-38)/1000))*2)+((MID(Ki"&amp;"tchenDoorMaterial,FIND(""("",KitchenDoorMaterial)+1,2)/1000)*((((B11-76)+(C11-38))/1000)*2))+((((B11-236)/1000)+((C11-198)/1000)*2)*0.013)+(((B11/1000)*0.032)*2)+((((B11-76)/1000)*0.032)*2)+(((B11/1000)*0.019)*4)+(((C11/1000)*0.032)*2)+((((C11-38)/1000)*0"&amp;".032)*2)+(((C11/1000)*0.038)*4),IF(ISERROR(FIND(""Plinth"",A11))=FALSE,((B11/1000)*(C11/1000))+(((C11/1000)*0.018)*2)+(((B11/1000)*0.018)*2),IF(ISERROR(FIND(""Cornice"",A11))=FALSE,(((C11/1000)*0.1)*2)+(((C11/1000)*0.044)*2)+(((B11/1000)*0.08)*2),IF(ISERR"&amp;"OR(FIND(""Base end panel"",A11))=FALSE,((B11/1000)*(C11/1000))+(0.022*((B11/1000)+((C11/1000)*2)))+((B11/1000)*0.05),IF(ISERROR(FIND(""Wall end panel"",A11))=FALSE,((B11/1000)*(C11/1000))+(0.022*((B11/1000)+((C11/1000)*2)))+((B11/1000)*0.05),IF(ISERROR(FI"&amp;"ND(""Tower end panel"",A11))=FALSE,((B11/1000)*(C11/1000))+(0.022*((B11/1000)+((C11/1000)*2)))+((B11/1000)*0.05),IF(ISERROR(FIND(""Fillers"",A11))=FALSE,((C11/1000)*0.06)+((C11/1000)*0.069)+((0.06*0.018)*2)+((0.06*0.009)*2)+((C11/1000)*0.009)+((C11/1000)*"&amp;"0.018),IF(ISERROR(FIND(""corner post"",A11))=FALSE,(((B11/1000*0.05)*2)+((B11/1000)*0.022)*2)+((B11/1000)*0.072)+((B11/1000)*0.05)+((0.072*0.022)*2)+((0.05*0.022)*2),IF(ISERROR(FIND(""Pelmet"",A11))=FALSE,((C11/1000)*0.05)+((C11/1000)*0.068)+((0.05*0.018)"&amp;"*4)+(((C11/1000)*0.018))*2))))))))))))))))))))))))))))"),4.13)</f>
        <v>4.13</v>
      </c>
      <c r="N11" s="152">
        <f>IF(M11="","",IF(AND(ISERROR(FIND("carcass",A11))=TRUE,ISERROR(FIND("unit",A11))=TRUE,ISERROR(FIND("insert",A11))=TRUE,ISERROR(FIND("rack",A11))=TRUE,ISERROR(FIND("box",A11))=TRUE,ISERROR(FIND("shelf",#REF!))=TRUE),VLOOKUP(KitchenDoorFinish,Finishing!$A$2:$K$10,9,0)*M11,VLOOKUP(KitchenCarcassFinish,Finishing!$A$2:$K$40,9,0)*M11))</f>
        <v>15.4875</v>
      </c>
      <c r="O11" s="155">
        <v>1.5</v>
      </c>
      <c r="P11" s="155">
        <v>1.5</v>
      </c>
      <c r="Q11" s="152">
        <f>IF(OR(O11="",P11=""),"",((O11*X11)*(VLOOKUP("Workshop",Labour!$A$3:$E$20,4,0)/8))+((P11*AE11)*(VLOOKUP("Finishing",Labour!$A$3:$E$20,4,0)/8)))</f>
        <v>107.625</v>
      </c>
      <c r="R11" s="152">
        <f t="shared" si="4"/>
        <v>489.7528593</v>
      </c>
      <c r="S11" s="156">
        <f>IF(OR(O11="",P11=""),"",IF(OR(ISERROR(FIND("carcass",$A11))=FALSE,ISERROR(FIND("unit",$A11))=FALSE),VLOOKUP(KitchenCarcassMaterial,FixedListsCarcassMaterial,2,0),0))</f>
        <v>1</v>
      </c>
      <c r="T11" s="156">
        <f>IF(OR(O11="",P11=""),"",IF(ISERROR(FIND("door",$A11))=FALSE,VLOOKUP(KitchenDoorStyle,FixedListsDoorStyle,2,0),0))</f>
        <v>0</v>
      </c>
      <c r="U11" s="156">
        <f>IF(OR(O11="",P11=""),"",IF(ISERROR(FIND("door",$A11))=FALSE,VLOOKUP(KitchenDoorMaterial,FixedListsDoorMaterial,2,0),0))</f>
        <v>0</v>
      </c>
      <c r="V11" s="156">
        <f>IF(OR(O11="",P11=""),"",IF(ISERROR(FIND("drawer",$A11))=FALSE,VLOOKUP(KitchenDrawerType,FixedListsDrawerType,2,0),0))</f>
        <v>0</v>
      </c>
      <c r="W11" s="156">
        <f>IF(OR(O11="",P11=""),"",IF(OR(S11&gt;0, T11&gt;0,V11&gt;0),VLOOKUP(KitchenHandleType,FixedListsHandleType,2,FALSE)*IF(KitchenHandleType="Simple",0,IF(S11&gt;0,VLOOKUP(KitchenHandleType,FixedListsHandleType,4,FALSE),IF(OR(T11&gt;0,V11&gt;0),1-VLOOKUP(KitchenHandleType,FixedListsHandleType,4,FALSE),"Error"))),0))</f>
        <v>0</v>
      </c>
      <c r="X11" s="156">
        <f t="shared" si="5"/>
        <v>1</v>
      </c>
      <c r="Y11" s="156">
        <f>IF(OR(O11="",P11=""),"",IF(OR(ISERROR(FIND("carcass",$A11))=FALSE,ISERROR(FIND("unit",$A11))=FALSE),VLOOKUP(KitchenCarcassMaterial,FixedListsCarcassMaterial,3,0),0))</f>
        <v>1</v>
      </c>
      <c r="Z11" s="156">
        <f>IF(OR(O11="",P11=""),"",IF(ISERROR(FIND("door",$A11))=FALSE,VLOOKUP(KitchenDoorStyle,FixedListsDoorStyle,3,0),0))</f>
        <v>0</v>
      </c>
      <c r="AA11" s="156">
        <f>IF(OR(O11="",P11=""),"",IF(ISERROR(FIND("door",$A11))=FALSE,VLOOKUP(KitchenDoorMaterial,FixedListsDoorMaterial,3,0),0))</f>
        <v>0</v>
      </c>
      <c r="AB11" s="156">
        <f>IF(OR(O11="",P11=""),"",IF(ISERROR(FIND("drawer",$A11))=FALSE,VLOOKUP(KitchenDrawerType,FixedListsDrawerType,3,0),0))</f>
        <v>0</v>
      </c>
      <c r="AC11" s="156">
        <f>IF(OR(O11="",P11=""),"",IF(OR(Y11&gt;0,Z11&gt;0,AB11&gt;0),VLOOKUP(KitchenHandleType,FixedListsHandleType,3,FALSE),0))</f>
        <v>1</v>
      </c>
      <c r="AD11" s="156">
        <f>IF(OR(O11="",P11=""),"",IF(OR(ISERROR(FIND("carcass",$A11))=FALSE,ISERROR(FIND("unit",$A11))=FALSE),VLOOKUP(KitchenCarcassFinish,FixedListsFinishes,3,0),IF(OR(ISERROR(FIND("door",$A11))=FALSE,ISERROR(FIND("Plinth",$A11))=FALSE,ISERROR(FIND("Cornice",$A11))=FALSE,ISERROR(FIND("Fillers",$A11))=FALSE,ISERROR(FIND("Pelmet",$A11))=FALSE,ISERROR(FIND("panel",$A11))=FALSE,ISERROR(FIND("post",$A11))=FALSE),VLOOKUP(KitchenDoorFinish,FixedListsFinishes,3,0),IF(OR(ISERROR(FIND("drawer",$A11))=FALSE,ISERROR(FIND("insert",$A11))=FALSE,ISERROR(FIND("rck",$A11))=FALSE),VLOOKUP(KitchenCarcassFinish,FixedListsFinishes,3,0),0))))</f>
        <v>1</v>
      </c>
      <c r="AE11" s="156">
        <f t="shared" si="6"/>
        <v>1</v>
      </c>
      <c r="AF11" s="157" t="str">
        <f>IF(AND(KitchenHandleType="Channel",OR(ISERROR(FIND("arcass",$A11))=FALSE,ISERROR(FIND("unit",$A11))=FALSE)),IF(ISERROR(FIND("Tower",$A11))=TRUE,IF(KitchenHandleFinish="Match carcass",IF(ISERROR(FIND("Walnut",KitchenCarcassMaterial))=FALSE,(0.035*0.075*($C11/1000))*VLOOKUP("Walnut (solid m3)",SolidData,4,FALSE),IF(ISERROR(FIND("Oak",KitchenCarcassMaterial))=FALSE,(0.035*0.075*($C11/1000))*VLOOKUP("Oak (solid m3)",SolidData,4,FALSE),IF(ISERROR(FIND("ply",KitchenCarcassMaterial))=FALSE,(0.1*($C11/1000))*VLOOKUP("Birch ply (24mm)",SheetsData,7,FALSE),IF(ISERROR(FIND("H/F",KitchenCarcassMaterial))=FALSE,(0.1*($C11/1000))*VLOOKUP("H/F (22mm)",SheetsData,7,FALSE),"Carcass - not tower - new material")))),IF(KitchenHandleFinish="Match door",IF(ISERROR(FIND("Walnut",KitchenDoorMaterial))=FALSE,(0.035*0.075*($C11/1000))*VLOOKUP("Walnut (solid m3)",SolidData,4,FALSE),IF(ISERROR(FIND("Oak",KitchenDoorMaterial))=FALSE,(0.035*0.075*($C11/1000))*VLOOKUP("Oak (solid m3)",SolidData,4,FALSE),IF(ISERROR(FIND("ply",KitchenDoorMaterial))=FALSE,(0.1*($C11/1000))*VLOOKUP("Birch ply (24mm)",SheetsData,7,FALSE),IF(ISERROR(FIND("H/F",KitchenCarcassMaterial))=FALSE,(0.1*($C11/1000))*VLOOKUP("H/F (22mm)",SheetsData,7,FALSE),"Door - not tower - new material")))),"Channel - not tower - handle set to other")),IF(ISERROR(FIND("Tower",$A11))=FALSE,IF(KitchenHandleFinish="Match carcass",IF(ISERROR(FIND("Walnut",KitchenCarcassMaterial))=FALSE,(0.035*0.075*($B11/1000))*VLOOKUP("Walnut (solid m3)",SolidData,4,FALSE),IF(ISERROR(FIND("Oak",KitchenCarcassMaterial))=FALSE,(0.035*0.075*($B11/1000))*VLOOKUP("Oak (solid m3)",SolidData,4,FALSE),IF(ISERROR(FIND("ply",KitchenCarcassMaterial))=FALSE,(0.1*($B11/1000))*VLOOKUP("Birch ply (24mm)",SheetsData,7,FALSE),IF(ISERROR(FIND("H/F",KitchenCarcassMaterial))=FALSE,(0.1*($C11/1000))*VLOOKUP("H/F (22mm)",SheetsData,7,FALSE),"Carcass - tower - new material")))),IF(KitchenHandleFinish="Match door",IF(ISERROR(FIND("Walnut",KitchenDoorMaterial))=FALSE,(0.035*0.075*($B11/1000))*VLOOKUP("Walnut (solid m3)",SolidData,4,FALSE),IF(ISERROR(FIND("Oak",KitchenDoorMaterial))=FALSE,(0.035*0.075*($B11/1000))*VLOOKUP("Oak (solid m3)",SolidData,4,FALSE),IF(ISERROR(FIND("ply",KitchenDoorMaterial))=FALSE,(0.1*($B11/1000))*VLOOKUP("Birch ply (24mm)",SheetData,7,FALSE),IF(ISERROR(FIND("H/F",KitchenCarcassMaterial))=FALSE,(0.1*($C11/1000))*VLOOKUP("H/F (22mm)",SheetsData,7,FALSE),"Door - tower - new material")))),"Channel - tower - handle set to other")))),"")</f>
        <v/>
      </c>
    </row>
    <row r="12">
      <c r="A12" s="151" t="s">
        <v>120</v>
      </c>
      <c r="B12" s="115">
        <f t="shared" si="1"/>
        <v>2200</v>
      </c>
      <c r="C12" s="115" t="str">
        <f>IFERROR(__xludf.DUMMYFUNCTION("IF(A12="""","""",IF(OR(RIGHT(A12,LEN(A12)-len(regexextract(A12,"".* "")))=""1200"",RIGHT(A12,LEN(A12)-len(regexextract(A12,"".* "")))=""600"",RIGHT(A12,LEN(A12)-len(regexextract(A12,"".* "")))=""400"",RIGHT(A12,LEN(A12)-len(regexextract(A12,"".* "")))=""3"&amp;"00"",RIGHT(A12,LEN(A12)-len(regexextract(A12,"".* "")))=""700"",RIGHT(A12,LEN(A12)-len(regexextract(A12,"".* "")))=""2400"",RIGHT(A12,LEN(A12)-len(regexextract(A12,"".* "")))=""650"",RIGHT(A12,LEN(A12)-len(regexextract(A12,"".* "")))=""350"",RIGHT(A12,LEN"&amp;"(A12)-len(regexextract(A12,"".* "")))=""50""),RIGHT(A12,LEN(A12)-len(regexextract(A12,"".* ""))),IF(OR(ISERROR(FIND(""spacer"",A12))=FALSE,ISERROR(FIND(""filler panel"",A12))=FALSE),""1000"",""Unexpected size in description"")))"),"300")</f>
        <v>300</v>
      </c>
      <c r="D12" s="151">
        <f t="shared" si="2"/>
        <v>600</v>
      </c>
      <c r="E12" s="152">
        <f>IFERROR(__xludf.DUMMYFUNCTION("IF(OR(A12="""",AND(ISERROR(FIND(""drawer box"",A12))=FALSE,KitchenDrawerType="""")),"""",IF(OR(ISERROR(FIND(""larder"",A12))=FALSE,ISERROR(FIND(""fridge/freezer"",A12))=FALSE,ISERROR(FIND(""double oven"",A12))=FALSE,ISERROR(FIND(""single oven"",A12))=FALS"&amp;"E),VLOOKUP(LEFT(A12,FIND("" "",A12))&amp;""carcass ""&amp;RIGHT(A12,LEN(A12)-(LEN(A12)-3)),KitchensData,5,0),IF(ISERROR(FIND(""sink"",A12))=FALSE,VLOOKUP(LEFT(A12,FIND("" "",A12))&amp;""carcass ""&amp;VALUE(REGEXREPLACE(A12,""[^[:digit:]]"", """")),KitchensData,5,0)+(((C"&amp;"12/1000)*(300/1000))*VLOOKUP(KitchenCarcassMaterial,SheetsData,8,0)),IF(ISERROR(FIND(""bins"",A12))=FALSE,IF(ISERROR(FIND(""veneer"",KitchenCarcassMaterial))=FALSE,VLOOKUP(""Base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600"",A12))=FALSE,IF(ISERROR(FIND(""veneer"""&amp;",KitchenCarcassMaterial))=FALSE,0.54*(VLOOKUP(LEFT(KitchenCarcassMaterial,FIND(""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1200"",A12))=FALSE,"&amp;"IF(ISERROR(FIND(""veneer"",KitchenCarcassMaterial))=FALSE,0.84*(VLOOKUP(LEFT(KitchenCarcassMaterial,FIND(""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600"",A12))=FALSE,IF(ISERROR(FIND(""veneer"",KitchenCarcassMaterial))=FALSE,1.44*(VLOOKUP(LEFT(KitchenCarcassMaterial,FIND(""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1200"",A12))=FALSE,IF(ISERROR(FIND(""veneer"",KitchenCarcassMaterial))=FALSE,2.7*(VLOOKUP(LEFT(KitchenCarcassMaterial,FIND(""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front"",A12))=FALSE,((B12/1000)*(C12/1000))*VLOOKUP(KitchenDoorMaterial,SheetsData,8,0),IF(AND(KitchenDrawerType=""Match carcass"",ISERROR(FIND(""drawer box"",A12))=FALSE),(((((B12/1000)*(C12/1000))+((B12/1000"&amp;")*(D12/1000)))*2)*VLOOKUP(KitchenCarcassMaterial,SheetsData,8,0))+(((C12/1000)*(D12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box"",A12))=FALSE),(((((B12/1000)*(C12/1000))+((B12/1000)*(D12/1000)))*2)*(16/1000)*VLOOKUP(LEFT(KitchenCarcassMaterial,FIND("" "&amp;""",KitchenCarcassMaterial))&amp;""(solid m3)"",SolidData,5,0))+(((C12/1000)*(D12/1000))*VLOOKUP(LEFT(KitchenCarcassMaterial,FIND(""("",KitchenCarcassMaterial)-1)&amp;IF(OR(ISERROR(FIND(""ply"",KitchenCarcassMaterial))=FALSE,ISERROR(FIND(""H/F"",KitchenCarcassMate"&amp;"rial))=FALSE),""(9mm)"",""(10mm)""),SheetsData,8,0)),IF(ISERROR(FIND(""spacer"",A12))=FALSE,((D12/1000)*(C12/1000))*VLOOKUP(""Poplar ply (18mm)"",SheetsData,8,0),IF(ISERROR(FIND(""filler panel"",A12))=FALSE,((B12/1000)*(C12/1000))*VLOOKUP(KitchenDoorMater"&amp;"ial,SheetsData,8,0),IF(ISERROR(FIND(""shelf"",A12))=FALSE,((D12/1000)*(C12/1000))*VLOOKUP(KitchenCarcassMaterial,SheetsData,8,0),IF(ISERROR(FIND(""lost corner"",A12))=FALSE,VLOOKUP(LEFT(A12,FIND("" "",A12))&amp;""carcass ""&amp;VALUE(REGEXREPLACE(A12,""[^[:digit:"&amp;"]]"", """")),KitchensData,5,0)+((((B12/1000)*(C12/1000))+((B12/1000)*(60/1000)))*VLOOKUP(KitchenCarcassMaterial,SheetsData,8,0)),IF(ISERROR(FIND(""carcass"",A12))=FALSE,(((((B12/1000)*2)*(D12/1000))+(((C12/1000)*2)*(D12/1000)))*VLOOKUP(KitchenCarcassMater"&amp;"ial,SheetsData,8,0))+((B12/1000)*(C12/1000))*VLOOKUP(LEFT(KitchenCarcassMaterial,FIND(""("",KitchenCarcassMaterial)-1)&amp;IF(OR(ISERROR(FIND(""ply"",KitchenCarcassMaterial))=FALSE,ISERROR(FIND(""H/F"",KitchenCarcassMaterial))=FALSE),""(9mm)"",""(10mm)""),She"&amp;"etsData,8,0),IF(OR(ISERROR(FIND(""Plinth"",A12))=FALSE,ISERROR(FIND(""Cornice (flat)"",A12))=FALSE),((B12/1000)*(C12/1000))*VLOOKUP(""H/F (18mm)"",SheetsData,8,0),IF(ISERROR(FIND(""Cornice (stacked)"",A12))=FALSE,((0.08*(C12/1000))*2)*VLOOKUP(""H/F (22mm)"&amp;""",SheetsData,8,0),IF(ISERROR(FIND(""Base end panel"",A12))=FALSE,VLOOKUP(KitchenDoorMaterial,SheetsData,5,0)/3,IF(ISERROR(FIND(""Wall end panel"",A12))=FALSE,VLOOKUP(KitchenDoorMaterial,SheetsData,5,0)/9,IF(ISERROR(FIND(""Tower end panel"",A12))=FALSE,VL"&amp;"OOKUP(KitchenDoorMaterial,SheetsData,5,0),IF(ISERROR(FIND(""Fillers"",A12))=FALSE,(((0.06*(C12/1000))*2)*VLOOKUP(""H/F (18mm)"",SheetsData,8,0))+(((0.06*(C12/1000))*2)*VLOOKUP(""H/F (9mm)"",SheetsData,8,0)),IF(ISERROR(FIND(""corner post"",A12))=FALSE,(((B"&amp;"12/1000)*0.05)*2)*VLOOKUP(KitchenDoorMaterial,SheetsData,8,0),IF(ISERROR(FIND(""Pelmet"",A12))=FALSE,((((B12/1000)*(C12/1000))*2)*VLOOKUP(""H/F (18mm)"",SheetsData,8,0)),IF(ISERROR(FIND(""door"",A12))=TRUE,""Check description"",IF(KitchenDoorStyle=""Flat"&amp;""",((B12/1000)*(C12/1000))*VLOOKUP(KitchenDoorMaterial,SheetsData,8,0),IF(LEFT(KitchenDoorStyle,5)=""Panel"",(((((B12/1000)*2)*0.08)+((((C12/1000)-0.16)*2)*0.08))*VLOOKUP(""H/F (22mm)"",SheetsData,8,0))+(((B12/1000)-0.14)*((C12/1000)-0.14)*VLOOKUP(""H/F ("&amp;"9mm)"",SheetsData,8,0)),IF(KitchenDoorStyle=""In-frame flat"",((((((B12/1000)*0.019)*0.038)+((((C12-38)/1000)*0.038)*0.038))*2)*VLOOKUP(""Tulip (solid m3)"",SolidData,5,0))+(((B12-76)/1000)*((C12-38)/1000))*VLOOKUP(""H/F (22mm)"",SheetsData,8,0),IF(LEFT(K"&amp;"itchenDoorStyle,14)=""In-frame panel"",(((((((B12/1000)*0.019)*0.038)+((((C12-38)/1000)*0.038)*0.038))*2)*VLOOKUP(""Tulip (solid m3)"",SolidData,5,0))+(((((((B12-76)/1000)*2)*0.08)+(((((C12-198)/1000)*2)*0.08)))*VLOOKUP(""H/F (22mm)"",SheetsData,8,0))+((("&amp;"B12-216)/1000)*((C12-178)/1000)*VLOOKUP(""H/F (9mm)"",SheetsData,8,0)))))))))))))))))))))))))))))))))"),113.89982531577535)</f>
        <v>113.8998253</v>
      </c>
      <c r="F12" s="152">
        <f>IFERROR(__xludf.DUMMYFUNCTION("IF(OR(A12="""",AND(ISERROR(FIND(""drawer box"",A12))=FALSE,KitchenDrawerType=""Solid dovetail"")),"""",IF(ISERROR(FIND(""bins"",A12))=FALSE,VLOOKUP(""Base carcass 600"",KitchensData,6,0),IF(OR(ISERROR(FIND(""larder"",A12))=FALSE,ISERROR(FIND(""unit"",A12)"&amp;")=FALSE),VLOOKUP(LEFT(A12,FIND("" "",A12))&amp;""carcass ""&amp;RIGHT(A12,LEN(A12)-len(regexextract(A12,"".* ""))),KitchensData,6,0),IF(ISERROR(FIND(""drawer front"",A12))=FALSE,IF(ISERROR(FIND(""veneer"",KitchenCarcassMaterial))=TRUE,0,(((B12+C12)/1000)*2)*VLOOK"&amp;"UP(""Edge banding (per M)"",SheetsData,5,0)),IF(ISERROR(FIND(""drawer box"",A12))=FALSE,IF(ISERROR(FIND(""veneer"",KitchenCarcassMaterial))=TRUE,0,(((C12+D12)/1000)*2)*VLOOKUP(""Edge banding (per M)"",SheetsData,5,0)),IF(ISERROR(FIND(""shelf"",A12))=FALSE"&amp;",IF(ISERROR(FIND(""veneer"",KitchenCarcassMaterial))=TRUE,0,(C12/1000)*VLOOKUP(""Edge banding (per M)"",SheetsData,5,0)),IF(AND(ISERROR(FIND(""carcass"",A12))=FALSE,ISERROR(FIND(""shelf"",A12))=TRUE),IF(ISERROR(FIND(""veneer"",KitchenCarcassMaterial))=TRU"&amp;"E,0,((2*(B12+C12))/1000)*VLOOKUP(""Edge banding (per M)"",SheetsData,5,0)),IF(ISERROR(FIND(""door"",A12))=TRUE,"""",IF(ISERROR(FIND(""veneer"",KitchenDoorMaterial))=TRUE,"""",((2*(B12+C12))/1000)*VLOOKUP(""Edge banding (per M)"",SheetsData,5,0))))))))))"),0.0)</f>
        <v>0</v>
      </c>
      <c r="G12" s="153">
        <f>IF(A12="","",IF(ISERROR(FIND("bins",A12))=FALSE,VLOOKUP("Base carcass 600",KitchensData,7,0),IF(OR(ISERROR(FIND("larder",A12))=FALSE,ISERROR(FIND("fridge/freezer",A12))=FALSE,ISERROR(FIND("double oven",A12))=FALSE,ISERROR(FIND("single oven",A12))=FALSE),VLOOKUP(LEFT(A12,FIND(" ",A12))&amp;"carcass "&amp;RIGHT(A12,LEN(A12)-(LEN(A12)-3)),KitchensData,7,0),IF(AND(ISERROR(FIND("carcass",A12))=FALSE,ISERROR(FIND("shelf",A12))=TRUE),IF(OR(ISERROR(FIND("Base",A12))=FALSE,ISERROR(FIND("Tower",A12))=FALSE),IF(OR(ISERROR(FIND("1200",A12))=FALSE, ISERROR(FIND("lost corner",A12))=FALSE),6*VLOOKUP("Plinth foot (2 Parts 80mm)",FurnitureData,5,0),4*VLOOKUP("Plinth foot (2 Parts 80mm)",FurnitureData,5,0)),""),""))))</f>
        <v>3.8</v>
      </c>
      <c r="H12" s="115" t="str">
        <f>IF(OR(A12="",ISERROR(FIND("door",A12))=TRUE),"",IF(ISERROR(FIND("Wall",A12))=FALSE,VLOOKUP("Hinges &amp; plates (Hettich thick door)",FurnitureData,5,0)*2,IF(ISERROR(FIND("Base",A12))=FALSE,VLOOKUP("Hinges &amp; plates (Hettich thick door)",FurnitureData,5,0)*3,IF(ISERROR(FIND("Boiler",A12))=FALSE,VLOOKUP("Hinges &amp; plates (Hettich thick door)",FurnitureData,5,0)*4,IF(ISERROR(FIND("Tower",A12))=FALSE,VLOOKUP("Hinges &amp; plates (Hettich thick door)",FurnitureData,5,0)*5)))))</f>
        <v/>
      </c>
      <c r="I12" s="115" t="str">
        <f>IF(ISERROR(FIND("shelf",A12))=FALSE,(VLOOKUP("Shelf pegs",FurnitureData,5,0)/100)*4,"")</f>
        <v/>
      </c>
      <c r="J12" s="152">
        <f>IF(OR(ISERROR(FIND("fridge/freezer",A12))=FALSE,ISERROR(FIND("larder",A12))=FALSE,AND(ISERROR(FIND("Base",A12))=FALSE,ISERROR(FIND("bins",A12))=TRUE,ISERROR(FIND("no shelves",A12))=TRUE,OR(ISERROR(FIND("carcass",A12))=FALSE,ISERROR(FIND("unit",A12))=FALSE))),VLOOKUP("Deep shelf "&amp;C12,KitchensData,18,0),IF(AND(ISERROR(FIND("Wall",A12))=FALSE,ISERROR(FIND("carcass",A12))=FALSE),2*VLOOKUP("Shallow shelf "&amp;C12,KitchensData,18,0),IF(AND(ISERROR(FIND("Tower",A12))=FALSE,ISERROR(FIND("oven",A12))=FALSE),4*VLOOKUP("Deep shelf "&amp;C12,KitchensData,18,0),IF(AND(ISERROR(FIND("Tower",A12))=FALSE,ISERROR(FIND("carcass",A12))=FALSE),5*VLOOKUP("Deep shelf "&amp;C12,KitchensData,18,0),""))))</f>
        <v>225.5883531</v>
      </c>
      <c r="K12" s="152" t="str">
        <f>IF(ISERROR(FIND("sink",A12))=FALSE,VLOOKUP("Sink liner - Aluminium "&amp;RIGHT(A12,LEN(A12)-22)&amp;"mm",ExceptionalData,5,0),IF(ISERROR(FIND("bins",A12))=FALSE,VLOOKUP("Drawer runners and clip set for bin unit (500) Dynapro",FurnitureData,5,0)+(2*VLOOKUP("Bin (42L Anthracite)",FurnitureData,5,0)),IF(ISERROR(FIND("larder",A12))=FALSE,VLOOKUP("Pull out larder unit 600mm",FurnitureData,5,0),IF(AND(ISERROR(FIND("drawer box",A12))=FALSE,ISERROR(FIND("internal",A12))=TRUE),VLOOKUP("Drawer runners and clip set (550) Dynapro",FurnitureData,5,0),IF(ISERROR(FIND("internal drawer box",A12))=FALSE,VLOOKUP("Drawer runners and clip set (450) Dynapro",FurnitureData,5,0),"")))))</f>
        <v/>
      </c>
      <c r="L12" s="152">
        <f t="shared" si="3"/>
        <v>343.2881784</v>
      </c>
      <c r="M12" s="154">
        <f>IFERROR(__xludf.DUMMYFUNCTION("IF(A12="""","""",IF(OR(ISERROR(FIND(""larder"",A12))=FALSE,ISERROR(FIND(""unit"",A12))=FALSE),VLOOKUP(LEFT(A12,FIND("" "",A12))&amp;""carcass ""&amp;RIGHT(A12,LEN(A12)-len(regexextract(A12,"".* ""))),KitchensData,13,0),IF(ISERROR(FIND(""bins"",A12))=FALSE,0.95,IF"&amp;"(ISERROR(FIND(""Cutlery insert 600"",A12))=FALSE,1.3,IF(ISERROR(FIND(""Cutlery insert 1200"",A12))=FALSE,2,IF(ISERROR(FIND(""Pan/tray rack 600"",A12))=FALSE,3.25,IF(ISERROR(FIND(""Pan/tray rack 1200"",A12))=FALSE,5.9,IF(ISERROR(FIND(""split"",A12))=FALSE,"&amp;"(((C12/1000)*0.022)*2)+VLOOKUP(SUBSTITUTE(A12,"" split"",""""),KitchensData,13,0),IF(AND(ISERROR(FIND(""drawer front"",A12))=FALSE,KitchenDoorStyle=""Flat""),(((B12/1000)*(C12/1000))*2)+((((B12+C12)/1000)*2)*0.022),IF(AND(ISERROR(FIND(""drawer front"",A12"&amp;"))=FALSE,LEFT(KitchenDoorStyle,5)=""Panel""),(((B12/1000)*(C12/1000))*2)+((((B12+C12)/1000)*2)*0.022)+((((C12/1000)-0.16)*0.013)*2)+((((D12/1000)-0.16)*0.013)*2),IF(AND(ISERROR(FIND(""drawer front"",A12))=FALSE,KitchenDoorStyle=""In-frame flat""),((((B12-"&amp;"76)/1000)*((C12-38)/1000))*2)+(MID(KitchenDoorMaterial,FIND(""("",KitchenDoorMaterial)+1,2)/1000)*((((B12-76)+(C12-38))/1000)*2)+(((B12/1000)*0.032)*2)+((((B12-76)/1000)*0.032)*2)+(((B12/1000)*0.019)*4)+(((C12/1000)*0.032)*2)+((((C12-38)/1000)*0.032)*2)+("&amp;"((C12/1000)*0.038)*4),IF(AND(ISERROR(FIND(""drawer front"",A12))=FALSE,LEFT(KitchenDoorStyle,14)=""In-frame panel""),((((B12-76)/1000)*((C12-38)/1000))*2)+((MID(KitchenDoorMaterial,FIND(""("",KitchenDoorMaterial)+1,2)/1000)*((((B12-76)+(C12-38))/1000)*2))"&amp;"+((((B12-236)/1000)+((C12-198)/1000)*2)*0.013)+(((B12/1000)*0.032)*2)+((((B12-76)/1000)*0.032)*2)+(((B12/1000)*0.019)*4)+(((C12/1000)*0.032)*2)+((((C12-38)/1000)*0.032)*2)+(((C12/1000)*0.038)*4),IF(ISERROR(FIND(""drawer box"",A12))=FALSE,((((B12/1000)*(D1"&amp;"2/1000))+((B12/1000)*(C12/1000)))*4)+((((D12/1000)+(C12/1000))*0.016)*4)+(((C12/1000)*(D12/1000))*2),IF(OR(ISERROR(FIND(""shelf"",A12))=FALSE,ISERROR(FIND(""spacer"",A12))=FALSE,,ISERROR(FIND(""filler panel"",A12))=FALSE),(((C12/1000)*(D12/1000))*2)+((((C"&amp;"12+D12)*2)/1000)*0.022),IF(ISERROR(FIND(""lost corner"",A12))=FALSE,(((B12/1000)*(C12/1000))*2)+((B12/1000)*(C12/1000))+((B12/1000)*((C12/2)/1000))+((((B12/1000)*0.025)+((C12/1000)*0.025))*2),IF(ISERROR(FIND(""carcass"",A12))=FALSE,(((C12/1000)*(D12/1000)"&amp;")*2)+(((B12/1000)*(D12/1000))*2)+((B12/1000)*(C12/1000))+((((B12/1000)*0.025)+((C12/1000)*0.025))*2),IF(AND(ISERROR(FIND(""door"",A12))=FALSE,KitchenDoorStyle=""Flat""),(((B12/1000)*(C12/1000))*2)+(MID(KitchenDoorMaterial,FIND(""("",KitchenDoorMaterial)+1"&amp;",2)/1000)*(((B12+C12)/1000)*2),IF(AND(ISERROR(FIND(""door"",A12))=FALSE,LEFT(KitchenDoorStyle,5)=""Panel""),(((B12/1000)*(C12/1000))*2)+((MID(KitchenDoorMaterial,FIND(""("",KitchenDoorMaterial)+1,2)/1000)*(((B12+C12)/1000)*2))+(((((B12-160)+(C12-160))*2)/"&amp;"1000)*(0.013)),IF(AND(ISERROR(FIND(""door"",A12))=FALSE,KitchenDoorStyle=""In-frame flat""),((((B12-76)/1000)*((C12-38)/1000))*2)+(MID(KitchenDoorMaterial,FIND(""("",KitchenDoorMaterial)+1,2)/1000)*((((B12-76)+(C12-38))/1000)*2)+(((B12/1000)*0.032)*2)+((("&amp;"(B12-76)/1000)*0.032)*2)+(((B12/1000)*0.019)*4)+(((C12/1000)*0.032)*2)+((((C12-38)/1000)*0.032)*2)+(((C12/1000)*0.038)*4),IF(AND(ISERROR(FIND(""door"",A12))=FALSE,LEFT(KitchenDoorStyle,14)=""In-frame panel""),((((B12-76)/1000)*((C12-38)/1000))*2)+((MID(Ki"&amp;"tchenDoorMaterial,FIND(""("",KitchenDoorMaterial)+1,2)/1000)*((((B12-76)+(C12-38))/1000)*2))+((((B12-236)/1000)+((C12-198)/1000)*2)*0.013)+(((B12/1000)*0.032)*2)+((((B12-76)/1000)*0.032)*2)+(((B12/1000)*0.019)*4)+(((C12/1000)*0.032)*2)+((((C12-38)/1000)*0"&amp;".032)*2)+(((C12/1000)*0.038)*4),IF(ISERROR(FIND(""Plinth"",A12))=FALSE,((B12/1000)*(C12/1000))+(((C12/1000)*0.018)*2)+(((B12/1000)*0.018)*2),IF(ISERROR(FIND(""Cornice"",A12))=FALSE,(((C12/1000)*0.1)*2)+(((C12/1000)*0.044)*2)+(((B12/1000)*0.08)*2),IF(ISERR"&amp;"OR(FIND(""Base end panel"",A12))=FALSE,((B12/1000)*(C12/1000))+(0.022*((B12/1000)+((C12/1000)*2)))+((B12/1000)*0.05),IF(ISERROR(FIND(""Wall end panel"",A12))=FALSE,((B12/1000)*(C12/1000))+(0.022*((B12/1000)+((C12/1000)*2)))+((B12/1000)*0.05),IF(ISERROR(FI"&amp;"ND(""Tower end panel"",A12))=FALSE,((B12/1000)*(C12/1000))+(0.022*((B12/1000)+((C12/1000)*2)))+((B12/1000)*0.05),IF(ISERROR(FIND(""Fillers"",A12))=FALSE,((C12/1000)*0.06)+((C12/1000)*0.069)+((0.06*0.018)*2)+((0.06*0.009)*2)+((C12/1000)*0.009)+((C12/1000)*"&amp;"0.018),IF(ISERROR(FIND(""corner post"",A12))=FALSE,(((B12/1000*0.05)*2)+((B12/1000)*0.022)*2)+((B12/1000)*0.072)+((B12/1000)*0.05)+((0.072*0.022)*2)+((0.05*0.022)*2),IF(ISERROR(FIND(""Pelmet"",A12))=FALSE,((C12/1000)*0.05)+((C12/1000)*0.068)+((0.05*0.018)"&amp;"*4)+(((C12/1000)*0.018))*2))))))))))))))))))))))))))))"),3.785)</f>
        <v>3.785</v>
      </c>
      <c r="N12" s="152">
        <f>IF(M12="","",IF(AND(ISERROR(FIND("carcass",A12))=TRUE,ISERROR(FIND("unit",A12))=TRUE,ISERROR(FIND("insert",A12))=TRUE,ISERROR(FIND("rack",A12))=TRUE,ISERROR(FIND("box",A12))=TRUE,ISERROR(FIND("shelf",#REF!))=TRUE),VLOOKUP(KitchenDoorFinish,Finishing!$A$2:$K$10,9,0)*M12,VLOOKUP(KitchenCarcassFinish,Finishing!$A$2:$K$40,9,0)*M12))</f>
        <v>14.19375</v>
      </c>
      <c r="O12" s="155">
        <v>1.5</v>
      </c>
      <c r="P12" s="155">
        <v>1.5</v>
      </c>
      <c r="Q12" s="152">
        <f>IF(OR(O12="",P12=""),"",((O12*X12)*(VLOOKUP("Workshop",Labour!$A$3:$E$20,4,0)/8))+((P12*AE12)*(VLOOKUP("Finishing",Labour!$A$3:$E$20,4,0)/8)))</f>
        <v>107.625</v>
      </c>
      <c r="R12" s="152">
        <f t="shared" si="4"/>
        <v>465.1069284</v>
      </c>
      <c r="S12" s="156">
        <f>IF(OR(O12="",P12=""),"",IF(OR(ISERROR(FIND("carcass",$A12))=FALSE,ISERROR(FIND("unit",$A12))=FALSE),VLOOKUP(KitchenCarcassMaterial,FixedListsCarcassMaterial,2,0),0))</f>
        <v>1</v>
      </c>
      <c r="T12" s="156">
        <f>IF(OR(O12="",P12=""),"",IF(ISERROR(FIND("door",$A12))=FALSE,VLOOKUP(KitchenDoorStyle,FixedListsDoorStyle,2,0),0))</f>
        <v>0</v>
      </c>
      <c r="U12" s="156">
        <f>IF(OR(O12="",P12=""),"",IF(ISERROR(FIND("door",$A12))=FALSE,VLOOKUP(KitchenDoorMaterial,FixedListsDoorMaterial,2,0),0))</f>
        <v>0</v>
      </c>
      <c r="V12" s="156">
        <f>IF(OR(O12="",P12=""),"",IF(ISERROR(FIND("drawer",$A12))=FALSE,VLOOKUP(KitchenDrawerType,FixedListsDrawerType,2,0),0))</f>
        <v>0</v>
      </c>
      <c r="W12" s="156">
        <f>IF(OR(O12="",P12=""),"",IF(OR(S12&gt;0, T12&gt;0,V12&gt;0),VLOOKUP(KitchenHandleType,FixedListsHandleType,2,FALSE)*IF(KitchenHandleType="Simple",0,IF(S12&gt;0,VLOOKUP(KitchenHandleType,FixedListsHandleType,4,FALSE),IF(OR(T12&gt;0,V12&gt;0),1-VLOOKUP(KitchenHandleType,FixedListsHandleType,4,FALSE),"Error"))),0))</f>
        <v>0</v>
      </c>
      <c r="X12" s="156">
        <f t="shared" si="5"/>
        <v>1</v>
      </c>
      <c r="Y12" s="156">
        <f>IF(OR(O12="",P12=""),"",IF(OR(ISERROR(FIND("carcass",$A12))=FALSE,ISERROR(FIND("unit",$A12))=FALSE),VLOOKUP(KitchenCarcassMaterial,FixedListsCarcassMaterial,3,0),0))</f>
        <v>1</v>
      </c>
      <c r="Z12" s="156">
        <f>IF(OR(O12="",P12=""),"",IF(ISERROR(FIND("door",$A12))=FALSE,VLOOKUP(KitchenDoorStyle,FixedListsDoorStyle,3,0),0))</f>
        <v>0</v>
      </c>
      <c r="AA12" s="156">
        <f>IF(OR(O12="",P12=""),"",IF(ISERROR(FIND("door",$A12))=FALSE,VLOOKUP(KitchenDoorMaterial,FixedListsDoorMaterial,3,0),0))</f>
        <v>0</v>
      </c>
      <c r="AB12" s="156">
        <f>IF(OR(O12="",P12=""),"",IF(ISERROR(FIND("drawer",$A12))=FALSE,VLOOKUP(KitchenDrawerType,FixedListsDrawerType,3,0),0))</f>
        <v>0</v>
      </c>
      <c r="AC12" s="156">
        <f>IF(OR(O12="",P12=""),"",IF(OR(Y12&gt;0,Z12&gt;0,AB12&gt;0),VLOOKUP(KitchenHandleType,FixedListsHandleType,3,FALSE),0))</f>
        <v>1</v>
      </c>
      <c r="AD12" s="156">
        <f>IF(OR(O12="",P12=""),"",IF(OR(ISERROR(FIND("carcass",$A12))=FALSE,ISERROR(FIND("unit",$A12))=FALSE),VLOOKUP(KitchenCarcassFinish,FixedListsFinishes,3,0),IF(OR(ISERROR(FIND("door",$A12))=FALSE,ISERROR(FIND("Plinth",$A12))=FALSE,ISERROR(FIND("Cornice",$A12))=FALSE,ISERROR(FIND("Fillers",$A12))=FALSE,ISERROR(FIND("Pelmet",$A12))=FALSE,ISERROR(FIND("panel",$A12))=FALSE,ISERROR(FIND("post",$A12))=FALSE),VLOOKUP(KitchenDoorFinish,FixedListsFinishes,3,0),IF(OR(ISERROR(FIND("drawer",$A12))=FALSE,ISERROR(FIND("insert",$A12))=FALSE,ISERROR(FIND("rck",$A12))=FALSE),VLOOKUP(KitchenCarcassFinish,FixedListsFinishes,3,0),0))))</f>
        <v>1</v>
      </c>
      <c r="AE12" s="156">
        <f t="shared" si="6"/>
        <v>1</v>
      </c>
      <c r="AF12" s="157" t="str">
        <f>IF(AND(KitchenHandleType="Channel",OR(ISERROR(FIND("arcass",$A12))=FALSE,ISERROR(FIND("unit",$A12))=FALSE)),IF(ISERROR(FIND("Tower",$A12))=TRUE,IF(KitchenHandleFinish="Match carcass",IF(ISERROR(FIND("Walnut",KitchenCarcassMaterial))=FALSE,(0.035*0.075*($C12/1000))*VLOOKUP("Walnut (solid m3)",SolidData,4,FALSE),IF(ISERROR(FIND("Oak",KitchenCarcassMaterial))=FALSE,(0.035*0.075*($C12/1000))*VLOOKUP("Oak (solid m3)",SolidData,4,FALSE),IF(ISERROR(FIND("ply",KitchenCarcassMaterial))=FALSE,(0.1*($C12/1000))*VLOOKUP("Birch ply (24mm)",SheetsData,7,FALSE),IF(ISERROR(FIND("H/F",KitchenCarcassMaterial))=FALSE,(0.1*($C12/1000))*VLOOKUP("H/F (22mm)",SheetsData,7,FALSE),"Carcass - not tower - new material")))),IF(KitchenHandleFinish="Match door",IF(ISERROR(FIND("Walnut",KitchenDoorMaterial))=FALSE,(0.035*0.075*($C12/1000))*VLOOKUP("Walnut (solid m3)",SolidData,4,FALSE),IF(ISERROR(FIND("Oak",KitchenDoorMaterial))=FALSE,(0.035*0.075*($C12/1000))*VLOOKUP("Oak (solid m3)",SolidData,4,FALSE),IF(ISERROR(FIND("ply",KitchenDoorMaterial))=FALSE,(0.1*($C12/1000))*VLOOKUP("Birch ply (24mm)",SheetsData,7,FALSE),IF(ISERROR(FIND("H/F",KitchenCarcassMaterial))=FALSE,(0.1*($C12/1000))*VLOOKUP("H/F (22mm)",SheetsData,7,FALSE),"Door - not tower - new material")))),"Channel - not tower - handle set to other")),IF(ISERROR(FIND("Tower",$A12))=FALSE,IF(KitchenHandleFinish="Match carcass",IF(ISERROR(FIND("Walnut",KitchenCarcassMaterial))=FALSE,(0.035*0.075*($B12/1000))*VLOOKUP("Walnut (solid m3)",SolidData,4,FALSE),IF(ISERROR(FIND("Oak",KitchenCarcassMaterial))=FALSE,(0.035*0.075*($B12/1000))*VLOOKUP("Oak (solid m3)",SolidData,4,FALSE),IF(ISERROR(FIND("ply",KitchenCarcassMaterial))=FALSE,(0.1*($B12/1000))*VLOOKUP("Birch ply (24mm)",SheetsData,7,FALSE),IF(ISERROR(FIND("H/F",KitchenCarcassMaterial))=FALSE,(0.1*($C12/1000))*VLOOKUP("H/F (22mm)",SheetsData,7,FALSE),"Carcass - tower - new material")))),IF(KitchenHandleFinish="Match door",IF(ISERROR(FIND("Walnut",KitchenDoorMaterial))=FALSE,(0.035*0.075*($B12/1000))*VLOOKUP("Walnut (solid m3)",SolidData,4,FALSE),IF(ISERROR(FIND("Oak",KitchenDoorMaterial))=FALSE,(0.035*0.075*($B12/1000))*VLOOKUP("Oak (solid m3)",SolidData,4,FALSE),IF(ISERROR(FIND("ply",KitchenDoorMaterial))=FALSE,(0.1*($B12/1000))*VLOOKUP("Birch ply (24mm)",SheetData,7,FALSE),IF(ISERROR(FIND("H/F",KitchenCarcassMaterial))=FALSE,(0.1*($C12/1000))*VLOOKUP("H/F (22mm)",SheetsData,7,FALSE),"Door - tower - new material")))),"Channel - tower - handle set to other")))),"")</f>
        <v/>
      </c>
    </row>
    <row r="13">
      <c r="A13" s="150" t="s">
        <v>121</v>
      </c>
      <c r="B13" s="115">
        <f t="shared" si="1"/>
        <v>2200</v>
      </c>
      <c r="C13" s="115" t="str">
        <f>IFERROR(__xludf.DUMMYFUNCTION("IF(A13="""","""",IF(OR(RIGHT(A13,LEN(A13)-len(regexextract(A13,"".* "")))=""1200"",RIGHT(A13,LEN(A13)-len(regexextract(A13,"".* "")))=""600"",RIGHT(A13,LEN(A13)-len(regexextract(A13,"".* "")))=""400"",RIGHT(A13,LEN(A13)-len(regexextract(A13,"".* "")))=""3"&amp;"00"",RIGHT(A13,LEN(A13)-len(regexextract(A13,"".* "")))=""700"",RIGHT(A13,LEN(A13)-len(regexextract(A13,"".* "")))=""2400"",RIGHT(A13,LEN(A13)-len(regexextract(A13,"".* "")))=""650"",RIGHT(A13,LEN(A13)-len(regexextract(A13,"".* "")))=""350"",RIGHT(A13,LEN"&amp;"(A13)-len(regexextract(A13,"".* "")))=""50""),RIGHT(A13,LEN(A13)-len(regexextract(A13,"".* ""))),IF(OR(ISERROR(FIND(""spacer"",A13))=FALSE,ISERROR(FIND(""filler panel"",A13))=FALSE),""1000"",""Unexpected size in description"")))"),"600")</f>
        <v>600</v>
      </c>
      <c r="D13" s="151">
        <f t="shared" si="2"/>
        <v>600</v>
      </c>
      <c r="E13" s="152">
        <f>IFERROR(__xludf.DUMMYFUNCTION("IF(OR(A13="""",AND(ISERROR(FIND(""drawer box"",A13))=FALSE,KitchenDrawerType="""")),"""",IF(OR(ISERROR(FIND(""larder"",A13))=FALSE,ISERROR(FIND(""fridge/freezer"",A13))=FALSE,ISERROR(FIND(""double oven"",A13))=FALSE,ISERROR(FIND(""single oven"",A13))=FALS"&amp;"E),VLOOKUP(LEFT(A13,FIND("" "",A13))&amp;""carcass ""&amp;RIGHT(A13,LEN(A13)-(LEN(A13)-3)),KitchensData,5,0),IF(ISERROR(FIND(""sink"",A13))=FALSE,VLOOKUP(LEFT(A13,FIND("" "",A13))&amp;""carcass ""&amp;VALUE(REGEXREPLACE(A13,""[^[:digit:]]"", """")),KitchensData,5,0)+(((C"&amp;"13/1000)*(300/1000))*VLOOKUP(KitchenCarcassMaterial,SheetsData,8,0)),IF(ISERROR(FIND(""bins"",A13))=FALSE,IF(ISERROR(FIND(""veneer"",KitchenCarcassMaterial))=FALSE,VLOOKUP(""Base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600"",A13))=FALSE,IF(ISERROR(FIND(""veneer"""&amp;",KitchenCarcassMaterial))=FALSE,0.54*(VLOOKUP(LEFT(KitchenCarcassMaterial,FIND(""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1200"",A13))=FALSE,"&amp;"IF(ISERROR(FIND(""veneer"",KitchenCarcassMaterial))=FALSE,0.84*(VLOOKUP(LEFT(KitchenCarcassMaterial,FIND(""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600"",A13))=FALSE,IF(ISERROR(FIND(""veneer"",KitchenCarcassMaterial))=FALSE,1.44*(VLOOKUP(LEFT(KitchenCarcassMaterial,FIND(""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1200"",A13))=FALSE,IF(ISERROR(FIND(""veneer"",KitchenCarcassMaterial))=FALSE,2.7*(VLOOKUP(LEFT(KitchenCarcassMaterial,FIND(""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front"",A13))=FALSE,((B13/1000)*(C13/1000))*VLOOKUP(KitchenDoorMaterial,SheetsData,8,0),IF(AND(KitchenDrawerType=""Match carcass"",ISERROR(FIND(""drawer box"",A13))=FALSE),(((((B13/1000)*(C13/1000))+((B13/1000"&amp;")*(D13/1000)))*2)*VLOOKUP(KitchenCarcassMaterial,SheetsData,8,0))+(((C13/1000)*(D13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box"",A13))=FALSE),(((((B13/1000)*(C13/1000))+((B13/1000)*(D13/1000)))*2)*(16/1000)*VLOOKUP(LEFT(KitchenCarcassMaterial,FIND("" "&amp;""",KitchenCarcassMaterial))&amp;""(solid m3)"",SolidData,5,0))+(((C13/1000)*(D13/1000))*VLOOKUP(LEFT(KitchenCarcassMaterial,FIND(""("",KitchenCarcassMaterial)-1)&amp;IF(OR(ISERROR(FIND(""ply"",KitchenCarcassMaterial))=FALSE,ISERROR(FIND(""H/F"",KitchenCarcassMate"&amp;"rial))=FALSE),""(9mm)"",""(10mm)""),SheetsData,8,0)),IF(ISERROR(FIND(""spacer"",A13))=FALSE,((D13/1000)*(C13/1000))*VLOOKUP(""Poplar ply (18mm)"",SheetsData,8,0),IF(ISERROR(FIND(""filler panel"",A13))=FALSE,((B13/1000)*(C13/1000))*VLOOKUP(KitchenDoorMater"&amp;"ial,SheetsData,8,0),IF(ISERROR(FIND(""shelf"",A13))=FALSE,((D13/1000)*(C13/1000))*VLOOKUP(KitchenCarcassMaterial,SheetsData,8,0),IF(ISERROR(FIND(""lost corner"",A13))=FALSE,VLOOKUP(LEFT(A13,FIND("" "",A13))&amp;""carcass ""&amp;VALUE(REGEXREPLACE(A13,""[^[:digit:"&amp;"]]"", """")),KitchensData,5,0)+((((B13/1000)*(C13/1000))+((B13/1000)*(60/1000)))*VLOOKUP(KitchenCarcassMaterial,SheetsData,8,0)),IF(ISERROR(FIND(""carcass"",A13))=FALSE,(((((B13/1000)*2)*(D13/1000))+(((C13/1000)*2)*(D13/1000)))*VLOOKUP(KitchenCarcassMater"&amp;"ial,SheetsData,8,0))+((B13/1000)*(C13/1000))*VLOOKUP(LEFT(KitchenCarcassMaterial,FIND(""("",KitchenCarcassMaterial)-1)&amp;IF(OR(ISERROR(FIND(""ply"",KitchenCarcassMaterial))=FALSE,ISERROR(FIND(""H/F"",KitchenCarcassMaterial))=FALSE),""(9mm)"",""(10mm)""),She"&amp;"etsData,8,0),IF(OR(ISERROR(FIND(""Plinth"",A13))=FALSE,ISERROR(FIND(""Cornice (flat)"",A13))=FALSE),((B13/1000)*(C13/1000))*VLOOKUP(""H/F (18mm)"",SheetsData,8,0),IF(ISERROR(FIND(""Cornice (stacked)"",A13))=FALSE,((0.08*(C13/1000))*2)*VLOOKUP(""H/F (22mm)"&amp;""",SheetsData,8,0),IF(ISERROR(FIND(""Base end panel"",A13))=FALSE,VLOOKUP(KitchenDoorMaterial,SheetsData,5,0)/3,IF(ISERROR(FIND(""Wall end panel"",A13))=FALSE,VLOOKUP(KitchenDoorMaterial,SheetsData,5,0)/9,IF(ISERROR(FIND(""Tower end panel"",A13))=FALSE,VL"&amp;"OOKUP(KitchenDoorMaterial,SheetsData,5,0),IF(ISERROR(FIND(""Fillers"",A13))=FALSE,(((0.06*(C13/1000))*2)*VLOOKUP(""H/F (18mm)"",SheetsData,8,0))+(((0.06*(C13/1000))*2)*VLOOKUP(""H/F (9mm)"",SheetsData,8,0)),IF(ISERROR(FIND(""corner post"",A13))=FALSE,(((B"&amp;"13/1000)*0.05)*2)*VLOOKUP(KitchenDoorMaterial,SheetsData,8,0),IF(ISERROR(FIND(""Pelmet"",A13))=FALSE,((((B13/1000)*(C13/1000))*2)*VLOOKUP(""H/F (18mm)"",SheetsData,8,0)),IF(ISERROR(FIND(""door"",A13))=TRUE,""Check description"",IF(KitchenDoorStyle=""Flat"&amp;""",((B13/1000)*(C13/1000))*VLOOKUP(KitchenDoorMaterial,SheetsData,8,0),IF(LEFT(KitchenDoorStyle,5)=""Panel"",(((((B13/1000)*2)*0.08)+((((C13/1000)-0.16)*2)*0.08))*VLOOKUP(""H/F (22mm)"",SheetsData,8,0))+(((B13/1000)-0.14)*((C13/1000)-0.14)*VLOOKUP(""H/F ("&amp;"9mm)"",SheetsData,8,0)),IF(KitchenDoorStyle=""In-frame flat"",((((((B13/1000)*0.019)*0.038)+((((C13-38)/1000)*0.038)*0.038))*2)*VLOOKUP(""Tulip (solid m3)"",SolidData,5,0))+(((B13-76)/1000)*((C13-38)/1000))*VLOOKUP(""H/F (22mm)"",SheetsData,8,0),IF(LEFT(K"&amp;"itchenDoorStyle,14)=""In-frame panel"",(((((((B13/1000)*0.019)*0.038)+((((C13-38)/1000)*0.038)*0.038))*2)*VLOOKUP(""Tulip (solid m3)"",SolidData,5,0))+(((((((B13-76)/1000)*2)*0.08)+(((((C13-198)/1000)*2)*0.08)))*VLOOKUP(""H/F (22mm)"",SheetsData,8,0))+((("&amp;"B13-216)/1000)*((C13-178)/1000)*VLOOKUP(""H/F (9mm)"",SheetsData,8,0)))))))))))))))))))))))))))))))))"),140.04501478097288)</f>
        <v>140.0450148</v>
      </c>
      <c r="F13" s="152">
        <f>IFERROR(__xludf.DUMMYFUNCTION("IF(OR(A13="""",AND(ISERROR(FIND(""drawer box"",A13))=FALSE,KitchenDrawerType=""Solid dovetail"")),"""",IF(ISERROR(FIND(""bins"",A13))=FALSE,VLOOKUP(""Base carcass 600"",KitchensData,6,0),IF(OR(ISERROR(FIND(""larder"",A13))=FALSE,ISERROR(FIND(""unit"",A13)"&amp;")=FALSE),VLOOKUP(LEFT(A13,FIND("" "",A13))&amp;""carcass ""&amp;RIGHT(A13,LEN(A13)-len(regexextract(A13,"".* ""))),KitchensData,6,0),IF(ISERROR(FIND(""drawer front"",A13))=FALSE,IF(ISERROR(FIND(""veneer"",KitchenCarcassMaterial))=TRUE,0,(((B13+C13)/1000)*2)*VLOOK"&amp;"UP(""Edge banding (per M)"",SheetsData,5,0)),IF(ISERROR(FIND(""drawer box"",A13))=FALSE,IF(ISERROR(FIND(""veneer"",KitchenCarcassMaterial))=TRUE,0,(((C13+D13)/1000)*2)*VLOOKUP(""Edge banding (per M)"",SheetsData,5,0)),IF(ISERROR(FIND(""shelf"",A13))=FALSE"&amp;",IF(ISERROR(FIND(""veneer"",KitchenCarcassMaterial))=TRUE,0,(C13/1000)*VLOOKUP(""Edge banding (per M)"",SheetsData,5,0)),IF(AND(ISERROR(FIND(""carcass"",A13))=FALSE,ISERROR(FIND(""shelf"",A13))=TRUE),IF(ISERROR(FIND(""veneer"",KitchenCarcassMaterial))=TRU"&amp;"E,0,((2*(B13+C13))/1000)*VLOOKUP(""Edge banding (per M)"",SheetsData,5,0)),IF(ISERROR(FIND(""door"",A13))=TRUE,"""",IF(ISERROR(FIND(""veneer"",KitchenDoorMaterial))=TRUE,"""",((2*(B13+C13))/1000)*VLOOKUP(""Edge banding (per M)"",SheetsData,5,0))))))))))"),0.0)</f>
        <v>0</v>
      </c>
      <c r="G13" s="153">
        <f>IF(A13="","",IF(ISERROR(FIND("bins",A13))=FALSE,VLOOKUP("Base carcass 600",KitchensData,7,0),IF(OR(ISERROR(FIND("larder",A13))=FALSE,ISERROR(FIND("fridge/freezer",A13))=FALSE,ISERROR(FIND("double oven",A13))=FALSE,ISERROR(FIND("single oven",A13))=FALSE),VLOOKUP(LEFT(A13,FIND(" ",A13))&amp;"carcass "&amp;RIGHT(A13,LEN(A13)-(LEN(A13)-3)),KitchensData,7,0),IF(AND(ISERROR(FIND("carcass",A13))=FALSE,ISERROR(FIND("shelf",A13))=TRUE),IF(OR(ISERROR(FIND("Base",A13))=FALSE,ISERROR(FIND("Tower",A13))=FALSE),IF(OR(ISERROR(FIND("1200",A13))=FALSE, ISERROR(FIND("lost corner",A13))=FALSE),6*VLOOKUP("Plinth foot (2 Parts 80mm)",FurnitureData,5,0),4*VLOOKUP("Plinth foot (2 Parts 80mm)",FurnitureData,5,0)),""),""))))</f>
        <v>3.8</v>
      </c>
      <c r="H13" s="115" t="str">
        <f>IF(OR(A13="",ISERROR(FIND("door",A13))=TRUE),"",IF(ISERROR(FIND("Wall",A13))=FALSE,VLOOKUP("Hinges &amp; plates (Hettich thick door)",FurnitureData,5,0)*2,IF(ISERROR(FIND("Base",A13))=FALSE,VLOOKUP("Hinges &amp; plates (Hettich thick door)",FurnitureData,5,0)*3,IF(ISERROR(FIND("Boiler",A13))=FALSE,VLOOKUP("Hinges &amp; plates (Hettich thick door)",FurnitureData,5,0)*4,IF(ISERROR(FIND("Tower",A13))=FALSE,VLOOKUP("Hinges &amp; plates (Hettich thick door)",FurnitureData,5,0)*5)))))</f>
        <v/>
      </c>
      <c r="I13" s="115" t="str">
        <f>IF(ISERROR(FIND("shelf",A13))=FALSE,(VLOOKUP("Shelf pegs",FurnitureData,5,0)/100)*4,"")</f>
        <v/>
      </c>
      <c r="J13" s="152">
        <f>IF(OR(ISERROR(FIND("fridge/freezer",A13))=FALSE,ISERROR(FIND("larder",A13))=FALSE,AND(ISERROR(FIND("Base",A13))=FALSE,ISERROR(FIND("bins",A13))=TRUE,ISERROR(FIND("no shelves",A13))=TRUE,OR(ISERROR(FIND("carcass",A13))=FALSE,ISERROR(FIND("unit",A13))=FALSE))),VLOOKUP("Deep shelf "&amp;C13,KitchensData,18,0),IF(AND(ISERROR(FIND("Wall",A13))=FALSE,ISERROR(FIND("carcass",A13))=FALSE),2*VLOOKUP("Shallow shelf "&amp;C13,KitchensData,18,0),IF(AND(ISERROR(FIND("Tower",A13))=FALSE,ISERROR(FIND("oven",A13))=FALSE),4*VLOOKUP("Deep shelf "&amp;C13,KitchensData,18,0),IF(AND(ISERROR(FIND("Tower",A13))=FALSE,ISERROR(FIND("carcass",A13))=FALSE),5*VLOOKUP("Deep shelf "&amp;C13,KitchensData,18,0),""))))</f>
        <v>53.89994125</v>
      </c>
      <c r="K13" s="152">
        <f>IF(ISERROR(FIND("sink",A13))=FALSE,VLOOKUP("Sink liner - Aluminium "&amp;RIGHT(A13,LEN(A13)-22)&amp;"mm",ExceptionalData,5,0),IF(ISERROR(FIND("bins",A13))=FALSE,VLOOKUP("Drawer runners and clip set for bin unit (500) Dynapro",FurnitureData,5,0)+(2*VLOOKUP("Bin (42L Anthracite)",FurnitureData,5,0)),IF(ISERROR(FIND("larder",A13))=FALSE,VLOOKUP("Pull out larder unit 600mm",FurnitureData,5,0),IF(AND(ISERROR(FIND("drawer box",A13))=FALSE,ISERROR(FIND("internal",A13))=TRUE),VLOOKUP("Drawer runners and clip set (550) Dynapro",FurnitureData,5,0),IF(ISERROR(FIND("internal drawer box",A13))=FALSE,VLOOKUP("Drawer runners and clip set (450) Dynapro",FurnitureData,5,0),"")))))</f>
        <v>350</v>
      </c>
      <c r="L13" s="152">
        <f t="shared" si="3"/>
        <v>547.744956</v>
      </c>
      <c r="M13" s="154">
        <f>IFERROR(__xludf.DUMMYFUNCTION("IF(A13="""","""",IF(OR(ISERROR(FIND(""larder"",A13))=FALSE,ISERROR(FIND(""unit"",A13))=FALSE),VLOOKUP(LEFT(A13,FIND("" "",A13))&amp;""carcass ""&amp;RIGHT(A13,LEN(A13)-len(regexextract(A13,"".* ""))),KitchensData,13,0),IF(ISERROR(FIND(""bins"",A13))=FALSE,0.95,IF"&amp;"(ISERROR(FIND(""Cutlery insert 600"",A13))=FALSE,1.3,IF(ISERROR(FIND(""Cutlery insert 1200"",A13))=FALSE,2,IF(ISERROR(FIND(""Pan/tray rack 600"",A13))=FALSE,3.25,IF(ISERROR(FIND(""Pan/tray rack 1200"",A13))=FALSE,5.9,IF(ISERROR(FIND(""split"",A13))=FALSE,"&amp;"(((C13/1000)*0.022)*2)+VLOOKUP(SUBSTITUTE(A13,"" split"",""""),KitchensData,13,0),IF(AND(ISERROR(FIND(""drawer front"",A13))=FALSE,KitchenDoorStyle=""Flat""),(((B13/1000)*(C13/1000))*2)+((((B13+C13)/1000)*2)*0.022),IF(AND(ISERROR(FIND(""drawer front"",A13"&amp;"))=FALSE,LEFT(KitchenDoorStyle,5)=""Panel""),(((B13/1000)*(C13/1000))*2)+((((B13+C13)/1000)*2)*0.022)+((((C13/1000)-0.16)*0.013)*2)+((((D13/1000)-0.16)*0.013)*2),IF(AND(ISERROR(FIND(""drawer front"",A13))=FALSE,KitchenDoorStyle=""In-frame flat""),((((B13-"&amp;"76)/1000)*((C13-38)/1000))*2)+(MID(KitchenDoorMaterial,FIND(""("",KitchenDoorMaterial)+1,2)/1000)*((((B13-76)+(C13-38))/1000)*2)+(((B13/1000)*0.032)*2)+((((B13-76)/1000)*0.032)*2)+(((B13/1000)*0.019)*4)+(((C13/1000)*0.032)*2)+((((C13-38)/1000)*0.032)*2)+("&amp;"((C13/1000)*0.038)*4),IF(AND(ISERROR(FIND(""drawer front"",A13))=FALSE,LEFT(KitchenDoorStyle,14)=""In-frame panel""),((((B13-76)/1000)*((C13-38)/1000))*2)+((MID(KitchenDoorMaterial,FIND(""("",KitchenDoorMaterial)+1,2)/1000)*((((B13-76)+(C13-38))/1000)*2))"&amp;"+((((B13-236)/1000)+((C13-198)/1000)*2)*0.013)+(((B13/1000)*0.032)*2)+((((B13-76)/1000)*0.032)*2)+(((B13/1000)*0.019)*4)+(((C13/1000)*0.032)*2)+((((C13-38)/1000)*0.032)*2)+(((C13/1000)*0.038)*4),IF(ISERROR(FIND(""drawer box"",A13))=FALSE,((((B13/1000)*(D1"&amp;"3/1000))+((B13/1000)*(C13/1000)))*4)+((((D13/1000)+(C13/1000))*0.016)*4)+(((C13/1000)*(D13/1000))*2),IF(OR(ISERROR(FIND(""shelf"",A13))=FALSE,ISERROR(FIND(""spacer"",A13))=FALSE,,ISERROR(FIND(""filler panel"",A13))=FALSE),(((C13/1000)*(D13/1000))*2)+((((C"&amp;"13+D13)*2)/1000)*0.022),IF(ISERROR(FIND(""lost corner"",A13))=FALSE,(((B13/1000)*(C13/1000))*2)+((B13/1000)*(C13/1000))+((B13/1000)*((C13/2)/1000))+((((B13/1000)*0.025)+((C13/1000)*0.025))*2),IF(ISERROR(FIND(""carcass"",A13))=FALSE,(((C13/1000)*(D13/1000)"&amp;")*2)+(((B13/1000)*(D13/1000))*2)+((B13/1000)*(C13/1000))+((((B13/1000)*0.025)+((C13/1000)*0.025))*2),IF(AND(ISERROR(FIND(""door"",A13))=FALSE,KitchenDoorStyle=""Flat""),(((B13/1000)*(C13/1000))*2)+(MID(KitchenDoorMaterial,FIND(""("",KitchenDoorMaterial)+1"&amp;",2)/1000)*(((B13+C13)/1000)*2),IF(AND(ISERROR(FIND(""door"",A13))=FALSE,LEFT(KitchenDoorStyle,5)=""Panel""),(((B13/1000)*(C13/1000))*2)+((MID(KitchenDoorMaterial,FIND(""("",KitchenDoorMaterial)+1,2)/1000)*(((B13+C13)/1000)*2))+(((((B13-160)+(C13-160))*2)/"&amp;"1000)*(0.013)),IF(AND(ISERROR(FIND(""door"",A13))=FALSE,KitchenDoorStyle=""In-frame flat""),((((B13-76)/1000)*((C13-38)/1000))*2)+(MID(KitchenDoorMaterial,FIND(""("",KitchenDoorMaterial)+1,2)/1000)*((((B13-76)+(C13-38))/1000)*2)+(((B13/1000)*0.032)*2)+((("&amp;"(B13-76)/1000)*0.032)*2)+(((B13/1000)*0.019)*4)+(((C13/1000)*0.032)*2)+((((C13-38)/1000)*0.032)*2)+(((C13/1000)*0.038)*4),IF(AND(ISERROR(FIND(""door"",A13))=FALSE,LEFT(KitchenDoorStyle,14)=""In-frame panel""),((((B13-76)/1000)*((C13-38)/1000))*2)+((MID(Ki"&amp;"tchenDoorMaterial,FIND(""("",KitchenDoorMaterial)+1,2)/1000)*((((B13-76)+(C13-38))/1000)*2))+((((B13-236)/1000)+((C13-198)/1000)*2)*0.013)+(((B13/1000)*0.032)*2)+((((B13-76)/1000)*0.032)*2)+(((B13/1000)*0.019)*4)+(((C13/1000)*0.032)*2)+((((C13-38)/1000)*0"&amp;".032)*2)+(((C13/1000)*0.038)*4),IF(ISERROR(FIND(""Plinth"",A13))=FALSE,((B13/1000)*(C13/1000))+(((C13/1000)*0.018)*2)+(((B13/1000)*0.018)*2),IF(ISERROR(FIND(""Cornice"",A13))=FALSE,(((C13/1000)*0.1)*2)+(((C13/1000)*0.044)*2)+(((B13/1000)*0.08)*2),IF(ISERR"&amp;"OR(FIND(""Base end panel"",A13))=FALSE,((B13/1000)*(C13/1000))+(0.022*((B13/1000)+((C13/1000)*2)))+((B13/1000)*0.05),IF(ISERROR(FIND(""Wall end panel"",A13))=FALSE,((B13/1000)*(C13/1000))+(0.022*((B13/1000)+((C13/1000)*2)))+((B13/1000)*0.05),IF(ISERROR(FI"&amp;"ND(""Tower end panel"",A13))=FALSE,((B13/1000)*(C13/1000))+(0.022*((B13/1000)+((C13/1000)*2)))+((B13/1000)*0.05),IF(ISERROR(FIND(""Fillers"",A13))=FALSE,((C13/1000)*0.06)+((C13/1000)*0.069)+((0.06*0.018)*2)+((0.06*0.009)*2)+((C13/1000)*0.009)+((C13/1000)*"&amp;"0.018),IF(ISERROR(FIND(""corner post"",A13))=FALSE,(((B13/1000*0.05)*2)+((B13/1000)*0.022)*2)+((B13/1000)*0.072)+((B13/1000)*0.05)+((0.072*0.022)*2)+((0.05*0.022)*2),IF(ISERROR(FIND(""Pelmet"",A13))=FALSE,((C13/1000)*0.05)+((C13/1000)*0.068)+((0.05*0.018)"&amp;"*4)+(((C13/1000)*0.018))*2))))))))))))))))))))))))))))"),4.82)</f>
        <v>4.82</v>
      </c>
      <c r="N13" s="152">
        <f>IF(M13="","",IF(AND(ISERROR(FIND("carcass",A13))=TRUE,ISERROR(FIND("unit",A13))=TRUE,ISERROR(FIND("insert",A13))=TRUE,ISERROR(FIND("rack",A13))=TRUE,ISERROR(FIND("box",A13))=TRUE,ISERROR(FIND("shelf",#REF!))=TRUE),VLOOKUP(KitchenDoorFinish,Finishing!$A$2:$K$10,9,0)*M13,VLOOKUP(KitchenCarcassFinish,Finishing!$A$2:$K$40,9,0)*M13))</f>
        <v>18.075</v>
      </c>
      <c r="O13" s="155">
        <v>2.5</v>
      </c>
      <c r="P13" s="155">
        <v>1.5</v>
      </c>
      <c r="Q13" s="152">
        <f>IF(OR(O13="",P13=""),"",((O13*X13)*(VLOOKUP("Workshop",Labour!$A$3:$E$20,4,0)/8))+((P13*AE13)*(VLOOKUP("Finishing",Labour!$A$3:$E$20,4,0)/8)))</f>
        <v>151.375</v>
      </c>
      <c r="R13" s="152">
        <f t="shared" si="4"/>
        <v>717.194956</v>
      </c>
      <c r="S13" s="156">
        <f>IF(OR(O13="",P13=""),"",IF(OR(ISERROR(FIND("carcass",$A13))=FALSE,ISERROR(FIND("unit",$A13))=FALSE),VLOOKUP(KitchenCarcassMaterial,FixedListsCarcassMaterial,2,0),0))</f>
        <v>1</v>
      </c>
      <c r="T13" s="156">
        <f>IF(OR(O13="",P13=""),"",IF(ISERROR(FIND("door",$A13))=FALSE,VLOOKUP(KitchenDoorStyle,FixedListsDoorStyle,2,0),0))</f>
        <v>0</v>
      </c>
      <c r="U13" s="156">
        <f>IF(OR(O13="",P13=""),"",IF(ISERROR(FIND("door",$A13))=FALSE,VLOOKUP(KitchenDoorMaterial,FixedListsDoorMaterial,2,0),0))</f>
        <v>0</v>
      </c>
      <c r="V13" s="156">
        <f>IF(OR(O13="",P13=""),"",IF(ISERROR(FIND("drawer",$A13))=FALSE,VLOOKUP(KitchenDrawerType,FixedListsDrawerType,2,0),0))</f>
        <v>0</v>
      </c>
      <c r="W13" s="156">
        <f>IF(OR(O13="",P13=""),"",IF(OR(S13&gt;0, T13&gt;0,V13&gt;0),VLOOKUP(KitchenHandleType,FixedListsHandleType,2,FALSE)*IF(KitchenHandleType="Simple",0,IF(S13&gt;0,VLOOKUP(KitchenHandleType,FixedListsHandleType,4,FALSE),IF(OR(T13&gt;0,V13&gt;0),1-VLOOKUP(KitchenHandleType,FixedListsHandleType,4,FALSE),"Error"))),0))</f>
        <v>0</v>
      </c>
      <c r="X13" s="156">
        <f t="shared" si="5"/>
        <v>1</v>
      </c>
      <c r="Y13" s="156">
        <f>IF(OR(O13="",P13=""),"",IF(OR(ISERROR(FIND("carcass",$A13))=FALSE,ISERROR(FIND("unit",$A13))=FALSE),VLOOKUP(KitchenCarcassMaterial,FixedListsCarcassMaterial,3,0),0))</f>
        <v>1</v>
      </c>
      <c r="Z13" s="156">
        <f>IF(OR(O13="",P13=""),"",IF(ISERROR(FIND("door",$A13))=FALSE,VLOOKUP(KitchenDoorStyle,FixedListsDoorStyle,3,0),0))</f>
        <v>0</v>
      </c>
      <c r="AA13" s="156">
        <f>IF(OR(O13="",P13=""),"",IF(ISERROR(FIND("door",$A13))=FALSE,VLOOKUP(KitchenDoorMaterial,FixedListsDoorMaterial,3,0),0))</f>
        <v>0</v>
      </c>
      <c r="AB13" s="156">
        <f>IF(OR(O13="",P13=""),"",IF(ISERROR(FIND("drawer",$A13))=FALSE,VLOOKUP(KitchenDrawerType,FixedListsDrawerType,3,0),0))</f>
        <v>0</v>
      </c>
      <c r="AC13" s="156">
        <f>IF(OR(O13="",P13=""),"",IF(OR(Y13&gt;0,Z13&gt;0,AB13&gt;0),VLOOKUP(KitchenHandleType,FixedListsHandleType,3,FALSE),0))</f>
        <v>1</v>
      </c>
      <c r="AD13" s="156">
        <f>IF(OR(O13="",P13=""),"",IF(OR(ISERROR(FIND("carcass",$A13))=FALSE,ISERROR(FIND("unit",$A13))=FALSE),VLOOKUP(KitchenCarcassFinish,FixedListsFinishes,3,0),IF(OR(ISERROR(FIND("door",$A13))=FALSE,ISERROR(FIND("Plinth",$A13))=FALSE,ISERROR(FIND("Cornice",$A13))=FALSE,ISERROR(FIND("Fillers",$A13))=FALSE,ISERROR(FIND("Pelmet",$A13))=FALSE,ISERROR(FIND("panel",$A13))=FALSE,ISERROR(FIND("post",$A13))=FALSE),VLOOKUP(KitchenDoorFinish,FixedListsFinishes,3,0),IF(OR(ISERROR(FIND("drawer",$A13))=FALSE,ISERROR(FIND("insert",$A13))=FALSE,ISERROR(FIND("rck",$A13))=FALSE),VLOOKUP(KitchenCarcassFinish,FixedListsFinishes,3,0),0))))</f>
        <v>1</v>
      </c>
      <c r="AE13" s="156">
        <f t="shared" si="6"/>
        <v>1</v>
      </c>
      <c r="AF13" s="157" t="str">
        <f>IF(AND(KitchenHandleType="Channel",OR(ISERROR(FIND("arcass",$A13))=FALSE,ISERROR(FIND("unit",$A13))=FALSE)),IF(ISERROR(FIND("Tower",$A13))=TRUE,IF(KitchenHandleFinish="Match carcass",IF(ISERROR(FIND("Walnut",KitchenCarcassMaterial))=FALSE,(0.035*0.075*($C13/1000))*VLOOKUP("Walnut (solid m3)",SolidData,4,FALSE),IF(ISERROR(FIND("Oak",KitchenCarcassMaterial))=FALSE,(0.035*0.075*($C13/1000))*VLOOKUP("Oak (solid m3)",SolidData,4,FALSE),IF(ISERROR(FIND("ply",KitchenCarcassMaterial))=FALSE,(0.1*($C13/1000))*VLOOKUP("Birch ply (24mm)",SheetsData,7,FALSE),IF(ISERROR(FIND("H/F",KitchenCarcassMaterial))=FALSE,(0.1*($C13/1000))*VLOOKUP("H/F (22mm)",SheetsData,7,FALSE),"Carcass - not tower - new material")))),IF(KitchenHandleFinish="Match door",IF(ISERROR(FIND("Walnut",KitchenDoorMaterial))=FALSE,(0.035*0.075*($C13/1000))*VLOOKUP("Walnut (solid m3)",SolidData,4,FALSE),IF(ISERROR(FIND("Oak",KitchenDoorMaterial))=FALSE,(0.035*0.075*($C13/1000))*VLOOKUP("Oak (solid m3)",SolidData,4,FALSE),IF(ISERROR(FIND("ply",KitchenDoorMaterial))=FALSE,(0.1*($C13/1000))*VLOOKUP("Birch ply (24mm)",SheetsData,7,FALSE),IF(ISERROR(FIND("H/F",KitchenCarcassMaterial))=FALSE,(0.1*($C13/1000))*VLOOKUP("H/F (22mm)",SheetsData,7,FALSE),"Door - not tower - new material")))),"Channel - not tower - handle set to other")),IF(ISERROR(FIND("Tower",$A13))=FALSE,IF(KitchenHandleFinish="Match carcass",IF(ISERROR(FIND("Walnut",KitchenCarcassMaterial))=FALSE,(0.035*0.075*($B13/1000))*VLOOKUP("Walnut (solid m3)",SolidData,4,FALSE),IF(ISERROR(FIND("Oak",KitchenCarcassMaterial))=FALSE,(0.035*0.075*($B13/1000))*VLOOKUP("Oak (solid m3)",SolidData,4,FALSE),IF(ISERROR(FIND("ply",KitchenCarcassMaterial))=FALSE,(0.1*($B13/1000))*VLOOKUP("Birch ply (24mm)",SheetsData,7,FALSE),IF(ISERROR(FIND("H/F",KitchenCarcassMaterial))=FALSE,(0.1*($C13/1000))*VLOOKUP("H/F (22mm)",SheetsData,7,FALSE),"Carcass - tower - new material")))),IF(KitchenHandleFinish="Match door",IF(ISERROR(FIND("Walnut",KitchenDoorMaterial))=FALSE,(0.035*0.075*($B13/1000))*VLOOKUP("Walnut (solid m3)",SolidData,4,FALSE),IF(ISERROR(FIND("Oak",KitchenDoorMaterial))=FALSE,(0.035*0.075*($B13/1000))*VLOOKUP("Oak (solid m3)",SolidData,4,FALSE),IF(ISERROR(FIND("ply",KitchenDoorMaterial))=FALSE,(0.1*($B13/1000))*VLOOKUP("Birch ply (24mm)",SheetData,7,FALSE),IF(ISERROR(FIND("H/F",KitchenCarcassMaterial))=FALSE,(0.1*($C13/1000))*VLOOKUP("H/F (22mm)",SheetsData,7,FALSE),"Door - tower - new material")))),"Channel - tower - handle set to other")))),"")</f>
        <v/>
      </c>
    </row>
    <row r="14">
      <c r="A14" s="151" t="s">
        <v>122</v>
      </c>
      <c r="B14" s="115">
        <f t="shared" si="1"/>
        <v>700</v>
      </c>
      <c r="C14" s="115" t="str">
        <f>IFERROR(__xludf.DUMMYFUNCTION("IF(A14="""","""",IF(OR(RIGHT(A14,LEN(A14)-len(regexextract(A14,"".* "")))=""1200"",RIGHT(A14,LEN(A14)-len(regexextract(A14,"".* "")))=""600"",RIGHT(A14,LEN(A14)-len(regexextract(A14,"".* "")))=""400"",RIGHT(A14,LEN(A14)-len(regexextract(A14,"".* "")))=""3"&amp;"00"",RIGHT(A14,LEN(A14)-len(regexextract(A14,"".* "")))=""700"",RIGHT(A14,LEN(A14)-len(regexextract(A14,"".* "")))=""2400"",RIGHT(A14,LEN(A14)-len(regexextract(A14,"".* "")))=""650"",RIGHT(A14,LEN(A14)-len(regexextract(A14,"".* "")))=""350"",RIGHT(A14,LEN"&amp;"(A14)-len(regexextract(A14,"".* "")))=""50""),RIGHT(A14,LEN(A14)-len(regexextract(A14,"".* ""))),IF(OR(ISERROR(FIND(""spacer"",A14))=FALSE,ISERROR(FIND(""filler panel"",A14))=FALSE),""1000"",""Unexpected size in description"")))"),"1200")</f>
        <v>1200</v>
      </c>
      <c r="D14" s="151">
        <f t="shared" si="2"/>
        <v>300</v>
      </c>
      <c r="E14" s="152">
        <f>IFERROR(__xludf.DUMMYFUNCTION("IF(OR(A14="""",AND(ISERROR(FIND(""drawer box"",A14))=FALSE,KitchenDrawerType="""")),"""",IF(OR(ISERROR(FIND(""larder"",A14))=FALSE,ISERROR(FIND(""fridge/freezer"",A14))=FALSE,ISERROR(FIND(""double oven"",A14))=FALSE,ISERROR(FIND(""single oven"",A14))=FALS"&amp;"E),VLOOKUP(LEFT(A14,FIND("" "",A14))&amp;""carcass ""&amp;RIGHT(A14,LEN(A14)-(LEN(A14)-3)),KitchensData,5,0),IF(ISERROR(FIND(""sink"",A14))=FALSE,VLOOKUP(LEFT(A14,FIND("" "",A14))&amp;""carcass ""&amp;VALUE(REGEXREPLACE(A14,""[^[:digit:]]"", """")),KitchensData,5,0)+(((C"&amp;"14/1000)*(300/1000))*VLOOKUP(KitchenCarcassMaterial,SheetsData,8,0)),IF(ISERROR(FIND(""bins"",A14))=FALSE,IF(ISERROR(FIND(""veneer"",KitchenCarcassMaterial))=FALSE,VLOOKUP(""Base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600"",A14))=FALSE,IF(ISERROR(FIND(""veneer"""&amp;",KitchenCarcassMaterial))=FALSE,0.54*(VLOOKUP(LEFT(KitchenCarcassMaterial,FIND(""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1200"",A14))=FALSE,"&amp;"IF(ISERROR(FIND(""veneer"",KitchenCarcassMaterial))=FALSE,0.84*(VLOOKUP(LEFT(KitchenCarcassMaterial,FIND(""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600"",A14))=FALSE,IF(ISERROR(FIND(""veneer"",KitchenCarcassMaterial))=FALSE,1.44*(VLOOKUP(LEFT(KitchenCarcassMaterial,FIND(""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1200"",A14))=FALSE,IF(ISERROR(FIND(""veneer"",KitchenCarcassMaterial))=FALSE,2.7*(VLOOKUP(LEFT(KitchenCarcassMaterial,FIND(""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front"",A14))=FALSE,((B14/1000)*(C14/1000))*VLOOKUP(KitchenDoorMaterial,SheetsData,8,0),IF(AND(KitchenDrawerType=""Match carcass"",ISERROR(FIND(""drawer box"",A14))=FALSE),(((((B14/1000)*(C14/1000))+((B14/1000"&amp;")*(D14/1000)))*2)*VLOOKUP(KitchenCarcassMaterial,SheetsData,8,0))+(((C14/1000)*(D14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box"",A14))=FALSE),(((((B14/1000)*(C14/1000))+((B14/1000)*(D14/1000)))*2)*(16/1000)*VLOOKUP(LEFT(KitchenCarcassMaterial,FIND("" "&amp;""",KitchenCarcassMaterial))&amp;""(solid m3)"",SolidData,5,0))+(((C14/1000)*(D14/1000))*VLOOKUP(LEFT(KitchenCarcassMaterial,FIND(""("",KitchenCarcassMaterial)-1)&amp;IF(OR(ISERROR(FIND(""ply"",KitchenCarcassMaterial))=FALSE,ISERROR(FIND(""H/F"",KitchenCarcassMate"&amp;"rial))=FALSE),""(9mm)"",""(10mm)""),SheetsData,8,0)),IF(ISERROR(FIND(""spacer"",A14))=FALSE,((D14/1000)*(C14/1000))*VLOOKUP(""Poplar ply (18mm)"",SheetsData,8,0),IF(ISERROR(FIND(""filler panel"",A14))=FALSE,((B14/1000)*(C14/1000))*VLOOKUP(KitchenDoorMater"&amp;"ial,SheetsData,8,0),IF(ISERROR(FIND(""shelf"",A14))=FALSE,((D14/1000)*(C14/1000))*VLOOKUP(KitchenCarcassMaterial,SheetsData,8,0),IF(ISERROR(FIND(""lost corner"",A14))=FALSE,VLOOKUP(LEFT(A14,FIND("" "",A14))&amp;""carcass ""&amp;VALUE(REGEXREPLACE(A14,""[^[:digit:"&amp;"]]"", """")),KitchensData,5,0)+((((B14/1000)*(C14/1000))+((B14/1000)*(60/1000)))*VLOOKUP(KitchenCarcassMaterial,SheetsData,8,0)),IF(ISERROR(FIND(""carcass"",A14))=FALSE,(((((B14/1000)*2)*(D14/1000))+(((C14/1000)*2)*(D14/1000)))*VLOOKUP(KitchenCarcassMater"&amp;"ial,SheetsData,8,0))+((B14/1000)*(C14/1000))*VLOOKUP(LEFT(KitchenCarcassMaterial,FIND(""("",KitchenCarcassMaterial)-1)&amp;IF(OR(ISERROR(FIND(""ply"",KitchenCarcassMaterial))=FALSE,ISERROR(FIND(""H/F"",KitchenCarcassMaterial))=FALSE),""(9mm)"",""(10mm)""),She"&amp;"etsData,8,0),IF(OR(ISERROR(FIND(""Plinth"",A14))=FALSE,ISERROR(FIND(""Cornice (flat)"",A14))=FALSE),((B14/1000)*(C14/1000))*VLOOKUP(""H/F (18mm)"",SheetsData,8,0),IF(ISERROR(FIND(""Cornice (stacked)"",A14))=FALSE,((0.08*(C14/1000))*2)*VLOOKUP(""H/F (22mm)"&amp;""",SheetsData,8,0),IF(ISERROR(FIND(""Base end panel"",A14))=FALSE,VLOOKUP(KitchenDoorMaterial,SheetsData,5,0)/3,IF(ISERROR(FIND(""Wall end panel"",A14))=FALSE,VLOOKUP(KitchenDoorMaterial,SheetsData,5,0)/9,IF(ISERROR(FIND(""Tower end panel"",A14))=FALSE,VL"&amp;"OOKUP(KitchenDoorMaterial,SheetsData,5,0),IF(ISERROR(FIND(""Fillers"",A14))=FALSE,(((0.06*(C14/1000))*2)*VLOOKUP(""H/F (18mm)"",SheetsData,8,0))+(((0.06*(C14/1000))*2)*VLOOKUP(""H/F (9mm)"",SheetsData,8,0)),IF(ISERROR(FIND(""corner post"",A14))=FALSE,(((B"&amp;"14/1000)*0.05)*2)*VLOOKUP(KitchenDoorMaterial,SheetsData,8,0),IF(ISERROR(FIND(""Pelmet"",A14))=FALSE,((((B14/1000)*(C14/1000))*2)*VLOOKUP(""H/F (18mm)"",SheetsData,8,0)),IF(ISERROR(FIND(""door"",A14))=TRUE,""Check description"",IF(KitchenDoorStyle=""Flat"&amp;""",((B14/1000)*(C14/1000))*VLOOKUP(KitchenDoorMaterial,SheetsData,8,0),IF(LEFT(KitchenDoorStyle,5)=""Panel"",(((((B14/1000)*2)*0.08)+((((C14/1000)-0.16)*2)*0.08))*VLOOKUP(""H/F (22mm)"",SheetsData,8,0))+(((B14/1000)-0.14)*((C14/1000)-0.14)*VLOOKUP(""H/F ("&amp;"9mm)"",SheetsData,8,0)),IF(KitchenDoorStyle=""In-frame flat"",((((((B14/1000)*0.019)*0.038)+((((C14-38)/1000)*0.038)*0.038))*2)*VLOOKUP(""Tulip (solid m3)"",SolidData,5,0))+(((B14-76)/1000)*((C14-38)/1000))*VLOOKUP(""H/F (22mm)"",SheetsData,8,0),IF(LEFT(K"&amp;"itchenDoorStyle,14)=""In-frame panel"",(((((((B14/1000)*0.019)*0.038)+((((C14-38)/1000)*0.038)*0.038))*2)*VLOOKUP(""Tulip (solid m3)"",SolidData,5,0))+(((((((B14-76)/1000)*2)*0.08)+(((((C14-198)/1000)*2)*0.08)))*VLOOKUP(""H/F (22mm)"",SheetsData,8,0))+((("&amp;"B14-216)/1000)*((C14-178)/1000)*VLOOKUP(""H/F (9mm)"",SheetsData,8,0)))))))))))))))))))))))))))))))))"),55.939599570008056)</f>
        <v>55.93959957</v>
      </c>
      <c r="F14" s="152">
        <f>IFERROR(__xludf.DUMMYFUNCTION("IF(OR(A14="""",AND(ISERROR(FIND(""drawer box"",A14))=FALSE,KitchenDrawerType=""Solid dovetail"")),"""",IF(ISERROR(FIND(""bins"",A14))=FALSE,VLOOKUP(""Base carcass 600"",KitchensData,6,0),IF(OR(ISERROR(FIND(""larder"",A14))=FALSE,ISERROR(FIND(""unit"",A14)"&amp;")=FALSE),VLOOKUP(LEFT(A14,FIND("" "",A14))&amp;""carcass ""&amp;RIGHT(A14,LEN(A14)-len(regexextract(A14,"".* ""))),KitchensData,6,0),IF(ISERROR(FIND(""drawer front"",A14))=FALSE,IF(ISERROR(FIND(""veneer"",KitchenCarcassMaterial))=TRUE,0,(((B14+C14)/1000)*2)*VLOOK"&amp;"UP(""Edge banding (per M)"",SheetsData,5,0)),IF(ISERROR(FIND(""drawer box"",A14))=FALSE,IF(ISERROR(FIND(""veneer"",KitchenCarcassMaterial))=TRUE,0,(((C14+D14)/1000)*2)*VLOOKUP(""Edge banding (per M)"",SheetsData,5,0)),IF(ISERROR(FIND(""shelf"",A14))=FALSE"&amp;",IF(ISERROR(FIND(""veneer"",KitchenCarcassMaterial))=TRUE,0,(C14/1000)*VLOOKUP(""Edge banding (per M)"",SheetsData,5,0)),IF(AND(ISERROR(FIND(""carcass"",A14))=FALSE,ISERROR(FIND(""shelf"",A14))=TRUE),IF(ISERROR(FIND(""veneer"",KitchenCarcassMaterial))=TRU"&amp;"E,0,((2*(B14+C14))/1000)*VLOOKUP(""Edge banding (per M)"",SheetsData,5,0)),IF(ISERROR(FIND(""door"",A14))=TRUE,"""",IF(ISERROR(FIND(""veneer"",KitchenDoorMaterial))=TRUE,"""",((2*(B14+C14))/1000)*VLOOKUP(""Edge banding (per M)"",SheetsData,5,0))))))))))"),0.0)</f>
        <v>0</v>
      </c>
      <c r="G14" s="153" t="str">
        <f>IF(A14="","",IF(ISERROR(FIND("bins",A14))=FALSE,VLOOKUP("Base carcass 600",KitchensData,7,0),IF(OR(ISERROR(FIND("larder",A14))=FALSE,ISERROR(FIND("fridge/freezer",A14))=FALSE,ISERROR(FIND("double oven",A14))=FALSE,ISERROR(FIND("single oven",A14))=FALSE),VLOOKUP(LEFT(A14,FIND(" ",A14))&amp;"carcass "&amp;RIGHT(A14,LEN(A14)-(LEN(A14)-3)),KitchensData,7,0),IF(AND(ISERROR(FIND("carcass",A14))=FALSE,ISERROR(FIND("shelf",A14))=TRUE),IF(OR(ISERROR(FIND("Base",A14))=FALSE,ISERROR(FIND("Tower",A14))=FALSE),IF(OR(ISERROR(FIND("1200",A14))=FALSE, ISERROR(FIND("lost corner",A14))=FALSE),6*VLOOKUP("Plinth foot (2 Parts 80mm)",FurnitureData,5,0),4*VLOOKUP("Plinth foot (2 Parts 80mm)",FurnitureData,5,0)),""),""))))</f>
        <v/>
      </c>
      <c r="H14" s="115" t="str">
        <f>IF(OR(A14="",ISERROR(FIND("door",A14))=TRUE),"",IF(ISERROR(FIND("Wall",A14))=FALSE,VLOOKUP("Hinges &amp; plates (Hettich thick door)",FurnitureData,5,0)*2,IF(ISERROR(FIND("Base",A14))=FALSE,VLOOKUP("Hinges &amp; plates (Hettich thick door)",FurnitureData,5,0)*3,IF(ISERROR(FIND("Boiler",A14))=FALSE,VLOOKUP("Hinges &amp; plates (Hettich thick door)",FurnitureData,5,0)*4,IF(ISERROR(FIND("Tower",A14))=FALSE,VLOOKUP("Hinges &amp; plates (Hettich thick door)",FurnitureData,5,0)*5)))))</f>
        <v/>
      </c>
      <c r="I14" s="115" t="str">
        <f>IF(ISERROR(FIND("shelf",A14))=FALSE,(VLOOKUP("Shelf pegs",FurnitureData,5,0)/100)*4,"")</f>
        <v/>
      </c>
      <c r="J14" s="152">
        <f>IF(OR(ISERROR(FIND("fridge/freezer",A14))=FALSE,ISERROR(FIND("larder",A14))=FALSE,AND(ISERROR(FIND("Base",A14))=FALSE,ISERROR(FIND("bins",A14))=TRUE,ISERROR(FIND("no shelves",A14))=TRUE,OR(ISERROR(FIND("carcass",A14))=FALSE,ISERROR(FIND("unit",A14))=FALSE))),VLOOKUP("Deep shelf "&amp;C14,KitchensData,18,0),IF(AND(ISERROR(FIND("Wall",A14))=FALSE,ISERROR(FIND("carcass",A14))=FALSE),2*VLOOKUP("Shallow shelf "&amp;C14,KitchensData,18,0),IF(AND(ISERROR(FIND("Tower",A14))=FALSE,ISERROR(FIND("oven",A14))=FALSE),4*VLOOKUP("Deep shelf "&amp;C14,KitchensData,18,0),IF(AND(ISERROR(FIND("Tower",A14))=FALSE,ISERROR(FIND("carcass",A14))=FALSE),5*VLOOKUP("Deep shelf "&amp;C14,KitchensData,18,0),""))))</f>
        <v>107.9978825</v>
      </c>
      <c r="K14" s="152" t="str">
        <f>IF(ISERROR(FIND("sink",A14))=FALSE,VLOOKUP("Sink liner - Aluminium "&amp;RIGHT(A14,LEN(A14)-22)&amp;"mm",ExceptionalData,5,0),IF(ISERROR(FIND("bins",A14))=FALSE,VLOOKUP("Drawer runners and clip set for bin unit (500) Dynapro",FurnitureData,5,0)+(2*VLOOKUP("Bin (42L Anthracite)",FurnitureData,5,0)),IF(ISERROR(FIND("larder",A14))=FALSE,VLOOKUP("Pull out larder unit 600mm",FurnitureData,5,0),IF(AND(ISERROR(FIND("drawer box",A14))=FALSE,ISERROR(FIND("internal",A14))=TRUE),VLOOKUP("Drawer runners and clip set (550) Dynapro",FurnitureData,5,0),IF(ISERROR(FIND("internal drawer box",A14))=FALSE,VLOOKUP("Drawer runners and clip set (450) Dynapro",FurnitureData,5,0),"")))))</f>
        <v/>
      </c>
      <c r="L14" s="152">
        <f t="shared" si="3"/>
        <v>163.9374821</v>
      </c>
      <c r="M14" s="154">
        <f>IFERROR(__xludf.DUMMYFUNCTION("IF(A14="""","""",IF(OR(ISERROR(FIND(""larder"",A14))=FALSE,ISERROR(FIND(""unit"",A14))=FALSE),VLOOKUP(LEFT(A14,FIND("" "",A14))&amp;""carcass ""&amp;RIGHT(A14,LEN(A14)-len(regexextract(A14,"".* ""))),KitchensData,13,0),IF(ISERROR(FIND(""bins"",A14))=FALSE,0.95,IF"&amp;"(ISERROR(FIND(""Cutlery insert 600"",A14))=FALSE,1.3,IF(ISERROR(FIND(""Cutlery insert 1200"",A14))=FALSE,2,IF(ISERROR(FIND(""Pan/tray rack 600"",A14))=FALSE,3.25,IF(ISERROR(FIND(""Pan/tray rack 1200"",A14))=FALSE,5.9,IF(ISERROR(FIND(""split"",A14))=FALSE,"&amp;"(((C14/1000)*0.022)*2)+VLOOKUP(SUBSTITUTE(A14,"" split"",""""),KitchensData,13,0),IF(AND(ISERROR(FIND(""drawer front"",A14))=FALSE,KitchenDoorStyle=""Flat""),(((B14/1000)*(C14/1000))*2)+((((B14+C14)/1000)*2)*0.022),IF(AND(ISERROR(FIND(""drawer front"",A14"&amp;"))=FALSE,LEFT(KitchenDoorStyle,5)=""Panel""),(((B14/1000)*(C14/1000))*2)+((((B14+C14)/1000)*2)*0.022)+((((C14/1000)-0.16)*0.013)*2)+((((D14/1000)-0.16)*0.013)*2),IF(AND(ISERROR(FIND(""drawer front"",A14))=FALSE,KitchenDoorStyle=""In-frame flat""),((((B14-"&amp;"76)/1000)*((C14-38)/1000))*2)+(MID(KitchenDoorMaterial,FIND(""("",KitchenDoorMaterial)+1,2)/1000)*((((B14-76)+(C14-38))/1000)*2)+(((B14/1000)*0.032)*2)+((((B14-76)/1000)*0.032)*2)+(((B14/1000)*0.019)*4)+(((C14/1000)*0.032)*2)+((((C14-38)/1000)*0.032)*2)+("&amp;"((C14/1000)*0.038)*4),IF(AND(ISERROR(FIND(""drawer front"",A14))=FALSE,LEFT(KitchenDoorStyle,14)=""In-frame panel""),((((B14-76)/1000)*((C14-38)/1000))*2)+((MID(KitchenDoorMaterial,FIND(""("",KitchenDoorMaterial)+1,2)/1000)*((((B14-76)+(C14-38))/1000)*2))"&amp;"+((((B14-236)/1000)+((C14-198)/1000)*2)*0.013)+(((B14/1000)*0.032)*2)+((((B14-76)/1000)*0.032)*2)+(((B14/1000)*0.019)*4)+(((C14/1000)*0.032)*2)+((((C14-38)/1000)*0.032)*2)+(((C14/1000)*0.038)*4),IF(ISERROR(FIND(""drawer box"",A14))=FALSE,((((B14/1000)*(D1"&amp;"4/1000))+((B14/1000)*(C14/1000)))*4)+((((D14/1000)+(C14/1000))*0.016)*4)+(((C14/1000)*(D14/1000))*2),IF(OR(ISERROR(FIND(""shelf"",A14))=FALSE,ISERROR(FIND(""spacer"",A14))=FALSE,,ISERROR(FIND(""filler panel"",A14))=FALSE),(((C14/1000)*(D14/1000))*2)+((((C"&amp;"14+D14)*2)/1000)*0.022),IF(ISERROR(FIND(""lost corner"",A14))=FALSE,(((B14/1000)*(C14/1000))*2)+((B14/1000)*(C14/1000))+((B14/1000)*((C14/2)/1000))+((((B14/1000)*0.025)+((C14/1000)*0.025))*2),IF(ISERROR(FIND(""carcass"",A14))=FALSE,(((C14/1000)*(D14/1000)"&amp;")*2)+(((B14/1000)*(D14/1000))*2)+((B14/1000)*(C14/1000))+((((B14/1000)*0.025)+((C14/1000)*0.025))*2),IF(AND(ISERROR(FIND(""door"",A14))=FALSE,KitchenDoorStyle=""Flat""),(((B14/1000)*(C14/1000))*2)+(MID(KitchenDoorMaterial,FIND(""("",KitchenDoorMaterial)+1"&amp;",2)/1000)*(((B14+C14)/1000)*2),IF(AND(ISERROR(FIND(""door"",A14))=FALSE,LEFT(KitchenDoorStyle,5)=""Panel""),(((B14/1000)*(C14/1000))*2)+((MID(KitchenDoorMaterial,FIND(""("",KitchenDoorMaterial)+1,2)/1000)*(((B14+C14)/1000)*2))+(((((B14-160)+(C14-160))*2)/"&amp;"1000)*(0.013)),IF(AND(ISERROR(FIND(""door"",A14))=FALSE,KitchenDoorStyle=""In-frame flat""),((((B14-76)/1000)*((C14-38)/1000))*2)+(MID(KitchenDoorMaterial,FIND(""("",KitchenDoorMaterial)+1,2)/1000)*((((B14-76)+(C14-38))/1000)*2)+(((B14/1000)*0.032)*2)+((("&amp;"(B14-76)/1000)*0.032)*2)+(((B14/1000)*0.019)*4)+(((C14/1000)*0.032)*2)+((((C14-38)/1000)*0.032)*2)+(((C14/1000)*0.038)*4),IF(AND(ISERROR(FIND(""door"",A14))=FALSE,LEFT(KitchenDoorStyle,14)=""In-frame panel""),((((B14-76)/1000)*((C14-38)/1000))*2)+((MID(Ki"&amp;"tchenDoorMaterial,FIND(""("",KitchenDoorMaterial)+1,2)/1000)*((((B14-76)+(C14-38))/1000)*2))+((((B14-236)/1000)+((C14-198)/1000)*2)*0.013)+(((B14/1000)*0.032)*2)+((((B14-76)/1000)*0.032)*2)+(((B14/1000)*0.019)*4)+(((C14/1000)*0.032)*2)+((((C14-38)/1000)*0"&amp;".032)*2)+(((C14/1000)*0.038)*4),IF(ISERROR(FIND(""Plinth"",A14))=FALSE,((B14/1000)*(C14/1000))+(((C14/1000)*0.018)*2)+(((B14/1000)*0.018)*2),IF(ISERROR(FIND(""Cornice"",A14))=FALSE,(((C14/1000)*0.1)*2)+(((C14/1000)*0.044)*2)+(((B14/1000)*0.08)*2),IF(ISERR"&amp;"OR(FIND(""Base end panel"",A14))=FALSE,((B14/1000)*(C14/1000))+(0.022*((B14/1000)+((C14/1000)*2)))+((B14/1000)*0.05),IF(ISERROR(FIND(""Wall end panel"",A14))=FALSE,((B14/1000)*(C14/1000))+(0.022*((B14/1000)+((C14/1000)*2)))+((B14/1000)*0.05),IF(ISERROR(FI"&amp;"ND(""Tower end panel"",A14))=FALSE,((B14/1000)*(C14/1000))+(0.022*((B14/1000)+((C14/1000)*2)))+((B14/1000)*0.05),IF(ISERROR(FIND(""Fillers"",A14))=FALSE,((C14/1000)*0.06)+((C14/1000)*0.069)+((0.06*0.018)*2)+((0.06*0.009)*2)+((C14/1000)*0.009)+((C14/1000)*"&amp;"0.018),IF(ISERROR(FIND(""corner post"",A14))=FALSE,(((B14/1000*0.05)*2)+((B14/1000)*0.022)*2)+((B14/1000)*0.072)+((B14/1000)*0.05)+((0.072*0.022)*2)+((0.05*0.022)*2),IF(ISERROR(FIND(""Pelmet"",A14))=FALSE,((C14/1000)*0.05)+((C14/1000)*0.068)+((0.05*0.018)"&amp;"*4)+(((C14/1000)*0.018))*2))))))))))))))))))))))))))))"),2.075)</f>
        <v>2.075</v>
      </c>
      <c r="N14" s="152">
        <f>IF(M14="","",IF(AND(ISERROR(FIND("carcass",A14))=TRUE,ISERROR(FIND("unit",A14))=TRUE,ISERROR(FIND("insert",A14))=TRUE,ISERROR(FIND("rack",A14))=TRUE,ISERROR(FIND("box",A14))=TRUE,ISERROR(FIND("shelf",#REF!))=TRUE),VLOOKUP(KitchenDoorFinish,Finishing!$A$2:$K$10,9,0)*M14,VLOOKUP(KitchenCarcassFinish,Finishing!$A$2:$K$40,9,0)*M14))</f>
        <v>7.78125</v>
      </c>
      <c r="O14" s="155">
        <v>1.0</v>
      </c>
      <c r="P14" s="155">
        <v>1.0</v>
      </c>
      <c r="Q14" s="152">
        <f>IF(OR(O14="",P14=""),"",((O14*X14)*(VLOOKUP("Workshop",Labour!$A$3:$E$20,4,0)/8))+((P14*AE14)*(VLOOKUP("Finishing",Labour!$A$3:$E$20,4,0)/8)))</f>
        <v>71.75</v>
      </c>
      <c r="R14" s="152">
        <f t="shared" si="4"/>
        <v>243.4687321</v>
      </c>
      <c r="S14" s="156">
        <f>IF(OR(O14="",P14=""),"",IF(OR(ISERROR(FIND("carcass",$A14))=FALSE,ISERROR(FIND("unit",$A14))=FALSE),VLOOKUP(KitchenCarcassMaterial,FixedListsCarcassMaterial,2,0),0))</f>
        <v>1</v>
      </c>
      <c r="T14" s="156">
        <f>IF(OR(O14="",P14=""),"",IF(ISERROR(FIND("door",$A14))=FALSE,VLOOKUP(KitchenDoorStyle,FixedListsDoorStyle,2,0),0))</f>
        <v>0</v>
      </c>
      <c r="U14" s="156">
        <f>IF(OR(O14="",P14=""),"",IF(ISERROR(FIND("door",$A14))=FALSE,VLOOKUP(KitchenDoorMaterial,FixedListsDoorMaterial,2,0),0))</f>
        <v>0</v>
      </c>
      <c r="V14" s="156">
        <f>IF(OR(O14="",P14=""),"",IF(ISERROR(FIND("drawer",$A14))=FALSE,VLOOKUP(KitchenDrawerType,FixedListsDrawerType,2,0),0))</f>
        <v>0</v>
      </c>
      <c r="W14" s="156">
        <f>IF(OR(O14="",P14=""),"",IF(OR(S14&gt;0, T14&gt;0,V14&gt;0),VLOOKUP(KitchenHandleType,FixedListsHandleType,2,FALSE)*IF(KitchenHandleType="Simple",0,IF(S14&gt;0,VLOOKUP(KitchenHandleType,FixedListsHandleType,4,FALSE),IF(OR(T14&gt;0,V14&gt;0),1-VLOOKUP(KitchenHandleType,FixedListsHandleType,4,FALSE),"Error"))),0))</f>
        <v>0</v>
      </c>
      <c r="X14" s="156">
        <f t="shared" si="5"/>
        <v>1</v>
      </c>
      <c r="Y14" s="156">
        <f>IF(OR(O14="",P14=""),"",IF(OR(ISERROR(FIND("carcass",$A14))=FALSE,ISERROR(FIND("unit",$A14))=FALSE),VLOOKUP(KitchenCarcassMaterial,FixedListsCarcassMaterial,3,0),0))</f>
        <v>1</v>
      </c>
      <c r="Z14" s="156">
        <f>IF(OR(O14="",P14=""),"",IF(ISERROR(FIND("door",$A14))=FALSE,VLOOKUP(KitchenDoorStyle,FixedListsDoorStyle,3,0),0))</f>
        <v>0</v>
      </c>
      <c r="AA14" s="156">
        <f>IF(OR(O14="",P14=""),"",IF(ISERROR(FIND("door",$A14))=FALSE,VLOOKUP(KitchenDoorMaterial,FixedListsDoorMaterial,3,0),0))</f>
        <v>0</v>
      </c>
      <c r="AB14" s="156">
        <f>IF(OR(O14="",P14=""),"",IF(ISERROR(FIND("drawer",$A14))=FALSE,VLOOKUP(KitchenDrawerType,FixedListsDrawerType,3,0),0))</f>
        <v>0</v>
      </c>
      <c r="AC14" s="156">
        <f>IF(OR(O14="",P14=""),"",IF(OR(Y14&gt;0,Z14&gt;0,AB14&gt;0),VLOOKUP(KitchenHandleType,FixedListsHandleType,3,FALSE),0))</f>
        <v>1</v>
      </c>
      <c r="AD14" s="156">
        <f>IF(OR(O14="",P14=""),"",IF(OR(ISERROR(FIND("carcass",$A14))=FALSE,ISERROR(FIND("unit",$A14))=FALSE),VLOOKUP(KitchenCarcassFinish,FixedListsFinishes,3,0),IF(OR(ISERROR(FIND("door",$A14))=FALSE,ISERROR(FIND("Plinth",$A14))=FALSE,ISERROR(FIND("Cornice",$A14))=FALSE,ISERROR(FIND("Fillers",$A14))=FALSE,ISERROR(FIND("Pelmet",$A14))=FALSE,ISERROR(FIND("panel",$A14))=FALSE,ISERROR(FIND("post",$A14))=FALSE),VLOOKUP(KitchenDoorFinish,FixedListsFinishes,3,0),IF(OR(ISERROR(FIND("drawer",$A14))=FALSE,ISERROR(FIND("insert",$A14))=FALSE,ISERROR(FIND("rck",$A14))=FALSE),VLOOKUP(KitchenCarcassFinish,FixedListsFinishes,3,0),0))))</f>
        <v>1</v>
      </c>
      <c r="AE14" s="156">
        <f t="shared" si="6"/>
        <v>1</v>
      </c>
      <c r="AF14" s="157" t="str">
        <f>IF(AND(KitchenHandleType="Channel",OR(ISERROR(FIND("arcass",$A14))=FALSE,ISERROR(FIND("unit",$A14))=FALSE)),IF(ISERROR(FIND("Tower",$A14))=TRUE,IF(KitchenHandleFinish="Match carcass",IF(ISERROR(FIND("Walnut",KitchenCarcassMaterial))=FALSE,(0.035*0.075*($C14/1000))*VLOOKUP("Walnut (solid m3)",SolidData,4,FALSE),IF(ISERROR(FIND("Oak",KitchenCarcassMaterial))=FALSE,(0.035*0.075*($C14/1000))*VLOOKUP("Oak (solid m3)",SolidData,4,FALSE),IF(ISERROR(FIND("ply",KitchenCarcassMaterial))=FALSE,(0.1*($C14/1000))*VLOOKUP("Birch ply (24mm)",SheetsData,7,FALSE),IF(ISERROR(FIND("H/F",KitchenCarcassMaterial))=FALSE,(0.1*($C14/1000))*VLOOKUP("H/F (22mm)",SheetsData,7,FALSE),"Carcass - not tower - new material")))),IF(KitchenHandleFinish="Match door",IF(ISERROR(FIND("Walnut",KitchenDoorMaterial))=FALSE,(0.035*0.075*($C14/1000))*VLOOKUP("Walnut (solid m3)",SolidData,4,FALSE),IF(ISERROR(FIND("Oak",KitchenDoorMaterial))=FALSE,(0.035*0.075*($C14/1000))*VLOOKUP("Oak (solid m3)",SolidData,4,FALSE),IF(ISERROR(FIND("ply",KitchenDoorMaterial))=FALSE,(0.1*($C14/1000))*VLOOKUP("Birch ply (24mm)",SheetsData,7,FALSE),IF(ISERROR(FIND("H/F",KitchenCarcassMaterial))=FALSE,(0.1*($C14/1000))*VLOOKUP("H/F (22mm)",SheetsData,7,FALSE),"Door - not tower - new material")))),"Channel - not tower - handle set to other")),IF(ISERROR(FIND("Tower",$A14))=FALSE,IF(KitchenHandleFinish="Match carcass",IF(ISERROR(FIND("Walnut",KitchenCarcassMaterial))=FALSE,(0.035*0.075*($B14/1000))*VLOOKUP("Walnut (solid m3)",SolidData,4,FALSE),IF(ISERROR(FIND("Oak",KitchenCarcassMaterial))=FALSE,(0.035*0.075*($B14/1000))*VLOOKUP("Oak (solid m3)",SolidData,4,FALSE),IF(ISERROR(FIND("ply",KitchenCarcassMaterial))=FALSE,(0.1*($B14/1000))*VLOOKUP("Birch ply (24mm)",SheetsData,7,FALSE),IF(ISERROR(FIND("H/F",KitchenCarcassMaterial))=FALSE,(0.1*($C14/1000))*VLOOKUP("H/F (22mm)",SheetsData,7,FALSE),"Carcass - tower - new material")))),IF(KitchenHandleFinish="Match door",IF(ISERROR(FIND("Walnut",KitchenDoorMaterial))=FALSE,(0.035*0.075*($B14/1000))*VLOOKUP("Walnut (solid m3)",SolidData,4,FALSE),IF(ISERROR(FIND("Oak",KitchenDoorMaterial))=FALSE,(0.035*0.075*($B14/1000))*VLOOKUP("Oak (solid m3)",SolidData,4,FALSE),IF(ISERROR(FIND("ply",KitchenDoorMaterial))=FALSE,(0.1*($B14/1000))*VLOOKUP("Birch ply (24mm)",SheetData,7,FALSE),IF(ISERROR(FIND("H/F",KitchenCarcassMaterial))=FALSE,(0.1*($C14/1000))*VLOOKUP("H/F (22mm)",SheetsData,7,FALSE),"Door - tower - new material")))),"Channel - tower - handle set to other")))),"")</f>
        <v/>
      </c>
    </row>
    <row r="15">
      <c r="A15" s="151" t="s">
        <v>123</v>
      </c>
      <c r="B15" s="115">
        <f t="shared" si="1"/>
        <v>700</v>
      </c>
      <c r="C15" s="115" t="str">
        <f>IFERROR(__xludf.DUMMYFUNCTION("IF(A15="""","""",IF(OR(RIGHT(A15,LEN(A15)-len(regexextract(A15,"".* "")))=""1200"",RIGHT(A15,LEN(A15)-len(regexextract(A15,"".* "")))=""600"",RIGHT(A15,LEN(A15)-len(regexextract(A15,"".* "")))=""400"",RIGHT(A15,LEN(A15)-len(regexextract(A15,"".* "")))=""3"&amp;"00"",RIGHT(A15,LEN(A15)-len(regexextract(A15,"".* "")))=""700"",RIGHT(A15,LEN(A15)-len(regexextract(A15,"".* "")))=""2400"",RIGHT(A15,LEN(A15)-len(regexextract(A15,"".* "")))=""650"",RIGHT(A15,LEN(A15)-len(regexextract(A15,"".* "")))=""350"",RIGHT(A15,LEN"&amp;"(A15)-len(regexextract(A15,"".* "")))=""50""),RIGHT(A15,LEN(A15)-len(regexextract(A15,"".* ""))),IF(OR(ISERROR(FIND(""spacer"",A15))=FALSE,ISERROR(FIND(""filler panel"",A15))=FALSE),""1000"",""Unexpected size in description"")))"),"600")</f>
        <v>600</v>
      </c>
      <c r="D15" s="151">
        <f t="shared" si="2"/>
        <v>300</v>
      </c>
      <c r="E15" s="152">
        <f>IFERROR(__xludf.DUMMYFUNCTION("IF(OR(A15="""",AND(ISERROR(FIND(""drawer box"",A15))=FALSE,KitchenDrawerType="""")),"""",IF(OR(ISERROR(FIND(""larder"",A15))=FALSE,ISERROR(FIND(""fridge/freezer"",A15))=FALSE,ISERROR(FIND(""double oven"",A15))=FALSE,ISERROR(FIND(""single oven"",A15))=FALS"&amp;"E),VLOOKUP(LEFT(A15,FIND("" "",A15))&amp;""carcass ""&amp;RIGHT(A15,LEN(A15)-(LEN(A15)-3)),KitchensData,5,0),IF(ISERROR(FIND(""sink"",A15))=FALSE,VLOOKUP(LEFT(A15,FIND("" "",A15))&amp;""carcass ""&amp;VALUE(REGEXREPLACE(A15,""[^[:digit:]]"", """")),KitchensData,5,0)+(((C"&amp;"15/1000)*(300/1000))*VLOOKUP(KitchenCarcassMaterial,SheetsData,8,0)),IF(ISERROR(FIND(""bins"",A15))=FALSE,IF(ISERROR(FIND(""veneer"",KitchenCarcassMaterial))=FALSE,VLOOKUP(""Base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600"",A15))=FALSE,IF(ISERROR(FIND(""veneer"""&amp;",KitchenCarcassMaterial))=FALSE,0.54*(VLOOKUP(LEFT(KitchenCarcassMaterial,FIND(""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1200"",A15))=FALSE,"&amp;"IF(ISERROR(FIND(""veneer"",KitchenCarcassMaterial))=FALSE,0.84*(VLOOKUP(LEFT(KitchenCarcassMaterial,FIND(""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600"",A15))=FALSE,IF(ISERROR(FIND(""veneer"",KitchenCarcassMaterial))=FALSE,1.44*(VLOOKUP(LEFT(KitchenCarcassMaterial,FIND(""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1200"",A15))=FALSE,IF(ISERROR(FIND(""veneer"",KitchenCarcassMaterial))=FALSE,2.7*(VLOOKUP(LEFT(KitchenCarcassMaterial,FIND(""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front"",A15))=FALSE,((B15/1000)*(C15/1000))*VLOOKUP(KitchenDoorMaterial,SheetsData,8,0),IF(AND(KitchenDrawerType=""Match carcass"",ISERROR(FIND(""drawer box"",A15))=FALSE),(((((B15/1000)*(C15/1000))+((B15/1000"&amp;")*(D15/1000)))*2)*VLOOKUP(KitchenCarcassMaterial,SheetsData,8,0))+(((C15/1000)*(D15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box"",A15))=FALSE),(((((B15/1000)*(C15/1000))+((B15/1000)*(D15/1000)))*2)*(16/1000)*VLOOKUP(LEFT(KitchenCarcassMaterial,FIND("" "&amp;""",KitchenCarcassMaterial))&amp;""(solid m3)"",SolidData,5,0))+(((C15/1000)*(D15/1000))*VLOOKUP(LEFT(KitchenCarcassMaterial,FIND(""("",KitchenCarcassMaterial)-1)&amp;IF(OR(ISERROR(FIND(""ply"",KitchenCarcassMaterial))=FALSE,ISERROR(FIND(""H/F"",KitchenCarcassMate"&amp;"rial))=FALSE),""(9mm)"",""(10mm)""),SheetsData,8,0)),IF(ISERROR(FIND(""spacer"",A15))=FALSE,((D15/1000)*(C15/1000))*VLOOKUP(""Poplar ply (18mm)"",SheetsData,8,0),IF(ISERROR(FIND(""filler panel"",A15))=FALSE,((B15/1000)*(C15/1000))*VLOOKUP(KitchenDoorMater"&amp;"ial,SheetsData,8,0),IF(ISERROR(FIND(""shelf"",A15))=FALSE,((D15/1000)*(C15/1000))*VLOOKUP(KitchenCarcassMaterial,SheetsData,8,0),IF(ISERROR(FIND(""lost corner"",A15))=FALSE,VLOOKUP(LEFT(A15,FIND("" "",A15))&amp;""carcass ""&amp;VALUE(REGEXREPLACE(A15,""[^[:digit:"&amp;"]]"", """")),KitchensData,5,0)+((((B15/1000)*(C15/1000))+((B15/1000)*(60/1000)))*VLOOKUP(KitchenCarcassMaterial,SheetsData,8,0)),IF(ISERROR(FIND(""carcass"",A15))=FALSE,(((((B15/1000)*2)*(D15/1000))+(((C15/1000)*2)*(D15/1000)))*VLOOKUP(KitchenCarcassMater"&amp;"ial,SheetsData,8,0))+((B15/1000)*(C15/1000))*VLOOKUP(LEFT(KitchenCarcassMaterial,FIND(""("",KitchenCarcassMaterial)-1)&amp;IF(OR(ISERROR(FIND(""ply"",KitchenCarcassMaterial))=FALSE,ISERROR(FIND(""H/F"",KitchenCarcassMaterial))=FALSE),""(9mm)"",""(10mm)""),She"&amp;"etsData,8,0),IF(OR(ISERROR(FIND(""Plinth"",A15))=FALSE,ISERROR(FIND(""Cornice (flat)"",A15))=FALSE),((B15/1000)*(C15/1000))*VLOOKUP(""H/F (18mm)"",SheetsData,8,0),IF(ISERROR(FIND(""Cornice (stacked)"",A15))=FALSE,((0.08*(C15/1000))*2)*VLOOKUP(""H/F (22mm)"&amp;""",SheetsData,8,0),IF(ISERROR(FIND(""Base end panel"",A15))=FALSE,VLOOKUP(KitchenDoorMaterial,SheetsData,5,0)/3,IF(ISERROR(FIND(""Wall end panel"",A15))=FALSE,VLOOKUP(KitchenDoorMaterial,SheetsData,5,0)/9,IF(ISERROR(FIND(""Tower end panel"",A15))=FALSE,VL"&amp;"OOKUP(KitchenDoorMaterial,SheetsData,5,0),IF(ISERROR(FIND(""Fillers"",A15))=FALSE,(((0.06*(C15/1000))*2)*VLOOKUP(""H/F (18mm)"",SheetsData,8,0))+(((0.06*(C15/1000))*2)*VLOOKUP(""H/F (9mm)"",SheetsData,8,0)),IF(ISERROR(FIND(""corner post"",A15))=FALSE,(((B"&amp;"15/1000)*0.05)*2)*VLOOKUP(KitchenDoorMaterial,SheetsData,8,0),IF(ISERROR(FIND(""Pelmet"",A15))=FALSE,((((B15/1000)*(C15/1000))*2)*VLOOKUP(""H/F (18mm)"",SheetsData,8,0)),IF(ISERROR(FIND(""door"",A15))=TRUE,""Check description"",IF(KitchenDoorStyle=""Flat"&amp;""",((B15/1000)*(C15/1000))*VLOOKUP(KitchenDoorMaterial,SheetsData,8,0),IF(LEFT(KitchenDoorStyle,5)=""Panel"",(((((B15/1000)*2)*0.08)+((((C15/1000)-0.16)*2)*0.08))*VLOOKUP(""H/F (22mm)"",SheetsData,8,0))+(((B15/1000)-0.14)*((C15/1000)-0.14)*VLOOKUP(""H/F ("&amp;"9mm)"",SheetsData,8,0)),IF(KitchenDoorStyle=""In-frame flat"",((((((B15/1000)*0.019)*0.038)+((((C15-38)/1000)*0.038)*0.038))*2)*VLOOKUP(""Tulip (solid m3)"",SolidData,5,0))+(((B15-76)/1000)*((C15-38)/1000))*VLOOKUP(""H/F (22mm)"",SheetsData,8,0),IF(LEFT(K"&amp;"itchenDoorStyle,14)=""In-frame panel"",(((((((B15/1000)*0.019)*0.038)+((((C15-38)/1000)*0.038)*0.038))*2)*VLOOKUP(""Tulip (solid m3)"",SolidData,5,0))+(((((((B15-76)/1000)*2)*0.08)+(((((C15-198)/1000)*2)*0.08)))*VLOOKUP(""H/F (22mm)"",SheetsData,8,0))+((("&amp;"B15-216)/1000)*((C15-178)/1000)*VLOOKUP(""H/F (9mm)"",SheetsData,8,0)))))))))))))))))))))))))))))))))"),34.95028218220909)</f>
        <v>34.95028218</v>
      </c>
      <c r="F15" s="152">
        <f>IFERROR(__xludf.DUMMYFUNCTION("IF(OR(A15="""",AND(ISERROR(FIND(""drawer box"",A15))=FALSE,KitchenDrawerType=""Solid dovetail"")),"""",IF(ISERROR(FIND(""bins"",A15))=FALSE,VLOOKUP(""Base carcass 600"",KitchensData,6,0),IF(OR(ISERROR(FIND(""larder"",A15))=FALSE,ISERROR(FIND(""unit"",A15)"&amp;")=FALSE),VLOOKUP(LEFT(A15,FIND("" "",A15))&amp;""carcass ""&amp;RIGHT(A15,LEN(A15)-len(regexextract(A15,"".* ""))),KitchensData,6,0),IF(ISERROR(FIND(""drawer front"",A15))=FALSE,IF(ISERROR(FIND(""veneer"",KitchenCarcassMaterial))=TRUE,0,(((B15+C15)/1000)*2)*VLOOK"&amp;"UP(""Edge banding (per M)"",SheetsData,5,0)),IF(ISERROR(FIND(""drawer box"",A15))=FALSE,IF(ISERROR(FIND(""veneer"",KitchenCarcassMaterial))=TRUE,0,(((C15+D15)/1000)*2)*VLOOKUP(""Edge banding (per M)"",SheetsData,5,0)),IF(ISERROR(FIND(""shelf"",A15))=FALSE"&amp;",IF(ISERROR(FIND(""veneer"",KitchenCarcassMaterial))=TRUE,0,(C15/1000)*VLOOKUP(""Edge banding (per M)"",SheetsData,5,0)),IF(AND(ISERROR(FIND(""carcass"",A15))=FALSE,ISERROR(FIND(""shelf"",A15))=TRUE),IF(ISERROR(FIND(""veneer"",KitchenCarcassMaterial))=TRU"&amp;"E,0,((2*(B15+C15))/1000)*VLOOKUP(""Edge banding (per M)"",SheetsData,5,0)),IF(ISERROR(FIND(""door"",A15))=TRUE,"""",IF(ISERROR(FIND(""veneer"",KitchenDoorMaterial))=TRUE,"""",((2*(B15+C15))/1000)*VLOOKUP(""Edge banding (per M)"",SheetsData,5,0))))))))))"),0.0)</f>
        <v>0</v>
      </c>
      <c r="G15" s="153" t="str">
        <f>IF(A15="","",IF(ISERROR(FIND("bins",A15))=FALSE,VLOOKUP("Base carcass 600",KitchensData,7,0),IF(OR(ISERROR(FIND("larder",A15))=FALSE,ISERROR(FIND("fridge/freezer",A15))=FALSE,ISERROR(FIND("double oven",A15))=FALSE,ISERROR(FIND("single oven",A15))=FALSE),VLOOKUP(LEFT(A15,FIND(" ",A15))&amp;"carcass "&amp;RIGHT(A15,LEN(A15)-(LEN(A15)-3)),KitchensData,7,0),IF(AND(ISERROR(FIND("carcass",A15))=FALSE,ISERROR(FIND("shelf",A15))=TRUE),IF(OR(ISERROR(FIND("Base",A15))=FALSE,ISERROR(FIND("Tower",A15))=FALSE),IF(OR(ISERROR(FIND("1200",A15))=FALSE, ISERROR(FIND("lost corner",A15))=FALSE),6*VLOOKUP("Plinth foot (2 Parts 80mm)",FurnitureData,5,0),4*VLOOKUP("Plinth foot (2 Parts 80mm)",FurnitureData,5,0)),""),""))))</f>
        <v/>
      </c>
      <c r="H15" s="115" t="str">
        <f>IF(OR(A15="",ISERROR(FIND("door",A15))=TRUE),"",IF(ISERROR(FIND("Wall",A15))=FALSE,VLOOKUP("Hinges &amp; plates (Hettich thick door)",FurnitureData,5,0)*2,IF(ISERROR(FIND("Base",A15))=FALSE,VLOOKUP("Hinges &amp; plates (Hettich thick door)",FurnitureData,5,0)*3,IF(ISERROR(FIND("Boiler",A15))=FALSE,VLOOKUP("Hinges &amp; plates (Hettich thick door)",FurnitureData,5,0)*4,IF(ISERROR(FIND("Tower",A15))=FALSE,VLOOKUP("Hinges &amp; plates (Hettich thick door)",FurnitureData,5,0)*5)))))</f>
        <v/>
      </c>
      <c r="I15" s="115" t="str">
        <f>IF(ISERROR(FIND("shelf",A15))=FALSE,(VLOOKUP("Shelf pegs",FurnitureData,5,0)/100)*4,"")</f>
        <v/>
      </c>
      <c r="J15" s="152">
        <f>IF(OR(ISERROR(FIND("fridge/freezer",A15))=FALSE,ISERROR(FIND("larder",A15))=FALSE,AND(ISERROR(FIND("Base",A15))=FALSE,ISERROR(FIND("bins",A15))=TRUE,ISERROR(FIND("no shelves",A15))=TRUE,OR(ISERROR(FIND("carcass",A15))=FALSE,ISERROR(FIND("unit",A15))=FALSE))),VLOOKUP("Deep shelf "&amp;C15,KitchensData,18,0),IF(AND(ISERROR(FIND("Wall",A15))=FALSE,ISERROR(FIND("carcass",A15))=FALSE),2*VLOOKUP("Shallow shelf "&amp;C15,KitchensData,18,0),IF(AND(ISERROR(FIND("Tower",A15))=FALSE,ISERROR(FIND("oven",A15))=FALSE),4*VLOOKUP("Deep shelf "&amp;C15,KitchensData,18,0),IF(AND(ISERROR(FIND("Tower",A15))=FALSE,ISERROR(FIND("carcass",A15))=FALSE),5*VLOOKUP("Deep shelf "&amp;C15,KitchensData,18,0),""))))</f>
        <v>90.23534125</v>
      </c>
      <c r="K15" s="152" t="str">
        <f>IF(ISERROR(FIND("sink",A15))=FALSE,VLOOKUP("Sink liner - Aluminium "&amp;RIGHT(A15,LEN(A15)-22)&amp;"mm",ExceptionalData,5,0),IF(ISERROR(FIND("bins",A15))=FALSE,VLOOKUP("Drawer runners and clip set for bin unit (500) Dynapro",FurnitureData,5,0)+(2*VLOOKUP("Bin (42L Anthracite)",FurnitureData,5,0)),IF(ISERROR(FIND("larder",A15))=FALSE,VLOOKUP("Pull out larder unit 600mm",FurnitureData,5,0),IF(AND(ISERROR(FIND("drawer box",A15))=FALSE,ISERROR(FIND("internal",A15))=TRUE),VLOOKUP("Drawer runners and clip set (550) Dynapro",FurnitureData,5,0),IF(ISERROR(FIND("internal drawer box",A15))=FALSE,VLOOKUP("Drawer runners and clip set (450) Dynapro",FurnitureData,5,0),"")))))</f>
        <v/>
      </c>
      <c r="L15" s="152">
        <f t="shared" si="3"/>
        <v>125.1856234</v>
      </c>
      <c r="M15" s="154">
        <f>IFERROR(__xludf.DUMMYFUNCTION("IF(A15="""","""",IF(OR(ISERROR(FIND(""larder"",A15))=FALSE,ISERROR(FIND(""unit"",A15))=FALSE),VLOOKUP(LEFT(A15,FIND("" "",A15))&amp;""carcass ""&amp;RIGHT(A15,LEN(A15)-len(regexextract(A15,"".* ""))),KitchensData,13,0),IF(ISERROR(FIND(""bins"",A15))=FALSE,0.95,IF"&amp;"(ISERROR(FIND(""Cutlery insert 600"",A15))=FALSE,1.3,IF(ISERROR(FIND(""Cutlery insert 1200"",A15))=FALSE,2,IF(ISERROR(FIND(""Pan/tray rack 600"",A15))=FALSE,3.25,IF(ISERROR(FIND(""Pan/tray rack 1200"",A15))=FALSE,5.9,IF(ISERROR(FIND(""split"",A15))=FALSE,"&amp;"(((C15/1000)*0.022)*2)+VLOOKUP(SUBSTITUTE(A15,"" split"",""""),KitchensData,13,0),IF(AND(ISERROR(FIND(""drawer front"",A15))=FALSE,KitchenDoorStyle=""Flat""),(((B15/1000)*(C15/1000))*2)+((((B15+C15)/1000)*2)*0.022),IF(AND(ISERROR(FIND(""drawer front"",A15"&amp;"))=FALSE,LEFT(KitchenDoorStyle,5)=""Panel""),(((B15/1000)*(C15/1000))*2)+((((B15+C15)/1000)*2)*0.022)+((((C15/1000)-0.16)*0.013)*2)+((((D15/1000)-0.16)*0.013)*2),IF(AND(ISERROR(FIND(""drawer front"",A15))=FALSE,KitchenDoorStyle=""In-frame flat""),((((B15-"&amp;"76)/1000)*((C15-38)/1000))*2)+(MID(KitchenDoorMaterial,FIND(""("",KitchenDoorMaterial)+1,2)/1000)*((((B15-76)+(C15-38))/1000)*2)+(((B15/1000)*0.032)*2)+((((B15-76)/1000)*0.032)*2)+(((B15/1000)*0.019)*4)+(((C15/1000)*0.032)*2)+((((C15-38)/1000)*0.032)*2)+("&amp;"((C15/1000)*0.038)*4),IF(AND(ISERROR(FIND(""drawer front"",A15))=FALSE,LEFT(KitchenDoorStyle,14)=""In-frame panel""),((((B15-76)/1000)*((C15-38)/1000))*2)+((MID(KitchenDoorMaterial,FIND(""("",KitchenDoorMaterial)+1,2)/1000)*((((B15-76)+(C15-38))/1000)*2))"&amp;"+((((B15-236)/1000)+((C15-198)/1000)*2)*0.013)+(((B15/1000)*0.032)*2)+((((B15-76)/1000)*0.032)*2)+(((B15/1000)*0.019)*4)+(((C15/1000)*0.032)*2)+((((C15-38)/1000)*0.032)*2)+(((C15/1000)*0.038)*4),IF(ISERROR(FIND(""drawer box"",A15))=FALSE,((((B15/1000)*(D1"&amp;"5/1000))+((B15/1000)*(C15/1000)))*4)+((((D15/1000)+(C15/1000))*0.016)*4)+(((C15/1000)*(D15/1000))*2),IF(OR(ISERROR(FIND(""shelf"",A15))=FALSE,ISERROR(FIND(""spacer"",A15))=FALSE,,ISERROR(FIND(""filler panel"",A15))=FALSE),(((C15/1000)*(D15/1000))*2)+((((C"&amp;"15+D15)*2)/1000)*0.022),IF(ISERROR(FIND(""lost corner"",A15))=FALSE,(((B15/1000)*(C15/1000))*2)+((B15/1000)*(C15/1000))+((B15/1000)*((C15/2)/1000))+((((B15/1000)*0.025)+((C15/1000)*0.025))*2),IF(ISERROR(FIND(""carcass"",A15))=FALSE,(((C15/1000)*(D15/1000)"&amp;")*2)+(((B15/1000)*(D15/1000))*2)+((B15/1000)*(C15/1000))+((((B15/1000)*0.025)+((C15/1000)*0.025))*2),IF(AND(ISERROR(FIND(""door"",A15))=FALSE,KitchenDoorStyle=""Flat""),(((B15/1000)*(C15/1000))*2)+(MID(KitchenDoorMaterial,FIND(""("",KitchenDoorMaterial)+1"&amp;",2)/1000)*(((B15+C15)/1000)*2),IF(AND(ISERROR(FIND(""door"",A15))=FALSE,LEFT(KitchenDoorStyle,5)=""Panel""),(((B15/1000)*(C15/1000))*2)+((MID(KitchenDoorMaterial,FIND(""("",KitchenDoorMaterial)+1,2)/1000)*(((B15+C15)/1000)*2))+(((((B15-160)+(C15-160))*2)/"&amp;"1000)*(0.013)),IF(AND(ISERROR(FIND(""door"",A15))=FALSE,KitchenDoorStyle=""In-frame flat""),((((B15-76)/1000)*((C15-38)/1000))*2)+(MID(KitchenDoorMaterial,FIND(""("",KitchenDoorMaterial)+1,2)/1000)*((((B15-76)+(C15-38))/1000)*2)+(((B15/1000)*0.032)*2)+((("&amp;"(B15-76)/1000)*0.032)*2)+(((B15/1000)*0.019)*4)+(((C15/1000)*0.032)*2)+((((C15-38)/1000)*0.032)*2)+(((C15/1000)*0.038)*4),IF(AND(ISERROR(FIND(""door"",A15))=FALSE,LEFT(KitchenDoorStyle,14)=""In-frame panel""),((((B15-76)/1000)*((C15-38)/1000))*2)+((MID(Ki"&amp;"tchenDoorMaterial,FIND(""("",KitchenDoorMaterial)+1,2)/1000)*((((B15-76)+(C15-38))/1000)*2))+((((B15-236)/1000)+((C15-198)/1000)*2)*0.013)+(((B15/1000)*0.032)*2)+((((B15-76)/1000)*0.032)*2)+(((B15/1000)*0.019)*4)+(((C15/1000)*0.032)*2)+((((C15-38)/1000)*0"&amp;".032)*2)+(((C15/1000)*0.038)*4),IF(ISERROR(FIND(""Plinth"",A15))=FALSE,((B15/1000)*(C15/1000))+(((C15/1000)*0.018)*2)+(((B15/1000)*0.018)*2),IF(ISERROR(FIND(""Cornice"",A15))=FALSE,(((C15/1000)*0.1)*2)+(((C15/1000)*0.044)*2)+(((B15/1000)*0.08)*2),IF(ISERR"&amp;"OR(FIND(""Base end panel"",A15))=FALSE,((B15/1000)*(C15/1000))+(0.022*((B15/1000)+((C15/1000)*2)))+((B15/1000)*0.05),IF(ISERROR(FIND(""Wall end panel"",A15))=FALSE,((B15/1000)*(C15/1000))+(0.022*((B15/1000)+((C15/1000)*2)))+((B15/1000)*0.05),IF(ISERROR(FI"&amp;"ND(""Tower end panel"",A15))=FALSE,((B15/1000)*(C15/1000))+(0.022*((B15/1000)+((C15/1000)*2)))+((B15/1000)*0.05),IF(ISERROR(FIND(""Fillers"",A15))=FALSE,((C15/1000)*0.06)+((C15/1000)*0.069)+((0.06*0.018)*2)+((0.06*0.009)*2)+((C15/1000)*0.009)+((C15/1000)*"&amp;"0.018),IF(ISERROR(FIND(""corner post"",A15))=FALSE,(((B15/1000*0.05)*2)+((B15/1000)*0.022)*2)+((B15/1000)*0.072)+((B15/1000)*0.05)+((0.072*0.022)*2)+((0.05*0.022)*2),IF(ISERROR(FIND(""Pelmet"",A15))=FALSE,((C15/1000)*0.05)+((C15/1000)*0.068)+((0.05*0.018)"&amp;"*4)+(((C15/1000)*0.018))*2))))))))))))))))))))))))))))"),1.265)</f>
        <v>1.265</v>
      </c>
      <c r="N15" s="152">
        <f>IF(M15="","",IF(AND(ISERROR(FIND("carcass",A15))=TRUE,ISERROR(FIND("unit",A15))=TRUE,ISERROR(FIND("insert",A15))=TRUE,ISERROR(FIND("rack",A15))=TRUE,ISERROR(FIND("box",A15))=TRUE,ISERROR(FIND("shelf",#REF!))=TRUE),VLOOKUP(KitchenDoorFinish,Finishing!$A$2:$K$10,9,0)*M15,VLOOKUP(KitchenCarcassFinish,Finishing!$A$2:$K$40,9,0)*M15))</f>
        <v>4.74375</v>
      </c>
      <c r="O15" s="155">
        <v>1.0</v>
      </c>
      <c r="P15" s="155">
        <v>1.0</v>
      </c>
      <c r="Q15" s="152">
        <f>IF(OR(O15="",P15=""),"",((O15*X15)*(VLOOKUP("Workshop",Labour!$A$3:$E$20,4,0)/8))+((P15*AE15)*(VLOOKUP("Finishing",Labour!$A$3:$E$20,4,0)/8)))</f>
        <v>71.75</v>
      </c>
      <c r="R15" s="152">
        <f t="shared" si="4"/>
        <v>201.6793734</v>
      </c>
      <c r="S15" s="156">
        <f>IF(OR(O15="",P15=""),"",IF(OR(ISERROR(FIND("carcass",$A15))=FALSE,ISERROR(FIND("unit",$A15))=FALSE),VLOOKUP(KitchenCarcassMaterial,FixedListsCarcassMaterial,2,0),0))</f>
        <v>1</v>
      </c>
      <c r="T15" s="156">
        <f>IF(OR(O15="",P15=""),"",IF(ISERROR(FIND("door",$A15))=FALSE,VLOOKUP(KitchenDoorStyle,FixedListsDoorStyle,2,0),0))</f>
        <v>0</v>
      </c>
      <c r="U15" s="156">
        <f>IF(OR(O15="",P15=""),"",IF(ISERROR(FIND("door",$A15))=FALSE,VLOOKUP(KitchenDoorMaterial,FixedListsDoorMaterial,2,0),0))</f>
        <v>0</v>
      </c>
      <c r="V15" s="156">
        <f>IF(OR(O15="",P15=""),"",IF(ISERROR(FIND("drawer",$A15))=FALSE,VLOOKUP(KitchenDrawerType,FixedListsDrawerType,2,0),0))</f>
        <v>0</v>
      </c>
      <c r="W15" s="156">
        <f>IF(OR(O15="",P15=""),"",IF(OR(S15&gt;0, T15&gt;0,V15&gt;0),VLOOKUP(KitchenHandleType,FixedListsHandleType,2,FALSE)*IF(KitchenHandleType="Simple",0,IF(S15&gt;0,VLOOKUP(KitchenHandleType,FixedListsHandleType,4,FALSE),IF(OR(T15&gt;0,V15&gt;0),1-VLOOKUP(KitchenHandleType,FixedListsHandleType,4,FALSE),"Error"))),0))</f>
        <v>0</v>
      </c>
      <c r="X15" s="156">
        <f t="shared" si="5"/>
        <v>1</v>
      </c>
      <c r="Y15" s="156">
        <f>IF(OR(O15="",P15=""),"",IF(OR(ISERROR(FIND("carcass",$A15))=FALSE,ISERROR(FIND("unit",$A15))=FALSE),VLOOKUP(KitchenCarcassMaterial,FixedListsCarcassMaterial,3,0),0))</f>
        <v>1</v>
      </c>
      <c r="Z15" s="156">
        <f>IF(OR(O15="",P15=""),"",IF(ISERROR(FIND("door",$A15))=FALSE,VLOOKUP(KitchenDoorStyle,FixedListsDoorStyle,3,0),0))</f>
        <v>0</v>
      </c>
      <c r="AA15" s="156">
        <f>IF(OR(O15="",P15=""),"",IF(ISERROR(FIND("door",$A15))=FALSE,VLOOKUP(KitchenDoorMaterial,FixedListsDoorMaterial,3,0),0))</f>
        <v>0</v>
      </c>
      <c r="AB15" s="156">
        <f>IF(OR(O15="",P15=""),"",IF(ISERROR(FIND("drawer",$A15))=FALSE,VLOOKUP(KitchenDrawerType,FixedListsDrawerType,3,0),0))</f>
        <v>0</v>
      </c>
      <c r="AC15" s="156">
        <f>IF(OR(O15="",P15=""),"",IF(OR(Y15&gt;0,Z15&gt;0,AB15&gt;0),VLOOKUP(KitchenHandleType,FixedListsHandleType,3,FALSE),0))</f>
        <v>1</v>
      </c>
      <c r="AD15" s="156">
        <f>IF(OR(O15="",P15=""),"",IF(OR(ISERROR(FIND("carcass",$A15))=FALSE,ISERROR(FIND("unit",$A15))=FALSE),VLOOKUP(KitchenCarcassFinish,FixedListsFinishes,3,0),IF(OR(ISERROR(FIND("door",$A15))=FALSE,ISERROR(FIND("Plinth",$A15))=FALSE,ISERROR(FIND("Cornice",$A15))=FALSE,ISERROR(FIND("Fillers",$A15))=FALSE,ISERROR(FIND("Pelmet",$A15))=FALSE,ISERROR(FIND("panel",$A15))=FALSE,ISERROR(FIND("post",$A15))=FALSE),VLOOKUP(KitchenDoorFinish,FixedListsFinishes,3,0),IF(OR(ISERROR(FIND("drawer",$A15))=FALSE,ISERROR(FIND("insert",$A15))=FALSE,ISERROR(FIND("rck",$A15))=FALSE),VLOOKUP(KitchenCarcassFinish,FixedListsFinishes,3,0),0))))</f>
        <v>1</v>
      </c>
      <c r="AE15" s="156">
        <f t="shared" si="6"/>
        <v>1</v>
      </c>
      <c r="AF15" s="157" t="str">
        <f>IF(AND(KitchenHandleType="Channel",OR(ISERROR(FIND("arcass",$A15))=FALSE,ISERROR(FIND("unit",$A15))=FALSE)),IF(ISERROR(FIND("Tower",$A15))=TRUE,IF(KitchenHandleFinish="Match carcass",IF(ISERROR(FIND("Walnut",KitchenCarcassMaterial))=FALSE,(0.035*0.075*($C15/1000))*VLOOKUP("Walnut (solid m3)",SolidData,4,FALSE),IF(ISERROR(FIND("Oak",KitchenCarcassMaterial))=FALSE,(0.035*0.075*($C15/1000))*VLOOKUP("Oak (solid m3)",SolidData,4,FALSE),IF(ISERROR(FIND("ply",KitchenCarcassMaterial))=FALSE,(0.1*($C15/1000))*VLOOKUP("Birch ply (24mm)",SheetsData,7,FALSE),IF(ISERROR(FIND("H/F",KitchenCarcassMaterial))=FALSE,(0.1*($C15/1000))*VLOOKUP("H/F (22mm)",SheetsData,7,FALSE),"Carcass - not tower - new material")))),IF(KitchenHandleFinish="Match door",IF(ISERROR(FIND("Walnut",KitchenDoorMaterial))=FALSE,(0.035*0.075*($C15/1000))*VLOOKUP("Walnut (solid m3)",SolidData,4,FALSE),IF(ISERROR(FIND("Oak",KitchenDoorMaterial))=FALSE,(0.035*0.075*($C15/1000))*VLOOKUP("Oak (solid m3)",SolidData,4,FALSE),IF(ISERROR(FIND("ply",KitchenDoorMaterial))=FALSE,(0.1*($C15/1000))*VLOOKUP("Birch ply (24mm)",SheetsData,7,FALSE),IF(ISERROR(FIND("H/F",KitchenCarcassMaterial))=FALSE,(0.1*($C15/1000))*VLOOKUP("H/F (22mm)",SheetsData,7,FALSE),"Door - not tower - new material")))),"Channel - not tower - handle set to other")),IF(ISERROR(FIND("Tower",$A15))=FALSE,IF(KitchenHandleFinish="Match carcass",IF(ISERROR(FIND("Walnut",KitchenCarcassMaterial))=FALSE,(0.035*0.075*($B15/1000))*VLOOKUP("Walnut (solid m3)",SolidData,4,FALSE),IF(ISERROR(FIND("Oak",KitchenCarcassMaterial))=FALSE,(0.035*0.075*($B15/1000))*VLOOKUP("Oak (solid m3)",SolidData,4,FALSE),IF(ISERROR(FIND("ply",KitchenCarcassMaterial))=FALSE,(0.1*($B15/1000))*VLOOKUP("Birch ply (24mm)",SheetsData,7,FALSE),IF(ISERROR(FIND("H/F",KitchenCarcassMaterial))=FALSE,(0.1*($C15/1000))*VLOOKUP("H/F (22mm)",SheetsData,7,FALSE),"Carcass - tower - new material")))),IF(KitchenHandleFinish="Match door",IF(ISERROR(FIND("Walnut",KitchenDoorMaterial))=FALSE,(0.035*0.075*($B15/1000))*VLOOKUP("Walnut (solid m3)",SolidData,4,FALSE),IF(ISERROR(FIND("Oak",KitchenDoorMaterial))=FALSE,(0.035*0.075*($B15/1000))*VLOOKUP("Oak (solid m3)",SolidData,4,FALSE),IF(ISERROR(FIND("ply",KitchenDoorMaterial))=FALSE,(0.1*($B15/1000))*VLOOKUP("Birch ply (24mm)",SheetData,7,FALSE),IF(ISERROR(FIND("H/F",KitchenCarcassMaterial))=FALSE,(0.1*($C15/1000))*VLOOKUP("H/F (22mm)",SheetsData,7,FALSE),"Door - tower - new material")))),"Channel - tower - handle set to other")))),"")</f>
        <v/>
      </c>
    </row>
    <row r="16">
      <c r="A16" s="151" t="s">
        <v>124</v>
      </c>
      <c r="B16" s="115">
        <f t="shared" si="1"/>
        <v>700</v>
      </c>
      <c r="C16" s="115" t="str">
        <f>IFERROR(__xludf.DUMMYFUNCTION("IF(A16="""","""",IF(OR(RIGHT(A16,LEN(A16)-len(regexextract(A16,"".* "")))=""1200"",RIGHT(A16,LEN(A16)-len(regexextract(A16,"".* "")))=""600"",RIGHT(A16,LEN(A16)-len(regexextract(A16,"".* "")))=""400"",RIGHT(A16,LEN(A16)-len(regexextract(A16,"".* "")))=""3"&amp;"00"",RIGHT(A16,LEN(A16)-len(regexextract(A16,"".* "")))=""700"",RIGHT(A16,LEN(A16)-len(regexextract(A16,"".* "")))=""2400"",RIGHT(A16,LEN(A16)-len(regexextract(A16,"".* "")))=""650"",RIGHT(A16,LEN(A16)-len(regexextract(A16,"".* "")))=""350"",RIGHT(A16,LEN"&amp;"(A16)-len(regexextract(A16,"".* "")))=""50""),RIGHT(A16,LEN(A16)-len(regexextract(A16,"".* ""))),IF(OR(ISERROR(FIND(""spacer"",A16))=FALSE,ISERROR(FIND(""filler panel"",A16))=FALSE),""1000"",""Unexpected size in description"")))"),"400")</f>
        <v>400</v>
      </c>
      <c r="D16" s="151">
        <f t="shared" si="2"/>
        <v>300</v>
      </c>
      <c r="E16" s="152">
        <f>IFERROR(__xludf.DUMMYFUNCTION("IF(OR(A16="""",AND(ISERROR(FIND(""drawer box"",A16))=FALSE,KitchenDrawerType="""")),"""",IF(OR(ISERROR(FIND(""larder"",A16))=FALSE,ISERROR(FIND(""fridge/freezer"",A16))=FALSE,ISERROR(FIND(""double oven"",A16))=FALSE,ISERROR(FIND(""single oven"",A16))=FALS"&amp;"E),VLOOKUP(LEFT(A16,FIND("" "",A16))&amp;""carcass ""&amp;RIGHT(A16,LEN(A16)-(LEN(A16)-3)),KitchensData,5,0),IF(ISERROR(FIND(""sink"",A16))=FALSE,VLOOKUP(LEFT(A16,FIND("" "",A16))&amp;""carcass ""&amp;VALUE(REGEXREPLACE(A16,""[^[:digit:]]"", """")),KitchensData,5,0)+(((C"&amp;"16/1000)*(300/1000))*VLOOKUP(KitchenCarcassMaterial,SheetsData,8,0)),IF(ISERROR(FIND(""bins"",A16))=FALSE,IF(ISERROR(FIND(""veneer"",KitchenCarcassMaterial))=FALSE,VLOOKUP(""Base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600"",A16))=FALSE,IF(ISERROR(FIND(""veneer"""&amp;",KitchenCarcassMaterial))=FALSE,0.54*(VLOOKUP(LEFT(KitchenCarcassMaterial,FIND(""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1200"",A16))=FALSE,"&amp;"IF(ISERROR(FIND(""veneer"",KitchenCarcassMaterial))=FALSE,0.84*(VLOOKUP(LEFT(KitchenCarcassMaterial,FIND(""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600"",A16))=FALSE,IF(ISERROR(FIND(""veneer"",KitchenCarcassMaterial))=FALSE,1.44*(VLOOKUP(LEFT(KitchenCarcassMaterial,FIND(""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1200"",A16))=FALSE,IF(ISERROR(FIND(""veneer"",KitchenCarcassMaterial))=FALSE,2.7*(VLOOKUP(LEFT(KitchenCarcassMaterial,FIND(""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front"",A16))=FALSE,((B16/1000)*(C16/1000))*VLOOKUP(KitchenDoorMaterial,SheetsData,8,0),IF(AND(KitchenDrawerType=""Match carcass"",ISERROR(FIND(""drawer box"",A16))=FALSE),(((((B16/1000)*(C16/1000))+((B16/1000"&amp;")*(D16/1000)))*2)*VLOOKUP(KitchenCarcassMaterial,SheetsData,8,0))+(((C16/1000)*(D16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box"",A16))=FALSE),(((((B16/1000)*(C16/1000))+((B16/1000)*(D16/1000)))*2)*(16/1000)*VLOOKUP(LEFT(KitchenCarcassMaterial,FIND("" "&amp;""",KitchenCarcassMaterial))&amp;""(solid m3)"",SolidData,5,0))+(((C16/1000)*(D16/1000))*VLOOKUP(LEFT(KitchenCarcassMaterial,FIND(""("",KitchenCarcassMaterial)-1)&amp;IF(OR(ISERROR(FIND(""ply"",KitchenCarcassMaterial))=FALSE,ISERROR(FIND(""H/F"",KitchenCarcassMate"&amp;"rial))=FALSE),""(9mm)"",""(10mm)""),SheetsData,8,0)),IF(ISERROR(FIND(""spacer"",A16))=FALSE,((D16/1000)*(C16/1000))*VLOOKUP(""Poplar ply (18mm)"",SheetsData,8,0),IF(ISERROR(FIND(""filler panel"",A16))=FALSE,((B16/1000)*(C16/1000))*VLOOKUP(KitchenDoorMater"&amp;"ial,SheetsData,8,0),IF(ISERROR(FIND(""shelf"",A16))=FALSE,((D16/1000)*(C16/1000))*VLOOKUP(KitchenCarcassMaterial,SheetsData,8,0),IF(ISERROR(FIND(""lost corner"",A16))=FALSE,VLOOKUP(LEFT(A16,FIND("" "",A16))&amp;""carcass ""&amp;VALUE(REGEXREPLACE(A16,""[^[:digit:"&amp;"]]"", """")),KitchensData,5,0)+((((B16/1000)*(C16/1000))+((B16/1000)*(60/1000)))*VLOOKUP(KitchenCarcassMaterial,SheetsData,8,0)),IF(ISERROR(FIND(""carcass"",A16))=FALSE,(((((B16/1000)*2)*(D16/1000))+(((C16/1000)*2)*(D16/1000)))*VLOOKUP(KitchenCarcassMater"&amp;"ial,SheetsData,8,0))+((B16/1000)*(C16/1000))*VLOOKUP(LEFT(KitchenCarcassMaterial,FIND(""("",KitchenCarcassMaterial)-1)&amp;IF(OR(ISERROR(FIND(""ply"",KitchenCarcassMaterial))=FALSE,ISERROR(FIND(""H/F"",KitchenCarcassMaterial))=FALSE),""(9mm)"",""(10mm)""),She"&amp;"etsData,8,0),IF(OR(ISERROR(FIND(""Plinth"",A16))=FALSE,ISERROR(FIND(""Cornice (flat)"",A16))=FALSE),((B16/1000)*(C16/1000))*VLOOKUP(""H/F (18mm)"",SheetsData,8,0),IF(ISERROR(FIND(""Cornice (stacked)"",A16))=FALSE,((0.08*(C16/1000))*2)*VLOOKUP(""H/F (22mm)"&amp;""",SheetsData,8,0),IF(ISERROR(FIND(""Base end panel"",A16))=FALSE,VLOOKUP(KitchenDoorMaterial,SheetsData,5,0)/3,IF(ISERROR(FIND(""Wall end panel"",A16))=FALSE,VLOOKUP(KitchenDoorMaterial,SheetsData,5,0)/9,IF(ISERROR(FIND(""Tower end panel"",A16))=FALSE,VL"&amp;"OOKUP(KitchenDoorMaterial,SheetsData,5,0),IF(ISERROR(FIND(""Fillers"",A16))=FALSE,(((0.06*(C16/1000))*2)*VLOOKUP(""H/F (18mm)"",SheetsData,8,0))+(((0.06*(C16/1000))*2)*VLOOKUP(""H/F (9mm)"",SheetsData,8,0)),IF(ISERROR(FIND(""corner post"",A16))=FALSE,(((B"&amp;"16/1000)*0.05)*2)*VLOOKUP(KitchenDoorMaterial,SheetsData,8,0),IF(ISERROR(FIND(""Pelmet"",A16))=FALSE,((((B16/1000)*(C16/1000))*2)*VLOOKUP(""H/F (18mm)"",SheetsData,8,0)),IF(ISERROR(FIND(""door"",A16))=TRUE,""Check description"",IF(KitchenDoorStyle=""Flat"&amp;""",((B16/1000)*(C16/1000))*VLOOKUP(KitchenDoorMaterial,SheetsData,8,0),IF(LEFT(KitchenDoorStyle,5)=""Panel"",(((((B16/1000)*2)*0.08)+((((C16/1000)-0.16)*2)*0.08))*VLOOKUP(""H/F (22mm)"",SheetsData,8,0))+(((B16/1000)-0.14)*((C16/1000)-0.14)*VLOOKUP(""H/F ("&amp;"9mm)"",SheetsData,8,0)),IF(KitchenDoorStyle=""In-frame flat"",((((((B16/1000)*0.019)*0.038)+((((C16-38)/1000)*0.038)*0.038))*2)*VLOOKUP(""Tulip (solid m3)"",SolidData,5,0))+(((B16-76)/1000)*((C16-38)/1000))*VLOOKUP(""H/F (22mm)"",SheetsData,8,0),IF(LEFT(K"&amp;"itchenDoorStyle,14)=""In-frame panel"",(((((((B16/1000)*0.019)*0.038)+((((C16-38)/1000)*0.038)*0.038))*2)*VLOOKUP(""Tulip (solid m3)"",SolidData,5,0))+(((((((B16-76)/1000)*2)*0.08)+(((((C16-198)/1000)*2)*0.08)))*VLOOKUP(""H/F (22mm)"",SheetsData,8,0))+((("&amp;"B16-216)/1000)*((C16-178)/1000)*VLOOKUP(""H/F (9mm)"",SheetsData,8,0)))))))))))))))))))))))))))))))))"),27.953843052942755)</f>
        <v>27.95384305</v>
      </c>
      <c r="F16" s="152">
        <f>IFERROR(__xludf.DUMMYFUNCTION("IF(OR(A16="""",AND(ISERROR(FIND(""drawer box"",A16))=FALSE,KitchenDrawerType=""Solid dovetail"")),"""",IF(ISERROR(FIND(""bins"",A16))=FALSE,VLOOKUP(""Base carcass 600"",KitchensData,6,0),IF(OR(ISERROR(FIND(""larder"",A16))=FALSE,ISERROR(FIND(""unit"",A16)"&amp;")=FALSE),VLOOKUP(LEFT(A16,FIND("" "",A16))&amp;""carcass ""&amp;RIGHT(A16,LEN(A16)-len(regexextract(A16,"".* ""))),KitchensData,6,0),IF(ISERROR(FIND(""drawer front"",A16))=FALSE,IF(ISERROR(FIND(""veneer"",KitchenCarcassMaterial))=TRUE,0,(((B16+C16)/1000)*2)*VLOOK"&amp;"UP(""Edge banding (per M)"",SheetsData,5,0)),IF(ISERROR(FIND(""drawer box"",A16))=FALSE,IF(ISERROR(FIND(""veneer"",KitchenCarcassMaterial))=TRUE,0,(((C16+D16)/1000)*2)*VLOOKUP(""Edge banding (per M)"",SheetsData,5,0)),IF(ISERROR(FIND(""shelf"",A16))=FALSE"&amp;",IF(ISERROR(FIND(""veneer"",KitchenCarcassMaterial))=TRUE,0,(C16/1000)*VLOOKUP(""Edge banding (per M)"",SheetsData,5,0)),IF(AND(ISERROR(FIND(""carcass"",A16))=FALSE,ISERROR(FIND(""shelf"",A16))=TRUE),IF(ISERROR(FIND(""veneer"",KitchenCarcassMaterial))=TRU"&amp;"E,0,((2*(B16+C16))/1000)*VLOOKUP(""Edge banding (per M)"",SheetsData,5,0)),IF(ISERROR(FIND(""door"",A16))=TRUE,"""",IF(ISERROR(FIND(""veneer"",KitchenDoorMaterial))=TRUE,"""",((2*(B16+C16))/1000)*VLOOKUP(""Edge banding (per M)"",SheetsData,5,0))))))))))"),0.0)</f>
        <v>0</v>
      </c>
      <c r="G16" s="153" t="str">
        <f>IF(A16="","",IF(ISERROR(FIND("bins",A16))=FALSE,VLOOKUP("Base carcass 600",KitchensData,7,0),IF(OR(ISERROR(FIND("larder",A16))=FALSE,ISERROR(FIND("fridge/freezer",A16))=FALSE,ISERROR(FIND("double oven",A16))=FALSE,ISERROR(FIND("single oven",A16))=FALSE),VLOOKUP(LEFT(A16,FIND(" ",A16))&amp;"carcass "&amp;RIGHT(A16,LEN(A16)-(LEN(A16)-3)),KitchensData,7,0),IF(AND(ISERROR(FIND("carcass",A16))=FALSE,ISERROR(FIND("shelf",A16))=TRUE),IF(OR(ISERROR(FIND("Base",A16))=FALSE,ISERROR(FIND("Tower",A16))=FALSE),IF(OR(ISERROR(FIND("1200",A16))=FALSE, ISERROR(FIND("lost corner",A16))=FALSE),6*VLOOKUP("Plinth foot (2 Parts 80mm)",FurnitureData,5,0),4*VLOOKUP("Plinth foot (2 Parts 80mm)",FurnitureData,5,0)),""),""))))</f>
        <v/>
      </c>
      <c r="H16" s="115" t="str">
        <f>IF(OR(A16="",ISERROR(FIND("door",A16))=TRUE),"",IF(ISERROR(FIND("Wall",A16))=FALSE,VLOOKUP("Hinges &amp; plates (Hettich thick door)",FurnitureData,5,0)*2,IF(ISERROR(FIND("Base",A16))=FALSE,VLOOKUP("Hinges &amp; plates (Hettich thick door)",FurnitureData,5,0)*3,IF(ISERROR(FIND("Boiler",A16))=FALSE,VLOOKUP("Hinges &amp; plates (Hettich thick door)",FurnitureData,5,0)*4,IF(ISERROR(FIND("Tower",A16))=FALSE,VLOOKUP("Hinges &amp; plates (Hettich thick door)",FurnitureData,5,0)*5)))))</f>
        <v/>
      </c>
      <c r="I16" s="115" t="str">
        <f>IF(ISERROR(FIND("shelf",A16))=FALSE,(VLOOKUP("Shelf pegs",FurnitureData,5,0)/100)*4,"")</f>
        <v/>
      </c>
      <c r="J16" s="152">
        <f>IF(OR(ISERROR(FIND("fridge/freezer",A16))=FALSE,ISERROR(FIND("larder",A16))=FALSE,AND(ISERROR(FIND("Base",A16))=FALSE,ISERROR(FIND("bins",A16))=TRUE,ISERROR(FIND("no shelves",A16))=TRUE,OR(ISERROR(FIND("carcass",A16))=FALSE,ISERROR(FIND("unit",A16))=FALSE))),VLOOKUP("Deep shelf "&amp;C16,KitchensData,18,0),IF(AND(ISERROR(FIND("Wall",A16))=FALSE,ISERROR(FIND("carcass",A16))=FALSE),2*VLOOKUP("Shallow shelf "&amp;C16,KitchensData,18,0),IF(AND(ISERROR(FIND("Tower",A16))=FALSE,ISERROR(FIND("oven",A16))=FALSE),4*VLOOKUP("Deep shelf "&amp;C16,KitchensData,18,0),IF(AND(ISERROR(FIND("Tower",A16))=FALSE,ISERROR(FIND("carcass",A16))=FALSE),5*VLOOKUP("Deep shelf "&amp;C16,KitchensData,18,0),""))))</f>
        <v>84.31449417</v>
      </c>
      <c r="K16" s="152" t="str">
        <f>IF(ISERROR(FIND("sink",A16))=FALSE,VLOOKUP("Sink liner - Aluminium "&amp;RIGHT(A16,LEN(A16)-22)&amp;"mm",ExceptionalData,5,0),IF(ISERROR(FIND("bins",A16))=FALSE,VLOOKUP("Drawer runners and clip set for bin unit (500) Dynapro",FurnitureData,5,0)+(2*VLOOKUP("Bin (42L Anthracite)",FurnitureData,5,0)),IF(ISERROR(FIND("larder",A16))=FALSE,VLOOKUP("Pull out larder unit 600mm",FurnitureData,5,0),IF(AND(ISERROR(FIND("drawer box",A16))=FALSE,ISERROR(FIND("internal",A16))=TRUE),VLOOKUP("Drawer runners and clip set (550) Dynapro",FurnitureData,5,0),IF(ISERROR(FIND("internal drawer box",A16))=FALSE,VLOOKUP("Drawer runners and clip set (450) Dynapro",FurnitureData,5,0),"")))))</f>
        <v/>
      </c>
      <c r="L16" s="152">
        <f t="shared" si="3"/>
        <v>112.2683372</v>
      </c>
      <c r="M16" s="154">
        <f>IFERROR(__xludf.DUMMYFUNCTION("IF(A16="""","""",IF(OR(ISERROR(FIND(""larder"",A16))=FALSE,ISERROR(FIND(""unit"",A16))=FALSE),VLOOKUP(LEFT(A16,FIND("" "",A16))&amp;""carcass ""&amp;RIGHT(A16,LEN(A16)-len(regexextract(A16,"".* ""))),KitchensData,13,0),IF(ISERROR(FIND(""bins"",A16))=FALSE,0.95,IF"&amp;"(ISERROR(FIND(""Cutlery insert 600"",A16))=FALSE,1.3,IF(ISERROR(FIND(""Cutlery insert 1200"",A16))=FALSE,2,IF(ISERROR(FIND(""Pan/tray rack 600"",A16))=FALSE,3.25,IF(ISERROR(FIND(""Pan/tray rack 1200"",A16))=FALSE,5.9,IF(ISERROR(FIND(""split"",A16))=FALSE,"&amp;"(((C16/1000)*0.022)*2)+VLOOKUP(SUBSTITUTE(A16,"" split"",""""),KitchensData,13,0),IF(AND(ISERROR(FIND(""drawer front"",A16))=FALSE,KitchenDoorStyle=""Flat""),(((B16/1000)*(C16/1000))*2)+((((B16+C16)/1000)*2)*0.022),IF(AND(ISERROR(FIND(""drawer front"",A16"&amp;"))=FALSE,LEFT(KitchenDoorStyle,5)=""Panel""),(((B16/1000)*(C16/1000))*2)+((((B16+C16)/1000)*2)*0.022)+((((C16/1000)-0.16)*0.013)*2)+((((D16/1000)-0.16)*0.013)*2),IF(AND(ISERROR(FIND(""drawer front"",A16))=FALSE,KitchenDoorStyle=""In-frame flat""),((((B16-"&amp;"76)/1000)*((C16-38)/1000))*2)+(MID(KitchenDoorMaterial,FIND(""("",KitchenDoorMaterial)+1,2)/1000)*((((B16-76)+(C16-38))/1000)*2)+(((B16/1000)*0.032)*2)+((((B16-76)/1000)*0.032)*2)+(((B16/1000)*0.019)*4)+(((C16/1000)*0.032)*2)+((((C16-38)/1000)*0.032)*2)+("&amp;"((C16/1000)*0.038)*4),IF(AND(ISERROR(FIND(""drawer front"",A16))=FALSE,LEFT(KitchenDoorStyle,14)=""In-frame panel""),((((B16-76)/1000)*((C16-38)/1000))*2)+((MID(KitchenDoorMaterial,FIND(""("",KitchenDoorMaterial)+1,2)/1000)*((((B16-76)+(C16-38))/1000)*2))"&amp;"+((((B16-236)/1000)+((C16-198)/1000)*2)*0.013)+(((B16/1000)*0.032)*2)+((((B16-76)/1000)*0.032)*2)+(((B16/1000)*0.019)*4)+(((C16/1000)*0.032)*2)+((((C16-38)/1000)*0.032)*2)+(((C16/1000)*0.038)*4),IF(ISERROR(FIND(""drawer box"",A16))=FALSE,((((B16/1000)*(D1"&amp;"6/1000))+((B16/1000)*(C16/1000)))*4)+((((D16/1000)+(C16/1000))*0.016)*4)+(((C16/1000)*(D16/1000))*2),IF(OR(ISERROR(FIND(""shelf"",A16))=FALSE,ISERROR(FIND(""spacer"",A16))=FALSE,,ISERROR(FIND(""filler panel"",A16))=FALSE),(((C16/1000)*(D16/1000))*2)+((((C"&amp;"16+D16)*2)/1000)*0.022),IF(ISERROR(FIND(""lost corner"",A16))=FALSE,(((B16/1000)*(C16/1000))*2)+((B16/1000)*(C16/1000))+((B16/1000)*((C16/2)/1000))+((((B16/1000)*0.025)+((C16/1000)*0.025))*2),IF(ISERROR(FIND(""carcass"",A16))=FALSE,(((C16/1000)*(D16/1000)"&amp;")*2)+(((B16/1000)*(D16/1000))*2)+((B16/1000)*(C16/1000))+((((B16/1000)*0.025)+((C16/1000)*0.025))*2),IF(AND(ISERROR(FIND(""door"",A16))=FALSE,KitchenDoorStyle=""Flat""),(((B16/1000)*(C16/1000))*2)+(MID(KitchenDoorMaterial,FIND(""("",KitchenDoorMaterial)+1"&amp;",2)/1000)*(((B16+C16)/1000)*2),IF(AND(ISERROR(FIND(""door"",A16))=FALSE,LEFT(KitchenDoorStyle,5)=""Panel""),(((B16/1000)*(C16/1000))*2)+((MID(KitchenDoorMaterial,FIND(""("",KitchenDoorMaterial)+1,2)/1000)*(((B16+C16)/1000)*2))+(((((B16-160)+(C16-160))*2)/"&amp;"1000)*(0.013)),IF(AND(ISERROR(FIND(""door"",A16))=FALSE,KitchenDoorStyle=""In-frame flat""),((((B16-76)/1000)*((C16-38)/1000))*2)+(MID(KitchenDoorMaterial,FIND(""("",KitchenDoorMaterial)+1,2)/1000)*((((B16-76)+(C16-38))/1000)*2)+(((B16/1000)*0.032)*2)+((("&amp;"(B16-76)/1000)*0.032)*2)+(((B16/1000)*0.019)*4)+(((C16/1000)*0.032)*2)+((((C16-38)/1000)*0.032)*2)+(((C16/1000)*0.038)*4),IF(AND(ISERROR(FIND(""door"",A16))=FALSE,LEFT(KitchenDoorStyle,14)=""In-frame panel""),((((B16-76)/1000)*((C16-38)/1000))*2)+((MID(Ki"&amp;"tchenDoorMaterial,FIND(""("",KitchenDoorMaterial)+1,2)/1000)*((((B16-76)+(C16-38))/1000)*2))+((((B16-236)/1000)+((C16-198)/1000)*2)*0.013)+(((B16/1000)*0.032)*2)+((((B16-76)/1000)*0.032)*2)+(((B16/1000)*0.019)*4)+(((C16/1000)*0.032)*2)+((((C16-38)/1000)*0"&amp;".032)*2)+(((C16/1000)*0.038)*4),IF(ISERROR(FIND(""Plinth"",A16))=FALSE,((B16/1000)*(C16/1000))+(((C16/1000)*0.018)*2)+(((B16/1000)*0.018)*2),IF(ISERROR(FIND(""Cornice"",A16))=FALSE,(((C16/1000)*0.1)*2)+(((C16/1000)*0.044)*2)+(((B16/1000)*0.08)*2),IF(ISERR"&amp;"OR(FIND(""Base end panel"",A16))=FALSE,((B16/1000)*(C16/1000))+(0.022*((B16/1000)+((C16/1000)*2)))+((B16/1000)*0.05),IF(ISERROR(FIND(""Wall end panel"",A16))=FALSE,((B16/1000)*(C16/1000))+(0.022*((B16/1000)+((C16/1000)*2)))+((B16/1000)*0.05),IF(ISERROR(FI"&amp;"ND(""Tower end panel"",A16))=FALSE,((B16/1000)*(C16/1000))+(0.022*((B16/1000)+((C16/1000)*2)))+((B16/1000)*0.05),IF(ISERROR(FIND(""Fillers"",A16))=FALSE,((C16/1000)*0.06)+((C16/1000)*0.069)+((0.06*0.018)*2)+((0.06*0.009)*2)+((C16/1000)*0.009)+((C16/1000)*"&amp;"0.018),IF(ISERROR(FIND(""corner post"",A16))=FALSE,(((B16/1000*0.05)*2)+((B16/1000)*0.022)*2)+((B16/1000)*0.072)+((B16/1000)*0.05)+((0.072*0.022)*2)+((0.05*0.022)*2),IF(ISERROR(FIND(""Pelmet"",A16))=FALSE,((C16/1000)*0.05)+((C16/1000)*0.068)+((0.05*0.018)"&amp;"*4)+(((C16/1000)*0.018))*2))))))))))))))))))))))))))))"),0.995)</f>
        <v>0.995</v>
      </c>
      <c r="N16" s="152">
        <f>IF(M16="","",IF(AND(ISERROR(FIND("carcass",A16))=TRUE,ISERROR(FIND("unit",A16))=TRUE,ISERROR(FIND("insert",A16))=TRUE,ISERROR(FIND("rack",A16))=TRUE,ISERROR(FIND("box",A16))=TRUE,ISERROR(FIND("shelf",#REF!))=TRUE),VLOOKUP(KitchenDoorFinish,Finishing!$A$2:$K$10,9,0)*M16,VLOOKUP(KitchenCarcassFinish,Finishing!$A$2:$K$40,9,0)*M16))</f>
        <v>3.73125</v>
      </c>
      <c r="O16" s="155">
        <v>1.0</v>
      </c>
      <c r="P16" s="155">
        <v>1.0</v>
      </c>
      <c r="Q16" s="152">
        <f>IF(OR(O16="",P16=""),"",((O16*X16)*(VLOOKUP("Workshop",Labour!$A$3:$E$20,4,0)/8))+((P16*AE16)*(VLOOKUP("Finishing",Labour!$A$3:$E$20,4,0)/8)))</f>
        <v>71.75</v>
      </c>
      <c r="R16" s="152">
        <f t="shared" si="4"/>
        <v>187.7495872</v>
      </c>
      <c r="S16" s="156">
        <f>IF(OR(O16="",P16=""),"",IF(OR(ISERROR(FIND("carcass",$A16))=FALSE,ISERROR(FIND("unit",$A16))=FALSE),VLOOKUP(KitchenCarcassMaterial,FixedListsCarcassMaterial,2,0),0))</f>
        <v>1</v>
      </c>
      <c r="T16" s="156">
        <f>IF(OR(O16="",P16=""),"",IF(ISERROR(FIND("door",$A16))=FALSE,VLOOKUP(KitchenDoorStyle,FixedListsDoorStyle,2,0),0))</f>
        <v>0</v>
      </c>
      <c r="U16" s="156">
        <f>IF(OR(O16="",P16=""),"",IF(ISERROR(FIND("door",$A16))=FALSE,VLOOKUP(KitchenDoorMaterial,FixedListsDoorMaterial,2,0),0))</f>
        <v>0</v>
      </c>
      <c r="V16" s="156">
        <f>IF(OR(O16="",P16=""),"",IF(ISERROR(FIND("drawer",$A16))=FALSE,VLOOKUP(KitchenDrawerType,FixedListsDrawerType,2,0),0))</f>
        <v>0</v>
      </c>
      <c r="W16" s="156">
        <f>IF(OR(O16="",P16=""),"",IF(OR(S16&gt;0, T16&gt;0,V16&gt;0),VLOOKUP(KitchenHandleType,FixedListsHandleType,2,FALSE)*IF(KitchenHandleType="Simple",0,IF(S16&gt;0,VLOOKUP(KitchenHandleType,FixedListsHandleType,4,FALSE),IF(OR(T16&gt;0,V16&gt;0),1-VLOOKUP(KitchenHandleType,FixedListsHandleType,4,FALSE),"Error"))),0))</f>
        <v>0</v>
      </c>
      <c r="X16" s="156">
        <f t="shared" si="5"/>
        <v>1</v>
      </c>
      <c r="Y16" s="156">
        <f>IF(OR(O16="",P16=""),"",IF(OR(ISERROR(FIND("carcass",$A16))=FALSE,ISERROR(FIND("unit",$A16))=FALSE),VLOOKUP(KitchenCarcassMaterial,FixedListsCarcassMaterial,3,0),0))</f>
        <v>1</v>
      </c>
      <c r="Z16" s="156">
        <f>IF(OR(O16="",P16=""),"",IF(ISERROR(FIND("door",$A16))=FALSE,VLOOKUP(KitchenDoorStyle,FixedListsDoorStyle,3,0),0))</f>
        <v>0</v>
      </c>
      <c r="AA16" s="156">
        <f>IF(OR(O16="",P16=""),"",IF(ISERROR(FIND("door",$A16))=FALSE,VLOOKUP(KitchenDoorMaterial,FixedListsDoorMaterial,3,0),0))</f>
        <v>0</v>
      </c>
      <c r="AB16" s="156">
        <f>IF(OR(O16="",P16=""),"",IF(ISERROR(FIND("drawer",$A16))=FALSE,VLOOKUP(KitchenDrawerType,FixedListsDrawerType,3,0),0))</f>
        <v>0</v>
      </c>
      <c r="AC16" s="156">
        <f>IF(OR(O16="",P16=""),"",IF(OR(Y16&gt;0,Z16&gt;0,AB16&gt;0),VLOOKUP(KitchenHandleType,FixedListsHandleType,3,FALSE),0))</f>
        <v>1</v>
      </c>
      <c r="AD16" s="156">
        <f>IF(OR(O16="",P16=""),"",IF(OR(ISERROR(FIND("carcass",$A16))=FALSE,ISERROR(FIND("unit",$A16))=FALSE),VLOOKUP(KitchenCarcassFinish,FixedListsFinishes,3,0),IF(OR(ISERROR(FIND("door",$A16))=FALSE,ISERROR(FIND("Plinth",$A16))=FALSE,ISERROR(FIND("Cornice",$A16))=FALSE,ISERROR(FIND("Fillers",$A16))=FALSE,ISERROR(FIND("Pelmet",$A16))=FALSE,ISERROR(FIND("panel",$A16))=FALSE,ISERROR(FIND("post",$A16))=FALSE),VLOOKUP(KitchenDoorFinish,FixedListsFinishes,3,0),IF(OR(ISERROR(FIND("drawer",$A16))=FALSE,ISERROR(FIND("insert",$A16))=FALSE,ISERROR(FIND("rck",$A16))=FALSE),VLOOKUP(KitchenCarcassFinish,FixedListsFinishes,3,0),0))))</f>
        <v>1</v>
      </c>
      <c r="AE16" s="156">
        <f t="shared" si="6"/>
        <v>1</v>
      </c>
      <c r="AF16" s="157" t="str">
        <f>IF(AND(KitchenHandleType="Channel",OR(ISERROR(FIND("arcass",$A16))=FALSE,ISERROR(FIND("unit",$A16))=FALSE)),IF(ISERROR(FIND("Tower",$A16))=TRUE,IF(KitchenHandleFinish="Match carcass",IF(ISERROR(FIND("Walnut",KitchenCarcassMaterial))=FALSE,(0.035*0.075*($C16/1000))*VLOOKUP("Walnut (solid m3)",SolidData,4,FALSE),IF(ISERROR(FIND("Oak",KitchenCarcassMaterial))=FALSE,(0.035*0.075*($C16/1000))*VLOOKUP("Oak (solid m3)",SolidData,4,FALSE),IF(ISERROR(FIND("ply",KitchenCarcassMaterial))=FALSE,(0.1*($C16/1000))*VLOOKUP("Birch ply (24mm)",SheetsData,7,FALSE),IF(ISERROR(FIND("H/F",KitchenCarcassMaterial))=FALSE,(0.1*($C16/1000))*VLOOKUP("H/F (22mm)",SheetsData,7,FALSE),"Carcass - not tower - new material")))),IF(KitchenHandleFinish="Match door",IF(ISERROR(FIND("Walnut",KitchenDoorMaterial))=FALSE,(0.035*0.075*($C16/1000))*VLOOKUP("Walnut (solid m3)",SolidData,4,FALSE),IF(ISERROR(FIND("Oak",KitchenDoorMaterial))=FALSE,(0.035*0.075*($C16/1000))*VLOOKUP("Oak (solid m3)",SolidData,4,FALSE),IF(ISERROR(FIND("ply",KitchenDoorMaterial))=FALSE,(0.1*($C16/1000))*VLOOKUP("Birch ply (24mm)",SheetsData,7,FALSE),IF(ISERROR(FIND("H/F",KitchenCarcassMaterial))=FALSE,(0.1*($C16/1000))*VLOOKUP("H/F (22mm)",SheetsData,7,FALSE),"Door - not tower - new material")))),"Channel - not tower - handle set to other")),IF(ISERROR(FIND("Tower",$A16))=FALSE,IF(KitchenHandleFinish="Match carcass",IF(ISERROR(FIND("Walnut",KitchenCarcassMaterial))=FALSE,(0.035*0.075*($B16/1000))*VLOOKUP("Walnut (solid m3)",SolidData,4,FALSE),IF(ISERROR(FIND("Oak",KitchenCarcassMaterial))=FALSE,(0.035*0.075*($B16/1000))*VLOOKUP("Oak (solid m3)",SolidData,4,FALSE),IF(ISERROR(FIND("ply",KitchenCarcassMaterial))=FALSE,(0.1*($B16/1000))*VLOOKUP("Birch ply (24mm)",SheetsData,7,FALSE),IF(ISERROR(FIND("H/F",KitchenCarcassMaterial))=FALSE,(0.1*($C16/1000))*VLOOKUP("H/F (22mm)",SheetsData,7,FALSE),"Carcass - tower - new material")))),IF(KitchenHandleFinish="Match door",IF(ISERROR(FIND("Walnut",KitchenDoorMaterial))=FALSE,(0.035*0.075*($B16/1000))*VLOOKUP("Walnut (solid m3)",SolidData,4,FALSE),IF(ISERROR(FIND("Oak",KitchenDoorMaterial))=FALSE,(0.035*0.075*($B16/1000))*VLOOKUP("Oak (solid m3)",SolidData,4,FALSE),IF(ISERROR(FIND("ply",KitchenDoorMaterial))=FALSE,(0.1*($B16/1000))*VLOOKUP("Birch ply (24mm)",SheetData,7,FALSE),IF(ISERROR(FIND("H/F",KitchenCarcassMaterial))=FALSE,(0.1*($C16/1000))*VLOOKUP("H/F (22mm)",SheetsData,7,FALSE),"Door - tower - new material")))),"Channel - tower - handle set to other")))),"")</f>
        <v/>
      </c>
    </row>
    <row r="17">
      <c r="A17" s="151" t="s">
        <v>125</v>
      </c>
      <c r="B17" s="115">
        <f t="shared" si="1"/>
        <v>700</v>
      </c>
      <c r="C17" s="115" t="str">
        <f>IFERROR(__xludf.DUMMYFUNCTION("IF(A17="""","""",IF(OR(RIGHT(A17,LEN(A17)-len(regexextract(A17,"".* "")))=""1200"",RIGHT(A17,LEN(A17)-len(regexextract(A17,"".* "")))=""600"",RIGHT(A17,LEN(A17)-len(regexextract(A17,"".* "")))=""400"",RIGHT(A17,LEN(A17)-len(regexextract(A17,"".* "")))=""3"&amp;"00"",RIGHT(A17,LEN(A17)-len(regexextract(A17,"".* "")))=""700"",RIGHT(A17,LEN(A17)-len(regexextract(A17,"".* "")))=""2400"",RIGHT(A17,LEN(A17)-len(regexextract(A17,"".* "")))=""650"",RIGHT(A17,LEN(A17)-len(regexextract(A17,"".* "")))=""350"",RIGHT(A17,LEN"&amp;"(A17)-len(regexextract(A17,"".* "")))=""50""),RIGHT(A17,LEN(A17)-len(regexextract(A17,"".* ""))),IF(OR(ISERROR(FIND(""spacer"",A17))=FALSE,ISERROR(FIND(""filler panel"",A17))=FALSE),""1000"",""Unexpected size in description"")))"),"300")</f>
        <v>300</v>
      </c>
      <c r="D17" s="151">
        <f t="shared" si="2"/>
        <v>300</v>
      </c>
      <c r="E17" s="152">
        <f>IFERROR(__xludf.DUMMYFUNCTION("IF(OR(A17="""",AND(ISERROR(FIND(""drawer box"",A17))=FALSE,KitchenDrawerType="""")),"""",IF(OR(ISERROR(FIND(""larder"",A17))=FALSE,ISERROR(FIND(""fridge/freezer"",A17))=FALSE,ISERROR(FIND(""double oven"",A17))=FALSE,ISERROR(FIND(""single oven"",A17))=FALS"&amp;"E),VLOOKUP(LEFT(A17,FIND("" "",A17))&amp;""carcass ""&amp;RIGHT(A17,LEN(A17)-(LEN(A17)-3)),KitchensData,5,0),IF(ISERROR(FIND(""sink"",A17))=FALSE,VLOOKUP(LEFT(A17,FIND("" "",A17))&amp;""carcass ""&amp;VALUE(REGEXREPLACE(A17,""[^[:digit:]]"", """")),KitchensData,5,0)+(((C"&amp;"17/1000)*(300/1000))*VLOOKUP(KitchenCarcassMaterial,SheetsData,8,0)),IF(ISERROR(FIND(""bins"",A17))=FALSE,IF(ISERROR(FIND(""veneer"",KitchenCarcassMaterial))=FALSE,VLOOKUP(""Base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600"",A17))=FALSE,IF(ISERROR(FIND(""veneer"""&amp;",KitchenCarcassMaterial))=FALSE,0.54*(VLOOKUP(LEFT(KitchenCarcassMaterial,FIND(""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1200"",A17))=FALSE,"&amp;"IF(ISERROR(FIND(""veneer"",KitchenCarcassMaterial))=FALSE,0.84*(VLOOKUP(LEFT(KitchenCarcassMaterial,FIND(""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600"",A17))=FALSE,IF(ISERROR(FIND(""veneer"",KitchenCarcassMaterial))=FALSE,1.44*(VLOOKUP(LEFT(KitchenCarcassMaterial,FIND(""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1200"",A17))=FALSE,IF(ISERROR(FIND(""veneer"",KitchenCarcassMaterial))=FALSE,2.7*(VLOOKUP(LEFT(KitchenCarcassMaterial,FIND(""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front"",A17))=FALSE,((B17/1000)*(C17/1000))*VLOOKUP(KitchenDoorMaterial,SheetsData,8,0),IF(AND(KitchenDrawerType=""Match carcass"",ISERROR(FIND(""drawer box"",A17))=FALSE),(((((B17/1000)*(C17/1000))+((B17/1000"&amp;")*(D17/1000)))*2)*VLOOKUP(KitchenCarcassMaterial,SheetsData,8,0))+(((C17/1000)*(D17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box"",A17))=FALSE),(((((B17/1000)*(C17/1000))+((B17/1000)*(D17/1000)))*2)*(16/1000)*VLOOKUP(LEFT(KitchenCarcassMaterial,FIND("" "&amp;""",KitchenCarcassMaterial))&amp;""(solid m3)"",SolidData,5,0))+(((C17/1000)*(D17/1000))*VLOOKUP(LEFT(KitchenCarcassMaterial,FIND(""("",KitchenCarcassMaterial)-1)&amp;IF(OR(ISERROR(FIND(""ply"",KitchenCarcassMaterial))=FALSE,ISERROR(FIND(""H/F"",KitchenCarcassMate"&amp;"rial))=FALSE),""(9mm)"",""(10mm)""),SheetsData,8,0)),IF(ISERROR(FIND(""spacer"",A17))=FALSE,((D17/1000)*(C17/1000))*VLOOKUP(""Poplar ply (18mm)"",SheetsData,8,0),IF(ISERROR(FIND(""filler panel"",A17))=FALSE,((B17/1000)*(C17/1000))*VLOOKUP(KitchenDoorMater"&amp;"ial,SheetsData,8,0),IF(ISERROR(FIND(""shelf"",A17))=FALSE,((D17/1000)*(C17/1000))*VLOOKUP(KitchenCarcassMaterial,SheetsData,8,0),IF(ISERROR(FIND(""lost corner"",A17))=FALSE,VLOOKUP(LEFT(A17,FIND("" "",A17))&amp;""carcass ""&amp;VALUE(REGEXREPLACE(A17,""[^[:digit:"&amp;"]]"", """")),KitchensData,5,0)+((((B17/1000)*(C17/1000))+((B17/1000)*(60/1000)))*VLOOKUP(KitchenCarcassMaterial,SheetsData,8,0)),IF(ISERROR(FIND(""carcass"",A17))=FALSE,(((((B17/1000)*2)*(D17/1000))+(((C17/1000)*2)*(D17/1000)))*VLOOKUP(KitchenCarcassMater"&amp;"ial,SheetsData,8,0))+((B17/1000)*(C17/1000))*VLOOKUP(LEFT(KitchenCarcassMaterial,FIND(""("",KitchenCarcassMaterial)-1)&amp;IF(OR(ISERROR(FIND(""ply"",KitchenCarcassMaterial))=FALSE,ISERROR(FIND(""H/F"",KitchenCarcassMaterial))=FALSE),""(9mm)"",""(10mm)""),She"&amp;"etsData,8,0),IF(OR(ISERROR(FIND(""Plinth"",A17))=FALSE,ISERROR(FIND(""Cornice (flat)"",A17))=FALSE),((B17/1000)*(C17/1000))*VLOOKUP(""H/F (18mm)"",SheetsData,8,0),IF(ISERROR(FIND(""Cornice (stacked)"",A17))=FALSE,((0.08*(C17/1000))*2)*VLOOKUP(""H/F (22mm)"&amp;""",SheetsData,8,0),IF(ISERROR(FIND(""Base end panel"",A17))=FALSE,VLOOKUP(KitchenDoorMaterial,SheetsData,5,0)/3,IF(ISERROR(FIND(""Wall end panel"",A17))=FALSE,VLOOKUP(KitchenDoorMaterial,SheetsData,5,0)/9,IF(ISERROR(FIND(""Tower end panel"",A17))=FALSE,VL"&amp;"OOKUP(KitchenDoorMaterial,SheetsData,5,0),IF(ISERROR(FIND(""Fillers"",A17))=FALSE,(((0.06*(C17/1000))*2)*VLOOKUP(""H/F (18mm)"",SheetsData,8,0))+(((0.06*(C17/1000))*2)*VLOOKUP(""H/F (9mm)"",SheetsData,8,0)),IF(ISERROR(FIND(""corner post"",A17))=FALSE,(((B"&amp;"17/1000)*0.05)*2)*VLOOKUP(KitchenDoorMaterial,SheetsData,8,0),IF(ISERROR(FIND(""Pelmet"",A17))=FALSE,((((B17/1000)*(C17/1000))*2)*VLOOKUP(""H/F (18mm)"",SheetsData,8,0)),IF(ISERROR(FIND(""door"",A17))=TRUE,""Check description"",IF(KitchenDoorStyle=""Flat"&amp;""",((B17/1000)*(C17/1000))*VLOOKUP(KitchenDoorMaterial,SheetsData,8,0),IF(LEFT(KitchenDoorStyle,5)=""Panel"",(((((B17/1000)*2)*0.08)+((((C17/1000)-0.16)*2)*0.08))*VLOOKUP(""H/F (22mm)"",SheetsData,8,0))+(((B17/1000)-0.14)*((C17/1000)-0.14)*VLOOKUP(""H/F ("&amp;"9mm)"",SheetsData,8,0)),IF(KitchenDoorStyle=""In-frame flat"",((((((B17/1000)*0.019)*0.038)+((((C17-38)/1000)*0.038)*0.038))*2)*VLOOKUP(""Tulip (solid m3)"",SolidData,5,0))+(((B17-76)/1000)*((C17-38)/1000))*VLOOKUP(""H/F (22mm)"",SheetsData,8,0),IF(LEFT(K"&amp;"itchenDoorStyle,14)=""In-frame panel"",(((((((B17/1000)*0.019)*0.038)+((((C17-38)/1000)*0.038)*0.038))*2)*VLOOKUP(""Tulip (solid m3)"",SolidData,5,0))+(((((((B17-76)/1000)*2)*0.08)+(((((C17-198)/1000)*2)*0.08)))*VLOOKUP(""H/F (22mm)"",SheetsData,8,0))+((("&amp;"B17-216)/1000)*((C17-178)/1000)*VLOOKUP(""H/F (9mm)"",SheetsData,8,0)))))))))))))))))))))))))))))))))"),24.455623488309595)</f>
        <v>24.45562349</v>
      </c>
      <c r="F17" s="152">
        <f>IFERROR(__xludf.DUMMYFUNCTION("IF(OR(A17="""",AND(ISERROR(FIND(""drawer box"",A17))=FALSE,KitchenDrawerType=""Solid dovetail"")),"""",IF(ISERROR(FIND(""bins"",A17))=FALSE,VLOOKUP(""Base carcass 600"",KitchensData,6,0),IF(OR(ISERROR(FIND(""larder"",A17))=FALSE,ISERROR(FIND(""unit"",A17)"&amp;")=FALSE),VLOOKUP(LEFT(A17,FIND("" "",A17))&amp;""carcass ""&amp;RIGHT(A17,LEN(A17)-len(regexextract(A17,"".* ""))),KitchensData,6,0),IF(ISERROR(FIND(""drawer front"",A17))=FALSE,IF(ISERROR(FIND(""veneer"",KitchenCarcassMaterial))=TRUE,0,(((B17+C17)/1000)*2)*VLOOK"&amp;"UP(""Edge banding (per M)"",SheetsData,5,0)),IF(ISERROR(FIND(""drawer box"",A17))=FALSE,IF(ISERROR(FIND(""veneer"",KitchenCarcassMaterial))=TRUE,0,(((C17+D17)/1000)*2)*VLOOKUP(""Edge banding (per M)"",SheetsData,5,0)),IF(ISERROR(FIND(""shelf"",A17))=FALSE"&amp;",IF(ISERROR(FIND(""veneer"",KitchenCarcassMaterial))=TRUE,0,(C17/1000)*VLOOKUP(""Edge banding (per M)"",SheetsData,5,0)),IF(AND(ISERROR(FIND(""carcass"",A17))=FALSE,ISERROR(FIND(""shelf"",A17))=TRUE),IF(ISERROR(FIND(""veneer"",KitchenCarcassMaterial))=TRU"&amp;"E,0,((2*(B17+C17))/1000)*VLOOKUP(""Edge banding (per M)"",SheetsData,5,0)),IF(ISERROR(FIND(""door"",A17))=TRUE,"""",IF(ISERROR(FIND(""veneer"",KitchenDoorMaterial))=TRUE,"""",((2*(B17+C17))/1000)*VLOOKUP(""Edge banding (per M)"",SheetsData,5,0))))))))))"),0.0)</f>
        <v>0</v>
      </c>
      <c r="G17" s="153" t="str">
        <f>IF(A17="","",IF(ISERROR(FIND("bins",A17))=FALSE,VLOOKUP("Base carcass 600",KitchensData,7,0),IF(OR(ISERROR(FIND("larder",A17))=FALSE,ISERROR(FIND("fridge/freezer",A17))=FALSE,ISERROR(FIND("double oven",A17))=FALSE,ISERROR(FIND("single oven",A17))=FALSE),VLOOKUP(LEFT(A17,FIND(" ",A17))&amp;"carcass "&amp;RIGHT(A17,LEN(A17)-(LEN(A17)-3)),KitchensData,7,0),IF(AND(ISERROR(FIND("carcass",A17))=FALSE,ISERROR(FIND("shelf",A17))=TRUE),IF(OR(ISERROR(FIND("Base",A17))=FALSE,ISERROR(FIND("Tower",A17))=FALSE),IF(OR(ISERROR(FIND("1200",A17))=FALSE, ISERROR(FIND("lost corner",A17))=FALSE),6*VLOOKUP("Plinth foot (2 Parts 80mm)",FurnitureData,5,0),4*VLOOKUP("Plinth foot (2 Parts 80mm)",FurnitureData,5,0)),""),""))))</f>
        <v/>
      </c>
      <c r="H17" s="115" t="str">
        <f>IF(OR(A17="",ISERROR(FIND("door",A17))=TRUE),"",IF(ISERROR(FIND("Wall",A17))=FALSE,VLOOKUP("Hinges &amp; plates (Hettich thick door)",FurnitureData,5,0)*2,IF(ISERROR(FIND("Base",A17))=FALSE,VLOOKUP("Hinges &amp; plates (Hettich thick door)",FurnitureData,5,0)*3,IF(ISERROR(FIND("Boiler",A17))=FALSE,VLOOKUP("Hinges &amp; plates (Hettich thick door)",FurnitureData,5,0)*4,IF(ISERROR(FIND("Tower",A17))=FALSE,VLOOKUP("Hinges &amp; plates (Hettich thick door)",FurnitureData,5,0)*5)))))</f>
        <v/>
      </c>
      <c r="I17" s="115" t="str">
        <f>IF(ISERROR(FIND("shelf",A17))=FALSE,(VLOOKUP("Shelf pegs",FurnitureData,5,0)/100)*4,"")</f>
        <v/>
      </c>
      <c r="J17" s="152">
        <f>IF(OR(ISERROR(FIND("fridge/freezer",A17))=FALSE,ISERROR(FIND("larder",A17))=FALSE,AND(ISERROR(FIND("Base",A17))=FALSE,ISERROR(FIND("bins",A17))=TRUE,ISERROR(FIND("no shelves",A17))=TRUE,OR(ISERROR(FIND("carcass",A17))=FALSE,ISERROR(FIND("unit",A17))=FALSE))),VLOOKUP("Deep shelf "&amp;C17,KitchensData,18,0),IF(AND(ISERROR(FIND("Wall",A17))=FALSE,ISERROR(FIND("carcass",A17))=FALSE),2*VLOOKUP("Shallow shelf "&amp;C17,KitchensData,18,0),IF(AND(ISERROR(FIND("Tower",A17))=FALSE,ISERROR(FIND("oven",A17))=FALSE),4*VLOOKUP("Deep shelf "&amp;C17,KitchensData,18,0),IF(AND(ISERROR(FIND("Tower",A17))=FALSE,ISERROR(FIND("carcass",A17))=FALSE),5*VLOOKUP("Deep shelf "&amp;C17,KitchensData,18,0),""))))</f>
        <v>81.35407063</v>
      </c>
      <c r="K17" s="152" t="str">
        <f>IF(ISERROR(FIND("sink",A17))=FALSE,VLOOKUP("Sink liner - Aluminium "&amp;RIGHT(A17,LEN(A17)-22)&amp;"mm",ExceptionalData,5,0),IF(ISERROR(FIND("bins",A17))=FALSE,VLOOKUP("Drawer runners and clip set for bin unit (500) Dynapro",FurnitureData,5,0)+(2*VLOOKUP("Bin (42L Anthracite)",FurnitureData,5,0)),IF(ISERROR(FIND("larder",A17))=FALSE,VLOOKUP("Pull out larder unit 600mm",FurnitureData,5,0),IF(AND(ISERROR(FIND("drawer box",A17))=FALSE,ISERROR(FIND("internal",A17))=TRUE),VLOOKUP("Drawer runners and clip set (550) Dynapro",FurnitureData,5,0),IF(ISERROR(FIND("internal drawer box",A17))=FALSE,VLOOKUP("Drawer runners and clip set (450) Dynapro",FurnitureData,5,0),"")))))</f>
        <v/>
      </c>
      <c r="L17" s="152">
        <f t="shared" si="3"/>
        <v>105.8096941</v>
      </c>
      <c r="M17" s="154">
        <f>IFERROR(__xludf.DUMMYFUNCTION("IF(A17="""","""",IF(OR(ISERROR(FIND(""larder"",A17))=FALSE,ISERROR(FIND(""unit"",A17))=FALSE),VLOOKUP(LEFT(A17,FIND("" "",A17))&amp;""carcass ""&amp;RIGHT(A17,LEN(A17)-len(regexextract(A17,"".* ""))),KitchensData,13,0),IF(ISERROR(FIND(""bins"",A17))=FALSE,0.95,IF"&amp;"(ISERROR(FIND(""Cutlery insert 600"",A17))=FALSE,1.3,IF(ISERROR(FIND(""Cutlery insert 1200"",A17))=FALSE,2,IF(ISERROR(FIND(""Pan/tray rack 600"",A17))=FALSE,3.25,IF(ISERROR(FIND(""Pan/tray rack 1200"",A17))=FALSE,5.9,IF(ISERROR(FIND(""split"",A17))=FALSE,"&amp;"(((C17/1000)*0.022)*2)+VLOOKUP(SUBSTITUTE(A17,"" split"",""""),KitchensData,13,0),IF(AND(ISERROR(FIND(""drawer front"",A17))=FALSE,KitchenDoorStyle=""Flat""),(((B17/1000)*(C17/1000))*2)+((((B17+C17)/1000)*2)*0.022),IF(AND(ISERROR(FIND(""drawer front"",A17"&amp;"))=FALSE,LEFT(KitchenDoorStyle,5)=""Panel""),(((B17/1000)*(C17/1000))*2)+((((B17+C17)/1000)*2)*0.022)+((((C17/1000)-0.16)*0.013)*2)+((((D17/1000)-0.16)*0.013)*2),IF(AND(ISERROR(FIND(""drawer front"",A17))=FALSE,KitchenDoorStyle=""In-frame flat""),((((B17-"&amp;"76)/1000)*((C17-38)/1000))*2)+(MID(KitchenDoorMaterial,FIND(""("",KitchenDoorMaterial)+1,2)/1000)*((((B17-76)+(C17-38))/1000)*2)+(((B17/1000)*0.032)*2)+((((B17-76)/1000)*0.032)*2)+(((B17/1000)*0.019)*4)+(((C17/1000)*0.032)*2)+((((C17-38)/1000)*0.032)*2)+("&amp;"((C17/1000)*0.038)*4),IF(AND(ISERROR(FIND(""drawer front"",A17))=FALSE,LEFT(KitchenDoorStyle,14)=""In-frame panel""),((((B17-76)/1000)*((C17-38)/1000))*2)+((MID(KitchenDoorMaterial,FIND(""("",KitchenDoorMaterial)+1,2)/1000)*((((B17-76)+(C17-38))/1000)*2))"&amp;"+((((B17-236)/1000)+((C17-198)/1000)*2)*0.013)+(((B17/1000)*0.032)*2)+((((B17-76)/1000)*0.032)*2)+(((B17/1000)*0.019)*4)+(((C17/1000)*0.032)*2)+((((C17-38)/1000)*0.032)*2)+(((C17/1000)*0.038)*4),IF(ISERROR(FIND(""drawer box"",A17))=FALSE,((((B17/1000)*(D1"&amp;"7/1000))+((B17/1000)*(C17/1000)))*4)+((((D17/1000)+(C17/1000))*0.016)*4)+(((C17/1000)*(D17/1000))*2),IF(OR(ISERROR(FIND(""shelf"",A17))=FALSE,ISERROR(FIND(""spacer"",A17))=FALSE,,ISERROR(FIND(""filler panel"",A17))=FALSE),(((C17/1000)*(D17/1000))*2)+((((C"&amp;"17+D17)*2)/1000)*0.022),IF(ISERROR(FIND(""lost corner"",A17))=FALSE,(((B17/1000)*(C17/1000))*2)+((B17/1000)*(C17/1000))+((B17/1000)*((C17/2)/1000))+((((B17/1000)*0.025)+((C17/1000)*0.025))*2),IF(ISERROR(FIND(""carcass"",A17))=FALSE,(((C17/1000)*(D17/1000)"&amp;")*2)+(((B17/1000)*(D17/1000))*2)+((B17/1000)*(C17/1000))+((((B17/1000)*0.025)+((C17/1000)*0.025))*2),IF(AND(ISERROR(FIND(""door"",A17))=FALSE,KitchenDoorStyle=""Flat""),(((B17/1000)*(C17/1000))*2)+(MID(KitchenDoorMaterial,FIND(""("",KitchenDoorMaterial)+1"&amp;",2)/1000)*(((B17+C17)/1000)*2),IF(AND(ISERROR(FIND(""door"",A17))=FALSE,LEFT(KitchenDoorStyle,5)=""Panel""),(((B17/1000)*(C17/1000))*2)+((MID(KitchenDoorMaterial,FIND(""("",KitchenDoorMaterial)+1,2)/1000)*(((B17+C17)/1000)*2))+(((((B17-160)+(C17-160))*2)/"&amp;"1000)*(0.013)),IF(AND(ISERROR(FIND(""door"",A17))=FALSE,KitchenDoorStyle=""In-frame flat""),((((B17-76)/1000)*((C17-38)/1000))*2)+(MID(KitchenDoorMaterial,FIND(""("",KitchenDoorMaterial)+1,2)/1000)*((((B17-76)+(C17-38))/1000)*2)+(((B17/1000)*0.032)*2)+((("&amp;"(B17-76)/1000)*0.032)*2)+(((B17/1000)*0.019)*4)+(((C17/1000)*0.032)*2)+((((C17-38)/1000)*0.032)*2)+(((C17/1000)*0.038)*4),IF(AND(ISERROR(FIND(""door"",A17))=FALSE,LEFT(KitchenDoorStyle,14)=""In-frame panel""),((((B17-76)/1000)*((C17-38)/1000))*2)+((MID(Ki"&amp;"tchenDoorMaterial,FIND(""("",KitchenDoorMaterial)+1,2)/1000)*((((B17-76)+(C17-38))/1000)*2))+((((B17-236)/1000)+((C17-198)/1000)*2)*0.013)+(((B17/1000)*0.032)*2)+((((B17-76)/1000)*0.032)*2)+(((B17/1000)*0.019)*4)+(((C17/1000)*0.032)*2)+((((C17-38)/1000)*0"&amp;".032)*2)+(((C17/1000)*0.038)*4),IF(ISERROR(FIND(""Plinth"",A17))=FALSE,((B17/1000)*(C17/1000))+(((C17/1000)*0.018)*2)+(((B17/1000)*0.018)*2),IF(ISERROR(FIND(""Cornice"",A17))=FALSE,(((C17/1000)*0.1)*2)+(((C17/1000)*0.044)*2)+(((B17/1000)*0.08)*2),IF(ISERR"&amp;"OR(FIND(""Base end panel"",A17))=FALSE,((B17/1000)*(C17/1000))+(0.022*((B17/1000)+((C17/1000)*2)))+((B17/1000)*0.05),IF(ISERROR(FIND(""Wall end panel"",A17))=FALSE,((B17/1000)*(C17/1000))+(0.022*((B17/1000)+((C17/1000)*2)))+((B17/1000)*0.05),IF(ISERROR(FI"&amp;"ND(""Tower end panel"",A17))=FALSE,((B17/1000)*(C17/1000))+(0.022*((B17/1000)+((C17/1000)*2)))+((B17/1000)*0.05),IF(ISERROR(FIND(""Fillers"",A17))=FALSE,((C17/1000)*0.06)+((C17/1000)*0.069)+((0.06*0.018)*2)+((0.06*0.009)*2)+((C17/1000)*0.009)+((C17/1000)*"&amp;"0.018),IF(ISERROR(FIND(""corner post"",A17))=FALSE,(((B17/1000*0.05)*2)+((B17/1000)*0.022)*2)+((B17/1000)*0.072)+((B17/1000)*0.05)+((0.072*0.022)*2)+((0.05*0.022)*2),IF(ISERROR(FIND(""Pelmet"",A17))=FALSE,((C17/1000)*0.05)+((C17/1000)*0.068)+((0.05*0.018)"&amp;"*4)+(((C17/1000)*0.018))*2))))))))))))))))))))))))))))"),0.86)</f>
        <v>0.86</v>
      </c>
      <c r="N17" s="152">
        <f>IF(M17="","",IF(AND(ISERROR(FIND("carcass",A17))=TRUE,ISERROR(FIND("unit",A17))=TRUE,ISERROR(FIND("insert",A17))=TRUE,ISERROR(FIND("rack",A17))=TRUE,ISERROR(FIND("box",A17))=TRUE,ISERROR(FIND("shelf",#REF!))=TRUE),VLOOKUP(KitchenDoorFinish,Finishing!$A$2:$K$10,9,0)*M17,VLOOKUP(KitchenCarcassFinish,Finishing!$A$2:$K$40,9,0)*M17))</f>
        <v>3.225</v>
      </c>
      <c r="O17" s="155">
        <v>1.0</v>
      </c>
      <c r="P17" s="155">
        <v>1.0</v>
      </c>
      <c r="Q17" s="152">
        <f>IF(OR(O17="",P17=""),"",((O17*X17)*(VLOOKUP("Workshop",Labour!$A$3:$E$20,4,0)/8))+((P17*AE17)*(VLOOKUP("Finishing",Labour!$A$3:$E$20,4,0)/8)))</f>
        <v>71.75</v>
      </c>
      <c r="R17" s="152">
        <f t="shared" si="4"/>
        <v>180.7846941</v>
      </c>
      <c r="S17" s="156">
        <f>IF(OR(O17="",P17=""),"",IF(OR(ISERROR(FIND("carcass",$A17))=FALSE,ISERROR(FIND("unit",$A17))=FALSE),VLOOKUP(KitchenCarcassMaterial,FixedListsCarcassMaterial,2,0),0))</f>
        <v>1</v>
      </c>
      <c r="T17" s="156">
        <f>IF(OR(O17="",P17=""),"",IF(ISERROR(FIND("door",$A17))=FALSE,VLOOKUP(KitchenDoorStyle,FixedListsDoorStyle,2,0),0))</f>
        <v>0</v>
      </c>
      <c r="U17" s="156">
        <f>IF(OR(O17="",P17=""),"",IF(ISERROR(FIND("door",$A17))=FALSE,VLOOKUP(KitchenDoorMaterial,FixedListsDoorMaterial,2,0),0))</f>
        <v>0</v>
      </c>
      <c r="V17" s="156">
        <f>IF(OR(O17="",P17=""),"",IF(ISERROR(FIND("drawer",$A17))=FALSE,VLOOKUP(KitchenDrawerType,FixedListsDrawerType,2,0),0))</f>
        <v>0</v>
      </c>
      <c r="W17" s="156">
        <f>IF(OR(O17="",P17=""),"",IF(OR(S17&gt;0, T17&gt;0,V17&gt;0),VLOOKUP(KitchenHandleType,FixedListsHandleType,2,FALSE)*IF(KitchenHandleType="Simple",0,IF(S17&gt;0,VLOOKUP(KitchenHandleType,FixedListsHandleType,4,FALSE),IF(OR(T17&gt;0,V17&gt;0),1-VLOOKUP(KitchenHandleType,FixedListsHandleType,4,FALSE),"Error"))),0))</f>
        <v>0</v>
      </c>
      <c r="X17" s="156">
        <f t="shared" si="5"/>
        <v>1</v>
      </c>
      <c r="Y17" s="156">
        <f>IF(OR(O17="",P17=""),"",IF(OR(ISERROR(FIND("carcass",$A17))=FALSE,ISERROR(FIND("unit",$A17))=FALSE),VLOOKUP(KitchenCarcassMaterial,FixedListsCarcassMaterial,3,0),0))</f>
        <v>1</v>
      </c>
      <c r="Z17" s="156">
        <f>IF(OR(O17="",P17=""),"",IF(ISERROR(FIND("door",$A17))=FALSE,VLOOKUP(KitchenDoorStyle,FixedListsDoorStyle,3,0),0))</f>
        <v>0</v>
      </c>
      <c r="AA17" s="156">
        <f>IF(OR(O17="",P17=""),"",IF(ISERROR(FIND("door",$A17))=FALSE,VLOOKUP(KitchenDoorMaterial,FixedListsDoorMaterial,3,0),0))</f>
        <v>0</v>
      </c>
      <c r="AB17" s="156">
        <f>IF(OR(O17="",P17=""),"",IF(ISERROR(FIND("drawer",$A17))=FALSE,VLOOKUP(KitchenDrawerType,FixedListsDrawerType,3,0),0))</f>
        <v>0</v>
      </c>
      <c r="AC17" s="156">
        <f>IF(OR(O17="",P17=""),"",IF(OR(Y17&gt;0,Z17&gt;0,AB17&gt;0),VLOOKUP(KitchenHandleType,FixedListsHandleType,3,FALSE),0))</f>
        <v>1</v>
      </c>
      <c r="AD17" s="156">
        <f>IF(OR(O17="",P17=""),"",IF(OR(ISERROR(FIND("carcass",$A17))=FALSE,ISERROR(FIND("unit",$A17))=FALSE),VLOOKUP(KitchenCarcassFinish,FixedListsFinishes,3,0),IF(OR(ISERROR(FIND("door",$A17))=FALSE,ISERROR(FIND("Plinth",$A17))=FALSE,ISERROR(FIND("Cornice",$A17))=FALSE,ISERROR(FIND("Fillers",$A17))=FALSE,ISERROR(FIND("Pelmet",$A17))=FALSE,ISERROR(FIND("panel",$A17))=FALSE,ISERROR(FIND("post",$A17))=FALSE),VLOOKUP(KitchenDoorFinish,FixedListsFinishes,3,0),IF(OR(ISERROR(FIND("drawer",$A17))=FALSE,ISERROR(FIND("insert",$A17))=FALSE,ISERROR(FIND("rck",$A17))=FALSE),VLOOKUP(KitchenCarcassFinish,FixedListsFinishes,3,0),0))))</f>
        <v>1</v>
      </c>
      <c r="AE17" s="156">
        <f t="shared" si="6"/>
        <v>1</v>
      </c>
      <c r="AF17" s="157" t="str">
        <f>IF(AND(KitchenHandleType="Channel",OR(ISERROR(FIND("arcass",$A17))=FALSE,ISERROR(FIND("unit",$A17))=FALSE)),IF(ISERROR(FIND("Tower",$A17))=TRUE,IF(KitchenHandleFinish="Match carcass",IF(ISERROR(FIND("Walnut",KitchenCarcassMaterial))=FALSE,(0.035*0.075*($C17/1000))*VLOOKUP("Walnut (solid m3)",SolidData,4,FALSE),IF(ISERROR(FIND("Oak",KitchenCarcassMaterial))=FALSE,(0.035*0.075*($C17/1000))*VLOOKUP("Oak (solid m3)",SolidData,4,FALSE),IF(ISERROR(FIND("ply",KitchenCarcassMaterial))=FALSE,(0.1*($C17/1000))*VLOOKUP("Birch ply (24mm)",SheetsData,7,FALSE),IF(ISERROR(FIND("H/F",KitchenCarcassMaterial))=FALSE,(0.1*($C17/1000))*VLOOKUP("H/F (22mm)",SheetsData,7,FALSE),"Carcass - not tower - new material")))),IF(KitchenHandleFinish="Match door",IF(ISERROR(FIND("Walnut",KitchenDoorMaterial))=FALSE,(0.035*0.075*($C17/1000))*VLOOKUP("Walnut (solid m3)",SolidData,4,FALSE),IF(ISERROR(FIND("Oak",KitchenDoorMaterial))=FALSE,(0.035*0.075*($C17/1000))*VLOOKUP("Oak (solid m3)",SolidData,4,FALSE),IF(ISERROR(FIND("ply",KitchenDoorMaterial))=FALSE,(0.1*($C17/1000))*VLOOKUP("Birch ply (24mm)",SheetsData,7,FALSE),IF(ISERROR(FIND("H/F",KitchenCarcassMaterial))=FALSE,(0.1*($C17/1000))*VLOOKUP("H/F (22mm)",SheetsData,7,FALSE),"Door - not tower - new material")))),"Channel - not tower - handle set to other")),IF(ISERROR(FIND("Tower",$A17))=FALSE,IF(KitchenHandleFinish="Match carcass",IF(ISERROR(FIND("Walnut",KitchenCarcassMaterial))=FALSE,(0.035*0.075*($B17/1000))*VLOOKUP("Walnut (solid m3)",SolidData,4,FALSE),IF(ISERROR(FIND("Oak",KitchenCarcassMaterial))=FALSE,(0.035*0.075*($B17/1000))*VLOOKUP("Oak (solid m3)",SolidData,4,FALSE),IF(ISERROR(FIND("ply",KitchenCarcassMaterial))=FALSE,(0.1*($B17/1000))*VLOOKUP("Birch ply (24mm)",SheetsData,7,FALSE),IF(ISERROR(FIND("H/F",KitchenCarcassMaterial))=FALSE,(0.1*($C17/1000))*VLOOKUP("H/F (22mm)",SheetsData,7,FALSE),"Carcass - tower - new material")))),IF(KitchenHandleFinish="Match door",IF(ISERROR(FIND("Walnut",KitchenDoorMaterial))=FALSE,(0.035*0.075*($B17/1000))*VLOOKUP("Walnut (solid m3)",SolidData,4,FALSE),IF(ISERROR(FIND("Oak",KitchenDoorMaterial))=FALSE,(0.035*0.075*($B17/1000))*VLOOKUP("Oak (solid m3)",SolidData,4,FALSE),IF(ISERROR(FIND("ply",KitchenDoorMaterial))=FALSE,(0.1*($B17/1000))*VLOOKUP("Birch ply (24mm)",SheetData,7,FALSE),IF(ISERROR(FIND("H/F",KitchenCarcassMaterial))=FALSE,(0.1*($C17/1000))*VLOOKUP("H/F (22mm)",SheetsData,7,FALSE),"Door - tower - new material")))),"Channel - tower - handle set to other")))),"")</f>
        <v/>
      </c>
    </row>
    <row r="18">
      <c r="A18" s="151" t="s">
        <v>126</v>
      </c>
      <c r="B18" s="115">
        <f t="shared" si="1"/>
        <v>800</v>
      </c>
      <c r="C18" s="115" t="str">
        <f>IFERROR(__xludf.DUMMYFUNCTION("IF(A18="""","""",IF(OR(RIGHT(A18,LEN(A18)-len(regexextract(A18,"".* "")))=""1200"",RIGHT(A18,LEN(A18)-len(regexextract(A18,"".* "")))=""600"",RIGHT(A18,LEN(A18)-len(regexextract(A18,"".* "")))=""400"",RIGHT(A18,LEN(A18)-len(regexextract(A18,"".* "")))=""3"&amp;"00"",RIGHT(A18,LEN(A18)-len(regexextract(A18,"".* "")))=""700"",RIGHT(A18,LEN(A18)-len(regexextract(A18,"".* "")))=""2400"",RIGHT(A18,LEN(A18)-len(regexextract(A18,"".* "")))=""650"",RIGHT(A18,LEN(A18)-len(regexextract(A18,"".* "")))=""350"",RIGHT(A18,LEN"&amp;"(A18)-len(regexextract(A18,"".* "")))=""50""),RIGHT(A18,LEN(A18)-len(regexextract(A18,"".* ""))),IF(OR(ISERROR(FIND(""spacer"",A18))=FALSE,ISERROR(FIND(""filler panel"",A18))=FALSE),""1000"",""Unexpected size in description"")))"),"1200")</f>
        <v>1200</v>
      </c>
      <c r="D18" s="151">
        <f t="shared" si="2"/>
        <v>600</v>
      </c>
      <c r="E18" s="152">
        <f>IFERROR(__xludf.DUMMYFUNCTION("IF(OR(A18="""",AND(ISERROR(FIND(""drawer box"",A18))=FALSE,KitchenDrawerType="""")),"""",IF(OR(ISERROR(FIND(""larder"",A18))=FALSE,ISERROR(FIND(""fridge/freezer"",A18))=FALSE,ISERROR(FIND(""double oven"",A18))=FALSE,ISERROR(FIND(""single oven"",A18))=FALS"&amp;"E),VLOOKUP(LEFT(A18,FIND("" "",A18))&amp;""carcass ""&amp;RIGHT(A18,LEN(A18)-(LEN(A18)-3)),KitchensData,5,0),IF(ISERROR(FIND(""sink"",A18))=FALSE,VLOOKUP(LEFT(A18,FIND("" "",A18))&amp;""carcass ""&amp;VALUE(REGEXREPLACE(A18,""[^[:digit:]]"", """")),KitchensData,5,0)+(((C"&amp;"18/1000)*(300/1000))*VLOOKUP(KitchenCarcassMaterial,SheetsData,8,0)),IF(ISERROR(FIND(""bins"",A18))=FALSE,IF(ISERROR(FIND(""veneer"",KitchenCarcassMaterial))=FALSE,VLOOKUP(""Base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600"",A18))=FALSE,IF(ISERROR(FIND(""veneer"""&amp;",KitchenCarcassMaterial))=FALSE,0.54*(VLOOKUP(LEFT(KitchenCarcassMaterial,FIND(""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1200"",A18))=FALSE,"&amp;"IF(ISERROR(FIND(""veneer"",KitchenCarcassMaterial))=FALSE,0.84*(VLOOKUP(LEFT(KitchenCarcassMaterial,FIND(""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600"",A18))=FALSE,IF(ISERROR(FIND(""veneer"",KitchenCarcassMaterial))=FALSE,1.44*(VLOOKUP(LEFT(KitchenCarcassMaterial,FIND(""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1200"",A18))=FALSE,IF(ISERROR(FIND(""veneer"",KitchenCarcassMaterial))=FALSE,2.7*(VLOOKUP(LEFT(KitchenCarcassMaterial,FIND(""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front"",A18))=FALSE,((B18/1000)*(C18/1000))*VLOOKUP(KitchenDoorMaterial,SheetsData,8,0),IF(AND(KitchenDrawerType=""Match carcass"",ISERROR(FIND(""drawer box"",A18))=FALSE),(((((B18/1000)*(C18/1000))+((B18/1000"&amp;")*(D18/1000)))*2)*VLOOKUP(KitchenCarcassMaterial,SheetsData,8,0))+(((C18/1000)*(D18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box"",A18))=FALSE),(((((B18/1000)*(C18/1000))+((B18/1000)*(D18/1000)))*2)*(16/1000)*VLOOKUP(LEFT(KitchenCarcassMaterial,FIND("" "&amp;""",KitchenCarcassMaterial))&amp;""(solid m3)"",SolidData,5,0))+(((C18/1000)*(D18/1000))*VLOOKUP(LEFT(KitchenCarcassMaterial,FIND(""("",KitchenCarcassMaterial)-1)&amp;IF(OR(ISERROR(FIND(""ply"",KitchenCarcassMaterial))=FALSE,ISERROR(FIND(""H/F"",KitchenCarcassMate"&amp;"rial))=FALSE),""(9mm)"",""(10mm)""),SheetsData,8,0)),IF(ISERROR(FIND(""spacer"",A18))=FALSE,((D18/1000)*(C18/1000))*VLOOKUP(""Poplar ply (18mm)"",SheetsData,8,0),IF(ISERROR(FIND(""filler panel"",A18))=FALSE,((B18/1000)*(C18/1000))*VLOOKUP(KitchenDoorMater"&amp;"ial,SheetsData,8,0),IF(ISERROR(FIND(""shelf"",A18))=FALSE,((D18/1000)*(C18/1000))*VLOOKUP(KitchenCarcassMaterial,SheetsData,8,0),IF(ISERROR(FIND(""lost corner"",A18))=FALSE,VLOOKUP(LEFT(A18,FIND("" "",A18))&amp;""carcass ""&amp;VALUE(REGEXREPLACE(A18,""[^[:digit:"&amp;"]]"", """")),KitchensData,5,0)+((((B18/1000)*(C18/1000))+((B18/1000)*(60/1000)))*VLOOKUP(KitchenCarcassMaterial,SheetsData,8,0)),IF(ISERROR(FIND(""carcass"",A18))=FALSE,(((((B18/1000)*2)*(D18/1000))+(((C18/1000)*2)*(D18/1000)))*VLOOKUP(KitchenCarcassMater"&amp;"ial,SheetsData,8,0))+((B18/1000)*(C18/1000))*VLOOKUP(LEFT(KitchenCarcassMaterial,FIND(""("",KitchenCarcassMaterial)-1)&amp;IF(OR(ISERROR(FIND(""ply"",KitchenCarcassMaterial))=FALSE,ISERROR(FIND(""H/F"",KitchenCarcassMaterial))=FALSE),""(9mm)"",""(10mm)""),She"&amp;"etsData,8,0),IF(OR(ISERROR(FIND(""Plinth"",A18))=FALSE,ISERROR(FIND(""Cornice (flat)"",A18))=FALSE),((B18/1000)*(C18/1000))*VLOOKUP(""H/F (18mm)"",SheetsData,8,0),IF(ISERROR(FIND(""Cornice (stacked)"",A18))=FALSE,((0.08*(C18/1000))*2)*VLOOKUP(""H/F (22mm)"&amp;""",SheetsData,8,0),IF(ISERROR(FIND(""Base end panel"",A18))=FALSE,VLOOKUP(KitchenDoorMaterial,SheetsData,5,0)/3,IF(ISERROR(FIND(""Wall end panel"",A18))=FALSE,VLOOKUP(KitchenDoorMaterial,SheetsData,5,0)/9,IF(ISERROR(FIND(""Tower end panel"",A18))=FALSE,VL"&amp;"OOKUP(KitchenDoorMaterial,SheetsData,5,0),IF(ISERROR(FIND(""Fillers"",A18))=FALSE,(((0.06*(C18/1000))*2)*VLOOKUP(""H/F (18mm)"",SheetsData,8,0))+(((0.06*(C18/1000))*2)*VLOOKUP(""H/F (9mm)"",SheetsData,8,0)),IF(ISERROR(FIND(""corner post"",A18))=FALSE,(((B"&amp;"18/1000)*0.05)*2)*VLOOKUP(KitchenDoorMaterial,SheetsData,8,0),IF(ISERROR(FIND(""Pelmet"",A18))=FALSE,((((B18/1000)*(C18/1000))*2)*VLOOKUP(""H/F (18mm)"",SheetsData,8,0)),IF(ISERROR(FIND(""door"",A18))=TRUE,""Check description"",IF(KitchenDoorStyle=""Flat"&amp;""",((B18/1000)*(C18/1000))*VLOOKUP(KitchenDoorMaterial,SheetsData,8,0),IF(LEFT(KitchenDoorStyle,5)=""Panel"",(((((B18/1000)*2)*0.08)+((((C18/1000)-0.16)*2)*0.08))*VLOOKUP(""H/F (22mm)"",SheetsData,8,0))+(((B18/1000)-0.14)*((C18/1000)-0.14)*VLOOKUP(""H/F ("&amp;"9mm)"",SheetsData,8,0)),IF(KitchenDoorStyle=""In-frame flat"",((((((B18/1000)*0.019)*0.038)+((((C18-38)/1000)*0.038)*0.038))*2)*VLOOKUP(""Tulip (solid m3)"",SolidData,5,0))+(((B18-76)/1000)*((C18-38)/1000))*VLOOKUP(""H/F (22mm)"",SheetsData,8,0),IF(LEFT(K"&amp;"itchenDoorStyle,14)=""In-frame panel"",(((((((B18/1000)*0.019)*0.038)+((((C18-38)/1000)*0.038)*0.038))*2)*VLOOKUP(""Tulip (solid m3)"",SolidData,5,0))+(((((((B18-76)/1000)*2)*0.08)+(((((C18-198)/1000)*2)*0.08)))*VLOOKUP(""H/F (22mm)"",SheetsData,8,0))+((("&amp;"B18-216)/1000)*((C18-178)/1000)*VLOOKUP(""H/F (9mm)"",SheetsData,8,0)))))))))))))))))))))))))))))))))"),133.9067454985219)</f>
        <v>133.9067455</v>
      </c>
      <c r="F18" s="152">
        <f>IFERROR(__xludf.DUMMYFUNCTION("IF(OR(A18="""",AND(ISERROR(FIND(""drawer box"",A18))=FALSE,KitchenDrawerType=""Solid dovetail"")),"""",IF(ISERROR(FIND(""bins"",A18))=FALSE,VLOOKUP(""Base carcass 600"",KitchensData,6,0),IF(OR(ISERROR(FIND(""larder"",A18))=FALSE,ISERROR(FIND(""unit"",A18)"&amp;")=FALSE),VLOOKUP(LEFT(A18,FIND("" "",A18))&amp;""carcass ""&amp;RIGHT(A18,LEN(A18)-len(regexextract(A18,"".* ""))),KitchensData,6,0),IF(ISERROR(FIND(""drawer front"",A18))=FALSE,IF(ISERROR(FIND(""veneer"",KitchenCarcassMaterial))=TRUE,0,(((B18+C18)/1000)*2)*VLOOK"&amp;"UP(""Edge banding (per M)"",SheetsData,5,0)),IF(ISERROR(FIND(""drawer box"",A18))=FALSE,IF(ISERROR(FIND(""veneer"",KitchenCarcassMaterial))=TRUE,0,(((C18+D18)/1000)*2)*VLOOKUP(""Edge banding (per M)"",SheetsData,5,0)),IF(ISERROR(FIND(""shelf"",A18))=FALSE"&amp;",IF(ISERROR(FIND(""veneer"",KitchenCarcassMaterial))=TRUE,0,(C18/1000)*VLOOKUP(""Edge banding (per M)"",SheetsData,5,0)),IF(AND(ISERROR(FIND(""carcass"",A18))=FALSE,ISERROR(FIND(""shelf"",A18))=TRUE),IF(ISERROR(FIND(""veneer"",KitchenCarcassMaterial))=TRU"&amp;"E,0,((2*(B18+C18))/1000)*VLOOKUP(""Edge banding (per M)"",SheetsData,5,0)),IF(ISERROR(FIND(""door"",A18))=TRUE,"""",IF(ISERROR(FIND(""veneer"",KitchenDoorMaterial))=TRUE,"""",((2*(B18+C18))/1000)*VLOOKUP(""Edge banding (per M)"",SheetsData,5,0))))))))))"),0.0)</f>
        <v>0</v>
      </c>
      <c r="G18" s="153">
        <f>IF(A18="","",IF(ISERROR(FIND("bins",A18))=FALSE,VLOOKUP("Base carcass 600",KitchensData,7,0),IF(OR(ISERROR(FIND("larder",A18))=FALSE,ISERROR(FIND("fridge/freezer",A18))=FALSE,ISERROR(FIND("double oven",A18))=FALSE,ISERROR(FIND("single oven",A18))=FALSE),VLOOKUP(LEFT(A18,FIND(" ",A18))&amp;"carcass "&amp;RIGHT(A18,LEN(A18)-(LEN(A18)-3)),KitchensData,7,0),IF(AND(ISERROR(FIND("carcass",A18))=FALSE,ISERROR(FIND("shelf",A18))=TRUE),IF(OR(ISERROR(FIND("Base",A18))=FALSE,ISERROR(FIND("Tower",A18))=FALSE),IF(OR(ISERROR(FIND("1200",A18))=FALSE, ISERROR(FIND("lost corner",A18))=FALSE),6*VLOOKUP("Plinth foot (2 Parts 80mm)",FurnitureData,5,0),4*VLOOKUP("Plinth foot (2 Parts 80mm)",FurnitureData,5,0)),""),""))))</f>
        <v>5.7</v>
      </c>
      <c r="H18" s="115" t="str">
        <f>IF(OR(A18="",ISERROR(FIND("door",A18))=TRUE),"",IF(ISERROR(FIND("Wall",A18))=FALSE,VLOOKUP("Hinges &amp; plates (Hettich thick door)",FurnitureData,5,0)*2,IF(ISERROR(FIND("Base",A18))=FALSE,VLOOKUP("Hinges &amp; plates (Hettich thick door)",FurnitureData,5,0)*3,IF(ISERROR(FIND("Boiler",A18))=FALSE,VLOOKUP("Hinges &amp; plates (Hettich thick door)",FurnitureData,5,0)*4,IF(ISERROR(FIND("Tower",A18))=FALSE,VLOOKUP("Hinges &amp; plates (Hettich thick door)",FurnitureData,5,0)*5)))))</f>
        <v/>
      </c>
      <c r="I18" s="115" t="str">
        <f>IF(ISERROR(FIND("shelf",A18))=FALSE,(VLOOKUP("Shelf pegs",FurnitureData,5,0)/100)*4,"")</f>
        <v/>
      </c>
      <c r="J18" s="152">
        <f>IF(OR(ISERROR(FIND("fridge/freezer",A18))=FALSE,ISERROR(FIND("larder",A18))=FALSE,AND(ISERROR(FIND("Base",A18))=FALSE,ISERROR(FIND("bins",A18))=TRUE,ISERROR(FIND("no shelves",A18))=TRUE,OR(ISERROR(FIND("carcass",A18))=FALSE,ISERROR(FIND("unit",A18))=FALSE))),VLOOKUP("Deep shelf "&amp;C18,KitchensData,18,0),IF(AND(ISERROR(FIND("Wall",A18))=FALSE,ISERROR(FIND("carcass",A18))=FALSE),2*VLOOKUP("Shallow shelf "&amp;C18,KitchensData,18,0),IF(AND(ISERROR(FIND("Tower",A18))=FALSE,ISERROR(FIND("oven",A18))=FALSE),4*VLOOKUP("Deep shelf "&amp;C18,KitchensData,18,0),IF(AND(ISERROR(FIND("Tower",A18))=FALSE,ISERROR(FIND("carcass",A18))=FALSE),5*VLOOKUP("Deep shelf "&amp;C18,KitchensData,18,0),""))))</f>
        <v>71.4644825</v>
      </c>
      <c r="K18" s="152" t="str">
        <f>IF(ISERROR(FIND("sink",A18))=FALSE,VLOOKUP("Sink liner - Aluminium "&amp;RIGHT(A18,LEN(A18)-22)&amp;"mm",ExceptionalData,5,0),IF(ISERROR(FIND("bins",A18))=FALSE,VLOOKUP("Drawer runners and clip set for bin unit (500) Dynapro",FurnitureData,5,0)+(2*VLOOKUP("Bin (42L Anthracite)",FurnitureData,5,0)),IF(ISERROR(FIND("larder",A18))=FALSE,VLOOKUP("Pull out larder unit 600mm",FurnitureData,5,0),IF(AND(ISERROR(FIND("drawer box",A18))=FALSE,ISERROR(FIND("internal",A18))=TRUE),VLOOKUP("Drawer runners and clip set (550) Dynapro",FurnitureData,5,0),IF(ISERROR(FIND("internal drawer box",A18))=FALSE,VLOOKUP("Drawer runners and clip set (450) Dynapro",FurnitureData,5,0),"")))))</f>
        <v/>
      </c>
      <c r="L18" s="152">
        <f t="shared" si="3"/>
        <v>211.071228</v>
      </c>
      <c r="M18" s="154">
        <f>IFERROR(__xludf.DUMMYFUNCTION("IF(A18="""","""",IF(OR(ISERROR(FIND(""larder"",A18))=FALSE,ISERROR(FIND(""unit"",A18))=FALSE),VLOOKUP(LEFT(A18,FIND("" "",A18))&amp;""carcass ""&amp;RIGHT(A18,LEN(A18)-len(regexextract(A18,"".* ""))),KitchensData,13,0),IF(ISERROR(FIND(""bins"",A18))=FALSE,0.95,IF"&amp;"(ISERROR(FIND(""Cutlery insert 600"",A18))=FALSE,1.3,IF(ISERROR(FIND(""Cutlery insert 1200"",A18))=FALSE,2,IF(ISERROR(FIND(""Pan/tray rack 600"",A18))=FALSE,3.25,IF(ISERROR(FIND(""Pan/tray rack 1200"",A18))=FALSE,5.9,IF(ISERROR(FIND(""split"",A18))=FALSE,"&amp;"(((C18/1000)*0.022)*2)+VLOOKUP(SUBSTITUTE(A18,"" split"",""""),KitchensData,13,0),IF(AND(ISERROR(FIND(""drawer front"",A18))=FALSE,KitchenDoorStyle=""Flat""),(((B18/1000)*(C18/1000))*2)+((((B18+C18)/1000)*2)*0.022),IF(AND(ISERROR(FIND(""drawer front"",A18"&amp;"))=FALSE,LEFT(KitchenDoorStyle,5)=""Panel""),(((B18/1000)*(C18/1000))*2)+((((B18+C18)/1000)*2)*0.022)+((((C18/1000)-0.16)*0.013)*2)+((((D18/1000)-0.16)*0.013)*2),IF(AND(ISERROR(FIND(""drawer front"",A18))=FALSE,KitchenDoorStyle=""In-frame flat""),((((B18-"&amp;"76)/1000)*((C18-38)/1000))*2)+(MID(KitchenDoorMaterial,FIND(""("",KitchenDoorMaterial)+1,2)/1000)*((((B18-76)+(C18-38))/1000)*2)+(((B18/1000)*0.032)*2)+((((B18-76)/1000)*0.032)*2)+(((B18/1000)*0.019)*4)+(((C18/1000)*0.032)*2)+((((C18-38)/1000)*0.032)*2)+("&amp;"((C18/1000)*0.038)*4),IF(AND(ISERROR(FIND(""drawer front"",A18))=FALSE,LEFT(KitchenDoorStyle,14)=""In-frame panel""),((((B18-76)/1000)*((C18-38)/1000))*2)+((MID(KitchenDoorMaterial,FIND(""("",KitchenDoorMaterial)+1,2)/1000)*((((B18-76)+(C18-38))/1000)*2))"&amp;"+((((B18-236)/1000)+((C18-198)/1000)*2)*0.013)+(((B18/1000)*0.032)*2)+((((B18-76)/1000)*0.032)*2)+(((B18/1000)*0.019)*4)+(((C18/1000)*0.032)*2)+((((C18-38)/1000)*0.032)*2)+(((C18/1000)*0.038)*4),IF(ISERROR(FIND(""drawer box"",A18))=FALSE,((((B18/1000)*(D1"&amp;"8/1000))+((B18/1000)*(C18/1000)))*4)+((((D18/1000)+(C18/1000))*0.016)*4)+(((C18/1000)*(D18/1000))*2),IF(OR(ISERROR(FIND(""shelf"",A18))=FALSE,ISERROR(FIND(""spacer"",A18))=FALSE,,ISERROR(FIND(""filler panel"",A18))=FALSE),(((C18/1000)*(D18/1000))*2)+((((C"&amp;"18+D18)*2)/1000)*0.022),IF(ISERROR(FIND(""lost corner"",A18))=FALSE,(((B18/1000)*(C18/1000))*2)+((B18/1000)*(C18/1000))+((B18/1000)*((C18/2)/1000))+((((B18/1000)*0.025)+((C18/1000)*0.025))*2),IF(ISERROR(FIND(""carcass"",A18))=FALSE,(((C18/1000)*(D18/1000)"&amp;")*2)+(((B18/1000)*(D18/1000))*2)+((B18/1000)*(C18/1000))+((((B18/1000)*0.025)+((C18/1000)*0.025))*2),IF(AND(ISERROR(FIND(""door"",A18))=FALSE,KitchenDoorStyle=""Flat""),(((B18/1000)*(C18/1000))*2)+(MID(KitchenDoorMaterial,FIND(""("",KitchenDoorMaterial)+1"&amp;",2)/1000)*(((B18+C18)/1000)*2),IF(AND(ISERROR(FIND(""door"",A18))=FALSE,LEFT(KitchenDoorStyle,5)=""Panel""),(((B18/1000)*(C18/1000))*2)+((MID(KitchenDoorMaterial,FIND(""("",KitchenDoorMaterial)+1,2)/1000)*(((B18+C18)/1000)*2))+(((((B18-160)+(C18-160))*2)/"&amp;"1000)*(0.013)),IF(AND(ISERROR(FIND(""door"",A18))=FALSE,KitchenDoorStyle=""In-frame flat""),((((B18-76)/1000)*((C18-38)/1000))*2)+(MID(KitchenDoorMaterial,FIND(""("",KitchenDoorMaterial)+1,2)/1000)*((((B18-76)+(C18-38))/1000)*2)+(((B18/1000)*0.032)*2)+((("&amp;"(B18-76)/1000)*0.032)*2)+(((B18/1000)*0.019)*4)+(((C18/1000)*0.032)*2)+((((C18-38)/1000)*0.032)*2)+(((C18/1000)*0.038)*4),IF(AND(ISERROR(FIND(""door"",A18))=FALSE,LEFT(KitchenDoorStyle,14)=""In-frame panel""),((((B18-76)/1000)*((C18-38)/1000))*2)+((MID(Ki"&amp;"tchenDoorMaterial,FIND(""("",KitchenDoorMaterial)+1,2)/1000)*((((B18-76)+(C18-38))/1000)*2))+((((B18-236)/1000)+((C18-198)/1000)*2)*0.013)+(((B18/1000)*0.032)*2)+((((B18-76)/1000)*0.032)*2)+(((B18/1000)*0.019)*4)+(((C18/1000)*0.032)*2)+((((C18-38)/1000)*0"&amp;".032)*2)+(((C18/1000)*0.038)*4),IF(ISERROR(FIND(""Plinth"",A18))=FALSE,((B18/1000)*(C18/1000))+(((C18/1000)*0.018)*2)+(((B18/1000)*0.018)*2),IF(ISERROR(FIND(""Cornice"",A18))=FALSE,(((C18/1000)*0.1)*2)+(((C18/1000)*0.044)*2)+(((B18/1000)*0.08)*2),IF(ISERR"&amp;"OR(FIND(""Base end panel"",A18))=FALSE,((B18/1000)*(C18/1000))+(0.022*((B18/1000)+((C18/1000)*2)))+((B18/1000)*0.05),IF(ISERROR(FIND(""Wall end panel"",A18))=FALSE,((B18/1000)*(C18/1000))+(0.022*((B18/1000)+((C18/1000)*2)))+((B18/1000)*0.05),IF(ISERROR(FI"&amp;"ND(""Tower end panel"",A18))=FALSE,((B18/1000)*(C18/1000))+(0.022*((B18/1000)+((C18/1000)*2)))+((B18/1000)*0.05),IF(ISERROR(FIND(""Fillers"",A18))=FALSE,((C18/1000)*0.06)+((C18/1000)*0.069)+((0.06*0.018)*2)+((0.06*0.009)*2)+((C18/1000)*0.009)+((C18/1000)*"&amp;"0.018),IF(ISERROR(FIND(""corner post"",A18))=FALSE,(((B18/1000*0.05)*2)+((B18/1000)*0.022)*2)+((B18/1000)*0.072)+((B18/1000)*0.05)+((0.072*0.022)*2)+((0.05*0.022)*2),IF(ISERROR(FIND(""Pelmet"",A18))=FALSE,((C18/1000)*0.05)+((C18/1000)*0.068)+((0.05*0.018)"&amp;"*4)+(((C18/1000)*0.018))*2))))))))))))))))))))))))))))"),3.46)</f>
        <v>3.46</v>
      </c>
      <c r="N18" s="152">
        <f>IF(M18="","",IF(AND(ISERROR(FIND("carcass",A18))=TRUE,ISERROR(FIND("unit",A18))=TRUE,ISERROR(FIND("insert",A18))=TRUE,ISERROR(FIND("rack",A18))=TRUE,ISERROR(FIND("box",A18))=TRUE,ISERROR(FIND("shelf",#REF!))=TRUE),VLOOKUP(KitchenDoorFinish,Finishing!$A$2:$K$10,9,0)*M18,VLOOKUP(KitchenCarcassFinish,Finishing!$A$2:$K$40,9,0)*M18))</f>
        <v>12.975</v>
      </c>
      <c r="O18" s="155">
        <v>1.5</v>
      </c>
      <c r="P18" s="155">
        <v>1.0</v>
      </c>
      <c r="Q18" s="152">
        <f>IF(OR(O18="",P18=""),"",((O18*X18)*(VLOOKUP("Workshop",Labour!$A$3:$E$20,4,0)/8))+((P18*AE18)*(VLOOKUP("Finishing",Labour!$A$3:$E$20,4,0)/8)))</f>
        <v>93.625</v>
      </c>
      <c r="R18" s="152">
        <f t="shared" si="4"/>
        <v>317.671228</v>
      </c>
      <c r="S18" s="156">
        <f>IF(OR(O18="",P18=""),"",IF(OR(ISERROR(FIND("carcass",$A18))=FALSE,ISERROR(FIND("unit",$A18))=FALSE),VLOOKUP(KitchenCarcassMaterial,FixedListsCarcassMaterial,2,0),0))</f>
        <v>1</v>
      </c>
      <c r="T18" s="156">
        <f>IF(OR(O18="",P18=""),"",IF(ISERROR(FIND("door",$A18))=FALSE,VLOOKUP(KitchenDoorStyle,FixedListsDoorStyle,2,0),0))</f>
        <v>0</v>
      </c>
      <c r="U18" s="156">
        <f>IF(OR(O18="",P18=""),"",IF(ISERROR(FIND("door",$A18))=FALSE,VLOOKUP(KitchenDoorMaterial,FixedListsDoorMaterial,2,0),0))</f>
        <v>0</v>
      </c>
      <c r="V18" s="156">
        <f>IF(OR(O18="",P18=""),"",IF(ISERROR(FIND("drawer",$A18))=FALSE,VLOOKUP(KitchenDrawerType,FixedListsDrawerType,2,0),0))</f>
        <v>0</v>
      </c>
      <c r="W18" s="156">
        <f>IF(OR(O18="",P18=""),"",IF(OR(S18&gt;0, T18&gt;0,V18&gt;0),VLOOKUP(KitchenHandleType,FixedListsHandleType,2,FALSE)*IF(KitchenHandleType="Simple",0,IF(S18&gt;0,VLOOKUP(KitchenHandleType,FixedListsHandleType,4,FALSE),IF(OR(T18&gt;0,V18&gt;0),1-VLOOKUP(KitchenHandleType,FixedListsHandleType,4,FALSE),"Error"))),0))</f>
        <v>0</v>
      </c>
      <c r="X18" s="156">
        <f t="shared" si="5"/>
        <v>1</v>
      </c>
      <c r="Y18" s="156">
        <f>IF(OR(O18="",P18=""),"",IF(OR(ISERROR(FIND("carcass",$A18))=FALSE,ISERROR(FIND("unit",$A18))=FALSE),VLOOKUP(KitchenCarcassMaterial,FixedListsCarcassMaterial,3,0),0))</f>
        <v>1</v>
      </c>
      <c r="Z18" s="156">
        <f>IF(OR(O18="",P18=""),"",IF(ISERROR(FIND("door",$A18))=FALSE,VLOOKUP(KitchenDoorStyle,FixedListsDoorStyle,3,0),0))</f>
        <v>0</v>
      </c>
      <c r="AA18" s="156">
        <f>IF(OR(O18="",P18=""),"",IF(ISERROR(FIND("door",$A18))=FALSE,VLOOKUP(KitchenDoorMaterial,FixedListsDoorMaterial,3,0),0))</f>
        <v>0</v>
      </c>
      <c r="AB18" s="156">
        <f>IF(OR(O18="",P18=""),"",IF(ISERROR(FIND("drawer",$A18))=FALSE,VLOOKUP(KitchenDrawerType,FixedListsDrawerType,3,0),0))</f>
        <v>0</v>
      </c>
      <c r="AC18" s="156">
        <f>IF(OR(O18="",P18=""),"",IF(OR(Y18&gt;0,Z18&gt;0,AB18&gt;0),VLOOKUP(KitchenHandleType,FixedListsHandleType,3,FALSE),0))</f>
        <v>1</v>
      </c>
      <c r="AD18" s="156">
        <f>IF(OR(O18="",P18=""),"",IF(OR(ISERROR(FIND("carcass",$A18))=FALSE,ISERROR(FIND("unit",$A18))=FALSE),VLOOKUP(KitchenCarcassFinish,FixedListsFinishes,3,0),IF(OR(ISERROR(FIND("door",$A18))=FALSE,ISERROR(FIND("Plinth",$A18))=FALSE,ISERROR(FIND("Cornice",$A18))=FALSE,ISERROR(FIND("Fillers",$A18))=FALSE,ISERROR(FIND("Pelmet",$A18))=FALSE,ISERROR(FIND("panel",$A18))=FALSE,ISERROR(FIND("post",$A18))=FALSE),VLOOKUP(KitchenDoorFinish,FixedListsFinishes,3,0),IF(OR(ISERROR(FIND("drawer",$A18))=FALSE,ISERROR(FIND("insert",$A18))=FALSE,ISERROR(FIND("rck",$A18))=FALSE),VLOOKUP(KitchenCarcassFinish,FixedListsFinishes,3,0),0))))</f>
        <v>1</v>
      </c>
      <c r="AE18" s="156">
        <f t="shared" si="6"/>
        <v>1</v>
      </c>
      <c r="AF18" s="157" t="str">
        <f>IF(AND(KitchenHandleType="Channel",OR(ISERROR(FIND("arcass",$A18))=FALSE,ISERROR(FIND("unit",$A18))=FALSE)),IF(ISERROR(FIND("Tower",$A18))=TRUE,IF(KitchenHandleFinish="Match carcass",IF(ISERROR(FIND("Walnut",KitchenCarcassMaterial))=FALSE,(0.035*0.075*($C18/1000))*VLOOKUP("Walnut (solid m3)",SolidData,4,FALSE),IF(ISERROR(FIND("Oak",KitchenCarcassMaterial))=FALSE,(0.035*0.075*($C18/1000))*VLOOKUP("Oak (solid m3)",SolidData,4,FALSE),IF(ISERROR(FIND("ply",KitchenCarcassMaterial))=FALSE,(0.1*($C18/1000))*VLOOKUP("Birch ply (24mm)",SheetsData,7,FALSE),IF(ISERROR(FIND("H/F",KitchenCarcassMaterial))=FALSE,(0.1*($C18/1000))*VLOOKUP("H/F (22mm)",SheetsData,7,FALSE),"Carcass - not tower - new material")))),IF(KitchenHandleFinish="Match door",IF(ISERROR(FIND("Walnut",KitchenDoorMaterial))=FALSE,(0.035*0.075*($C18/1000))*VLOOKUP("Walnut (solid m3)",SolidData,4,FALSE),IF(ISERROR(FIND("Oak",KitchenDoorMaterial))=FALSE,(0.035*0.075*($C18/1000))*VLOOKUP("Oak (solid m3)",SolidData,4,FALSE),IF(ISERROR(FIND("ply",KitchenDoorMaterial))=FALSE,(0.1*($C18/1000))*VLOOKUP("Birch ply (24mm)",SheetsData,7,FALSE),IF(ISERROR(FIND("H/F",KitchenCarcassMaterial))=FALSE,(0.1*($C18/1000))*VLOOKUP("H/F (22mm)",SheetsData,7,FALSE),"Door - not tower - new material")))),"Channel - not tower - handle set to other")),IF(ISERROR(FIND("Tower",$A18))=FALSE,IF(KitchenHandleFinish="Match carcass",IF(ISERROR(FIND("Walnut",KitchenCarcassMaterial))=FALSE,(0.035*0.075*($B18/1000))*VLOOKUP("Walnut (solid m3)",SolidData,4,FALSE),IF(ISERROR(FIND("Oak",KitchenCarcassMaterial))=FALSE,(0.035*0.075*($B18/1000))*VLOOKUP("Oak (solid m3)",SolidData,4,FALSE),IF(ISERROR(FIND("ply",KitchenCarcassMaterial))=FALSE,(0.1*($B18/1000))*VLOOKUP("Birch ply (24mm)",SheetsData,7,FALSE),IF(ISERROR(FIND("H/F",KitchenCarcassMaterial))=FALSE,(0.1*($C18/1000))*VLOOKUP("H/F (22mm)",SheetsData,7,FALSE),"Carcass - tower - new material")))),IF(KitchenHandleFinish="Match door",IF(ISERROR(FIND("Walnut",KitchenDoorMaterial))=FALSE,(0.035*0.075*($B18/1000))*VLOOKUP("Walnut (solid m3)",SolidData,4,FALSE),IF(ISERROR(FIND("Oak",KitchenDoorMaterial))=FALSE,(0.035*0.075*($B18/1000))*VLOOKUP("Oak (solid m3)",SolidData,4,FALSE),IF(ISERROR(FIND("ply",KitchenDoorMaterial))=FALSE,(0.1*($B18/1000))*VLOOKUP("Birch ply (24mm)",SheetData,7,FALSE),IF(ISERROR(FIND("H/F",KitchenCarcassMaterial))=FALSE,(0.1*($C18/1000))*VLOOKUP("H/F (22mm)",SheetsData,7,FALSE),"Door - tower - new material")))),"Channel - tower - handle set to other")))),"")</f>
        <v/>
      </c>
    </row>
    <row r="19">
      <c r="A19" s="151" t="s">
        <v>127</v>
      </c>
      <c r="B19" s="115">
        <f t="shared" si="1"/>
        <v>800</v>
      </c>
      <c r="C19" s="115" t="str">
        <f>IFERROR(__xludf.DUMMYFUNCTION("IF(A19="""","""",IF(OR(RIGHT(A19,LEN(A19)-len(regexextract(A19,"".* "")))=""1200"",RIGHT(A19,LEN(A19)-len(regexextract(A19,"".* "")))=""600"",RIGHT(A19,LEN(A19)-len(regexextract(A19,"".* "")))=""400"",RIGHT(A19,LEN(A19)-len(regexextract(A19,"".* "")))=""3"&amp;"00"",RIGHT(A19,LEN(A19)-len(regexextract(A19,"".* "")))=""700"",RIGHT(A19,LEN(A19)-len(regexextract(A19,"".* "")))=""2400"",RIGHT(A19,LEN(A19)-len(regexextract(A19,"".* "")))=""650"",RIGHT(A19,LEN(A19)-len(regexextract(A19,"".* "")))=""350"",RIGHT(A19,LEN"&amp;"(A19)-len(regexextract(A19,"".* "")))=""50""),RIGHT(A19,LEN(A19)-len(regexextract(A19,"".* ""))),IF(OR(ISERROR(FIND(""spacer"",A19))=FALSE,ISERROR(FIND(""filler panel"",A19))=FALSE),""1000"",""Unexpected size in description"")))"),"600")</f>
        <v>600</v>
      </c>
      <c r="D19" s="151">
        <f t="shared" si="2"/>
        <v>600</v>
      </c>
      <c r="E19" s="152">
        <f>IFERROR(__xludf.DUMMYFUNCTION("IF(OR(A19="""",AND(ISERROR(FIND(""drawer box"",A19))=FALSE,KitchenDrawerType="""")),"""",IF(OR(ISERROR(FIND(""larder"",A19))=FALSE,ISERROR(FIND(""fridge/freezer"",A19))=FALSE,ISERROR(FIND(""double oven"",A19))=FALSE,ISERROR(FIND(""single oven"",A19))=FALS"&amp;"E),VLOOKUP(LEFT(A19,FIND("" "",A19))&amp;""carcass ""&amp;RIGHT(A19,LEN(A19)-(LEN(A19)-3)),KitchensData,5,0),IF(ISERROR(FIND(""sink"",A19))=FALSE,VLOOKUP(LEFT(A19,FIND("" "",A19))&amp;""carcass ""&amp;VALUE(REGEXREPLACE(A19,""[^[:digit:]]"", """")),KitchensData,5,0)+(((C"&amp;"19/1000)*(300/1000))*VLOOKUP(KitchenCarcassMaterial,SheetsData,8,0)),IF(ISERROR(FIND(""bins"",A19))=FALSE,IF(ISERROR(FIND(""veneer"",KitchenCarcassMaterial))=FALSE,VLOOKUP(""Base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600"",A19))=FALSE,IF(ISERROR(FIND(""veneer"""&amp;",KitchenCarcassMaterial))=FALSE,0.54*(VLOOKUP(LEFT(KitchenCarcassMaterial,FIND(""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1200"",A19))=FALSE,"&amp;"IF(ISERROR(FIND(""veneer"",KitchenCarcassMaterial))=FALSE,0.84*(VLOOKUP(LEFT(KitchenCarcassMaterial,FIND(""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600"",A19))=FALSE,IF(ISERROR(FIND(""veneer"",KitchenCarcassMaterial))=FALSE,1.44*(VLOOKUP(LEFT(KitchenCarcassMaterial,FIND(""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1200"",A19))=FALSE,IF(ISERROR(FIND(""veneer"",KitchenCarcassMaterial))=FALSE,2.7*(VLOOKUP(LEFT(KitchenCarcassMaterial,FIND(""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front"",A19))=FALSE,((B19/1000)*(C19/1000))*VLOOKUP(KitchenDoorMaterial,SheetsData,8,0),IF(AND(KitchenDrawerType=""Match carcass"",ISERROR(FIND(""drawer box"",A19))=FALSE),(((((B19/1000)*(C19/1000))+((B19/1000"&amp;")*(D19/1000)))*2)*VLOOKUP(KitchenCarcassMaterial,SheetsData,8,0))+(((C19/1000)*(D19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box"",A19))=FALSE),(((((B19/1000)*(C19/1000))+((B19/1000)*(D19/1000)))*2)*(16/1000)*VLOOKUP(LEFT(KitchenCarcassMaterial,FIND("" "&amp;""",KitchenCarcassMaterial))&amp;""(solid m3)"",SolidData,5,0))+(((C19/1000)*(D19/1000))*VLOOKUP(LEFT(KitchenCarcassMaterial,FIND(""("",KitchenCarcassMaterial)-1)&amp;IF(OR(ISERROR(FIND(""ply"",KitchenCarcassMaterial))=FALSE,ISERROR(FIND(""H/F"",KitchenCarcassMate"&amp;"rial))=FALSE),""(9mm)"",""(10mm)""),SheetsData,8,0)),IF(ISERROR(FIND(""spacer"",A19))=FALSE,((D19/1000)*(C19/1000))*VLOOKUP(""Poplar ply (18mm)"",SheetsData,8,0),IF(ISERROR(FIND(""filler panel"",A19))=FALSE,((B19/1000)*(C19/1000))*VLOOKUP(KitchenDoorMater"&amp;"ial,SheetsData,8,0),IF(ISERROR(FIND(""shelf"",A19))=FALSE,((D19/1000)*(C19/1000))*VLOOKUP(KitchenCarcassMaterial,SheetsData,8,0),IF(ISERROR(FIND(""lost corner"",A19))=FALSE,VLOOKUP(LEFT(A19,FIND("" "",A19))&amp;""carcass ""&amp;VALUE(REGEXREPLACE(A19,""[^[:digit:"&amp;"]]"", """")),KitchensData,5,0)+((((B19/1000)*(C19/1000))+((B19/1000)*(60/1000)))*VLOOKUP(KitchenCarcassMaterial,SheetsData,8,0)),IF(ISERROR(FIND(""carcass"",A19))=FALSE,(((((B19/1000)*2)*(D19/1000))+(((C19/1000)*2)*(D19/1000)))*VLOOKUP(KitchenCarcassMater"&amp;"ial,SheetsData,8,0))+((B19/1000)*(C19/1000))*VLOOKUP(LEFT(KitchenCarcassMaterial,FIND(""("",KitchenCarcassMaterial)-1)&amp;IF(OR(ISERROR(FIND(""ply"",KitchenCarcassMaterial))=FALSE,ISERROR(FIND(""H/F"",KitchenCarcassMaterial))=FALSE),""(9mm)"",""(10mm)""),She"&amp;"etsData,8,0),IF(OR(ISERROR(FIND(""Plinth"",A19))=FALSE,ISERROR(FIND(""Cornice (flat)"",A19))=FALSE),((B19/1000)*(C19/1000))*VLOOKUP(""H/F (18mm)"",SheetsData,8,0),IF(ISERROR(FIND(""Cornice (stacked)"",A19))=FALSE,((0.08*(C19/1000))*2)*VLOOKUP(""H/F (22mm)"&amp;""",SheetsData,8,0),IF(ISERROR(FIND(""Base end panel"",A19))=FALSE,VLOOKUP(KitchenDoorMaterial,SheetsData,5,0)/3,IF(ISERROR(FIND(""Wall end panel"",A19))=FALSE,VLOOKUP(KitchenDoorMaterial,SheetsData,5,0)/9,IF(ISERROR(FIND(""Tower end panel"",A19))=FALSE,VL"&amp;"OOKUP(KitchenDoorMaterial,SheetsData,5,0),IF(ISERROR(FIND(""Fillers"",A19))=FALSE,(((0.06*(C19/1000))*2)*VLOOKUP(""H/F (18mm)"",SheetsData,8,0))+(((0.06*(C19/1000))*2)*VLOOKUP(""H/F (9mm)"",SheetsData,8,0)),IF(ISERROR(FIND(""corner post"",A19))=FALSE,(((B"&amp;"19/1000)*0.05)*2)*VLOOKUP(KitchenDoorMaterial,SheetsData,8,0),IF(ISERROR(FIND(""Pelmet"",A19))=FALSE,((((B19/1000)*(C19/1000))*2)*VLOOKUP(""H/F (18mm)"",SheetsData,8,0)),IF(ISERROR(FIND(""door"",A19))=TRUE,""Check description"",IF(KitchenDoorStyle=""Flat"&amp;""",((B19/1000)*(C19/1000))*VLOOKUP(KitchenDoorMaterial,SheetsData,8,0),IF(LEFT(KitchenDoorStyle,5)=""Panel"",(((((B19/1000)*2)*0.08)+((((C19/1000)-0.16)*2)*0.08))*VLOOKUP(""H/F (22mm)"",SheetsData,8,0))+(((B19/1000)-0.14)*((C19/1000)-0.14)*VLOOKUP(""H/F ("&amp;"9mm)"",SheetsData,8,0)),IF(KitchenDoorStyle=""In-frame flat"",((((((B19/1000)*0.019)*0.038)+((((C19-38)/1000)*0.038)*0.038))*2)*VLOOKUP(""Tulip (solid m3)"",SolidData,5,0))+(((B19-76)/1000)*((C19-38)/1000))*VLOOKUP(""H/F (22mm)"",SheetsData,8,0),IF(LEFT(K"&amp;"itchenDoorStyle,14)=""In-frame panel"",(((((((B19/1000)*0.019)*0.038)+((((C19-38)/1000)*0.038)*0.038))*2)*VLOOKUP(""Tulip (solid m3)"",SolidData,5,0))+(((((((B19-76)/1000)*2)*0.08)+(((((C19-198)/1000)*2)*0.08)))*VLOOKUP(""H/F (22mm)"",SheetsData,8,0))+((("&amp;"B19-216)/1000)*((C19-178)/1000)*VLOOKUP(""H/F (9mm)"",SheetsData,8,0)))))))))))))))))))))))))))))))))"),83.70653050255308)</f>
        <v>83.7065305</v>
      </c>
      <c r="F19" s="152">
        <f>IFERROR(__xludf.DUMMYFUNCTION("IF(OR(A19="""",AND(ISERROR(FIND(""drawer box"",A19))=FALSE,KitchenDrawerType=""Solid dovetail"")),"""",IF(ISERROR(FIND(""bins"",A19))=FALSE,VLOOKUP(""Base carcass 600"",KitchensData,6,0),IF(OR(ISERROR(FIND(""larder"",A19))=FALSE,ISERROR(FIND(""unit"",A19)"&amp;")=FALSE),VLOOKUP(LEFT(A19,FIND("" "",A19))&amp;""carcass ""&amp;RIGHT(A19,LEN(A19)-len(regexextract(A19,"".* ""))),KitchensData,6,0),IF(ISERROR(FIND(""drawer front"",A19))=FALSE,IF(ISERROR(FIND(""veneer"",KitchenCarcassMaterial))=TRUE,0,(((B19+C19)/1000)*2)*VLOOK"&amp;"UP(""Edge banding (per M)"",SheetsData,5,0)),IF(ISERROR(FIND(""drawer box"",A19))=FALSE,IF(ISERROR(FIND(""veneer"",KitchenCarcassMaterial))=TRUE,0,(((C19+D19)/1000)*2)*VLOOKUP(""Edge banding (per M)"",SheetsData,5,0)),IF(ISERROR(FIND(""shelf"",A19))=FALSE"&amp;",IF(ISERROR(FIND(""veneer"",KitchenCarcassMaterial))=TRUE,0,(C19/1000)*VLOOKUP(""Edge banding (per M)"",SheetsData,5,0)),IF(AND(ISERROR(FIND(""carcass"",A19))=FALSE,ISERROR(FIND(""shelf"",A19))=TRUE),IF(ISERROR(FIND(""veneer"",KitchenCarcassMaterial))=TRU"&amp;"E,0,((2*(B19+C19))/1000)*VLOOKUP(""Edge banding (per M)"",SheetsData,5,0)),IF(ISERROR(FIND(""door"",A19))=TRUE,"""",IF(ISERROR(FIND(""veneer"",KitchenDoorMaterial))=TRUE,"""",((2*(B19+C19))/1000)*VLOOKUP(""Edge banding (per M)"",SheetsData,5,0))))))))))"),0.0)</f>
        <v>0</v>
      </c>
      <c r="G19" s="153">
        <f>IF(A19="","",IF(ISERROR(FIND("bins",A19))=FALSE,VLOOKUP("Base carcass 600",KitchensData,7,0),IF(OR(ISERROR(FIND("larder",A19))=FALSE,ISERROR(FIND("fridge/freezer",A19))=FALSE,ISERROR(FIND("double oven",A19))=FALSE,ISERROR(FIND("single oven",A19))=FALSE),VLOOKUP(LEFT(A19,FIND(" ",A19))&amp;"carcass "&amp;RIGHT(A19,LEN(A19)-(LEN(A19)-3)),KitchensData,7,0),IF(AND(ISERROR(FIND("carcass",A19))=FALSE,ISERROR(FIND("shelf",A19))=TRUE),IF(OR(ISERROR(FIND("Base",A19))=FALSE,ISERROR(FIND("Tower",A19))=FALSE),IF(OR(ISERROR(FIND("1200",A19))=FALSE, ISERROR(FIND("lost corner",A19))=FALSE),6*VLOOKUP("Plinth foot (2 Parts 80mm)",FurnitureData,5,0),4*VLOOKUP("Plinth foot (2 Parts 80mm)",FurnitureData,5,0)),""),""))))</f>
        <v>5.7</v>
      </c>
      <c r="H19" s="115" t="str">
        <f>IF(OR(A19="",ISERROR(FIND("door",A19))=TRUE),"",IF(ISERROR(FIND("Wall",A19))=FALSE,VLOOKUP("Hinges &amp; plates (Hettich thick door)",FurnitureData,5,0)*2,IF(ISERROR(FIND("Base",A19))=FALSE,VLOOKUP("Hinges &amp; plates (Hettich thick door)",FurnitureData,5,0)*3,IF(ISERROR(FIND("Boiler",A19))=FALSE,VLOOKUP("Hinges &amp; plates (Hettich thick door)",FurnitureData,5,0)*4,IF(ISERROR(FIND("Tower",A19))=FALSE,VLOOKUP("Hinges &amp; plates (Hettich thick door)",FurnitureData,5,0)*5)))))</f>
        <v/>
      </c>
      <c r="I19" s="115" t="str">
        <f>IF(ISERROR(FIND("shelf",A19))=FALSE,(VLOOKUP("Shelf pegs",FurnitureData,5,0)/100)*4,"")</f>
        <v/>
      </c>
      <c r="J19" s="152">
        <f>IF(OR(ISERROR(FIND("fridge/freezer",A19))=FALSE,ISERROR(FIND("larder",A19))=FALSE,AND(ISERROR(FIND("Base",A19))=FALSE,ISERROR(FIND("bins",A19))=TRUE,ISERROR(FIND("no shelves",A19))=TRUE,OR(ISERROR(FIND("carcass",A19))=FALSE,ISERROR(FIND("unit",A19))=FALSE))),VLOOKUP("Deep shelf "&amp;C19,KitchensData,18,0),IF(AND(ISERROR(FIND("Wall",A19))=FALSE,ISERROR(FIND("carcass",A19))=FALSE),2*VLOOKUP("Shallow shelf "&amp;C19,KitchensData,18,0),IF(AND(ISERROR(FIND("Tower",A19))=FALSE,ISERROR(FIND("oven",A19))=FALSE),4*VLOOKUP("Deep shelf "&amp;C19,KitchensData,18,0),IF(AND(ISERROR(FIND("Tower",A19))=FALSE,ISERROR(FIND("carcass",A19))=FALSE),5*VLOOKUP("Deep shelf "&amp;C19,KitchensData,18,0),""))))</f>
        <v>53.89994125</v>
      </c>
      <c r="K19" s="152" t="str">
        <f>IF(ISERROR(FIND("sink",A19))=FALSE,VLOOKUP("Sink liner - Aluminium "&amp;RIGHT(A19,LEN(A19)-22)&amp;"mm",ExceptionalData,5,0),IF(ISERROR(FIND("bins",A19))=FALSE,VLOOKUP("Drawer runners and clip set for bin unit (500) Dynapro",FurnitureData,5,0)+(2*VLOOKUP("Bin (42L Anthracite)",FurnitureData,5,0)),IF(ISERROR(FIND("larder",A19))=FALSE,VLOOKUP("Pull out larder unit 600mm",FurnitureData,5,0),IF(AND(ISERROR(FIND("drawer box",A19))=FALSE,ISERROR(FIND("internal",A19))=TRUE),VLOOKUP("Drawer runners and clip set (550) Dynapro",FurnitureData,5,0),IF(ISERROR(FIND("internal drawer box",A19))=FALSE,VLOOKUP("Drawer runners and clip set (450) Dynapro",FurnitureData,5,0),"")))))</f>
        <v/>
      </c>
      <c r="L19" s="152">
        <f t="shared" si="3"/>
        <v>143.3064718</v>
      </c>
      <c r="M19" s="154">
        <f>IFERROR(__xludf.DUMMYFUNCTION("IF(A19="""","""",IF(OR(ISERROR(FIND(""larder"",A19))=FALSE,ISERROR(FIND(""unit"",A19))=FALSE),VLOOKUP(LEFT(A19,FIND("" "",A19))&amp;""carcass ""&amp;RIGHT(A19,LEN(A19)-len(regexextract(A19,"".* ""))),KitchensData,13,0),IF(ISERROR(FIND(""bins"",A19))=FALSE,0.95,IF"&amp;"(ISERROR(FIND(""Cutlery insert 600"",A19))=FALSE,1.3,IF(ISERROR(FIND(""Cutlery insert 1200"",A19))=FALSE,2,IF(ISERROR(FIND(""Pan/tray rack 600"",A19))=FALSE,3.25,IF(ISERROR(FIND(""Pan/tray rack 1200"",A19))=FALSE,5.9,IF(ISERROR(FIND(""split"",A19))=FALSE,"&amp;"(((C19/1000)*0.022)*2)+VLOOKUP(SUBSTITUTE(A19,"" split"",""""),KitchensData,13,0),IF(AND(ISERROR(FIND(""drawer front"",A19))=FALSE,KitchenDoorStyle=""Flat""),(((B19/1000)*(C19/1000))*2)+((((B19+C19)/1000)*2)*0.022),IF(AND(ISERROR(FIND(""drawer front"",A19"&amp;"))=FALSE,LEFT(KitchenDoorStyle,5)=""Panel""),(((B19/1000)*(C19/1000))*2)+((((B19+C19)/1000)*2)*0.022)+((((C19/1000)-0.16)*0.013)*2)+((((D19/1000)-0.16)*0.013)*2),IF(AND(ISERROR(FIND(""drawer front"",A19))=FALSE,KitchenDoorStyle=""In-frame flat""),((((B19-"&amp;"76)/1000)*((C19-38)/1000))*2)+(MID(KitchenDoorMaterial,FIND(""("",KitchenDoorMaterial)+1,2)/1000)*((((B19-76)+(C19-38))/1000)*2)+(((B19/1000)*0.032)*2)+((((B19-76)/1000)*0.032)*2)+(((B19/1000)*0.019)*4)+(((C19/1000)*0.032)*2)+((((C19-38)/1000)*0.032)*2)+("&amp;"((C19/1000)*0.038)*4),IF(AND(ISERROR(FIND(""drawer front"",A19))=FALSE,LEFT(KitchenDoorStyle,14)=""In-frame panel""),((((B19-76)/1000)*((C19-38)/1000))*2)+((MID(KitchenDoorMaterial,FIND(""("",KitchenDoorMaterial)+1,2)/1000)*((((B19-76)+(C19-38))/1000)*2))"&amp;"+((((B19-236)/1000)+((C19-198)/1000)*2)*0.013)+(((B19/1000)*0.032)*2)+((((B19-76)/1000)*0.032)*2)+(((B19/1000)*0.019)*4)+(((C19/1000)*0.032)*2)+((((C19-38)/1000)*0.032)*2)+(((C19/1000)*0.038)*4),IF(ISERROR(FIND(""drawer box"",A19))=FALSE,((((B19/1000)*(D1"&amp;"9/1000))+((B19/1000)*(C19/1000)))*4)+((((D19/1000)+(C19/1000))*0.016)*4)+(((C19/1000)*(D19/1000))*2),IF(OR(ISERROR(FIND(""shelf"",A19))=FALSE,ISERROR(FIND(""spacer"",A19))=FALSE,,ISERROR(FIND(""filler panel"",A19))=FALSE),(((C19/1000)*(D19/1000))*2)+((((C"&amp;"19+D19)*2)/1000)*0.022),IF(ISERROR(FIND(""lost corner"",A19))=FALSE,(((B19/1000)*(C19/1000))*2)+((B19/1000)*(C19/1000))+((B19/1000)*((C19/2)/1000))+((((B19/1000)*0.025)+((C19/1000)*0.025))*2),IF(ISERROR(FIND(""carcass"",A19))=FALSE,(((C19/1000)*(D19/1000)"&amp;")*2)+(((B19/1000)*(D19/1000))*2)+((B19/1000)*(C19/1000))+((((B19/1000)*0.025)+((C19/1000)*0.025))*2),IF(AND(ISERROR(FIND(""door"",A19))=FALSE,KitchenDoorStyle=""Flat""),(((B19/1000)*(C19/1000))*2)+(MID(KitchenDoorMaterial,FIND(""("",KitchenDoorMaterial)+1"&amp;",2)/1000)*(((B19+C19)/1000)*2),IF(AND(ISERROR(FIND(""door"",A19))=FALSE,LEFT(KitchenDoorStyle,5)=""Panel""),(((B19/1000)*(C19/1000))*2)+((MID(KitchenDoorMaterial,FIND(""("",KitchenDoorMaterial)+1,2)/1000)*(((B19+C19)/1000)*2))+(((((B19-160)+(C19-160))*2)/"&amp;"1000)*(0.013)),IF(AND(ISERROR(FIND(""door"",A19))=FALSE,KitchenDoorStyle=""In-frame flat""),((((B19-76)/1000)*((C19-38)/1000))*2)+(MID(KitchenDoorMaterial,FIND(""("",KitchenDoorMaterial)+1,2)/1000)*((((B19-76)+(C19-38))/1000)*2)+(((B19/1000)*0.032)*2)+((("&amp;"(B19-76)/1000)*0.032)*2)+(((B19/1000)*0.019)*4)+(((C19/1000)*0.032)*2)+((((C19-38)/1000)*0.032)*2)+(((C19/1000)*0.038)*4),IF(AND(ISERROR(FIND(""door"",A19))=FALSE,LEFT(KitchenDoorStyle,14)=""In-frame panel""),((((B19-76)/1000)*((C19-38)/1000))*2)+((MID(Ki"&amp;"tchenDoorMaterial,FIND(""("",KitchenDoorMaterial)+1,2)/1000)*((((B19-76)+(C19-38))/1000)*2))+((((B19-236)/1000)+((C19-198)/1000)*2)*0.013)+(((B19/1000)*0.032)*2)+((((B19-76)/1000)*0.032)*2)+(((B19/1000)*0.019)*4)+(((C19/1000)*0.032)*2)+((((C19-38)/1000)*0"&amp;".032)*2)+(((C19/1000)*0.038)*4),IF(ISERROR(FIND(""Plinth"",A19))=FALSE,((B19/1000)*(C19/1000))+(((C19/1000)*0.018)*2)+(((B19/1000)*0.018)*2),IF(ISERROR(FIND(""Cornice"",A19))=FALSE,(((C19/1000)*0.1)*2)+(((C19/1000)*0.044)*2)+(((B19/1000)*0.08)*2),IF(ISERR"&amp;"OR(FIND(""Base end panel"",A19))=FALSE,((B19/1000)*(C19/1000))+(0.022*((B19/1000)+((C19/1000)*2)))+((B19/1000)*0.05),IF(ISERROR(FIND(""Wall end panel"",A19))=FALSE,((B19/1000)*(C19/1000))+(0.022*((B19/1000)+((C19/1000)*2)))+((B19/1000)*0.05),IF(ISERROR(FI"&amp;"ND(""Tower end panel"",A19))=FALSE,((B19/1000)*(C19/1000))+(0.022*((B19/1000)+((C19/1000)*2)))+((B19/1000)*0.05),IF(ISERROR(FIND(""Fillers"",A19))=FALSE,((C19/1000)*0.06)+((C19/1000)*0.069)+((0.06*0.018)*2)+((0.06*0.009)*2)+((C19/1000)*0.009)+((C19/1000)*"&amp;"0.018),IF(ISERROR(FIND(""corner post"",A19))=FALSE,(((B19/1000*0.05)*2)+((B19/1000)*0.022)*2)+((B19/1000)*0.072)+((B19/1000)*0.05)+((0.072*0.022)*2)+((0.05*0.022)*2),IF(ISERROR(FIND(""Pelmet"",A19))=FALSE,((C19/1000)*0.05)+((C19/1000)*0.068)+((0.05*0.018)"&amp;"*4)+(((C19/1000)*0.018))*2))))))))))))))))))))))))))))"),1.75)</f>
        <v>1.75</v>
      </c>
      <c r="N19" s="152">
        <f>IF(M19="","",IF(AND(ISERROR(FIND("carcass",A19))=TRUE,ISERROR(FIND("unit",A19))=TRUE,ISERROR(FIND("insert",A19))=TRUE,ISERROR(FIND("rack",A19))=TRUE,ISERROR(FIND("box",A19))=TRUE,ISERROR(FIND("shelf",#REF!))=TRUE),VLOOKUP(KitchenDoorFinish,Finishing!$A$2:$K$10,9,0)*M19,VLOOKUP(KitchenCarcassFinish,Finishing!$A$2:$K$40,9,0)*M19))</f>
        <v>6.5625</v>
      </c>
      <c r="O19" s="155">
        <v>1.5</v>
      </c>
      <c r="P19" s="155">
        <v>1.0</v>
      </c>
      <c r="Q19" s="152">
        <f>IF(OR(O19="",P19=""),"",((O19*X19)*(VLOOKUP("Workshop",Labour!$A$3:$E$20,4,0)/8))+((P19*AE19)*(VLOOKUP("Finishing",Labour!$A$3:$E$20,4,0)/8)))</f>
        <v>93.625</v>
      </c>
      <c r="R19" s="152">
        <f t="shared" si="4"/>
        <v>243.4939718</v>
      </c>
      <c r="S19" s="156">
        <f>IF(OR(O19="",P19=""),"",IF(OR(ISERROR(FIND("carcass",$A19))=FALSE,ISERROR(FIND("unit",$A19))=FALSE),VLOOKUP(KitchenCarcassMaterial,FixedListsCarcassMaterial,2,0),0))</f>
        <v>1</v>
      </c>
      <c r="T19" s="156">
        <f>IF(OR(O19="",P19=""),"",IF(ISERROR(FIND("door",$A19))=FALSE,VLOOKUP(KitchenDoorStyle,FixedListsDoorStyle,2,0),0))</f>
        <v>0</v>
      </c>
      <c r="U19" s="156">
        <f>IF(OR(O19="",P19=""),"",IF(ISERROR(FIND("door",$A19))=FALSE,VLOOKUP(KitchenDoorMaterial,FixedListsDoorMaterial,2,0),0))</f>
        <v>0</v>
      </c>
      <c r="V19" s="156">
        <f>IF(OR(O19="",P19=""),"",IF(ISERROR(FIND("drawer",$A19))=FALSE,VLOOKUP(KitchenDrawerType,FixedListsDrawerType,2,0),0))</f>
        <v>0</v>
      </c>
      <c r="W19" s="156">
        <f>IF(OR(O19="",P19=""),"",IF(OR(S19&gt;0, T19&gt;0,V19&gt;0),VLOOKUP(KitchenHandleType,FixedListsHandleType,2,FALSE)*IF(KitchenHandleType="Simple",0,IF(S19&gt;0,VLOOKUP(KitchenHandleType,FixedListsHandleType,4,FALSE),IF(OR(T19&gt;0,V19&gt;0),1-VLOOKUP(KitchenHandleType,FixedListsHandleType,4,FALSE),"Error"))),0))</f>
        <v>0</v>
      </c>
      <c r="X19" s="156">
        <f t="shared" si="5"/>
        <v>1</v>
      </c>
      <c r="Y19" s="156">
        <f>IF(OR(O19="",P19=""),"",IF(OR(ISERROR(FIND("carcass",$A19))=FALSE,ISERROR(FIND("unit",$A19))=FALSE),VLOOKUP(KitchenCarcassMaterial,FixedListsCarcassMaterial,3,0),0))</f>
        <v>1</v>
      </c>
      <c r="Z19" s="156">
        <f>IF(OR(O19="",P19=""),"",IF(ISERROR(FIND("door",$A19))=FALSE,VLOOKUP(KitchenDoorStyle,FixedListsDoorStyle,3,0),0))</f>
        <v>0</v>
      </c>
      <c r="AA19" s="156">
        <f>IF(OR(O19="",P19=""),"",IF(ISERROR(FIND("door",$A19))=FALSE,VLOOKUP(KitchenDoorMaterial,FixedListsDoorMaterial,3,0),0))</f>
        <v>0</v>
      </c>
      <c r="AB19" s="156">
        <f>IF(OR(O19="",P19=""),"",IF(ISERROR(FIND("drawer",$A19))=FALSE,VLOOKUP(KitchenDrawerType,FixedListsDrawerType,3,0),0))</f>
        <v>0</v>
      </c>
      <c r="AC19" s="156">
        <f>IF(OR(O19="",P19=""),"",IF(OR(Y19&gt;0,Z19&gt;0,AB19&gt;0),VLOOKUP(KitchenHandleType,FixedListsHandleType,3,FALSE),0))</f>
        <v>1</v>
      </c>
      <c r="AD19" s="156">
        <f>IF(OR(O19="",P19=""),"",IF(OR(ISERROR(FIND("carcass",$A19))=FALSE,ISERROR(FIND("unit",$A19))=FALSE),VLOOKUP(KitchenCarcassFinish,FixedListsFinishes,3,0),IF(OR(ISERROR(FIND("door",$A19))=FALSE,ISERROR(FIND("Plinth",$A19))=FALSE,ISERROR(FIND("Cornice",$A19))=FALSE,ISERROR(FIND("Fillers",$A19))=FALSE,ISERROR(FIND("Pelmet",$A19))=FALSE,ISERROR(FIND("panel",$A19))=FALSE,ISERROR(FIND("post",$A19))=FALSE),VLOOKUP(KitchenDoorFinish,FixedListsFinishes,3,0),IF(OR(ISERROR(FIND("drawer",$A19))=FALSE,ISERROR(FIND("insert",$A19))=FALSE,ISERROR(FIND("rck",$A19))=FALSE),VLOOKUP(KitchenCarcassFinish,FixedListsFinishes,3,0),0))))</f>
        <v>1</v>
      </c>
      <c r="AE19" s="156">
        <f t="shared" si="6"/>
        <v>1</v>
      </c>
      <c r="AF19" s="157" t="str">
        <f>IF(AND(KitchenHandleType="Channel",OR(ISERROR(FIND("arcass",$A19))=FALSE,ISERROR(FIND("unit",$A19))=FALSE)),IF(ISERROR(FIND("Tower",$A19))=TRUE,IF(KitchenHandleFinish="Match carcass",IF(ISERROR(FIND("Walnut",KitchenCarcassMaterial))=FALSE,(0.035*0.075*($C19/1000))*VLOOKUP("Walnut (solid m3)",SolidData,4,FALSE),IF(ISERROR(FIND("Oak",KitchenCarcassMaterial))=FALSE,(0.035*0.075*($C19/1000))*VLOOKUP("Oak (solid m3)",SolidData,4,FALSE),IF(ISERROR(FIND("ply",KitchenCarcassMaterial))=FALSE,(0.1*($C19/1000))*VLOOKUP("Birch ply (24mm)",SheetsData,7,FALSE),IF(ISERROR(FIND("H/F",KitchenCarcassMaterial))=FALSE,(0.1*($C19/1000))*VLOOKUP("H/F (22mm)",SheetsData,7,FALSE),"Carcass - not tower - new material")))),IF(KitchenHandleFinish="Match door",IF(ISERROR(FIND("Walnut",KitchenDoorMaterial))=FALSE,(0.035*0.075*($C19/1000))*VLOOKUP("Walnut (solid m3)",SolidData,4,FALSE),IF(ISERROR(FIND("Oak",KitchenDoorMaterial))=FALSE,(0.035*0.075*($C19/1000))*VLOOKUP("Oak (solid m3)",SolidData,4,FALSE),IF(ISERROR(FIND("ply",KitchenDoorMaterial))=FALSE,(0.1*($C19/1000))*VLOOKUP("Birch ply (24mm)",SheetsData,7,FALSE),IF(ISERROR(FIND("H/F",KitchenCarcassMaterial))=FALSE,(0.1*($C19/1000))*VLOOKUP("H/F (22mm)",SheetsData,7,FALSE),"Door - not tower - new material")))),"Channel - not tower - handle set to other")),IF(ISERROR(FIND("Tower",$A19))=FALSE,IF(KitchenHandleFinish="Match carcass",IF(ISERROR(FIND("Walnut",KitchenCarcassMaterial))=FALSE,(0.035*0.075*($B19/1000))*VLOOKUP("Walnut (solid m3)",SolidData,4,FALSE),IF(ISERROR(FIND("Oak",KitchenCarcassMaterial))=FALSE,(0.035*0.075*($B19/1000))*VLOOKUP("Oak (solid m3)",SolidData,4,FALSE),IF(ISERROR(FIND("ply",KitchenCarcassMaterial))=FALSE,(0.1*($B19/1000))*VLOOKUP("Birch ply (24mm)",SheetsData,7,FALSE),IF(ISERROR(FIND("H/F",KitchenCarcassMaterial))=FALSE,(0.1*($C19/1000))*VLOOKUP("H/F (22mm)",SheetsData,7,FALSE),"Carcass - tower - new material")))),IF(KitchenHandleFinish="Match door",IF(ISERROR(FIND("Walnut",KitchenDoorMaterial))=FALSE,(0.035*0.075*($B19/1000))*VLOOKUP("Walnut (solid m3)",SolidData,4,FALSE),IF(ISERROR(FIND("Oak",KitchenDoorMaterial))=FALSE,(0.035*0.075*($B19/1000))*VLOOKUP("Oak (solid m3)",SolidData,4,FALSE),IF(ISERROR(FIND("ply",KitchenDoorMaterial))=FALSE,(0.1*($B19/1000))*VLOOKUP("Birch ply (24mm)",SheetData,7,FALSE),IF(ISERROR(FIND("H/F",KitchenCarcassMaterial))=FALSE,(0.1*($C19/1000))*VLOOKUP("H/F (22mm)",SheetsData,7,FALSE),"Door - tower - new material")))),"Channel - tower - handle set to other")))),"")</f>
        <v/>
      </c>
    </row>
    <row r="20">
      <c r="A20" s="151" t="s">
        <v>128</v>
      </c>
      <c r="B20" s="115">
        <f t="shared" si="1"/>
        <v>800</v>
      </c>
      <c r="C20" s="115" t="str">
        <f>IFERROR(__xludf.DUMMYFUNCTION("IF(A20="""","""",IF(OR(RIGHT(A20,LEN(A20)-len(regexextract(A20,"".* "")))=""1200"",RIGHT(A20,LEN(A20)-len(regexextract(A20,"".* "")))=""600"",RIGHT(A20,LEN(A20)-len(regexextract(A20,"".* "")))=""400"",RIGHT(A20,LEN(A20)-len(regexextract(A20,"".* "")))=""3"&amp;"00"",RIGHT(A20,LEN(A20)-len(regexextract(A20,"".* "")))=""700"",RIGHT(A20,LEN(A20)-len(regexextract(A20,"".* "")))=""2400"",RIGHT(A20,LEN(A20)-len(regexextract(A20,"".* "")))=""650"",RIGHT(A20,LEN(A20)-len(regexextract(A20,"".* "")))=""350"",RIGHT(A20,LEN"&amp;"(A20)-len(regexextract(A20,"".* "")))=""50""),RIGHT(A20,LEN(A20)-len(regexextract(A20,"".* ""))),IF(OR(ISERROR(FIND(""spacer"",A20))=FALSE,ISERROR(FIND(""filler panel"",A20))=FALSE),""1000"",""Unexpected size in description"")))"),"400")</f>
        <v>400</v>
      </c>
      <c r="D20" s="151">
        <f t="shared" si="2"/>
        <v>600</v>
      </c>
      <c r="E20" s="152">
        <f>IFERROR(__xludf.DUMMYFUNCTION("IF(OR(A20="""",AND(ISERROR(FIND(""drawer box"",A20))=FALSE,KitchenDrawerType="""")),"""",IF(OR(ISERROR(FIND(""larder"",A20))=FALSE,ISERROR(FIND(""fridge/freezer"",A20))=FALSE,ISERROR(FIND(""double oven"",A20))=FALSE,ISERROR(FIND(""single oven"",A20))=FALS"&amp;"E),VLOOKUP(LEFT(A20,FIND("" "",A20))&amp;""carcass ""&amp;RIGHT(A20,LEN(A20)-(LEN(A20)-3)),KitchensData,5,0),IF(ISERROR(FIND(""sink"",A20))=FALSE,VLOOKUP(LEFT(A20,FIND("" "",A20))&amp;""carcass ""&amp;VALUE(REGEXREPLACE(A20,""[^[:digit:]]"", """")),KitchensData,5,0)+(((C"&amp;"20/1000)*(300/1000))*VLOOKUP(KitchenCarcassMaterial,SheetsData,8,0)),IF(ISERROR(FIND(""bins"",A20))=FALSE,IF(ISERROR(FIND(""veneer"",KitchenCarcassMaterial))=FALSE,VLOOKUP(""Base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600"",A20))=FALSE,IF(ISERROR(FIND(""veneer"""&amp;",KitchenCarcassMaterial))=FALSE,0.54*(VLOOKUP(LEFT(KitchenCarcassMaterial,FIND(""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1200"",A20))=FALSE,"&amp;"IF(ISERROR(FIND(""veneer"",KitchenCarcassMaterial))=FALSE,0.84*(VLOOKUP(LEFT(KitchenCarcassMaterial,FIND(""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600"",A20))=FALSE,IF(ISERROR(FIND(""veneer"",KitchenCarcassMaterial))=FALSE,1.44*(VLOOKUP(LEFT(KitchenCarcassMaterial,FIND(""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1200"",A20))=FALSE,IF(ISERROR(FIND(""veneer"",KitchenCarcassMaterial))=FALSE,2.7*(VLOOKUP(LEFT(KitchenCarcassMaterial,FIND(""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front"",A20))=FALSE,((B20/1000)*(C20/1000))*VLOOKUP(KitchenDoorMaterial,SheetsData,8,0),IF(AND(KitchenDrawerType=""Match carcass"",ISERROR(FIND(""drawer box"",A20))=FALSE),(((((B20/1000)*(C20/1000))+((B20/1000"&amp;")*(D20/1000)))*2)*VLOOKUP(KitchenCarcassMaterial,SheetsData,8,0))+(((C20/1000)*(D20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box"",A20))=FALSE),(((((B20/1000)*(C20/1000))+((B20/1000)*(D20/1000)))*2)*(16/1000)*VLOOKUP(LEFT(KitchenCarcassMaterial,FIND("" "&amp;""",KitchenCarcassMaterial))&amp;""(solid m3)"",SolidData,5,0))+(((C20/1000)*(D20/1000))*VLOOKUP(LEFT(KitchenCarcassMaterial,FIND(""("",KitchenCarcassMaterial)-1)&amp;IF(OR(ISERROR(FIND(""ply"",KitchenCarcassMaterial))=FALSE,ISERROR(FIND(""H/F"",KitchenCarcassMate"&amp;"rial))=FALSE),""(9mm)"",""(10mm)""),SheetsData,8,0)),IF(ISERROR(FIND(""spacer"",A20))=FALSE,((D20/1000)*(C20/1000))*VLOOKUP(""Poplar ply (18mm)"",SheetsData,8,0),IF(ISERROR(FIND(""filler panel"",A20))=FALSE,((B20/1000)*(C20/1000))*VLOOKUP(KitchenDoorMater"&amp;"ial,SheetsData,8,0),IF(ISERROR(FIND(""shelf"",A20))=FALSE,((D20/1000)*(C20/1000))*VLOOKUP(KitchenCarcassMaterial,SheetsData,8,0),IF(ISERROR(FIND(""lost corner"",A20))=FALSE,VLOOKUP(LEFT(A20,FIND("" "",A20))&amp;""carcass ""&amp;VALUE(REGEXREPLACE(A20,""[^[:digit:"&amp;"]]"", """")),KitchensData,5,0)+((((B20/1000)*(C20/1000))+((B20/1000)*(60/1000)))*VLOOKUP(KitchenCarcassMaterial,SheetsData,8,0)),IF(ISERROR(FIND(""carcass"",A20))=FALSE,(((((B20/1000)*2)*(D20/1000))+(((C20/1000)*2)*(D20/1000)))*VLOOKUP(KitchenCarcassMater"&amp;"ial,SheetsData,8,0))+((B20/1000)*(C20/1000))*VLOOKUP(LEFT(KitchenCarcassMaterial,FIND(""("",KitchenCarcassMaterial)-1)&amp;IF(OR(ISERROR(FIND(""ply"",KitchenCarcassMaterial))=FALSE,ISERROR(FIND(""H/F"",KitchenCarcassMaterial))=FALSE),""(9mm)"",""(10mm)""),She"&amp;"etsData,8,0),IF(OR(ISERROR(FIND(""Plinth"",A20))=FALSE,ISERROR(FIND(""Cornice (flat)"",A20))=FALSE),((B20/1000)*(C20/1000))*VLOOKUP(""H/F (18mm)"",SheetsData,8,0),IF(ISERROR(FIND(""Cornice (stacked)"",A20))=FALSE,((0.08*(C20/1000))*2)*VLOOKUP(""H/F (22mm)"&amp;""",SheetsData,8,0),IF(ISERROR(FIND(""Base end panel"",A20))=FALSE,VLOOKUP(KitchenDoorMaterial,SheetsData,5,0)/3,IF(ISERROR(FIND(""Wall end panel"",A20))=FALSE,VLOOKUP(KitchenDoorMaterial,SheetsData,5,0)/9,IF(ISERROR(FIND(""Tower end panel"",A20))=FALSE,VL"&amp;"OOKUP(KitchenDoorMaterial,SheetsData,5,0),IF(ISERROR(FIND(""Fillers"",A20))=FALSE,(((0.06*(C20/1000))*2)*VLOOKUP(""H/F (18mm)"",SheetsData,8,0))+(((0.06*(C20/1000))*2)*VLOOKUP(""H/F (9mm)"",SheetsData,8,0)),IF(ISERROR(FIND(""corner post"",A20))=FALSE,(((B"&amp;"20/1000)*0.05)*2)*VLOOKUP(KitchenDoorMaterial,SheetsData,8,0),IF(ISERROR(FIND(""Pelmet"",A20))=FALSE,((((B20/1000)*(C20/1000))*2)*VLOOKUP(""H/F (18mm)"",SheetsData,8,0)),IF(ISERROR(FIND(""door"",A20))=TRUE,""Check description"",IF(KitchenDoorStyle=""Flat"&amp;""",((B20/1000)*(C20/1000))*VLOOKUP(KitchenDoorMaterial,SheetsData,8,0),IF(LEFT(KitchenDoorStyle,5)=""Panel"",(((((B20/1000)*2)*0.08)+((((C20/1000)-0.16)*2)*0.08))*VLOOKUP(""H/F (22mm)"",SheetsData,8,0))+(((B20/1000)-0.14)*((C20/1000)-0.14)*VLOOKUP(""H/F ("&amp;"9mm)"",SheetsData,8,0)),IF(KitchenDoorStyle=""In-frame flat"",((((((B20/1000)*0.019)*0.038)+((((C20-38)/1000)*0.038)*0.038))*2)*VLOOKUP(""Tulip (solid m3)"",SolidData,5,0))+(((B20-76)/1000)*((C20-38)/1000))*VLOOKUP(""H/F (22mm)"",SheetsData,8,0),IF(LEFT(K"&amp;"itchenDoorStyle,14)=""In-frame panel"",(((((((B20/1000)*0.019)*0.038)+((((C20-38)/1000)*0.038)*0.038))*2)*VLOOKUP(""Tulip (solid m3)"",SolidData,5,0))+(((((((B20-76)/1000)*2)*0.08)+(((((C20-198)/1000)*2)*0.08)))*VLOOKUP(""H/F (22mm)"",SheetsData,8,0))+((("&amp;"B20-216)/1000)*((C20-178)/1000)*VLOOKUP(""H/F (9mm)"",SheetsData,8,0)))))))))))))))))))))))))))))))))"),66.97312550389681)</f>
        <v>66.9731255</v>
      </c>
      <c r="F20" s="152">
        <f>IFERROR(__xludf.DUMMYFUNCTION("IF(OR(A20="""",AND(ISERROR(FIND(""drawer box"",A20))=FALSE,KitchenDrawerType=""Solid dovetail"")),"""",IF(ISERROR(FIND(""bins"",A20))=FALSE,VLOOKUP(""Base carcass 600"",KitchensData,6,0),IF(OR(ISERROR(FIND(""larder"",A20))=FALSE,ISERROR(FIND(""unit"",A20)"&amp;")=FALSE),VLOOKUP(LEFT(A20,FIND("" "",A20))&amp;""carcass ""&amp;RIGHT(A20,LEN(A20)-len(regexextract(A20,"".* ""))),KitchensData,6,0),IF(ISERROR(FIND(""drawer front"",A20))=FALSE,IF(ISERROR(FIND(""veneer"",KitchenCarcassMaterial))=TRUE,0,(((B20+C20)/1000)*2)*VLOOK"&amp;"UP(""Edge banding (per M)"",SheetsData,5,0)),IF(ISERROR(FIND(""drawer box"",A20))=FALSE,IF(ISERROR(FIND(""veneer"",KitchenCarcassMaterial))=TRUE,0,(((C20+D20)/1000)*2)*VLOOKUP(""Edge banding (per M)"",SheetsData,5,0)),IF(ISERROR(FIND(""shelf"",A20))=FALSE"&amp;",IF(ISERROR(FIND(""veneer"",KitchenCarcassMaterial))=TRUE,0,(C20/1000)*VLOOKUP(""Edge banding (per M)"",SheetsData,5,0)),IF(AND(ISERROR(FIND(""carcass"",A20))=FALSE,ISERROR(FIND(""shelf"",A20))=TRUE),IF(ISERROR(FIND(""veneer"",KitchenCarcassMaterial))=TRU"&amp;"E,0,((2*(B20+C20))/1000)*VLOOKUP(""Edge banding (per M)"",SheetsData,5,0)),IF(ISERROR(FIND(""door"",A20))=TRUE,"""",IF(ISERROR(FIND(""veneer"",KitchenDoorMaterial))=TRUE,"""",((2*(B20+C20))/1000)*VLOOKUP(""Edge banding (per M)"",SheetsData,5,0))))))))))"),0.0)</f>
        <v>0</v>
      </c>
      <c r="G20" s="153">
        <f>IF(A20="","",IF(ISERROR(FIND("bins",A20))=FALSE,VLOOKUP("Base carcass 600",KitchensData,7,0),IF(OR(ISERROR(FIND("larder",A20))=FALSE,ISERROR(FIND("fridge/freezer",A20))=FALSE,ISERROR(FIND("double oven",A20))=FALSE,ISERROR(FIND("single oven",A20))=FALSE),VLOOKUP(LEFT(A20,FIND(" ",A20))&amp;"carcass "&amp;RIGHT(A20,LEN(A20)-(LEN(A20)-3)),KitchensData,7,0),IF(AND(ISERROR(FIND("carcass",A20))=FALSE,ISERROR(FIND("shelf",A20))=TRUE),IF(OR(ISERROR(FIND("Base",A20))=FALSE,ISERROR(FIND("Tower",A20))=FALSE),IF(OR(ISERROR(FIND("1200",A20))=FALSE, ISERROR(FIND("lost corner",A20))=FALSE),6*VLOOKUP("Plinth foot (2 Parts 80mm)",FurnitureData,5,0),4*VLOOKUP("Plinth foot (2 Parts 80mm)",FurnitureData,5,0)),""),""))))</f>
        <v>5.7</v>
      </c>
      <c r="H20" s="115" t="str">
        <f>IF(OR(A20="",ISERROR(FIND("door",A20))=TRUE),"",IF(ISERROR(FIND("Wall",A20))=FALSE,VLOOKUP("Hinges &amp; plates (Hettich thick door)",FurnitureData,5,0)*2,IF(ISERROR(FIND("Base",A20))=FALSE,VLOOKUP("Hinges &amp; plates (Hettich thick door)",FurnitureData,5,0)*3,IF(ISERROR(FIND("Boiler",A20))=FALSE,VLOOKUP("Hinges &amp; plates (Hettich thick door)",FurnitureData,5,0)*4,IF(ISERROR(FIND("Tower",A20))=FALSE,VLOOKUP("Hinges &amp; plates (Hettich thick door)",FurnitureData,5,0)*5)))))</f>
        <v/>
      </c>
      <c r="I20" s="115" t="str">
        <f>IF(ISERROR(FIND("shelf",A20))=FALSE,(VLOOKUP("Shelf pegs",FurnitureData,5,0)/100)*4,"")</f>
        <v/>
      </c>
      <c r="J20" s="152">
        <f>IF(OR(ISERROR(FIND("fridge/freezer",A20))=FALSE,ISERROR(FIND("larder",A20))=FALSE,AND(ISERROR(FIND("Base",A20))=FALSE,ISERROR(FIND("bins",A20))=TRUE,ISERROR(FIND("no shelves",A20))=TRUE,OR(ISERROR(FIND("carcass",A20))=FALSE,ISERROR(FIND("unit",A20))=FALSE))),VLOOKUP("Deep shelf "&amp;C20,KitchensData,18,0),IF(AND(ISERROR(FIND("Wall",A20))=FALSE,ISERROR(FIND("carcass",A20))=FALSE),2*VLOOKUP("Shallow shelf "&amp;C20,KitchensData,18,0),IF(AND(ISERROR(FIND("Tower",A20))=FALSE,ISERROR(FIND("oven",A20))=FALSE),4*VLOOKUP("Deep shelf "&amp;C20,KitchensData,18,0),IF(AND(ISERROR(FIND("Tower",A20))=FALSE,ISERROR(FIND("carcass",A20))=FALSE),5*VLOOKUP("Deep shelf "&amp;C20,KitchensData,18,0),""))))</f>
        <v>48.04509417</v>
      </c>
      <c r="K20" s="152" t="str">
        <f>IF(ISERROR(FIND("sink",A20))=FALSE,VLOOKUP("Sink liner - Aluminium "&amp;RIGHT(A20,LEN(A20)-22)&amp;"mm",ExceptionalData,5,0),IF(ISERROR(FIND("bins",A20))=FALSE,VLOOKUP("Drawer runners and clip set for bin unit (500) Dynapro",FurnitureData,5,0)+(2*VLOOKUP("Bin (42L Anthracite)",FurnitureData,5,0)),IF(ISERROR(FIND("larder",A20))=FALSE,VLOOKUP("Pull out larder unit 600mm",FurnitureData,5,0),IF(AND(ISERROR(FIND("drawer box",A20))=FALSE,ISERROR(FIND("internal",A20))=TRUE),VLOOKUP("Drawer runners and clip set (550) Dynapro",FurnitureData,5,0),IF(ISERROR(FIND("internal drawer box",A20))=FALSE,VLOOKUP("Drawer runners and clip set (450) Dynapro",FurnitureData,5,0),"")))))</f>
        <v/>
      </c>
      <c r="L20" s="152">
        <f t="shared" si="3"/>
        <v>120.7182197</v>
      </c>
      <c r="M20" s="154">
        <f>IFERROR(__xludf.DUMMYFUNCTION("IF(A20="""","""",IF(OR(ISERROR(FIND(""larder"",A20))=FALSE,ISERROR(FIND(""unit"",A20))=FALSE),VLOOKUP(LEFT(A20,FIND("" "",A20))&amp;""carcass ""&amp;RIGHT(A20,LEN(A20)-len(regexextract(A20,"".* ""))),KitchensData,13,0),IF(ISERROR(FIND(""bins"",A20))=FALSE,0.95,IF"&amp;"(ISERROR(FIND(""Cutlery insert 600"",A20))=FALSE,1.3,IF(ISERROR(FIND(""Cutlery insert 1200"",A20))=FALSE,2,IF(ISERROR(FIND(""Pan/tray rack 600"",A20))=FALSE,3.25,IF(ISERROR(FIND(""Pan/tray rack 1200"",A20))=FALSE,5.9,IF(ISERROR(FIND(""split"",A20))=FALSE,"&amp;"(((C20/1000)*0.022)*2)+VLOOKUP(SUBSTITUTE(A20,"" split"",""""),KitchensData,13,0),IF(AND(ISERROR(FIND(""drawer front"",A20))=FALSE,KitchenDoorStyle=""Flat""),(((B20/1000)*(C20/1000))*2)+((((B20+C20)/1000)*2)*0.022),IF(AND(ISERROR(FIND(""drawer front"",A20"&amp;"))=FALSE,LEFT(KitchenDoorStyle,5)=""Panel""),(((B20/1000)*(C20/1000))*2)+((((B20+C20)/1000)*2)*0.022)+((((C20/1000)-0.16)*0.013)*2)+((((D20/1000)-0.16)*0.013)*2),IF(AND(ISERROR(FIND(""drawer front"",A20))=FALSE,KitchenDoorStyle=""In-frame flat""),((((B20-"&amp;"76)/1000)*((C20-38)/1000))*2)+(MID(KitchenDoorMaterial,FIND(""("",KitchenDoorMaterial)+1,2)/1000)*((((B20-76)+(C20-38))/1000)*2)+(((B20/1000)*0.032)*2)+((((B20-76)/1000)*0.032)*2)+(((B20/1000)*0.019)*4)+(((C20/1000)*0.032)*2)+((((C20-38)/1000)*0.032)*2)+("&amp;"((C20/1000)*0.038)*4),IF(AND(ISERROR(FIND(""drawer front"",A20))=FALSE,LEFT(KitchenDoorStyle,14)=""In-frame panel""),((((B20-76)/1000)*((C20-38)/1000))*2)+((MID(KitchenDoorMaterial,FIND(""("",KitchenDoorMaterial)+1,2)/1000)*((((B20-76)+(C20-38))/1000)*2))"&amp;"+((((B20-236)/1000)+((C20-198)/1000)*2)*0.013)+(((B20/1000)*0.032)*2)+((((B20-76)/1000)*0.032)*2)+(((B20/1000)*0.019)*4)+(((C20/1000)*0.032)*2)+((((C20-38)/1000)*0.032)*2)+(((C20/1000)*0.038)*4),IF(ISERROR(FIND(""drawer box"",A20))=FALSE,((((B20/1000)*(D2"&amp;"0/1000))+((B20/1000)*(C20/1000)))*4)+((((D20/1000)+(C20/1000))*0.016)*4)+(((C20/1000)*(D20/1000))*2),IF(OR(ISERROR(FIND(""shelf"",A20))=FALSE,ISERROR(FIND(""spacer"",A20))=FALSE,,ISERROR(FIND(""filler panel"",A20))=FALSE),(((C20/1000)*(D20/1000))*2)+((((C"&amp;"20+D20)*2)/1000)*0.022),IF(ISERROR(FIND(""lost corner"",A20))=FALSE,(((B20/1000)*(C20/1000))*2)+((B20/1000)*(C20/1000))+((B20/1000)*((C20/2)/1000))+((((B20/1000)*0.025)+((C20/1000)*0.025))*2),IF(ISERROR(FIND(""carcass"",A20))=FALSE,(((C20/1000)*(D20/1000)"&amp;")*2)+(((B20/1000)*(D20/1000))*2)+((B20/1000)*(C20/1000))+((((B20/1000)*0.025)+((C20/1000)*0.025))*2),IF(AND(ISERROR(FIND(""door"",A20))=FALSE,KitchenDoorStyle=""Flat""),(((B20/1000)*(C20/1000))*2)+(MID(KitchenDoorMaterial,FIND(""("",KitchenDoorMaterial)+1"&amp;",2)/1000)*(((B20+C20)/1000)*2),IF(AND(ISERROR(FIND(""door"",A20))=FALSE,LEFT(KitchenDoorStyle,5)=""Panel""),(((B20/1000)*(C20/1000))*2)+((MID(KitchenDoorMaterial,FIND(""("",KitchenDoorMaterial)+1,2)/1000)*(((B20+C20)/1000)*2))+(((((B20-160)+(C20-160))*2)/"&amp;"1000)*(0.013)),IF(AND(ISERROR(FIND(""door"",A20))=FALSE,KitchenDoorStyle=""In-frame flat""),((((B20-76)/1000)*((C20-38)/1000))*2)+(MID(KitchenDoorMaterial,FIND(""("",KitchenDoorMaterial)+1,2)/1000)*((((B20-76)+(C20-38))/1000)*2)+(((B20/1000)*0.032)*2)+((("&amp;"(B20-76)/1000)*0.032)*2)+(((B20/1000)*0.019)*4)+(((C20/1000)*0.032)*2)+((((C20-38)/1000)*0.032)*2)+(((C20/1000)*0.038)*4),IF(AND(ISERROR(FIND(""door"",A20))=FALSE,LEFT(KitchenDoorStyle,14)=""In-frame panel""),((((B20-76)/1000)*((C20-38)/1000))*2)+((MID(Ki"&amp;"tchenDoorMaterial,FIND(""("",KitchenDoorMaterial)+1,2)/1000)*((((B20-76)+(C20-38))/1000)*2))+((((B20-236)/1000)+((C20-198)/1000)*2)*0.013)+(((B20/1000)*0.032)*2)+((((B20-76)/1000)*0.032)*2)+(((B20/1000)*0.019)*4)+(((C20/1000)*0.032)*2)+((((C20-38)/1000)*0"&amp;".032)*2)+(((C20/1000)*0.038)*4),IF(ISERROR(FIND(""Plinth"",A20))=FALSE,((B20/1000)*(C20/1000))+(((C20/1000)*0.018)*2)+(((B20/1000)*0.018)*2),IF(ISERROR(FIND(""Cornice"",A20))=FALSE,(((C20/1000)*0.1)*2)+(((C20/1000)*0.044)*2)+(((B20/1000)*0.08)*2),IF(ISERR"&amp;"OR(FIND(""Base end panel"",A20))=FALSE,((B20/1000)*(C20/1000))+(0.022*((B20/1000)+((C20/1000)*2)))+((B20/1000)*0.05),IF(ISERROR(FIND(""Wall end panel"",A20))=FALSE,((B20/1000)*(C20/1000))+(0.022*((B20/1000)+((C20/1000)*2)))+((B20/1000)*0.05),IF(ISERROR(FI"&amp;"ND(""Tower end panel"",A20))=FALSE,((B20/1000)*(C20/1000))+(0.022*((B20/1000)+((C20/1000)*2)))+((B20/1000)*0.05),IF(ISERROR(FIND(""Fillers"",A20))=FALSE,((C20/1000)*0.06)+((C20/1000)*0.069)+((0.06*0.018)*2)+((0.06*0.009)*2)+((C20/1000)*0.009)+((C20/1000)*"&amp;"0.018),IF(ISERROR(FIND(""corner post"",A20))=FALSE,(((B20/1000*0.05)*2)+((B20/1000)*0.022)*2)+((B20/1000)*0.072)+((B20/1000)*0.05)+((0.072*0.022)*2)+((0.05*0.022)*2),IF(ISERROR(FIND(""Pelmet"",A20))=FALSE,((C20/1000)*0.05)+((C20/1000)*0.068)+((0.05*0.018)"&amp;"*4)+(((C20/1000)*0.018))*2))))))))))))))))))))))))))))"),1.1800000000000002)</f>
        <v>1.18</v>
      </c>
      <c r="N20" s="152">
        <f>IF(M20="","",IF(AND(ISERROR(FIND("carcass",A20))=TRUE,ISERROR(FIND("unit",A20))=TRUE,ISERROR(FIND("insert",A20))=TRUE,ISERROR(FIND("rack",A20))=TRUE,ISERROR(FIND("box",A20))=TRUE,ISERROR(FIND("shelf",#REF!))=TRUE),VLOOKUP(KitchenDoorFinish,Finishing!$A$2:$K$10,9,0)*M20,VLOOKUP(KitchenCarcassFinish,Finishing!$A$2:$K$40,9,0)*M20))</f>
        <v>4.425</v>
      </c>
      <c r="O20" s="155">
        <v>1.5</v>
      </c>
      <c r="P20" s="155">
        <v>1.0</v>
      </c>
      <c r="Q20" s="152">
        <f>IF(OR(O20="",P20=""),"",((O20*X20)*(VLOOKUP("Workshop",Labour!$A$3:$E$20,4,0)/8))+((P20*AE20)*(VLOOKUP("Finishing",Labour!$A$3:$E$20,4,0)/8)))</f>
        <v>93.625</v>
      </c>
      <c r="R20" s="152">
        <f t="shared" si="4"/>
        <v>218.7682197</v>
      </c>
      <c r="S20" s="156">
        <f>IF(OR(O20="",P20=""),"",IF(OR(ISERROR(FIND("carcass",$A20))=FALSE,ISERROR(FIND("unit",$A20))=FALSE),VLOOKUP(KitchenCarcassMaterial,FixedListsCarcassMaterial,2,0),0))</f>
        <v>1</v>
      </c>
      <c r="T20" s="156">
        <f>IF(OR(O20="",P20=""),"",IF(ISERROR(FIND("door",$A20))=FALSE,VLOOKUP(KitchenDoorStyle,FixedListsDoorStyle,2,0),0))</f>
        <v>0</v>
      </c>
      <c r="U20" s="156">
        <f>IF(OR(O20="",P20=""),"",IF(ISERROR(FIND("door",$A20))=FALSE,VLOOKUP(KitchenDoorMaterial,FixedListsDoorMaterial,2,0),0))</f>
        <v>0</v>
      </c>
      <c r="V20" s="156">
        <f>IF(OR(O20="",P20=""),"",IF(ISERROR(FIND("drawer",$A20))=FALSE,VLOOKUP(KitchenDrawerType,FixedListsDrawerType,2,0),0))</f>
        <v>0</v>
      </c>
      <c r="W20" s="156">
        <f>IF(OR(O20="",P20=""),"",IF(OR(S20&gt;0, T20&gt;0,V20&gt;0),VLOOKUP(KitchenHandleType,FixedListsHandleType,2,FALSE)*IF(KitchenHandleType="Simple",0,IF(S20&gt;0,VLOOKUP(KitchenHandleType,FixedListsHandleType,4,FALSE),IF(OR(T20&gt;0,V20&gt;0),1-VLOOKUP(KitchenHandleType,FixedListsHandleType,4,FALSE),"Error"))),0))</f>
        <v>0</v>
      </c>
      <c r="X20" s="156">
        <f t="shared" si="5"/>
        <v>1</v>
      </c>
      <c r="Y20" s="156">
        <f>IF(OR(O20="",P20=""),"",IF(OR(ISERROR(FIND("carcass",$A20))=FALSE,ISERROR(FIND("unit",$A20))=FALSE),VLOOKUP(KitchenCarcassMaterial,FixedListsCarcassMaterial,3,0),0))</f>
        <v>1</v>
      </c>
      <c r="Z20" s="156">
        <f>IF(OR(O20="",P20=""),"",IF(ISERROR(FIND("door",$A20))=FALSE,VLOOKUP(KitchenDoorStyle,FixedListsDoorStyle,3,0),0))</f>
        <v>0</v>
      </c>
      <c r="AA20" s="156">
        <f>IF(OR(O20="",P20=""),"",IF(ISERROR(FIND("door",$A20))=FALSE,VLOOKUP(KitchenDoorMaterial,FixedListsDoorMaterial,3,0),0))</f>
        <v>0</v>
      </c>
      <c r="AB20" s="156">
        <f>IF(OR(O20="",P20=""),"",IF(ISERROR(FIND("drawer",$A20))=FALSE,VLOOKUP(KitchenDrawerType,FixedListsDrawerType,3,0),0))</f>
        <v>0</v>
      </c>
      <c r="AC20" s="156">
        <f>IF(OR(O20="",P20=""),"",IF(OR(Y20&gt;0,Z20&gt;0,AB20&gt;0),VLOOKUP(KitchenHandleType,FixedListsHandleType,3,FALSE),0))</f>
        <v>1</v>
      </c>
      <c r="AD20" s="156">
        <f>IF(OR(O20="",P20=""),"",IF(OR(ISERROR(FIND("carcass",$A20))=FALSE,ISERROR(FIND("unit",$A20))=FALSE),VLOOKUP(KitchenCarcassFinish,FixedListsFinishes,3,0),IF(OR(ISERROR(FIND("door",$A20))=FALSE,ISERROR(FIND("Plinth",$A20))=FALSE,ISERROR(FIND("Cornice",$A20))=FALSE,ISERROR(FIND("Fillers",$A20))=FALSE,ISERROR(FIND("Pelmet",$A20))=FALSE,ISERROR(FIND("panel",$A20))=FALSE,ISERROR(FIND("post",$A20))=FALSE),VLOOKUP(KitchenDoorFinish,FixedListsFinishes,3,0),IF(OR(ISERROR(FIND("drawer",$A20))=FALSE,ISERROR(FIND("insert",$A20))=FALSE,ISERROR(FIND("rck",$A20))=FALSE),VLOOKUP(KitchenCarcassFinish,FixedListsFinishes,3,0),0))))</f>
        <v>1</v>
      </c>
      <c r="AE20" s="156">
        <f t="shared" si="6"/>
        <v>1</v>
      </c>
      <c r="AF20" s="157" t="str">
        <f>IF(AND(KitchenHandleType="Channel",OR(ISERROR(FIND("arcass",$A20))=FALSE,ISERROR(FIND("unit",$A20))=FALSE)),IF(ISERROR(FIND("Tower",$A20))=TRUE,IF(KitchenHandleFinish="Match carcass",IF(ISERROR(FIND("Walnut",KitchenCarcassMaterial))=FALSE,(0.035*0.075*($C20/1000))*VLOOKUP("Walnut (solid m3)",SolidData,4,FALSE),IF(ISERROR(FIND("Oak",KitchenCarcassMaterial))=FALSE,(0.035*0.075*($C20/1000))*VLOOKUP("Oak (solid m3)",SolidData,4,FALSE),IF(ISERROR(FIND("ply",KitchenCarcassMaterial))=FALSE,(0.1*($C20/1000))*VLOOKUP("Birch ply (24mm)",SheetsData,7,FALSE),IF(ISERROR(FIND("H/F",KitchenCarcassMaterial))=FALSE,(0.1*($C20/1000))*VLOOKUP("H/F (22mm)",SheetsData,7,FALSE),"Carcass - not tower - new material")))),IF(KitchenHandleFinish="Match door",IF(ISERROR(FIND("Walnut",KitchenDoorMaterial))=FALSE,(0.035*0.075*($C20/1000))*VLOOKUP("Walnut (solid m3)",SolidData,4,FALSE),IF(ISERROR(FIND("Oak",KitchenDoorMaterial))=FALSE,(0.035*0.075*($C20/1000))*VLOOKUP("Oak (solid m3)",SolidData,4,FALSE),IF(ISERROR(FIND("ply",KitchenDoorMaterial))=FALSE,(0.1*($C20/1000))*VLOOKUP("Birch ply (24mm)",SheetsData,7,FALSE),IF(ISERROR(FIND("H/F",KitchenCarcassMaterial))=FALSE,(0.1*($C20/1000))*VLOOKUP("H/F (22mm)",SheetsData,7,FALSE),"Door - not tower - new material")))),"Channel - not tower - handle set to other")),IF(ISERROR(FIND("Tower",$A20))=FALSE,IF(KitchenHandleFinish="Match carcass",IF(ISERROR(FIND("Walnut",KitchenCarcassMaterial))=FALSE,(0.035*0.075*($B20/1000))*VLOOKUP("Walnut (solid m3)",SolidData,4,FALSE),IF(ISERROR(FIND("Oak",KitchenCarcassMaterial))=FALSE,(0.035*0.075*($B20/1000))*VLOOKUP("Oak (solid m3)",SolidData,4,FALSE),IF(ISERROR(FIND("ply",KitchenCarcassMaterial))=FALSE,(0.1*($B20/1000))*VLOOKUP("Birch ply (24mm)",SheetsData,7,FALSE),IF(ISERROR(FIND("H/F",KitchenCarcassMaterial))=FALSE,(0.1*($C20/1000))*VLOOKUP("H/F (22mm)",SheetsData,7,FALSE),"Carcass - tower - new material")))),IF(KitchenHandleFinish="Match door",IF(ISERROR(FIND("Walnut",KitchenDoorMaterial))=FALSE,(0.035*0.075*($B20/1000))*VLOOKUP("Walnut (solid m3)",SolidData,4,FALSE),IF(ISERROR(FIND("Oak",KitchenDoorMaterial))=FALSE,(0.035*0.075*($B20/1000))*VLOOKUP("Oak (solid m3)",SolidData,4,FALSE),IF(ISERROR(FIND("ply",KitchenDoorMaterial))=FALSE,(0.1*($B20/1000))*VLOOKUP("Birch ply (24mm)",SheetData,7,FALSE),IF(ISERROR(FIND("H/F",KitchenCarcassMaterial))=FALSE,(0.1*($C20/1000))*VLOOKUP("H/F (22mm)",SheetsData,7,FALSE),"Door - tower - new material")))),"Channel - tower - handle set to other")))),"")</f>
        <v/>
      </c>
    </row>
    <row r="21">
      <c r="A21" s="151" t="s">
        <v>129</v>
      </c>
      <c r="B21" s="115">
        <f t="shared" si="1"/>
        <v>800</v>
      </c>
      <c r="C21" s="115" t="str">
        <f>IFERROR(__xludf.DUMMYFUNCTION("IF(A21="""","""",IF(OR(RIGHT(A21,LEN(A21)-len(regexextract(A21,"".* "")))=""1200"",RIGHT(A21,LEN(A21)-len(regexextract(A21,"".* "")))=""600"",RIGHT(A21,LEN(A21)-len(regexextract(A21,"".* "")))=""400"",RIGHT(A21,LEN(A21)-len(regexextract(A21,"".* "")))=""3"&amp;"00"",RIGHT(A21,LEN(A21)-len(regexextract(A21,"".* "")))=""700"",RIGHT(A21,LEN(A21)-len(regexextract(A21,"".* "")))=""2400"",RIGHT(A21,LEN(A21)-len(regexextract(A21,"".* "")))=""650"",RIGHT(A21,LEN(A21)-len(regexextract(A21,"".* "")))=""350"",RIGHT(A21,LEN"&amp;"(A21)-len(regexextract(A21,"".* "")))=""50""),RIGHT(A21,LEN(A21)-len(regexextract(A21,"".* ""))),IF(OR(ISERROR(FIND(""spacer"",A21))=FALSE,ISERROR(FIND(""filler panel"",A21))=FALSE),""1000"",""Unexpected size in description"")))"),"300")</f>
        <v>300</v>
      </c>
      <c r="D21" s="151">
        <f t="shared" si="2"/>
        <v>600</v>
      </c>
      <c r="E21" s="152">
        <f>IFERROR(__xludf.DUMMYFUNCTION("IF(OR(A21="""",AND(ISERROR(FIND(""drawer box"",A21))=FALSE,KitchenDrawerType="""")),"""",IF(OR(ISERROR(FIND(""larder"",A21))=FALSE,ISERROR(FIND(""fridge/freezer"",A21))=FALSE,ISERROR(FIND(""double oven"",A21))=FALSE,ISERROR(FIND(""single oven"",A21))=FALS"&amp;"E),VLOOKUP(LEFT(A21,FIND("" "",A21))&amp;""carcass ""&amp;RIGHT(A21,LEN(A21)-(LEN(A21)-3)),KitchensData,5,0),IF(ISERROR(FIND(""sink"",A21))=FALSE,VLOOKUP(LEFT(A21,FIND("" "",A21))&amp;""carcass ""&amp;VALUE(REGEXREPLACE(A21,""[^[:digit:]]"", """")),KitchensData,5,0)+(((C"&amp;"21/1000)*(300/1000))*VLOOKUP(KitchenCarcassMaterial,SheetsData,8,0)),IF(ISERROR(FIND(""bins"",A21))=FALSE,IF(ISERROR(FIND(""veneer"",KitchenCarcassMaterial))=FALSE,VLOOKUP(""Base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600"",A21))=FALSE,IF(ISERROR(FIND(""veneer"""&amp;",KitchenCarcassMaterial))=FALSE,0.54*(VLOOKUP(LEFT(KitchenCarcassMaterial,FIND(""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1200"",A21))=FALSE,"&amp;"IF(ISERROR(FIND(""veneer"",KitchenCarcassMaterial))=FALSE,0.84*(VLOOKUP(LEFT(KitchenCarcassMaterial,FIND(""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600"",A21))=FALSE,IF(ISERROR(FIND(""veneer"",KitchenCarcassMaterial))=FALSE,1.44*(VLOOKUP(LEFT(KitchenCarcassMaterial,FIND(""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1200"",A21))=FALSE,IF(ISERROR(FIND(""veneer"",KitchenCarcassMaterial))=FALSE,2.7*(VLOOKUP(LEFT(KitchenCarcassMaterial,FIND(""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front"",A21))=FALSE,((B21/1000)*(C21/1000))*VLOOKUP(KitchenDoorMaterial,SheetsData,8,0),IF(AND(KitchenDrawerType=""Match carcass"",ISERROR(FIND(""drawer box"",A21))=FALSE),(((((B21/1000)*(C21/1000))+((B21/1000"&amp;")*(D21/1000)))*2)*VLOOKUP(KitchenCarcassMaterial,SheetsData,8,0))+(((C21/1000)*(D21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box"",A21))=FALSE),(((((B21/1000)*(C21/1000))+((B21/1000)*(D21/1000)))*2)*(16/1000)*VLOOKUP(LEFT(KitchenCarcassMaterial,FIND("" "&amp;""",KitchenCarcassMaterial))&amp;""(solid m3)"",SolidData,5,0))+(((C21/1000)*(D21/1000))*VLOOKUP(LEFT(KitchenCarcassMaterial,FIND(""("",KitchenCarcassMaterial)-1)&amp;IF(OR(ISERROR(FIND(""ply"",KitchenCarcassMaterial))=FALSE,ISERROR(FIND(""H/F"",KitchenCarcassMate"&amp;"rial))=FALSE),""(9mm)"",""(10mm)""),SheetsData,8,0)),IF(ISERROR(FIND(""spacer"",A21))=FALSE,((D21/1000)*(C21/1000))*VLOOKUP(""Poplar ply (18mm)"",SheetsData,8,0),IF(ISERROR(FIND(""filler panel"",A21))=FALSE,((B21/1000)*(C21/1000))*VLOOKUP(KitchenDoorMater"&amp;"ial,SheetsData,8,0),IF(ISERROR(FIND(""shelf"",A21))=FALSE,((D21/1000)*(C21/1000))*VLOOKUP(KitchenCarcassMaterial,SheetsData,8,0),IF(ISERROR(FIND(""lost corner"",A21))=FALSE,VLOOKUP(LEFT(A21,FIND("" "",A21))&amp;""carcass ""&amp;VALUE(REGEXREPLACE(A21,""[^[:digit:"&amp;"]]"", """")),KitchensData,5,0)+((((B21/1000)*(C21/1000))+((B21/1000)*(60/1000)))*VLOOKUP(KitchenCarcassMaterial,SheetsData,8,0)),IF(ISERROR(FIND(""carcass"",A21))=FALSE,(((((B21/1000)*2)*(D21/1000))+(((C21/1000)*2)*(D21/1000)))*VLOOKUP(KitchenCarcassMater"&amp;"ial,SheetsData,8,0))+((B21/1000)*(C21/1000))*VLOOKUP(LEFT(KitchenCarcassMaterial,FIND(""("",KitchenCarcassMaterial)-1)&amp;IF(OR(ISERROR(FIND(""ply"",KitchenCarcassMaterial))=FALSE,ISERROR(FIND(""H/F"",KitchenCarcassMaterial))=FALSE),""(9mm)"",""(10mm)""),She"&amp;"etsData,8,0),IF(OR(ISERROR(FIND(""Plinth"",A21))=FALSE,ISERROR(FIND(""Cornice (flat)"",A21))=FALSE),((B21/1000)*(C21/1000))*VLOOKUP(""H/F (18mm)"",SheetsData,8,0),IF(ISERROR(FIND(""Cornice (stacked)"",A21))=FALSE,((0.08*(C21/1000))*2)*VLOOKUP(""H/F (22mm)"&amp;""",SheetsData,8,0),IF(ISERROR(FIND(""Base end panel"",A21))=FALSE,VLOOKUP(KitchenDoorMaterial,SheetsData,5,0)/3,IF(ISERROR(FIND(""Wall end panel"",A21))=FALSE,VLOOKUP(KitchenDoorMaterial,SheetsData,5,0)/9,IF(ISERROR(FIND(""Tower end panel"",A21))=FALSE,VL"&amp;"OOKUP(KitchenDoorMaterial,SheetsData,5,0),IF(ISERROR(FIND(""Fillers"",A21))=FALSE,(((0.06*(C21/1000))*2)*VLOOKUP(""H/F (18mm)"",SheetsData,8,0))+(((0.06*(C21/1000))*2)*VLOOKUP(""H/F (9mm)"",SheetsData,8,0)),IF(ISERROR(FIND(""corner post"",A21))=FALSE,(((B"&amp;"21/1000)*0.05)*2)*VLOOKUP(KitchenDoorMaterial,SheetsData,8,0),IF(ISERROR(FIND(""Pelmet"",A21))=FALSE,((((B21/1000)*(C21/1000))*2)*VLOOKUP(""H/F (18mm)"",SheetsData,8,0)),IF(ISERROR(FIND(""door"",A21))=TRUE,""Check description"",IF(KitchenDoorStyle=""Flat"&amp;""",((B21/1000)*(C21/1000))*VLOOKUP(KitchenDoorMaterial,SheetsData,8,0),IF(LEFT(KitchenDoorStyle,5)=""Panel"",(((((B21/1000)*2)*0.08)+((((C21/1000)-0.16)*2)*0.08))*VLOOKUP(""H/F (22mm)"",SheetsData,8,0))+(((B21/1000)-0.14)*((C21/1000)-0.14)*VLOOKUP(""H/F ("&amp;"9mm)"",SheetsData,8,0)),IF(KitchenDoorStyle=""In-frame flat"",((((((B21/1000)*0.019)*0.038)+((((C21-38)/1000)*0.038)*0.038))*2)*VLOOKUP(""Tulip (solid m3)"",SolidData,5,0))+(((B21-76)/1000)*((C21-38)/1000))*VLOOKUP(""H/F (22mm)"",SheetsData,8,0),IF(LEFT(K"&amp;"itchenDoorStyle,14)=""In-frame panel"",(((((((B21/1000)*0.019)*0.038)+((((C21-38)/1000)*0.038)*0.038))*2)*VLOOKUP(""Tulip (solid m3)"",SolidData,5,0))+(((((((B21-76)/1000)*2)*0.08)+(((((C21-198)/1000)*2)*0.08)))*VLOOKUP(""H/F (22mm)"",SheetsData,8,0))+((("&amp;"B21-216)/1000)*((C21-178)/1000)*VLOOKUP(""H/F (9mm)"",SheetsData,8,0)))))))))))))))))))))))))))))))))"),58.60642300456866)</f>
        <v>58.606423</v>
      </c>
      <c r="F21" s="152">
        <f>IFERROR(__xludf.DUMMYFUNCTION("IF(OR(A21="""",AND(ISERROR(FIND(""drawer box"",A21))=FALSE,KitchenDrawerType=""Solid dovetail"")),"""",IF(ISERROR(FIND(""bins"",A21))=FALSE,VLOOKUP(""Base carcass 600"",KitchensData,6,0),IF(OR(ISERROR(FIND(""larder"",A21))=FALSE,ISERROR(FIND(""unit"",A21)"&amp;")=FALSE),VLOOKUP(LEFT(A21,FIND("" "",A21))&amp;""carcass ""&amp;RIGHT(A21,LEN(A21)-len(regexextract(A21,"".* ""))),KitchensData,6,0),IF(ISERROR(FIND(""drawer front"",A21))=FALSE,IF(ISERROR(FIND(""veneer"",KitchenCarcassMaterial))=TRUE,0,(((B21+C21)/1000)*2)*VLOOK"&amp;"UP(""Edge banding (per M)"",SheetsData,5,0)),IF(ISERROR(FIND(""drawer box"",A21))=FALSE,IF(ISERROR(FIND(""veneer"",KitchenCarcassMaterial))=TRUE,0,(((C21+D21)/1000)*2)*VLOOKUP(""Edge banding (per M)"",SheetsData,5,0)),IF(ISERROR(FIND(""shelf"",A21))=FALSE"&amp;",IF(ISERROR(FIND(""veneer"",KitchenCarcassMaterial))=TRUE,0,(C21/1000)*VLOOKUP(""Edge banding (per M)"",SheetsData,5,0)),IF(AND(ISERROR(FIND(""carcass"",A21))=FALSE,ISERROR(FIND(""shelf"",A21))=TRUE),IF(ISERROR(FIND(""veneer"",KitchenCarcassMaterial))=TRU"&amp;"E,0,((2*(B21+C21))/1000)*VLOOKUP(""Edge banding (per M)"",SheetsData,5,0)),IF(ISERROR(FIND(""door"",A21))=TRUE,"""",IF(ISERROR(FIND(""veneer"",KitchenDoorMaterial))=TRUE,"""",((2*(B21+C21))/1000)*VLOOKUP(""Edge banding (per M)"",SheetsData,5,0))))))))))"),0.0)</f>
        <v>0</v>
      </c>
      <c r="G21" s="153">
        <f>IF(A21="","",IF(ISERROR(FIND("bins",A21))=FALSE,VLOOKUP("Base carcass 600",KitchensData,7,0),IF(OR(ISERROR(FIND("larder",A21))=FALSE,ISERROR(FIND("fridge/freezer",A21))=FALSE,ISERROR(FIND("double oven",A21))=FALSE,ISERROR(FIND("single oven",A21))=FALSE),VLOOKUP(LEFT(A21,FIND(" ",A21))&amp;"carcass "&amp;RIGHT(A21,LEN(A21)-(LEN(A21)-3)),KitchensData,7,0),IF(AND(ISERROR(FIND("carcass",A21))=FALSE,ISERROR(FIND("shelf",A21))=TRUE),IF(OR(ISERROR(FIND("Base",A21))=FALSE,ISERROR(FIND("Tower",A21))=FALSE),IF(OR(ISERROR(FIND("1200",A21))=FALSE, ISERROR(FIND("lost corner",A21))=FALSE),6*VLOOKUP("Plinth foot (2 Parts 80mm)",FurnitureData,5,0),4*VLOOKUP("Plinth foot (2 Parts 80mm)",FurnitureData,5,0)),""),""))))</f>
        <v>5.7</v>
      </c>
      <c r="H21" s="115" t="str">
        <f>IF(OR(A21="",ISERROR(FIND("door",A21))=TRUE),"",IF(ISERROR(FIND("Wall",A21))=FALSE,VLOOKUP("Hinges &amp; plates (Hettich thick door)",FurnitureData,5,0)*2,IF(ISERROR(FIND("Base",A21))=FALSE,VLOOKUP("Hinges &amp; plates (Hettich thick door)",FurnitureData,5,0)*3,IF(ISERROR(FIND("Boiler",A21))=FALSE,VLOOKUP("Hinges &amp; plates (Hettich thick door)",FurnitureData,5,0)*4,IF(ISERROR(FIND("Tower",A21))=FALSE,VLOOKUP("Hinges &amp; plates (Hettich thick door)",FurnitureData,5,0)*5)))))</f>
        <v/>
      </c>
      <c r="I21" s="115" t="str">
        <f>IF(ISERROR(FIND("shelf",A21))=FALSE,(VLOOKUP("Shelf pegs",FurnitureData,5,0)/100)*4,"")</f>
        <v/>
      </c>
      <c r="J21" s="152">
        <f>IF(OR(ISERROR(FIND("fridge/freezer",A21))=FALSE,ISERROR(FIND("larder",A21))=FALSE,AND(ISERROR(FIND("Base",A21))=FALSE,ISERROR(FIND("bins",A21))=TRUE,ISERROR(FIND("no shelves",A21))=TRUE,OR(ISERROR(FIND("carcass",A21))=FALSE,ISERROR(FIND("unit",A21))=FALSE))),VLOOKUP("Deep shelf "&amp;C21,KitchensData,18,0),IF(AND(ISERROR(FIND("Wall",A21))=FALSE,ISERROR(FIND("carcass",A21))=FALSE),2*VLOOKUP("Shallow shelf "&amp;C21,KitchensData,18,0),IF(AND(ISERROR(FIND("Tower",A21))=FALSE,ISERROR(FIND("oven",A21))=FALSE),4*VLOOKUP("Deep shelf "&amp;C21,KitchensData,18,0),IF(AND(ISERROR(FIND("Tower",A21))=FALSE,ISERROR(FIND("carcass",A21))=FALSE),5*VLOOKUP("Deep shelf "&amp;C21,KitchensData,18,0),""))))</f>
        <v>45.11767063</v>
      </c>
      <c r="K21" s="152" t="str">
        <f>IF(ISERROR(FIND("sink",A21))=FALSE,VLOOKUP("Sink liner - Aluminium "&amp;RIGHT(A21,LEN(A21)-22)&amp;"mm",ExceptionalData,5,0),IF(ISERROR(FIND("bins",A21))=FALSE,VLOOKUP("Drawer runners and clip set for bin unit (500) Dynapro",FurnitureData,5,0)+(2*VLOOKUP("Bin (42L Anthracite)",FurnitureData,5,0)),IF(ISERROR(FIND("larder",A21))=FALSE,VLOOKUP("Pull out larder unit 600mm",FurnitureData,5,0),IF(AND(ISERROR(FIND("drawer box",A21))=FALSE,ISERROR(FIND("internal",A21))=TRUE),VLOOKUP("Drawer runners and clip set (550) Dynapro",FurnitureData,5,0),IF(ISERROR(FIND("internal drawer box",A21))=FALSE,VLOOKUP("Drawer runners and clip set (450) Dynapro",FurnitureData,5,0),"")))))</f>
        <v/>
      </c>
      <c r="L21" s="152">
        <f t="shared" si="3"/>
        <v>109.4240936</v>
      </c>
      <c r="M21" s="154">
        <f>IFERROR(__xludf.DUMMYFUNCTION("IF(A21="""","""",IF(OR(ISERROR(FIND(""larder"",A21))=FALSE,ISERROR(FIND(""unit"",A21))=FALSE),VLOOKUP(LEFT(A21,FIND("" "",A21))&amp;""carcass ""&amp;RIGHT(A21,LEN(A21)-len(regexextract(A21,"".* ""))),KitchensData,13,0),IF(ISERROR(FIND(""bins"",A21))=FALSE,0.95,IF"&amp;"(ISERROR(FIND(""Cutlery insert 600"",A21))=FALSE,1.3,IF(ISERROR(FIND(""Cutlery insert 1200"",A21))=FALSE,2,IF(ISERROR(FIND(""Pan/tray rack 600"",A21))=FALSE,3.25,IF(ISERROR(FIND(""Pan/tray rack 1200"",A21))=FALSE,5.9,IF(ISERROR(FIND(""split"",A21))=FALSE,"&amp;"(((C21/1000)*0.022)*2)+VLOOKUP(SUBSTITUTE(A21,"" split"",""""),KitchensData,13,0),IF(AND(ISERROR(FIND(""drawer front"",A21))=FALSE,KitchenDoorStyle=""Flat""),(((B21/1000)*(C21/1000))*2)+((((B21+C21)/1000)*2)*0.022),IF(AND(ISERROR(FIND(""drawer front"",A21"&amp;"))=FALSE,LEFT(KitchenDoorStyle,5)=""Panel""),(((B21/1000)*(C21/1000))*2)+((((B21+C21)/1000)*2)*0.022)+((((C21/1000)-0.16)*0.013)*2)+((((D21/1000)-0.16)*0.013)*2),IF(AND(ISERROR(FIND(""drawer front"",A21))=FALSE,KitchenDoorStyle=""In-frame flat""),((((B21-"&amp;"76)/1000)*((C21-38)/1000))*2)+(MID(KitchenDoorMaterial,FIND(""("",KitchenDoorMaterial)+1,2)/1000)*((((B21-76)+(C21-38))/1000)*2)+(((B21/1000)*0.032)*2)+((((B21-76)/1000)*0.032)*2)+(((B21/1000)*0.019)*4)+(((C21/1000)*0.032)*2)+((((C21-38)/1000)*0.032)*2)+("&amp;"((C21/1000)*0.038)*4),IF(AND(ISERROR(FIND(""drawer front"",A21))=FALSE,LEFT(KitchenDoorStyle,14)=""In-frame panel""),((((B21-76)/1000)*((C21-38)/1000))*2)+((MID(KitchenDoorMaterial,FIND(""("",KitchenDoorMaterial)+1,2)/1000)*((((B21-76)+(C21-38))/1000)*2))"&amp;"+((((B21-236)/1000)+((C21-198)/1000)*2)*0.013)+(((B21/1000)*0.032)*2)+((((B21-76)/1000)*0.032)*2)+(((B21/1000)*0.019)*4)+(((C21/1000)*0.032)*2)+((((C21-38)/1000)*0.032)*2)+(((C21/1000)*0.038)*4),IF(ISERROR(FIND(""drawer box"",A21))=FALSE,((((B21/1000)*(D2"&amp;"1/1000))+((B21/1000)*(C21/1000)))*4)+((((D21/1000)+(C21/1000))*0.016)*4)+(((C21/1000)*(D21/1000))*2),IF(OR(ISERROR(FIND(""shelf"",A21))=FALSE,ISERROR(FIND(""spacer"",A21))=FALSE,,ISERROR(FIND(""filler panel"",A21))=FALSE),(((C21/1000)*(D21/1000))*2)+((((C"&amp;"21+D21)*2)/1000)*0.022),IF(ISERROR(FIND(""lost corner"",A21))=FALSE,(((B21/1000)*(C21/1000))*2)+((B21/1000)*(C21/1000))+((B21/1000)*((C21/2)/1000))+((((B21/1000)*0.025)+((C21/1000)*0.025))*2),IF(ISERROR(FIND(""carcass"",A21))=FALSE,(((C21/1000)*(D21/1000)"&amp;")*2)+(((B21/1000)*(D21/1000))*2)+((B21/1000)*(C21/1000))+((((B21/1000)*0.025)+((C21/1000)*0.025))*2),IF(AND(ISERROR(FIND(""door"",A21))=FALSE,KitchenDoorStyle=""Flat""),(((B21/1000)*(C21/1000))*2)+(MID(KitchenDoorMaterial,FIND(""("",KitchenDoorMaterial)+1"&amp;",2)/1000)*(((B21+C21)/1000)*2),IF(AND(ISERROR(FIND(""door"",A21))=FALSE,LEFT(KitchenDoorStyle,5)=""Panel""),(((B21/1000)*(C21/1000))*2)+((MID(KitchenDoorMaterial,FIND(""("",KitchenDoorMaterial)+1,2)/1000)*(((B21+C21)/1000)*2))+(((((B21-160)+(C21-160))*2)/"&amp;"1000)*(0.013)),IF(AND(ISERROR(FIND(""door"",A21))=FALSE,KitchenDoorStyle=""In-frame flat""),((((B21-76)/1000)*((C21-38)/1000))*2)+(MID(KitchenDoorMaterial,FIND(""("",KitchenDoorMaterial)+1,2)/1000)*((((B21-76)+(C21-38))/1000)*2)+(((B21/1000)*0.032)*2)+((("&amp;"(B21-76)/1000)*0.032)*2)+(((B21/1000)*0.019)*4)+(((C21/1000)*0.032)*2)+((((C21-38)/1000)*0.032)*2)+(((C21/1000)*0.038)*4),IF(AND(ISERROR(FIND(""door"",A21))=FALSE,LEFT(KitchenDoorStyle,14)=""In-frame panel""),((((B21-76)/1000)*((C21-38)/1000))*2)+((MID(Ki"&amp;"tchenDoorMaterial,FIND(""("",KitchenDoorMaterial)+1,2)/1000)*((((B21-76)+(C21-38))/1000)*2))+((((B21-236)/1000)+((C21-198)/1000)*2)*0.013)+(((B21/1000)*0.032)*2)+((((B21-76)/1000)*0.032)*2)+(((B21/1000)*0.019)*4)+(((C21/1000)*0.032)*2)+((((C21-38)/1000)*0"&amp;".032)*2)+(((C21/1000)*0.038)*4),IF(ISERROR(FIND(""Plinth"",A21))=FALSE,((B21/1000)*(C21/1000))+(((C21/1000)*0.018)*2)+(((B21/1000)*0.018)*2),IF(ISERROR(FIND(""Cornice"",A21))=FALSE,(((C21/1000)*0.1)*2)+(((C21/1000)*0.044)*2)+(((B21/1000)*0.08)*2),IF(ISERR"&amp;"OR(FIND(""Base end panel"",A21))=FALSE,((B21/1000)*(C21/1000))+(0.022*((B21/1000)+((C21/1000)*2)))+((B21/1000)*0.05),IF(ISERROR(FIND(""Wall end panel"",A21))=FALSE,((B21/1000)*(C21/1000))+(0.022*((B21/1000)+((C21/1000)*2)))+((B21/1000)*0.05),IF(ISERROR(FI"&amp;"ND(""Tower end panel"",A21))=FALSE,((B21/1000)*(C21/1000))+(0.022*((B21/1000)+((C21/1000)*2)))+((B21/1000)*0.05),IF(ISERROR(FIND(""Fillers"",A21))=FALSE,((C21/1000)*0.06)+((C21/1000)*0.069)+((0.06*0.018)*2)+((0.06*0.009)*2)+((C21/1000)*0.009)+((C21/1000)*"&amp;"0.018),IF(ISERROR(FIND(""corner post"",A21))=FALSE,(((B21/1000*0.05)*2)+((B21/1000)*0.022)*2)+((B21/1000)*0.072)+((B21/1000)*0.05)+((0.072*0.022)*2)+((0.05*0.022)*2),IF(ISERROR(FIND(""Pelmet"",A21))=FALSE,((C21/1000)*0.05)+((C21/1000)*0.068)+((0.05*0.018)"&amp;"*4)+(((C21/1000)*0.018))*2))))))))))))))))))))))))))))"),0.895)</f>
        <v>0.895</v>
      </c>
      <c r="N21" s="152">
        <f>IF(M21="","",IF(AND(ISERROR(FIND("carcass",A21))=TRUE,ISERROR(FIND("unit",A21))=TRUE,ISERROR(FIND("insert",A21))=TRUE,ISERROR(FIND("rack",A21))=TRUE,ISERROR(FIND("box",A21))=TRUE,ISERROR(FIND("shelf",#REF!))=TRUE),VLOOKUP(KitchenDoorFinish,Finishing!$A$2:$K$10,9,0)*M21,VLOOKUP(KitchenCarcassFinish,Finishing!$A$2:$K$40,9,0)*M21))</f>
        <v>3.35625</v>
      </c>
      <c r="O21" s="155">
        <v>1.5</v>
      </c>
      <c r="P21" s="155">
        <v>1.0</v>
      </c>
      <c r="Q21" s="152">
        <f>IF(OR(O21="",P21=""),"",((O21*X21)*(VLOOKUP("Workshop",Labour!$A$3:$E$20,4,0)/8))+((P21*AE21)*(VLOOKUP("Finishing",Labour!$A$3:$E$20,4,0)/8)))</f>
        <v>93.625</v>
      </c>
      <c r="R21" s="152">
        <f t="shared" si="4"/>
        <v>206.4053436</v>
      </c>
      <c r="S21" s="156">
        <f>IF(OR(O21="",P21=""),"",IF(OR(ISERROR(FIND("carcass",$A21))=FALSE,ISERROR(FIND("unit",$A21))=FALSE),VLOOKUP(KitchenCarcassMaterial,FixedListsCarcassMaterial,2,0),0))</f>
        <v>1</v>
      </c>
      <c r="T21" s="156">
        <f>IF(OR(O21="",P21=""),"",IF(ISERROR(FIND("door",$A21))=FALSE,VLOOKUP(KitchenDoorStyle,FixedListsDoorStyle,2,0),0))</f>
        <v>0</v>
      </c>
      <c r="U21" s="156">
        <f>IF(OR(O21="",P21=""),"",IF(ISERROR(FIND("door",$A21))=FALSE,VLOOKUP(KitchenDoorMaterial,FixedListsDoorMaterial,2,0),0))</f>
        <v>0</v>
      </c>
      <c r="V21" s="156">
        <f>IF(OR(O21="",P21=""),"",IF(ISERROR(FIND("drawer",$A21))=FALSE,VLOOKUP(KitchenDrawerType,FixedListsDrawerType,2,0),0))</f>
        <v>0</v>
      </c>
      <c r="W21" s="156">
        <f>IF(OR(O21="",P21=""),"",IF(OR(S21&gt;0, T21&gt;0,V21&gt;0),VLOOKUP(KitchenHandleType,FixedListsHandleType,2,FALSE)*IF(KitchenHandleType="Simple",0,IF(S21&gt;0,VLOOKUP(KitchenHandleType,FixedListsHandleType,4,FALSE),IF(OR(T21&gt;0,V21&gt;0),1-VLOOKUP(KitchenHandleType,FixedListsHandleType,4,FALSE),"Error"))),0))</f>
        <v>0</v>
      </c>
      <c r="X21" s="156">
        <f t="shared" si="5"/>
        <v>1</v>
      </c>
      <c r="Y21" s="156">
        <f>IF(OR(O21="",P21=""),"",IF(OR(ISERROR(FIND("carcass",$A21))=FALSE,ISERROR(FIND("unit",$A21))=FALSE),VLOOKUP(KitchenCarcassMaterial,FixedListsCarcassMaterial,3,0),0))</f>
        <v>1</v>
      </c>
      <c r="Z21" s="156">
        <f>IF(OR(O21="",P21=""),"",IF(ISERROR(FIND("door",$A21))=FALSE,VLOOKUP(KitchenDoorStyle,FixedListsDoorStyle,3,0),0))</f>
        <v>0</v>
      </c>
      <c r="AA21" s="156">
        <f>IF(OR(O21="",P21=""),"",IF(ISERROR(FIND("door",$A21))=FALSE,VLOOKUP(KitchenDoorMaterial,FixedListsDoorMaterial,3,0),0))</f>
        <v>0</v>
      </c>
      <c r="AB21" s="156">
        <f>IF(OR(O21="",P21=""),"",IF(ISERROR(FIND("drawer",$A21))=FALSE,VLOOKUP(KitchenDrawerType,FixedListsDrawerType,3,0),0))</f>
        <v>0</v>
      </c>
      <c r="AC21" s="156">
        <f>IF(OR(O21="",P21=""),"",IF(OR(Y21&gt;0,Z21&gt;0,AB21&gt;0),VLOOKUP(KitchenHandleType,FixedListsHandleType,3,FALSE),0))</f>
        <v>1</v>
      </c>
      <c r="AD21" s="156">
        <f>IF(OR(O21="",P21=""),"",IF(OR(ISERROR(FIND("carcass",$A21))=FALSE,ISERROR(FIND("unit",$A21))=FALSE),VLOOKUP(KitchenCarcassFinish,FixedListsFinishes,3,0),IF(OR(ISERROR(FIND("door",$A21))=FALSE,ISERROR(FIND("Plinth",$A21))=FALSE,ISERROR(FIND("Cornice",$A21))=FALSE,ISERROR(FIND("Fillers",$A21))=FALSE,ISERROR(FIND("Pelmet",$A21))=FALSE,ISERROR(FIND("panel",$A21))=FALSE,ISERROR(FIND("post",$A21))=FALSE),VLOOKUP(KitchenDoorFinish,FixedListsFinishes,3,0),IF(OR(ISERROR(FIND("drawer",$A21))=FALSE,ISERROR(FIND("insert",$A21))=FALSE,ISERROR(FIND("rck",$A21))=FALSE),VLOOKUP(KitchenCarcassFinish,FixedListsFinishes,3,0),0))))</f>
        <v>1</v>
      </c>
      <c r="AE21" s="156">
        <f t="shared" si="6"/>
        <v>1</v>
      </c>
      <c r="AF21" s="157" t="str">
        <f>IF(AND(KitchenHandleType="Channel",OR(ISERROR(FIND("arcass",$A21))=FALSE,ISERROR(FIND("unit",$A21))=FALSE)),IF(ISERROR(FIND("Tower",$A21))=TRUE,IF(KitchenHandleFinish="Match carcass",IF(ISERROR(FIND("Walnut",KitchenCarcassMaterial))=FALSE,(0.035*0.075*($C21/1000))*VLOOKUP("Walnut (solid m3)",SolidData,4,FALSE),IF(ISERROR(FIND("Oak",KitchenCarcassMaterial))=FALSE,(0.035*0.075*($C21/1000))*VLOOKUP("Oak (solid m3)",SolidData,4,FALSE),IF(ISERROR(FIND("ply",KitchenCarcassMaterial))=FALSE,(0.1*($C21/1000))*VLOOKUP("Birch ply (24mm)",SheetsData,7,FALSE),IF(ISERROR(FIND("H/F",KitchenCarcassMaterial))=FALSE,(0.1*($C21/1000))*VLOOKUP("H/F (22mm)",SheetsData,7,FALSE),"Carcass - not tower - new material")))),IF(KitchenHandleFinish="Match door",IF(ISERROR(FIND("Walnut",KitchenDoorMaterial))=FALSE,(0.035*0.075*($C21/1000))*VLOOKUP("Walnut (solid m3)",SolidData,4,FALSE),IF(ISERROR(FIND("Oak",KitchenDoorMaterial))=FALSE,(0.035*0.075*($C21/1000))*VLOOKUP("Oak (solid m3)",SolidData,4,FALSE),IF(ISERROR(FIND("ply",KitchenDoorMaterial))=FALSE,(0.1*($C21/1000))*VLOOKUP("Birch ply (24mm)",SheetsData,7,FALSE),IF(ISERROR(FIND("H/F",KitchenCarcassMaterial))=FALSE,(0.1*($C21/1000))*VLOOKUP("H/F (22mm)",SheetsData,7,FALSE),"Door - not tower - new material")))),"Channel - not tower - handle set to other")),IF(ISERROR(FIND("Tower",$A21))=FALSE,IF(KitchenHandleFinish="Match carcass",IF(ISERROR(FIND("Walnut",KitchenCarcassMaterial))=FALSE,(0.035*0.075*($B21/1000))*VLOOKUP("Walnut (solid m3)",SolidData,4,FALSE),IF(ISERROR(FIND("Oak",KitchenCarcassMaterial))=FALSE,(0.035*0.075*($B21/1000))*VLOOKUP("Oak (solid m3)",SolidData,4,FALSE),IF(ISERROR(FIND("ply",KitchenCarcassMaterial))=FALSE,(0.1*($B21/1000))*VLOOKUP("Birch ply (24mm)",SheetsData,7,FALSE),IF(ISERROR(FIND("H/F",KitchenCarcassMaterial))=FALSE,(0.1*($C21/1000))*VLOOKUP("H/F (22mm)",SheetsData,7,FALSE),"Carcass - tower - new material")))),IF(KitchenHandleFinish="Match door",IF(ISERROR(FIND("Walnut",KitchenDoorMaterial))=FALSE,(0.035*0.075*($B21/1000))*VLOOKUP("Walnut (solid m3)",SolidData,4,FALSE),IF(ISERROR(FIND("Oak",KitchenDoorMaterial))=FALSE,(0.035*0.075*($B21/1000))*VLOOKUP("Oak (solid m3)",SolidData,4,FALSE),IF(ISERROR(FIND("ply",KitchenDoorMaterial))=FALSE,(0.1*($B21/1000))*VLOOKUP("Birch ply (24mm)",SheetData,7,FALSE),IF(ISERROR(FIND("H/F",KitchenCarcassMaterial))=FALSE,(0.1*($C21/1000))*VLOOKUP("H/F (22mm)",SheetsData,7,FALSE),"Door - tower - new material")))),"Channel - tower - handle set to other")))),"")</f>
        <v/>
      </c>
    </row>
    <row r="22">
      <c r="A22" s="151" t="s">
        <v>130</v>
      </c>
      <c r="B22" s="115">
        <f t="shared" si="1"/>
        <v>2200</v>
      </c>
      <c r="C22" s="115" t="str">
        <f>IFERROR(__xludf.DUMMYFUNCTION("IF(A22="""","""",IF(OR(RIGHT(A22,LEN(A22)-len(regexextract(A22,"".* "")))=""1200"",RIGHT(A22,LEN(A22)-len(regexextract(A22,"".* "")))=""600"",RIGHT(A22,LEN(A22)-len(regexextract(A22,"".* "")))=""400"",RIGHT(A22,LEN(A22)-len(regexextract(A22,"".* "")))=""3"&amp;"00"",RIGHT(A22,LEN(A22)-len(regexextract(A22,"".* "")))=""700"",RIGHT(A22,LEN(A22)-len(regexextract(A22,"".* "")))=""2400"",RIGHT(A22,LEN(A22)-len(regexextract(A22,"".* "")))=""650"",RIGHT(A22,LEN(A22)-len(regexextract(A22,"".* "")))=""350"",RIGHT(A22,LEN"&amp;"(A22)-len(regexextract(A22,"".* "")))=""50""),RIGHT(A22,LEN(A22)-len(regexextract(A22,"".* ""))),IF(OR(ISERROR(FIND(""spacer"",A22))=FALSE,ISERROR(FIND(""filler panel"",A22))=FALSE),""1000"",""Unexpected size in description"")))"),"1200")</f>
        <v>1200</v>
      </c>
      <c r="D22" s="151">
        <f t="shared" si="2"/>
        <v>600</v>
      </c>
      <c r="E22" s="152">
        <f>IFERROR(__xludf.DUMMYFUNCTION("IF(OR(A22="""",AND(ISERROR(FIND(""drawer box"",A22))=FALSE,KitchenDrawerType="""")),"""",IF(OR(ISERROR(FIND(""larder"",A22))=FALSE,ISERROR(FIND(""fridge/freezer"",A22))=FALSE,ISERROR(FIND(""double oven"",A22))=FALSE,ISERROR(FIND(""single oven"",A22))=FALS"&amp;"E),VLOOKUP(LEFT(A22,FIND("" "",A22))&amp;""carcass ""&amp;RIGHT(A22,LEN(A22)-(LEN(A22)-3)),KitchensData,5,0),IF(ISERROR(FIND(""sink"",A22))=FALSE,VLOOKUP(LEFT(A22,FIND("" "",A22))&amp;""carcass ""&amp;VALUE(REGEXREPLACE(A22,""[^[:digit:]]"", """")),KitchensData,5,0)+(((C"&amp;"22/1000)*(300/1000))*VLOOKUP(KitchenCarcassMaterial,SheetsData,8,0)),IF(ISERROR(FIND(""bins"",A22))=FALSE,IF(ISERROR(FIND(""veneer"",KitchenCarcassMaterial))=FALSE,VLOOKUP(""Base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600"",A22))=FALSE,IF(ISERROR(FIND(""veneer"""&amp;",KitchenCarcassMaterial))=FALSE,0.54*(VLOOKUP(LEFT(KitchenCarcassMaterial,FIND(""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1200"",A22))=FALSE,"&amp;"IF(ISERROR(FIND(""veneer"",KitchenCarcassMaterial))=FALSE,0.84*(VLOOKUP(LEFT(KitchenCarcassMaterial,FIND(""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600"",A22))=FALSE,IF(ISERROR(FIND(""veneer"",KitchenCarcassMaterial))=FALSE,1.44*(VLOOKUP(LEFT(KitchenCarcassMaterial,FIND(""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1200"",A22))=FALSE,IF(ISERROR(FIND(""veneer"",KitchenCarcassMaterial))=FALSE,2.7*(VLOOKUP(LEFT(KitchenCarcassMaterial,FIND(""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front"",A22))=FALSE,((B22/1000)*(C22/1000))*VLOOKUP(KitchenDoorMaterial,SheetsData,8,0),IF(AND(KitchenDrawerType=""Match carcass"",ISERROR(FIND(""drawer box"",A22))=FALSE),(((((B22/1000)*(C22/1000))+((B22/1000"&amp;")*(D22/1000)))*2)*VLOOKUP(KitchenCarcassMaterial,SheetsData,8,0))+(((C22/1000)*(D22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box"",A22))=FALSE),(((((B22/1000)*(C22/1000))+((B22/1000)*(D22/1000)))*2)*(16/1000)*VLOOKUP(LEFT(KitchenCarcassMaterial,FIND("" "&amp;""",KitchenCarcassMaterial))&amp;""(solid m3)"",SolidData,5,0))+(((C22/1000)*(D22/1000))*VLOOKUP(LEFT(KitchenCarcassMaterial,FIND(""("",KitchenCarcassMaterial)-1)&amp;IF(OR(ISERROR(FIND(""ply"",KitchenCarcassMaterial))=FALSE,ISERROR(FIND(""H/F"",KitchenCarcassMate"&amp;"rial))=FALSE),""(9mm)"",""(10mm)""),SheetsData,8,0)),IF(ISERROR(FIND(""spacer"",A22))=FALSE,((D22/1000)*(C22/1000))*VLOOKUP(""Poplar ply (18mm)"",SheetsData,8,0),IF(ISERROR(FIND(""filler panel"",A22))=FALSE,((B22/1000)*(C22/1000))*VLOOKUP(KitchenDoorMater"&amp;"ial,SheetsData,8,0),IF(ISERROR(FIND(""shelf"",A22))=FALSE,((D22/1000)*(C22/1000))*VLOOKUP(KitchenCarcassMaterial,SheetsData,8,0),IF(ISERROR(FIND(""lost corner"",A22))=FALSE,VLOOKUP(LEFT(A22,FIND("" "",A22))&amp;""carcass ""&amp;VALUE(REGEXREPLACE(A22,""[^[:digit:"&amp;"]]"", """")),KitchensData,5,0)+((((B22/1000)*(C22/1000))+((B22/1000)*(60/1000)))*VLOOKUP(KitchenCarcassMaterial,SheetsData,8,0)),IF(ISERROR(FIND(""carcass"",A22))=FALSE,(((((B22/1000)*2)*(D22/1000))+(((C22/1000)*2)*(D22/1000)))*VLOOKUP(KitchenCarcassMater"&amp;"ial,SheetsData,8,0))+((B22/1000)*(C22/1000))*VLOOKUP(LEFT(KitchenCarcassMaterial,FIND(""("",KitchenCarcassMaterial)-1)&amp;IF(OR(ISERROR(FIND(""ply"",KitchenCarcassMaterial))=FALSE,ISERROR(FIND(""H/F"",KitchenCarcassMaterial))=FALSE),""(9mm)"",""(10mm)""),She"&amp;"etsData,8,0),IF(OR(ISERROR(FIND(""Plinth"",A22))=FALSE,ISERROR(FIND(""Cornice (flat)"",A22))=FALSE),((B22/1000)*(C22/1000))*VLOOKUP(""H/F (18mm)"",SheetsData,8,0),IF(ISERROR(FIND(""Cornice (stacked)"",A22))=FALSE,((0.08*(C22/1000))*2)*VLOOKUP(""H/F (22mm)"&amp;""",SheetsData,8,0),IF(ISERROR(FIND(""Base end panel"",A22))=FALSE,VLOOKUP(KitchenDoorMaterial,SheetsData,5,0)/3,IF(ISERROR(FIND(""Wall end panel"",A22))=FALSE,VLOOKUP(KitchenDoorMaterial,SheetsData,5,0)/9,IF(ISERROR(FIND(""Tower end panel"",A22))=FALSE,VL"&amp;"OOKUP(KitchenDoorMaterial,SheetsData,5,0),IF(ISERROR(FIND(""Fillers"",A22))=FALSE,(((0.06*(C22/1000))*2)*VLOOKUP(""H/F (18mm)"",SheetsData,8,0))+(((0.06*(C22/1000))*2)*VLOOKUP(""H/F (9mm)"",SheetsData,8,0)),IF(ISERROR(FIND(""corner post"",A22))=FALSE,(((B"&amp;"22/1000)*0.05)*2)*VLOOKUP(KitchenDoorMaterial,SheetsData,8,0),IF(ISERROR(FIND(""Pelmet"",A22))=FALSE,((((B22/1000)*(C22/1000))*2)*VLOOKUP(""H/F (18mm)"",SheetsData,8,0)),IF(ISERROR(FIND(""door"",A22))=TRUE,""Check description"",IF(KitchenDoorStyle=""Flat"&amp;""",((B22/1000)*(C22/1000))*VLOOKUP(KitchenDoorMaterial,SheetsData,8,0),IF(LEFT(KitchenDoorStyle,5)=""Panel"",(((((B22/1000)*2)*0.08)+((((C22/1000)-0.16)*2)*0.08))*VLOOKUP(""H/F (22mm)"",SheetsData,8,0))+(((B22/1000)-0.14)*((C22/1000)-0.14)*VLOOKUP(""H/F ("&amp;"9mm)"",SheetsData,8,0)),IF(KitchenDoorStyle=""In-frame flat"",((((((B22/1000)*0.019)*0.038)+((((C22-38)/1000)*0.038)*0.038))*2)*VLOOKUP(""Tulip (solid m3)"",SolidData,5,0))+(((B22-76)/1000)*((C22-38)/1000))*VLOOKUP(""H/F (22mm)"",SheetsData,8,0),IF(LEFT(K"&amp;"itchenDoorStyle,14)=""In-frame panel"",(((((((B22/1000)*0.019)*0.038)+((((C22-38)/1000)*0.038)*0.038))*2)*VLOOKUP(""Tulip (solid m3)"",SolidData,5,0))+(((((((B22-76)/1000)*2)*0.08)+(((((C22-198)/1000)*2)*0.08)))*VLOOKUP(""H/F (22mm)"",SheetsData,8,0))+((("&amp;"B22-216)/1000)*((C22-178)/1000)*VLOOKUP(""H/F (9mm)"",SheetsData,8,0)))))))))))))))))))))))))))))))))"),284.47776135447464)</f>
        <v>284.4777614</v>
      </c>
      <c r="F22" s="152">
        <f>IFERROR(__xludf.DUMMYFUNCTION("IF(OR(A22="""",AND(ISERROR(FIND(""drawer box"",A22))=FALSE,KitchenDrawerType=""Solid dovetail"")),"""",IF(ISERROR(FIND(""bins"",A22))=FALSE,VLOOKUP(""Base carcass 600"",KitchensData,6,0),IF(OR(ISERROR(FIND(""larder"",A22))=FALSE,ISERROR(FIND(""unit"",A22)"&amp;")=FALSE),VLOOKUP(LEFT(A22,FIND("" "",A22))&amp;""carcass ""&amp;RIGHT(A22,LEN(A22)-len(regexextract(A22,"".* ""))),KitchensData,6,0),IF(ISERROR(FIND(""drawer front"",A22))=FALSE,IF(ISERROR(FIND(""veneer"",KitchenCarcassMaterial))=TRUE,0,(((B22+C22)/1000)*2)*VLOOK"&amp;"UP(""Edge banding (per M)"",SheetsData,5,0)),IF(ISERROR(FIND(""drawer box"",A22))=FALSE,IF(ISERROR(FIND(""veneer"",KitchenCarcassMaterial))=TRUE,0,(((C22+D22)/1000)*2)*VLOOKUP(""Edge banding (per M)"",SheetsData,5,0)),IF(ISERROR(FIND(""shelf"",A22))=FALSE"&amp;",IF(ISERROR(FIND(""veneer"",KitchenCarcassMaterial))=TRUE,0,(C22/1000)*VLOOKUP(""Edge banding (per M)"",SheetsData,5,0)),IF(AND(ISERROR(FIND(""carcass"",A22))=FALSE,ISERROR(FIND(""shelf"",A22))=TRUE),IF(ISERROR(FIND(""veneer"",KitchenCarcassMaterial))=TRU"&amp;"E,0,((2*(B22+C22))/1000)*VLOOKUP(""Edge banding (per M)"",SheetsData,5,0)),IF(ISERROR(FIND(""door"",A22))=TRUE,"""",IF(ISERROR(FIND(""veneer"",KitchenDoorMaterial))=TRUE,"""",((2*(B22+C22))/1000)*VLOOKUP(""Edge banding (per M)"",SheetsData,5,0))))))))))"),0.0)</f>
        <v>0</v>
      </c>
      <c r="G22" s="153">
        <f>IF(A22="","",IF(ISERROR(FIND("bins",A22))=FALSE,VLOOKUP("Base carcass 600",KitchensData,7,0),IF(OR(ISERROR(FIND("larder",A22))=FALSE,ISERROR(FIND("fridge/freezer",A22))=FALSE,ISERROR(FIND("double oven",A22))=FALSE,ISERROR(FIND("single oven",A22))=FALSE),VLOOKUP(LEFT(A22,FIND(" ",A22))&amp;"carcass "&amp;RIGHT(A22,LEN(A22)-(LEN(A22)-3)),KitchensData,7,0),IF(AND(ISERROR(FIND("carcass",A22))=FALSE,ISERROR(FIND("shelf",A22))=TRUE),IF(OR(ISERROR(FIND("Base",A22))=FALSE,ISERROR(FIND("Tower",A22))=FALSE),IF(OR(ISERROR(FIND("1200",A22))=FALSE, ISERROR(FIND("lost corner",A22))=FALSE),6*VLOOKUP("Plinth foot (2 Parts 80mm)",FurnitureData,5,0),4*VLOOKUP("Plinth foot (2 Parts 80mm)",FurnitureData,5,0)),""),""))))</f>
        <v>5.7</v>
      </c>
      <c r="H22" s="115" t="str">
        <f>IF(OR(A22="",ISERROR(FIND("door",A22))=TRUE),"",IF(ISERROR(FIND("Wall",A22))=FALSE,VLOOKUP("Hinges &amp; plates (Hettich thick door)",FurnitureData,5,0)*2,IF(ISERROR(FIND("Base",A22))=FALSE,VLOOKUP("Hinges &amp; plates (Hettich thick door)",FurnitureData,5,0)*3,IF(ISERROR(FIND("Boiler",A22))=FALSE,VLOOKUP("Hinges &amp; plates (Hettich thick door)",FurnitureData,5,0)*4,IF(ISERROR(FIND("Tower",A22))=FALSE,VLOOKUP("Hinges &amp; plates (Hettich thick door)",FurnitureData,5,0)*5)))))</f>
        <v/>
      </c>
      <c r="I22" s="115" t="str">
        <f>IF(ISERROR(FIND("shelf",A22))=FALSE,(VLOOKUP("Shelf pegs",FurnitureData,5,0)/100)*4,"")</f>
        <v/>
      </c>
      <c r="J22" s="152">
        <f>IF(OR(ISERROR(FIND("fridge/freezer",A22))=FALSE,ISERROR(FIND("larder",A22))=FALSE,AND(ISERROR(FIND("Base",A22))=FALSE,ISERROR(FIND("bins",A22))=TRUE,ISERROR(FIND("no shelves",A22))=TRUE,OR(ISERROR(FIND("carcass",A22))=FALSE,ISERROR(FIND("unit",A22))=FALSE))),VLOOKUP("Deep shelf "&amp;C22,KitchensData,18,0),IF(AND(ISERROR(FIND("Wall",A22))=FALSE,ISERROR(FIND("carcass",A22))=FALSE),2*VLOOKUP("Shallow shelf "&amp;C22,KitchensData,18,0),IF(AND(ISERROR(FIND("Tower",A22))=FALSE,ISERROR(FIND("oven",A22))=FALSE),4*VLOOKUP("Deep shelf "&amp;C22,KitchensData,18,0),IF(AND(ISERROR(FIND("Tower",A22))=FALSE,ISERROR(FIND("carcass",A22))=FALSE),5*VLOOKUP("Deep shelf "&amp;C22,KitchensData,18,0),""))))</f>
        <v>357.3224125</v>
      </c>
      <c r="K22" s="152" t="str">
        <f>IF(ISERROR(FIND("sink",A22))=FALSE,VLOOKUP("Sink liner - Aluminium "&amp;RIGHT(A22,LEN(A22)-22)&amp;"mm",ExceptionalData,5,0),IF(ISERROR(FIND("bins",A22))=FALSE,VLOOKUP("Drawer runners and clip set for bin unit (500) Dynapro",FurnitureData,5,0)+(2*VLOOKUP("Bin (42L Anthracite)",FurnitureData,5,0)),IF(ISERROR(FIND("larder",A22))=FALSE,VLOOKUP("Pull out larder unit 600mm",FurnitureData,5,0),IF(AND(ISERROR(FIND("drawer box",A22))=FALSE,ISERROR(FIND("internal",A22))=TRUE),VLOOKUP("Drawer runners and clip set (550) Dynapro",FurnitureData,5,0),IF(ISERROR(FIND("internal drawer box",A22))=FALSE,VLOOKUP("Drawer runners and clip set (450) Dynapro",FurnitureData,5,0),"")))))</f>
        <v/>
      </c>
      <c r="L22" s="152">
        <f t="shared" si="3"/>
        <v>647.5001739</v>
      </c>
      <c r="M22" s="154">
        <f>IFERROR(__xludf.DUMMYFUNCTION("IF(A22="""","""",IF(OR(ISERROR(FIND(""larder"",A22))=FALSE,ISERROR(FIND(""unit"",A22))=FALSE),VLOOKUP(LEFT(A22,FIND("" "",A22))&amp;""carcass ""&amp;RIGHT(A22,LEN(A22)-len(regexextract(A22,"".* ""))),KitchensData,13,0),IF(ISERROR(FIND(""bins"",A22))=FALSE,0.95,IF"&amp;"(ISERROR(FIND(""Cutlery insert 600"",A22))=FALSE,1.3,IF(ISERROR(FIND(""Cutlery insert 1200"",A22))=FALSE,2,IF(ISERROR(FIND(""Pan/tray rack 600"",A22))=FALSE,3.25,IF(ISERROR(FIND(""Pan/tray rack 1200"",A22))=FALSE,5.9,IF(ISERROR(FIND(""split"",A22))=FALSE,"&amp;"(((C22/1000)*0.022)*2)+VLOOKUP(SUBSTITUTE(A22,"" split"",""""),KitchensData,13,0),IF(AND(ISERROR(FIND(""drawer front"",A22))=FALSE,KitchenDoorStyle=""Flat""),(((B22/1000)*(C22/1000))*2)+((((B22+C22)/1000)*2)*0.022),IF(AND(ISERROR(FIND(""drawer front"",A22"&amp;"))=FALSE,LEFT(KitchenDoorStyle,5)=""Panel""),(((B22/1000)*(C22/1000))*2)+((((B22+C22)/1000)*2)*0.022)+((((C22/1000)-0.16)*0.013)*2)+((((D22/1000)-0.16)*0.013)*2),IF(AND(ISERROR(FIND(""drawer front"",A22))=FALSE,KitchenDoorStyle=""In-frame flat""),((((B22-"&amp;"76)/1000)*((C22-38)/1000))*2)+(MID(KitchenDoorMaterial,FIND(""("",KitchenDoorMaterial)+1,2)/1000)*((((B22-76)+(C22-38))/1000)*2)+(((B22/1000)*0.032)*2)+((((B22-76)/1000)*0.032)*2)+(((B22/1000)*0.019)*4)+(((C22/1000)*0.032)*2)+((((C22-38)/1000)*0.032)*2)+("&amp;"((C22/1000)*0.038)*4),IF(AND(ISERROR(FIND(""drawer front"",A22))=FALSE,LEFT(KitchenDoorStyle,14)=""In-frame panel""),((((B22-76)/1000)*((C22-38)/1000))*2)+((MID(KitchenDoorMaterial,FIND(""("",KitchenDoorMaterial)+1,2)/1000)*((((B22-76)+(C22-38))/1000)*2))"&amp;"+((((B22-236)/1000)+((C22-198)/1000)*2)*0.013)+(((B22/1000)*0.032)*2)+((((B22-76)/1000)*0.032)*2)+(((B22/1000)*0.019)*4)+(((C22/1000)*0.032)*2)+((((C22-38)/1000)*0.032)*2)+(((C22/1000)*0.038)*4),IF(ISERROR(FIND(""drawer box"",A22))=FALSE,((((B22/1000)*(D2"&amp;"2/1000))+((B22/1000)*(C22/1000)))*4)+((((D22/1000)+(C22/1000))*0.016)*4)+(((C22/1000)*(D22/1000))*2),IF(OR(ISERROR(FIND(""shelf"",A22))=FALSE,ISERROR(FIND(""spacer"",A22))=FALSE,,ISERROR(FIND(""filler panel"",A22))=FALSE),(((C22/1000)*(D22/1000))*2)+((((C"&amp;"22+D22)*2)/1000)*0.022),IF(ISERROR(FIND(""lost corner"",A22))=FALSE,(((B22/1000)*(C22/1000))*2)+((B22/1000)*(C22/1000))+((B22/1000)*((C22/2)/1000))+((((B22/1000)*0.025)+((C22/1000)*0.025))*2),IF(ISERROR(FIND(""carcass"",A22))=FALSE,(((C22/1000)*(D22/1000)"&amp;")*2)+(((B22/1000)*(D22/1000))*2)+((B22/1000)*(C22/1000))+((((B22/1000)*0.025)+((C22/1000)*0.025))*2),IF(AND(ISERROR(FIND(""door"",A22))=FALSE,KitchenDoorStyle=""Flat""),(((B22/1000)*(C22/1000))*2)+(MID(KitchenDoorMaterial,FIND(""("",KitchenDoorMaterial)+1"&amp;",2)/1000)*(((B22+C22)/1000)*2),IF(AND(ISERROR(FIND(""door"",A22))=FALSE,LEFT(KitchenDoorStyle,5)=""Panel""),(((B22/1000)*(C22/1000))*2)+((MID(KitchenDoorMaterial,FIND(""("",KitchenDoorMaterial)+1,2)/1000)*(((B22+C22)/1000)*2))+(((((B22-160)+(C22-160))*2)/"&amp;"1000)*(0.013)),IF(AND(ISERROR(FIND(""door"",A22))=FALSE,KitchenDoorStyle=""In-frame flat""),((((B22-76)/1000)*((C22-38)/1000))*2)+(MID(KitchenDoorMaterial,FIND(""("",KitchenDoorMaterial)+1,2)/1000)*((((B22-76)+(C22-38))/1000)*2)+(((B22/1000)*0.032)*2)+((("&amp;"(B22-76)/1000)*0.032)*2)+(((B22/1000)*0.019)*4)+(((C22/1000)*0.032)*2)+((((C22-38)/1000)*0.032)*2)+(((C22/1000)*0.038)*4),IF(AND(ISERROR(FIND(""door"",A22))=FALSE,LEFT(KitchenDoorStyle,14)=""In-frame panel""),((((B22-76)/1000)*((C22-38)/1000))*2)+((MID(Ki"&amp;"tchenDoorMaterial,FIND(""("",KitchenDoorMaterial)+1,2)/1000)*((((B22-76)+(C22-38))/1000)*2))+((((B22-236)/1000)+((C22-198)/1000)*2)*0.013)+(((B22/1000)*0.032)*2)+((((B22-76)/1000)*0.032)*2)+(((B22/1000)*0.019)*4)+(((C22/1000)*0.032)*2)+((((C22-38)/1000)*0"&amp;".032)*2)+(((C22/1000)*0.038)*4),IF(ISERROR(FIND(""Plinth"",A22))=FALSE,((B22/1000)*(C22/1000))+(((C22/1000)*0.018)*2)+(((B22/1000)*0.018)*2),IF(ISERROR(FIND(""Cornice"",A22))=FALSE,(((C22/1000)*0.1)*2)+(((C22/1000)*0.044)*2)+(((B22/1000)*0.08)*2),IF(ISERR"&amp;"OR(FIND(""Base end panel"",A22))=FALSE,((B22/1000)*(C22/1000))+(0.022*((B22/1000)+((C22/1000)*2)))+((B22/1000)*0.05),IF(ISERROR(FIND(""Wall end panel"",A22))=FALSE,((B22/1000)*(C22/1000))+(0.022*((B22/1000)+((C22/1000)*2)))+((B22/1000)*0.05),IF(ISERROR(FI"&amp;"ND(""Tower end panel"",A22))=FALSE,((B22/1000)*(C22/1000))+(0.022*((B22/1000)+((C22/1000)*2)))+((B22/1000)*0.05),IF(ISERROR(FIND(""Fillers"",A22))=FALSE,((C22/1000)*0.06)+((C22/1000)*0.069)+((0.06*0.018)*2)+((0.06*0.009)*2)+((C22/1000)*0.009)+((C22/1000)*"&amp;"0.018),IF(ISERROR(FIND(""corner post"",A22))=FALSE,(((B22/1000*0.05)*2)+((B22/1000)*0.022)*2)+((B22/1000)*0.072)+((B22/1000)*0.05)+((0.072*0.022)*2)+((0.05*0.022)*2),IF(ISERROR(FIND(""Pelmet"",A22))=FALSE,((C22/1000)*0.05)+((C22/1000)*0.068)+((0.05*0.018)"&amp;"*4)+(((C22/1000)*0.018))*2))))))))))))))))))))))))))))"),9.41)</f>
        <v>9.41</v>
      </c>
      <c r="N22" s="152">
        <f>IF(M22="","",IF(AND(ISERROR(FIND("carcass",A22))=TRUE,ISERROR(FIND("unit",A22))=TRUE,ISERROR(FIND("insert",A22))=TRUE,ISERROR(FIND("rack",A22))=TRUE,ISERROR(FIND("box",A22))=TRUE,ISERROR(FIND("shelf",#REF!))=TRUE),VLOOKUP(KitchenDoorFinish,Finishing!$A$2:$K$10,9,0)*M22,VLOOKUP(KitchenCarcassFinish,Finishing!$A$2:$K$40,9,0)*M22))</f>
        <v>35.2875</v>
      </c>
      <c r="O22" s="155">
        <v>2.5</v>
      </c>
      <c r="P22" s="155">
        <v>1.5</v>
      </c>
      <c r="Q22" s="152">
        <f>IF(OR(O22="",P22=""),"",((O22*X22)*(VLOOKUP("Workshop",Labour!$A$3:$E$20,4,0)/8))+((P22*AE22)*(VLOOKUP("Finishing",Labour!$A$3:$E$20,4,0)/8)))</f>
        <v>151.375</v>
      </c>
      <c r="R22" s="152">
        <f t="shared" si="4"/>
        <v>834.1626739</v>
      </c>
      <c r="S22" s="156">
        <f>IF(OR(O22="",P22=""),"",IF(OR(ISERROR(FIND("carcass",$A22))=FALSE,ISERROR(FIND("unit",$A22))=FALSE),VLOOKUP(KitchenCarcassMaterial,FixedListsCarcassMaterial,2,0),0))</f>
        <v>1</v>
      </c>
      <c r="T22" s="156">
        <f>IF(OR(O22="",P22=""),"",IF(ISERROR(FIND("door",$A22))=FALSE,VLOOKUP(KitchenDoorStyle,FixedListsDoorStyle,2,0),0))</f>
        <v>0</v>
      </c>
      <c r="U22" s="156">
        <f>IF(OR(O22="",P22=""),"",IF(ISERROR(FIND("door",$A22))=FALSE,VLOOKUP(KitchenDoorMaterial,FixedListsDoorMaterial,2,0),0))</f>
        <v>0</v>
      </c>
      <c r="V22" s="156">
        <f>IF(OR(O22="",P22=""),"",IF(ISERROR(FIND("drawer",$A22))=FALSE,VLOOKUP(KitchenDrawerType,FixedListsDrawerType,2,0),0))</f>
        <v>0</v>
      </c>
      <c r="W22" s="156">
        <f>IF(OR(O22="",P22=""),"",IF(OR(S22&gt;0, T22&gt;0,V22&gt;0),VLOOKUP(KitchenHandleType,FixedListsHandleType,2,FALSE)*IF(KitchenHandleType="Simple",0,IF(S22&gt;0,VLOOKUP(KitchenHandleType,FixedListsHandleType,4,FALSE),IF(OR(T22&gt;0,V22&gt;0),1-VLOOKUP(KitchenHandleType,FixedListsHandleType,4,FALSE),"Error"))),0))</f>
        <v>0</v>
      </c>
      <c r="X22" s="156">
        <f t="shared" si="5"/>
        <v>1</v>
      </c>
      <c r="Y22" s="156">
        <f>IF(OR(O22="",P22=""),"",IF(OR(ISERROR(FIND("carcass",$A22))=FALSE,ISERROR(FIND("unit",$A22))=FALSE),VLOOKUP(KitchenCarcassMaterial,FixedListsCarcassMaterial,3,0),0))</f>
        <v>1</v>
      </c>
      <c r="Z22" s="156">
        <f>IF(OR(O22="",P22=""),"",IF(ISERROR(FIND("door",$A22))=FALSE,VLOOKUP(KitchenDoorStyle,FixedListsDoorStyle,3,0),0))</f>
        <v>0</v>
      </c>
      <c r="AA22" s="156">
        <f>IF(OR(O22="",P22=""),"",IF(ISERROR(FIND("door",$A22))=FALSE,VLOOKUP(KitchenDoorMaterial,FixedListsDoorMaterial,3,0),0))</f>
        <v>0</v>
      </c>
      <c r="AB22" s="156">
        <f>IF(OR(O22="",P22=""),"",IF(ISERROR(FIND("drawer",$A22))=FALSE,VLOOKUP(KitchenDrawerType,FixedListsDrawerType,3,0),0))</f>
        <v>0</v>
      </c>
      <c r="AC22" s="156">
        <f>IF(OR(O22="",P22=""),"",IF(OR(Y22&gt;0,Z22&gt;0,AB22&gt;0),VLOOKUP(KitchenHandleType,FixedListsHandleType,3,FALSE),0))</f>
        <v>1</v>
      </c>
      <c r="AD22" s="156">
        <f>IF(OR(O22="",P22=""),"",IF(OR(ISERROR(FIND("carcass",$A22))=FALSE,ISERROR(FIND("unit",$A22))=FALSE),VLOOKUP(KitchenCarcassFinish,FixedListsFinishes,3,0),IF(OR(ISERROR(FIND("door",$A22))=FALSE,ISERROR(FIND("Plinth",$A22))=FALSE,ISERROR(FIND("Cornice",$A22))=FALSE,ISERROR(FIND("Fillers",$A22))=FALSE,ISERROR(FIND("Pelmet",$A22))=FALSE,ISERROR(FIND("panel",$A22))=FALSE,ISERROR(FIND("post",$A22))=FALSE),VLOOKUP(KitchenDoorFinish,FixedListsFinishes,3,0),IF(OR(ISERROR(FIND("drawer",$A22))=FALSE,ISERROR(FIND("insert",$A22))=FALSE,ISERROR(FIND("rck",$A22))=FALSE),VLOOKUP(KitchenCarcassFinish,FixedListsFinishes,3,0),0))))</f>
        <v>1</v>
      </c>
      <c r="AE22" s="156">
        <f t="shared" si="6"/>
        <v>1</v>
      </c>
      <c r="AF22" s="157" t="str">
        <f>IF(AND(KitchenHandleType="Channel",OR(ISERROR(FIND("arcass",$A22))=FALSE,ISERROR(FIND("unit",$A22))=FALSE)),IF(ISERROR(FIND("Tower",$A22))=TRUE,IF(KitchenHandleFinish="Match carcass",IF(ISERROR(FIND("Walnut",KitchenCarcassMaterial))=FALSE,(0.035*0.075*($C22/1000))*VLOOKUP("Walnut (solid m3)",SolidData,4,FALSE),IF(ISERROR(FIND("Oak",KitchenCarcassMaterial))=FALSE,(0.035*0.075*($C22/1000))*VLOOKUP("Oak (solid m3)",SolidData,4,FALSE),IF(ISERROR(FIND("ply",KitchenCarcassMaterial))=FALSE,(0.1*($C22/1000))*VLOOKUP("Birch ply (24mm)",SheetsData,7,FALSE),IF(ISERROR(FIND("H/F",KitchenCarcassMaterial))=FALSE,(0.1*($C22/1000))*VLOOKUP("H/F (22mm)",SheetsData,7,FALSE),"Carcass - not tower - new material")))),IF(KitchenHandleFinish="Match door",IF(ISERROR(FIND("Walnut",KitchenDoorMaterial))=FALSE,(0.035*0.075*($C22/1000))*VLOOKUP("Walnut (solid m3)",SolidData,4,FALSE),IF(ISERROR(FIND("Oak",KitchenDoorMaterial))=FALSE,(0.035*0.075*($C22/1000))*VLOOKUP("Oak (solid m3)",SolidData,4,FALSE),IF(ISERROR(FIND("ply",KitchenDoorMaterial))=FALSE,(0.1*($C22/1000))*VLOOKUP("Birch ply (24mm)",SheetsData,7,FALSE),IF(ISERROR(FIND("H/F",KitchenCarcassMaterial))=FALSE,(0.1*($C22/1000))*VLOOKUP("H/F (22mm)",SheetsData,7,FALSE),"Door - not tower - new material")))),"Channel - not tower - handle set to other")),IF(ISERROR(FIND("Tower",$A22))=FALSE,IF(KitchenHandleFinish="Match carcass",IF(ISERROR(FIND("Walnut",KitchenCarcassMaterial))=FALSE,(0.035*0.075*($B22/1000))*VLOOKUP("Walnut (solid m3)",SolidData,4,FALSE),IF(ISERROR(FIND("Oak",KitchenCarcassMaterial))=FALSE,(0.035*0.075*($B22/1000))*VLOOKUP("Oak (solid m3)",SolidData,4,FALSE),IF(ISERROR(FIND("ply",KitchenCarcassMaterial))=FALSE,(0.1*($B22/1000))*VLOOKUP("Birch ply (24mm)",SheetsData,7,FALSE),IF(ISERROR(FIND("H/F",KitchenCarcassMaterial))=FALSE,(0.1*($C22/1000))*VLOOKUP("H/F (22mm)",SheetsData,7,FALSE),"Carcass - tower - new material")))),IF(KitchenHandleFinish="Match door",IF(ISERROR(FIND("Walnut",KitchenDoorMaterial))=FALSE,(0.035*0.075*($B22/1000))*VLOOKUP("Walnut (solid m3)",SolidData,4,FALSE),IF(ISERROR(FIND("Oak",KitchenDoorMaterial))=FALSE,(0.035*0.075*($B22/1000))*VLOOKUP("Oak (solid m3)",SolidData,4,FALSE),IF(ISERROR(FIND("ply",KitchenDoorMaterial))=FALSE,(0.1*($B22/1000))*VLOOKUP("Birch ply (24mm)",SheetData,7,FALSE),IF(ISERROR(FIND("H/F",KitchenCarcassMaterial))=FALSE,(0.1*($C22/1000))*VLOOKUP("H/F (22mm)",SheetsData,7,FALSE),"Door - tower - new material")))),"Channel - tower - handle set to other")))),"")</f>
        <v/>
      </c>
    </row>
    <row r="23">
      <c r="A23" s="151" t="s">
        <v>131</v>
      </c>
      <c r="B23" s="115">
        <f t="shared" si="1"/>
        <v>2200</v>
      </c>
      <c r="C23" s="115" t="str">
        <f>IFERROR(__xludf.DUMMYFUNCTION("IF(A23="""","""",IF(OR(RIGHT(A23,LEN(A23)-len(regexextract(A23,"".* "")))=""1200"",RIGHT(A23,LEN(A23)-len(regexextract(A23,"".* "")))=""600"",RIGHT(A23,LEN(A23)-len(regexextract(A23,"".* "")))=""400"",RIGHT(A23,LEN(A23)-len(regexextract(A23,"".* "")))=""3"&amp;"00"",RIGHT(A23,LEN(A23)-len(regexextract(A23,"".* "")))=""700"",RIGHT(A23,LEN(A23)-len(regexextract(A23,"".* "")))=""2400"",RIGHT(A23,LEN(A23)-len(regexextract(A23,"".* "")))=""650"",RIGHT(A23,LEN(A23)-len(regexextract(A23,"".* "")))=""350"",RIGHT(A23,LEN"&amp;"(A23)-len(regexextract(A23,"".* "")))=""50""),RIGHT(A23,LEN(A23)-len(regexextract(A23,"".* ""))),IF(OR(ISERROR(FIND(""spacer"",A23))=FALSE,ISERROR(FIND(""filler panel"",A23))=FALSE),""1000"",""Unexpected size in description"")))"),"600")</f>
        <v>600</v>
      </c>
      <c r="D23" s="151">
        <f t="shared" si="2"/>
        <v>600</v>
      </c>
      <c r="E23" s="152">
        <f>IFERROR(__xludf.DUMMYFUNCTION("IF(OR(A23="""",AND(ISERROR(FIND(""drawer box"",A23))=FALSE,KitchenDrawerType="""")),"""",IF(OR(ISERROR(FIND(""larder"",A23))=FALSE,ISERROR(FIND(""fridge/freezer"",A23))=FALSE,ISERROR(FIND(""double oven"",A23))=FALSE,ISERROR(FIND(""single oven"",A23))=FALS"&amp;"E),VLOOKUP(LEFT(A23,FIND("" "",A23))&amp;""carcass ""&amp;RIGHT(A23,LEN(A23)-(LEN(A23)-3)),KitchensData,5,0),IF(ISERROR(FIND(""sink"",A23))=FALSE,VLOOKUP(LEFT(A23,FIND("" "",A23))&amp;""carcass ""&amp;VALUE(REGEXREPLACE(A23,""[^[:digit:]]"", """")),KitchensData,5,0)+(((C"&amp;"23/1000)*(300/1000))*VLOOKUP(KitchenCarcassMaterial,SheetsData,8,0)),IF(ISERROR(FIND(""bins"",A23))=FALSE,IF(ISERROR(FIND(""veneer"",KitchenCarcassMaterial))=FALSE,VLOOKUP(""Base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600"",A23))=FALSE,IF(ISERROR(FIND(""veneer"""&amp;",KitchenCarcassMaterial))=FALSE,0.54*(VLOOKUP(LEFT(KitchenCarcassMaterial,FIND(""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1200"",A23))=FALSE,"&amp;"IF(ISERROR(FIND(""veneer"",KitchenCarcassMaterial))=FALSE,0.84*(VLOOKUP(LEFT(KitchenCarcassMaterial,FIND(""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600"",A23))=FALSE,IF(ISERROR(FIND(""veneer"",KitchenCarcassMaterial))=FALSE,1.44*(VLOOKUP(LEFT(KitchenCarcassMaterial,FIND(""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1200"",A23))=FALSE,IF(ISERROR(FIND(""veneer"",KitchenCarcassMaterial))=FALSE,2.7*(VLOOKUP(LEFT(KitchenCarcassMaterial,FIND(""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front"",A23))=FALSE,((B23/1000)*(C23/1000))*VLOOKUP(KitchenDoorMaterial,SheetsData,8,0),IF(AND(KitchenDrawerType=""Match carcass"",ISERROR(FIND(""drawer box"",A23))=FALSE),(((((B23/1000)*(C23/1000))+((B23/1000"&amp;")*(D23/1000)))*2)*VLOOKUP(KitchenCarcassMaterial,SheetsData,8,0))+(((C23/1000)*(D23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box"",A23))=FALSE),(((((B23/1000)*(C23/1000))+((B23/1000)*(D23/1000)))*2)*(16/1000)*VLOOKUP(LEFT(KitchenCarcassMaterial,FIND("" "&amp;""",KitchenCarcassMaterial))&amp;""(solid m3)"",SolidData,5,0))+(((C23/1000)*(D23/1000))*VLOOKUP(LEFT(KitchenCarcassMaterial,FIND(""("",KitchenCarcassMaterial)-1)&amp;IF(OR(ISERROR(FIND(""ply"",KitchenCarcassMaterial))=FALSE,ISERROR(FIND(""H/F"",KitchenCarcassMate"&amp;"rial))=FALSE),""(9mm)"",""(10mm)""),SheetsData,8,0)),IF(ISERROR(FIND(""spacer"",A23))=FALSE,((D23/1000)*(C23/1000))*VLOOKUP(""Poplar ply (18mm)"",SheetsData,8,0),IF(ISERROR(FIND(""filler panel"",A23))=FALSE,((B23/1000)*(C23/1000))*VLOOKUP(KitchenDoorMater"&amp;"ial,SheetsData,8,0),IF(ISERROR(FIND(""shelf"",A23))=FALSE,((D23/1000)*(C23/1000))*VLOOKUP(KitchenCarcassMaterial,SheetsData,8,0),IF(ISERROR(FIND(""lost corner"",A23))=FALSE,VLOOKUP(LEFT(A23,FIND("" "",A23))&amp;""carcass ""&amp;VALUE(REGEXREPLACE(A23,""[^[:digit:"&amp;"]]"", """")),KitchensData,5,0)+((((B23/1000)*(C23/1000))+((B23/1000)*(60/1000)))*VLOOKUP(KitchenCarcassMaterial,SheetsData,8,0)),IF(ISERROR(FIND(""carcass"",A23))=FALSE,(((((B23/1000)*2)*(D23/1000))+(((C23/1000)*2)*(D23/1000)))*VLOOKUP(KitchenCarcassMater"&amp;"ial,SheetsData,8,0))+((B23/1000)*(C23/1000))*VLOOKUP(LEFT(KitchenCarcassMaterial,FIND(""("",KitchenCarcassMaterial)-1)&amp;IF(OR(ISERROR(FIND(""ply"",KitchenCarcassMaterial))=FALSE,ISERROR(FIND(""H/F"",KitchenCarcassMaterial))=FALSE),""(9mm)"",""(10mm)""),She"&amp;"etsData,8,0),IF(OR(ISERROR(FIND(""Plinth"",A23))=FALSE,ISERROR(FIND(""Cornice (flat)"",A23))=FALSE),((B23/1000)*(C23/1000))*VLOOKUP(""H/F (18mm)"",SheetsData,8,0),IF(ISERROR(FIND(""Cornice (stacked)"",A23))=FALSE,((0.08*(C23/1000))*2)*VLOOKUP(""H/F (22mm)"&amp;""",SheetsData,8,0),IF(ISERROR(FIND(""Base end panel"",A23))=FALSE,VLOOKUP(KitchenDoorMaterial,SheetsData,5,0)/3,IF(ISERROR(FIND(""Wall end panel"",A23))=FALSE,VLOOKUP(KitchenDoorMaterial,SheetsData,5,0)/9,IF(ISERROR(FIND(""Tower end panel"",A23))=FALSE,VL"&amp;"OOKUP(KitchenDoorMaterial,SheetsData,5,0),IF(ISERROR(FIND(""Fillers"",A23))=FALSE,(((0.06*(C23/1000))*2)*VLOOKUP(""H/F (18mm)"",SheetsData,8,0))+(((0.06*(C23/1000))*2)*VLOOKUP(""H/F (9mm)"",SheetsData,8,0)),IF(ISERROR(FIND(""corner post"",A23))=FALSE,(((B"&amp;"23/1000)*0.05)*2)*VLOOKUP(KitchenDoorMaterial,SheetsData,8,0),IF(ISERROR(FIND(""Pelmet"",A23))=FALSE,((((B23/1000)*(C23/1000))*2)*VLOOKUP(""H/F (18mm)"",SheetsData,8,0)),IF(ISERROR(FIND(""door"",A23))=TRUE,""Check description"",IF(KitchenDoorStyle=""Flat"&amp;""",((B23/1000)*(C23/1000))*VLOOKUP(KitchenDoorMaterial,SheetsData,8,0),IF(LEFT(KitchenDoorStyle,5)=""Panel"",(((((B23/1000)*2)*0.08)+((((C23/1000)-0.16)*2)*0.08))*VLOOKUP(""H/F (22mm)"",SheetsData,8,0))+(((B23/1000)-0.14)*((C23/1000)-0.14)*VLOOKUP(""H/F ("&amp;"9mm)"",SheetsData,8,0)),IF(KitchenDoorStyle=""In-frame flat"",((((((B23/1000)*0.019)*0.038)+((((C23-38)/1000)*0.038)*0.038))*2)*VLOOKUP(""Tulip (solid m3)"",SolidData,5,0))+(((B23-76)/1000)*((C23-38)/1000))*VLOOKUP(""H/F (22mm)"",SheetsData,8,0),IF(LEFT(K"&amp;"itchenDoorStyle,14)=""In-frame panel"",(((((((B23/1000)*0.019)*0.038)+((((C23-38)/1000)*0.038)*0.038))*2)*VLOOKUP(""Tulip (solid m3)"",SolidData,5,0))+(((((((B23-76)/1000)*2)*0.08)+(((((C23-198)/1000)*2)*0.08)))*VLOOKUP(""H/F (22mm)"",SheetsData,8,0))+((("&amp;"B23-216)/1000)*((C23-178)/1000)*VLOOKUP(""H/F (9mm)"",SheetsData,8,0)))))))))))))))))))))))))))))))))"),188.31006449879067)</f>
        <v>188.3100645</v>
      </c>
      <c r="F23" s="152">
        <f>IFERROR(__xludf.DUMMYFUNCTION("IF(OR(A23="""",AND(ISERROR(FIND(""drawer box"",A23))=FALSE,KitchenDrawerType=""Solid dovetail"")),"""",IF(ISERROR(FIND(""bins"",A23))=FALSE,VLOOKUP(""Base carcass 600"",KitchensData,6,0),IF(OR(ISERROR(FIND(""larder"",A23))=FALSE,ISERROR(FIND(""unit"",A23)"&amp;")=FALSE),VLOOKUP(LEFT(A23,FIND("" "",A23))&amp;""carcass ""&amp;RIGHT(A23,LEN(A23)-len(regexextract(A23,"".* ""))),KitchensData,6,0),IF(ISERROR(FIND(""drawer front"",A23))=FALSE,IF(ISERROR(FIND(""veneer"",KitchenCarcassMaterial))=TRUE,0,(((B23+C23)/1000)*2)*VLOOK"&amp;"UP(""Edge banding (per M)"",SheetsData,5,0)),IF(ISERROR(FIND(""drawer box"",A23))=FALSE,IF(ISERROR(FIND(""veneer"",KitchenCarcassMaterial))=TRUE,0,(((C23+D23)/1000)*2)*VLOOKUP(""Edge banding (per M)"",SheetsData,5,0)),IF(ISERROR(FIND(""shelf"",A23))=FALSE"&amp;",IF(ISERROR(FIND(""veneer"",KitchenCarcassMaterial))=TRUE,0,(C23/1000)*VLOOKUP(""Edge banding (per M)"",SheetsData,5,0)),IF(AND(ISERROR(FIND(""carcass"",A23))=FALSE,ISERROR(FIND(""shelf"",A23))=TRUE),IF(ISERROR(FIND(""veneer"",KitchenCarcassMaterial))=TRU"&amp;"E,0,((2*(B23+C23))/1000)*VLOOKUP(""Edge banding (per M)"",SheetsData,5,0)),IF(ISERROR(FIND(""door"",A23))=TRUE,"""",IF(ISERROR(FIND(""veneer"",KitchenDoorMaterial))=TRUE,"""",((2*(B23+C23))/1000)*VLOOKUP(""Edge banding (per M)"",SheetsData,5,0))))))))))"),0.0)</f>
        <v>0</v>
      </c>
      <c r="G23" s="153">
        <f>IF(A23="","",IF(ISERROR(FIND("bins",A23))=FALSE,VLOOKUP("Base carcass 600",KitchensData,7,0),IF(OR(ISERROR(FIND("larder",A23))=FALSE,ISERROR(FIND("fridge/freezer",A23))=FALSE,ISERROR(FIND("double oven",A23))=FALSE,ISERROR(FIND("single oven",A23))=FALSE),VLOOKUP(LEFT(A23,FIND(" ",A23))&amp;"carcass "&amp;RIGHT(A23,LEN(A23)-(LEN(A23)-3)),KitchensData,7,0),IF(AND(ISERROR(FIND("carcass",A23))=FALSE,ISERROR(FIND("shelf",A23))=TRUE),IF(OR(ISERROR(FIND("Base",A23))=FALSE,ISERROR(FIND("Tower",A23))=FALSE),IF(OR(ISERROR(FIND("1200",A23))=FALSE, ISERROR(FIND("lost corner",A23))=FALSE),6*VLOOKUP("Plinth foot (2 Parts 80mm)",FurnitureData,5,0),4*VLOOKUP("Plinth foot (2 Parts 80mm)",FurnitureData,5,0)),""),""))))</f>
        <v>5.7</v>
      </c>
      <c r="H23" s="115" t="str">
        <f>IF(OR(A23="",ISERROR(FIND("door",A23))=TRUE),"",IF(ISERROR(FIND("Wall",A23))=FALSE,VLOOKUP("Hinges &amp; plates (Hettich thick door)",FurnitureData,5,0)*2,IF(ISERROR(FIND("Base",A23))=FALSE,VLOOKUP("Hinges &amp; plates (Hettich thick door)",FurnitureData,5,0)*3,IF(ISERROR(FIND("Boiler",A23))=FALSE,VLOOKUP("Hinges &amp; plates (Hettich thick door)",FurnitureData,5,0)*4,IF(ISERROR(FIND("Tower",A23))=FALSE,VLOOKUP("Hinges &amp; plates (Hettich thick door)",FurnitureData,5,0)*5)))))</f>
        <v/>
      </c>
      <c r="I23" s="115" t="str">
        <f>IF(ISERROR(FIND("shelf",A23))=FALSE,(VLOOKUP("Shelf pegs",FurnitureData,5,0)/100)*4,"")</f>
        <v/>
      </c>
      <c r="J23" s="152">
        <f>IF(OR(ISERROR(FIND("fridge/freezer",A23))=FALSE,ISERROR(FIND("larder",A23))=FALSE,AND(ISERROR(FIND("Base",A23))=FALSE,ISERROR(FIND("bins",A23))=TRUE,ISERROR(FIND("no shelves",A23))=TRUE,OR(ISERROR(FIND("carcass",A23))=FALSE,ISERROR(FIND("unit",A23))=FALSE))),VLOOKUP("Deep shelf "&amp;C23,KitchensData,18,0),IF(AND(ISERROR(FIND("Wall",A23))=FALSE,ISERROR(FIND("carcass",A23))=FALSE),2*VLOOKUP("Shallow shelf "&amp;C23,KitchensData,18,0),IF(AND(ISERROR(FIND("Tower",A23))=FALSE,ISERROR(FIND("oven",A23))=FALSE),4*VLOOKUP("Deep shelf "&amp;C23,KitchensData,18,0),IF(AND(ISERROR(FIND("Tower",A23))=FALSE,ISERROR(FIND("carcass",A23))=FALSE),5*VLOOKUP("Deep shelf "&amp;C23,KitchensData,18,0),""))))</f>
        <v>269.4997063</v>
      </c>
      <c r="K23" s="152" t="str">
        <f>IF(ISERROR(FIND("sink",A23))=FALSE,VLOOKUP("Sink liner - Aluminium "&amp;RIGHT(A23,LEN(A23)-22)&amp;"mm",ExceptionalData,5,0),IF(ISERROR(FIND("bins",A23))=FALSE,VLOOKUP("Drawer runners and clip set for bin unit (500) Dynapro",FurnitureData,5,0)+(2*VLOOKUP("Bin (42L Anthracite)",FurnitureData,5,0)),IF(ISERROR(FIND("larder",A23))=FALSE,VLOOKUP("Pull out larder unit 600mm",FurnitureData,5,0),IF(AND(ISERROR(FIND("drawer box",A23))=FALSE,ISERROR(FIND("internal",A23))=TRUE),VLOOKUP("Drawer runners and clip set (550) Dynapro",FurnitureData,5,0),IF(ISERROR(FIND("internal drawer box",A23))=FALSE,VLOOKUP("Drawer runners and clip set (450) Dynapro",FurnitureData,5,0),"")))))</f>
        <v/>
      </c>
      <c r="L23" s="152">
        <f t="shared" si="3"/>
        <v>463.5097708</v>
      </c>
      <c r="M23" s="154">
        <f>IFERROR(__xludf.DUMMYFUNCTION("IF(A23="""","""",IF(OR(ISERROR(FIND(""larder"",A23))=FALSE,ISERROR(FIND(""unit"",A23))=FALSE),VLOOKUP(LEFT(A23,FIND("" "",A23))&amp;""carcass ""&amp;RIGHT(A23,LEN(A23)-len(regexextract(A23,"".* ""))),KitchensData,13,0),IF(ISERROR(FIND(""bins"",A23))=FALSE,0.95,IF"&amp;"(ISERROR(FIND(""Cutlery insert 600"",A23))=FALSE,1.3,IF(ISERROR(FIND(""Cutlery insert 1200"",A23))=FALSE,2,IF(ISERROR(FIND(""Pan/tray rack 600"",A23))=FALSE,3.25,IF(ISERROR(FIND(""Pan/tray rack 1200"",A23))=FALSE,5.9,IF(ISERROR(FIND(""split"",A23))=FALSE,"&amp;"(((C23/1000)*0.022)*2)+VLOOKUP(SUBSTITUTE(A23,"" split"",""""),KitchensData,13,0),IF(AND(ISERROR(FIND(""drawer front"",A23))=FALSE,KitchenDoorStyle=""Flat""),(((B23/1000)*(C23/1000))*2)+((((B23+C23)/1000)*2)*0.022),IF(AND(ISERROR(FIND(""drawer front"",A23"&amp;"))=FALSE,LEFT(KitchenDoorStyle,5)=""Panel""),(((B23/1000)*(C23/1000))*2)+((((B23+C23)/1000)*2)*0.022)+((((C23/1000)-0.16)*0.013)*2)+((((D23/1000)-0.16)*0.013)*2),IF(AND(ISERROR(FIND(""drawer front"",A23))=FALSE,KitchenDoorStyle=""In-frame flat""),((((B23-"&amp;"76)/1000)*((C23-38)/1000))*2)+(MID(KitchenDoorMaterial,FIND(""("",KitchenDoorMaterial)+1,2)/1000)*((((B23-76)+(C23-38))/1000)*2)+(((B23/1000)*0.032)*2)+((((B23-76)/1000)*0.032)*2)+(((B23/1000)*0.019)*4)+(((C23/1000)*0.032)*2)+((((C23-38)/1000)*0.032)*2)+("&amp;"((C23/1000)*0.038)*4),IF(AND(ISERROR(FIND(""drawer front"",A23))=FALSE,LEFT(KitchenDoorStyle,14)=""In-frame panel""),((((B23-76)/1000)*((C23-38)/1000))*2)+((MID(KitchenDoorMaterial,FIND(""("",KitchenDoorMaterial)+1,2)/1000)*((((B23-76)+(C23-38))/1000)*2))"&amp;"+((((B23-236)/1000)+((C23-198)/1000)*2)*0.013)+(((B23/1000)*0.032)*2)+((((B23-76)/1000)*0.032)*2)+(((B23/1000)*0.019)*4)+(((C23/1000)*0.032)*2)+((((C23-38)/1000)*0.032)*2)+(((C23/1000)*0.038)*4),IF(ISERROR(FIND(""drawer box"",A23))=FALSE,((((B23/1000)*(D2"&amp;"3/1000))+((B23/1000)*(C23/1000)))*4)+((((D23/1000)+(C23/1000))*0.016)*4)+(((C23/1000)*(D23/1000))*2),IF(OR(ISERROR(FIND(""shelf"",A23))=FALSE,ISERROR(FIND(""spacer"",A23))=FALSE,,ISERROR(FIND(""filler panel"",A23))=FALSE),(((C23/1000)*(D23/1000))*2)+((((C"&amp;"23+D23)*2)/1000)*0.022),IF(ISERROR(FIND(""lost corner"",A23))=FALSE,(((B23/1000)*(C23/1000))*2)+((B23/1000)*(C23/1000))+((B23/1000)*((C23/2)/1000))+((((B23/1000)*0.025)+((C23/1000)*0.025))*2),IF(ISERROR(FIND(""carcass"",A23))=FALSE,(((C23/1000)*(D23/1000)"&amp;")*2)+(((B23/1000)*(D23/1000))*2)+((B23/1000)*(C23/1000))+((((B23/1000)*0.025)+((C23/1000)*0.025))*2),IF(AND(ISERROR(FIND(""door"",A23))=FALSE,KitchenDoorStyle=""Flat""),(((B23/1000)*(C23/1000))*2)+(MID(KitchenDoorMaterial,FIND(""("",KitchenDoorMaterial)+1"&amp;",2)/1000)*(((B23+C23)/1000)*2),IF(AND(ISERROR(FIND(""door"",A23))=FALSE,LEFT(KitchenDoorStyle,5)=""Panel""),(((B23/1000)*(C23/1000))*2)+((MID(KitchenDoorMaterial,FIND(""("",KitchenDoorMaterial)+1,2)/1000)*(((B23+C23)/1000)*2))+(((((B23-160)+(C23-160))*2)/"&amp;"1000)*(0.013)),IF(AND(ISERROR(FIND(""door"",A23))=FALSE,KitchenDoorStyle=""In-frame flat""),((((B23-76)/1000)*((C23-38)/1000))*2)+(MID(KitchenDoorMaterial,FIND(""("",KitchenDoorMaterial)+1,2)/1000)*((((B23-76)+(C23-38))/1000)*2)+(((B23/1000)*0.032)*2)+((("&amp;"(B23-76)/1000)*0.032)*2)+(((B23/1000)*0.019)*4)+(((C23/1000)*0.032)*2)+((((C23-38)/1000)*0.032)*2)+(((C23/1000)*0.038)*4),IF(AND(ISERROR(FIND(""door"",A23))=FALSE,LEFT(KitchenDoorStyle,14)=""In-frame panel""),((((B23-76)/1000)*((C23-38)/1000))*2)+((MID(Ki"&amp;"tchenDoorMaterial,FIND(""("",KitchenDoorMaterial)+1,2)/1000)*((((B23-76)+(C23-38))/1000)*2))+((((B23-236)/1000)+((C23-198)/1000)*2)*0.013)+(((B23/1000)*0.032)*2)+((((B23-76)/1000)*0.032)*2)+(((B23/1000)*0.019)*4)+(((C23/1000)*0.032)*2)+((((C23-38)/1000)*0"&amp;".032)*2)+(((C23/1000)*0.038)*4),IF(ISERROR(FIND(""Plinth"",A23))=FALSE,((B23/1000)*(C23/1000))+(((C23/1000)*0.018)*2)+(((B23/1000)*0.018)*2),IF(ISERROR(FIND(""Cornice"",A23))=FALSE,(((C23/1000)*0.1)*2)+(((C23/1000)*0.044)*2)+(((B23/1000)*0.08)*2),IF(ISERR"&amp;"OR(FIND(""Base end panel"",A23))=FALSE,((B23/1000)*(C23/1000))+(0.022*((B23/1000)+((C23/1000)*2)))+((B23/1000)*0.05),IF(ISERROR(FIND(""Wall end panel"",A23))=FALSE,((B23/1000)*(C23/1000))+(0.022*((B23/1000)+((C23/1000)*2)))+((B23/1000)*0.05),IF(ISERROR(FI"&amp;"ND(""Tower end panel"",A23))=FALSE,((B23/1000)*(C23/1000))+(0.022*((B23/1000)+((C23/1000)*2)))+((B23/1000)*0.05),IF(ISERROR(FIND(""Fillers"",A23))=FALSE,((C23/1000)*0.06)+((C23/1000)*0.069)+((0.06*0.018)*2)+((0.06*0.009)*2)+((C23/1000)*0.009)+((C23/1000)*"&amp;"0.018),IF(ISERROR(FIND(""corner post"",A23))=FALSE,(((B23/1000*0.05)*2)+((B23/1000)*0.022)*2)+((B23/1000)*0.072)+((B23/1000)*0.05)+((0.072*0.022)*2)+((0.05*0.022)*2),IF(ISERROR(FIND(""Pelmet"",A23))=FALSE,((C23/1000)*0.05)+((C23/1000)*0.068)+((0.05*0.018)"&amp;"*4)+(((C23/1000)*0.018))*2))))))))))))))))))))))))))))"),4.76)</f>
        <v>4.76</v>
      </c>
      <c r="N23" s="152">
        <f>IF(M23="","",IF(AND(ISERROR(FIND("carcass",A23))=TRUE,ISERROR(FIND("unit",A23))=TRUE,ISERROR(FIND("insert",A23))=TRUE,ISERROR(FIND("rack",A23))=TRUE,ISERROR(FIND("box",A23))=TRUE,ISERROR(FIND("shelf",#REF!))=TRUE),VLOOKUP(KitchenDoorFinish,Finishing!$A$2:$K$10,9,0)*M23,VLOOKUP(KitchenCarcassFinish,Finishing!$A$2:$K$40,9,0)*M23))</f>
        <v>17.85</v>
      </c>
      <c r="O23" s="155">
        <v>2.5</v>
      </c>
      <c r="P23" s="155">
        <v>1.5</v>
      </c>
      <c r="Q23" s="152">
        <f>IF(OR(O23="",P23=""),"",((O23*X23)*(VLOOKUP("Workshop",Labour!$A$3:$E$20,4,0)/8))+((P23*AE23)*(VLOOKUP("Finishing",Labour!$A$3:$E$20,4,0)/8)))</f>
        <v>151.375</v>
      </c>
      <c r="R23" s="152">
        <f t="shared" si="4"/>
        <v>632.7347708</v>
      </c>
      <c r="S23" s="156">
        <f>IF(OR(O23="",P23=""),"",IF(OR(ISERROR(FIND("carcass",$A23))=FALSE,ISERROR(FIND("unit",$A23))=FALSE),VLOOKUP(KitchenCarcassMaterial,FixedListsCarcassMaterial,2,0),0))</f>
        <v>1</v>
      </c>
      <c r="T23" s="156">
        <f>IF(OR(O23="",P23=""),"",IF(ISERROR(FIND("door",$A23))=FALSE,VLOOKUP(KitchenDoorStyle,FixedListsDoorStyle,2,0),0))</f>
        <v>0</v>
      </c>
      <c r="U23" s="156">
        <f>IF(OR(O23="",P23=""),"",IF(ISERROR(FIND("door",$A23))=FALSE,VLOOKUP(KitchenDoorMaterial,FixedListsDoorMaterial,2,0),0))</f>
        <v>0</v>
      </c>
      <c r="V23" s="156">
        <f>IF(OR(O23="",P23=""),"",IF(ISERROR(FIND("drawer",$A23))=FALSE,VLOOKUP(KitchenDrawerType,FixedListsDrawerType,2,0),0))</f>
        <v>0</v>
      </c>
      <c r="W23" s="156">
        <f>IF(OR(O23="",P23=""),"",IF(OR(S23&gt;0, T23&gt;0,V23&gt;0),VLOOKUP(KitchenHandleType,FixedListsHandleType,2,FALSE)*IF(KitchenHandleType="Simple",0,IF(S23&gt;0,VLOOKUP(KitchenHandleType,FixedListsHandleType,4,FALSE),IF(OR(T23&gt;0,V23&gt;0),1-VLOOKUP(KitchenHandleType,FixedListsHandleType,4,FALSE),"Error"))),0))</f>
        <v>0</v>
      </c>
      <c r="X23" s="156">
        <f t="shared" si="5"/>
        <v>1</v>
      </c>
      <c r="Y23" s="156">
        <f>IF(OR(O23="",P23=""),"",IF(OR(ISERROR(FIND("carcass",$A23))=FALSE,ISERROR(FIND("unit",$A23))=FALSE),VLOOKUP(KitchenCarcassMaterial,FixedListsCarcassMaterial,3,0),0))</f>
        <v>1</v>
      </c>
      <c r="Z23" s="156">
        <f>IF(OR(O23="",P23=""),"",IF(ISERROR(FIND("door",$A23))=FALSE,VLOOKUP(KitchenDoorStyle,FixedListsDoorStyle,3,0),0))</f>
        <v>0</v>
      </c>
      <c r="AA23" s="156">
        <f>IF(OR(O23="",P23=""),"",IF(ISERROR(FIND("door",$A23))=FALSE,VLOOKUP(KitchenDoorMaterial,FixedListsDoorMaterial,3,0),0))</f>
        <v>0</v>
      </c>
      <c r="AB23" s="156">
        <f>IF(OR(O23="",P23=""),"",IF(ISERROR(FIND("drawer",$A23))=FALSE,VLOOKUP(KitchenDrawerType,FixedListsDrawerType,3,0),0))</f>
        <v>0</v>
      </c>
      <c r="AC23" s="156">
        <f>IF(OR(O23="",P23=""),"",IF(OR(Y23&gt;0,Z23&gt;0,AB23&gt;0),VLOOKUP(KitchenHandleType,FixedListsHandleType,3,FALSE),0))</f>
        <v>1</v>
      </c>
      <c r="AD23" s="156">
        <f>IF(OR(O23="",P23=""),"",IF(OR(ISERROR(FIND("carcass",$A23))=FALSE,ISERROR(FIND("unit",$A23))=FALSE),VLOOKUP(KitchenCarcassFinish,FixedListsFinishes,3,0),IF(OR(ISERROR(FIND("door",$A23))=FALSE,ISERROR(FIND("Plinth",$A23))=FALSE,ISERROR(FIND("Cornice",$A23))=FALSE,ISERROR(FIND("Fillers",$A23))=FALSE,ISERROR(FIND("Pelmet",$A23))=FALSE,ISERROR(FIND("panel",$A23))=FALSE,ISERROR(FIND("post",$A23))=FALSE),VLOOKUP(KitchenDoorFinish,FixedListsFinishes,3,0),IF(OR(ISERROR(FIND("drawer",$A23))=FALSE,ISERROR(FIND("insert",$A23))=FALSE,ISERROR(FIND("rck",$A23))=FALSE),VLOOKUP(KitchenCarcassFinish,FixedListsFinishes,3,0),0))))</f>
        <v>1</v>
      </c>
      <c r="AE23" s="156">
        <f t="shared" si="6"/>
        <v>1</v>
      </c>
      <c r="AF23" s="157" t="str">
        <f>IF(AND(KitchenHandleType="Channel",OR(ISERROR(FIND("arcass",$A23))=FALSE,ISERROR(FIND("unit",$A23))=FALSE)),IF(ISERROR(FIND("Tower",$A23))=TRUE,IF(KitchenHandleFinish="Match carcass",IF(ISERROR(FIND("Walnut",KitchenCarcassMaterial))=FALSE,(0.035*0.075*($C23/1000))*VLOOKUP("Walnut (solid m3)",SolidData,4,FALSE),IF(ISERROR(FIND("Oak",KitchenCarcassMaterial))=FALSE,(0.035*0.075*($C23/1000))*VLOOKUP("Oak (solid m3)",SolidData,4,FALSE),IF(ISERROR(FIND("ply",KitchenCarcassMaterial))=FALSE,(0.1*($C23/1000))*VLOOKUP("Birch ply (24mm)",SheetsData,7,FALSE),IF(ISERROR(FIND("H/F",KitchenCarcassMaterial))=FALSE,(0.1*($C23/1000))*VLOOKUP("H/F (22mm)",SheetsData,7,FALSE),"Carcass - not tower - new material")))),IF(KitchenHandleFinish="Match door",IF(ISERROR(FIND("Walnut",KitchenDoorMaterial))=FALSE,(0.035*0.075*($C23/1000))*VLOOKUP("Walnut (solid m3)",SolidData,4,FALSE),IF(ISERROR(FIND("Oak",KitchenDoorMaterial))=FALSE,(0.035*0.075*($C23/1000))*VLOOKUP("Oak (solid m3)",SolidData,4,FALSE),IF(ISERROR(FIND("ply",KitchenDoorMaterial))=FALSE,(0.1*($C23/1000))*VLOOKUP("Birch ply (24mm)",SheetsData,7,FALSE),IF(ISERROR(FIND("H/F",KitchenCarcassMaterial))=FALSE,(0.1*($C23/1000))*VLOOKUP("H/F (22mm)",SheetsData,7,FALSE),"Door - not tower - new material")))),"Channel - not tower - handle set to other")),IF(ISERROR(FIND("Tower",$A23))=FALSE,IF(KitchenHandleFinish="Match carcass",IF(ISERROR(FIND("Walnut",KitchenCarcassMaterial))=FALSE,(0.035*0.075*($B23/1000))*VLOOKUP("Walnut (solid m3)",SolidData,4,FALSE),IF(ISERROR(FIND("Oak",KitchenCarcassMaterial))=FALSE,(0.035*0.075*($B23/1000))*VLOOKUP("Oak (solid m3)",SolidData,4,FALSE),IF(ISERROR(FIND("ply",KitchenCarcassMaterial))=FALSE,(0.1*($B23/1000))*VLOOKUP("Birch ply (24mm)",SheetsData,7,FALSE),IF(ISERROR(FIND("H/F",KitchenCarcassMaterial))=FALSE,(0.1*($C23/1000))*VLOOKUP("H/F (22mm)",SheetsData,7,FALSE),"Carcass - tower - new material")))),IF(KitchenHandleFinish="Match door",IF(ISERROR(FIND("Walnut",KitchenDoorMaterial))=FALSE,(0.035*0.075*($B23/1000))*VLOOKUP("Walnut (solid m3)",SolidData,4,FALSE),IF(ISERROR(FIND("Oak",KitchenDoorMaterial))=FALSE,(0.035*0.075*($B23/1000))*VLOOKUP("Oak (solid m3)",SolidData,4,FALSE),IF(ISERROR(FIND("ply",KitchenDoorMaterial))=FALSE,(0.1*($B23/1000))*VLOOKUP("Birch ply (24mm)",SheetData,7,FALSE),IF(ISERROR(FIND("H/F",KitchenCarcassMaterial))=FALSE,(0.1*($C23/1000))*VLOOKUP("H/F (22mm)",SheetsData,7,FALSE),"Door - tower - new material")))),"Channel - tower - handle set to other")))),"")</f>
        <v/>
      </c>
    </row>
    <row r="24">
      <c r="A24" s="151" t="s">
        <v>132</v>
      </c>
      <c r="B24" s="115">
        <f t="shared" si="1"/>
        <v>2200</v>
      </c>
      <c r="C24" s="115" t="str">
        <f>IFERROR(__xludf.DUMMYFUNCTION("IF(A24="""","""",IF(OR(RIGHT(A24,LEN(A24)-len(regexextract(A24,"".* "")))=""1200"",RIGHT(A24,LEN(A24)-len(regexextract(A24,"".* "")))=""600"",RIGHT(A24,LEN(A24)-len(regexextract(A24,"".* "")))=""400"",RIGHT(A24,LEN(A24)-len(regexextract(A24,"".* "")))=""3"&amp;"00"",RIGHT(A24,LEN(A24)-len(regexextract(A24,"".* "")))=""700"",RIGHT(A24,LEN(A24)-len(regexextract(A24,"".* "")))=""2400"",RIGHT(A24,LEN(A24)-len(regexextract(A24,"".* "")))=""650"",RIGHT(A24,LEN(A24)-len(regexextract(A24,"".* "")))=""350"",RIGHT(A24,LEN"&amp;"(A24)-len(regexextract(A24,"".* "")))=""50""),RIGHT(A24,LEN(A24)-len(regexextract(A24,"".* ""))),IF(OR(ISERROR(FIND(""spacer"",A24))=FALSE,ISERROR(FIND(""filler panel"",A24))=FALSE),""1000"",""Unexpected size in description"")))"),"400")</f>
        <v>400</v>
      </c>
      <c r="D24" s="151">
        <f t="shared" si="2"/>
        <v>600</v>
      </c>
      <c r="E24" s="152">
        <f>IFERROR(__xludf.DUMMYFUNCTION("IF(OR(A24="""",AND(ISERROR(FIND(""drawer box"",A24))=FALSE,KitchenDrawerType="""")),"""",IF(OR(ISERROR(FIND(""larder"",A24))=FALSE,ISERROR(FIND(""fridge/freezer"",A24))=FALSE,ISERROR(FIND(""double oven"",A24))=FALSE,ISERROR(FIND(""single oven"",A24))=FALS"&amp;"E),VLOOKUP(LEFT(A24,FIND("" "",A24))&amp;""carcass ""&amp;RIGHT(A24,LEN(A24)-(LEN(A24)-3)),KitchensData,5,0),IF(ISERROR(FIND(""sink"",A24))=FALSE,VLOOKUP(LEFT(A24,FIND("" "",A24))&amp;""carcass ""&amp;VALUE(REGEXREPLACE(A24,""[^[:digit:]]"", """")),KitchensData,5,0)+(((C"&amp;"24/1000)*(300/1000))*VLOOKUP(KitchenCarcassMaterial,SheetsData,8,0)),IF(ISERROR(FIND(""bins"",A24))=FALSE,IF(ISERROR(FIND(""veneer"",KitchenCarcassMaterial))=FALSE,VLOOKUP(""Base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600"",A24))=FALSE,IF(ISERROR(FIND(""veneer"""&amp;",KitchenCarcassMaterial))=FALSE,0.54*(VLOOKUP(LEFT(KitchenCarcassMaterial,FIND(""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1200"",A24))=FALSE,"&amp;"IF(ISERROR(FIND(""veneer"",KitchenCarcassMaterial))=FALSE,0.84*(VLOOKUP(LEFT(KitchenCarcassMaterial,FIND(""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600"",A24))=FALSE,IF(ISERROR(FIND(""veneer"",KitchenCarcassMaterial))=FALSE,1.44*(VLOOKUP(LEFT(KitchenCarcassMaterial,FIND(""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1200"",A24))=FALSE,IF(ISERROR(FIND(""veneer"",KitchenCarcassMaterial))=FALSE,2.7*(VLOOKUP(LEFT(KitchenCarcassMaterial,FIND(""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front"",A24))=FALSE,((B24/1000)*(C24/1000))*VLOOKUP(KitchenDoorMaterial,SheetsData,8,0),IF(AND(KitchenDrawerType=""Match carcass"",ISERROR(FIND(""drawer box"",A24))=FALSE),(((((B24/1000)*(C24/1000))+((B24/1000"&amp;")*(D24/1000)))*2)*VLOOKUP(KitchenCarcassMaterial,SheetsData,8,0))+(((C24/1000)*(D24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box"",A24))=FALSE),(((((B24/1000)*(C24/1000))+((B24/1000)*(D24/1000)))*2)*(16/1000)*VLOOKUP(LEFT(KitchenCarcassMaterial,FIND("" "&amp;""",KitchenCarcassMaterial))&amp;""(solid m3)"",SolidData,5,0))+(((C24/1000)*(D24/1000))*VLOOKUP(LEFT(KitchenCarcassMaterial,FIND(""("",KitchenCarcassMaterial)-1)&amp;IF(OR(ISERROR(FIND(""ply"",KitchenCarcassMaterial))=FALSE,ISERROR(FIND(""H/F"",KitchenCarcassMate"&amp;"rial))=FALSE),""(9mm)"",""(10mm)""),SheetsData,8,0)),IF(ISERROR(FIND(""spacer"",A24))=FALSE,((D24/1000)*(C24/1000))*VLOOKUP(""Poplar ply (18mm)"",SheetsData,8,0),IF(ISERROR(FIND(""filler panel"",A24))=FALSE,((B24/1000)*(C24/1000))*VLOOKUP(KitchenDoorMater"&amp;"ial,SheetsData,8,0),IF(ISERROR(FIND(""shelf"",A24))=FALSE,((D24/1000)*(C24/1000))*VLOOKUP(KitchenCarcassMaterial,SheetsData,8,0),IF(ISERROR(FIND(""lost corner"",A24))=FALSE,VLOOKUP(LEFT(A24,FIND("" "",A24))&amp;""carcass ""&amp;VALUE(REGEXREPLACE(A24,""[^[:digit:"&amp;"]]"", """")),KitchensData,5,0)+((((B24/1000)*(C24/1000))+((B24/1000)*(60/1000)))*VLOOKUP(KitchenCarcassMaterial,SheetsData,8,0)),IF(ISERROR(FIND(""carcass"",A24))=FALSE,(((((B24/1000)*2)*(D24/1000))+(((C24/1000)*2)*(D24/1000)))*VLOOKUP(KitchenCarcassMater"&amp;"ial,SheetsData,8,0))+((B24/1000)*(C24/1000))*VLOOKUP(LEFT(KitchenCarcassMaterial,FIND(""("",KitchenCarcassMaterial)-1)&amp;IF(OR(ISERROR(FIND(""ply"",KitchenCarcassMaterial))=FALSE,ISERROR(FIND(""H/F"",KitchenCarcassMaterial))=FALSE),""(9mm)"",""(10mm)""),She"&amp;"etsData,8,0),IF(OR(ISERROR(FIND(""Plinth"",A24))=FALSE,ISERROR(FIND(""Cornice (flat)"",A24))=FALSE),((B24/1000)*(C24/1000))*VLOOKUP(""H/F (18mm)"",SheetsData,8,0),IF(ISERROR(FIND(""Cornice (stacked)"",A24))=FALSE,((0.08*(C24/1000))*2)*VLOOKUP(""H/F (22mm)"&amp;""",SheetsData,8,0),IF(ISERROR(FIND(""Base end panel"",A24))=FALSE,VLOOKUP(KitchenDoorMaterial,SheetsData,5,0)/3,IF(ISERROR(FIND(""Wall end panel"",A24))=FALSE,VLOOKUP(KitchenDoorMaterial,SheetsData,5,0)/9,IF(ISERROR(FIND(""Tower end panel"",A24))=FALSE,VL"&amp;"OOKUP(KitchenDoorMaterial,SheetsData,5,0),IF(ISERROR(FIND(""Fillers"",A24))=FALSE,(((0.06*(C24/1000))*2)*VLOOKUP(""H/F (18mm)"",SheetsData,8,0))+(((0.06*(C24/1000))*2)*VLOOKUP(""H/F (9mm)"",SheetsData,8,0)),IF(ISERROR(FIND(""corner post"",A24))=FALSE,(((B"&amp;"24/1000)*0.05)*2)*VLOOKUP(KitchenDoorMaterial,SheetsData,8,0),IF(ISERROR(FIND(""Pelmet"",A24))=FALSE,((((B24/1000)*(C24/1000))*2)*VLOOKUP(""H/F (18mm)"",SheetsData,8,0)),IF(ISERROR(FIND(""door"",A24))=TRUE,""Check description"",IF(KitchenDoorStyle=""Flat"&amp;""",((B24/1000)*(C24/1000))*VLOOKUP(KitchenDoorMaterial,SheetsData,8,0),IF(LEFT(KitchenDoorStyle,5)=""Panel"",(((((B24/1000)*2)*0.08)+((((C24/1000)-0.16)*2)*0.08))*VLOOKUP(""H/F (22mm)"",SheetsData,8,0))+(((B24/1000)-0.14)*((C24/1000)-0.14)*VLOOKUP(""H/F ("&amp;"9mm)"",SheetsData,8,0)),IF(KitchenDoorStyle=""In-frame flat"",((((((B24/1000)*0.019)*0.038)+((((C24-38)/1000)*0.038)*0.038))*2)*VLOOKUP(""Tulip (solid m3)"",SolidData,5,0))+(((B24-76)/1000)*((C24-38)/1000))*VLOOKUP(""H/F (22mm)"",SheetsData,8,0),IF(LEFT(K"&amp;"itchenDoorStyle,14)=""In-frame panel"",(((((((B24/1000)*0.019)*0.038)+((((C24-38)/1000)*0.038)*0.038))*2)*VLOOKUP(""Tulip (solid m3)"",SolidData,5,0))+(((((((B24-76)/1000)*2)*0.08)+(((((C24-198)/1000)*2)*0.08)))*VLOOKUP(""H/F (22mm)"",SheetsData,8,0))+((("&amp;"B24-216)/1000)*((C24-178)/1000)*VLOOKUP(""H/F (9mm)"",SheetsData,8,0)))))))))))))))))))))))))))))))))"),156.25416554689602)</f>
        <v>156.2541655</v>
      </c>
      <c r="F24" s="152">
        <f>IFERROR(__xludf.DUMMYFUNCTION("IF(OR(A24="""",AND(ISERROR(FIND(""drawer box"",A24))=FALSE,KitchenDrawerType=""Solid dovetail"")),"""",IF(ISERROR(FIND(""bins"",A24))=FALSE,VLOOKUP(""Base carcass 600"",KitchensData,6,0),IF(OR(ISERROR(FIND(""larder"",A24))=FALSE,ISERROR(FIND(""unit"",A24)"&amp;")=FALSE),VLOOKUP(LEFT(A24,FIND("" "",A24))&amp;""carcass ""&amp;RIGHT(A24,LEN(A24)-len(regexextract(A24,"".* ""))),KitchensData,6,0),IF(ISERROR(FIND(""drawer front"",A24))=FALSE,IF(ISERROR(FIND(""veneer"",KitchenCarcassMaterial))=TRUE,0,(((B24+C24)/1000)*2)*VLOOK"&amp;"UP(""Edge banding (per M)"",SheetsData,5,0)),IF(ISERROR(FIND(""drawer box"",A24))=FALSE,IF(ISERROR(FIND(""veneer"",KitchenCarcassMaterial))=TRUE,0,(((C24+D24)/1000)*2)*VLOOKUP(""Edge banding (per M)"",SheetsData,5,0)),IF(ISERROR(FIND(""shelf"",A24))=FALSE"&amp;",IF(ISERROR(FIND(""veneer"",KitchenCarcassMaterial))=TRUE,0,(C24/1000)*VLOOKUP(""Edge banding (per M)"",SheetsData,5,0)),IF(AND(ISERROR(FIND(""carcass"",A24))=FALSE,ISERROR(FIND(""shelf"",A24))=TRUE),IF(ISERROR(FIND(""veneer"",KitchenCarcassMaterial))=TRU"&amp;"E,0,((2*(B24+C24))/1000)*VLOOKUP(""Edge banding (per M)"",SheetsData,5,0)),IF(ISERROR(FIND(""door"",A24))=TRUE,"""",IF(ISERROR(FIND(""veneer"",KitchenDoorMaterial))=TRUE,"""",((2*(B24+C24))/1000)*VLOOKUP(""Edge banding (per M)"",SheetsData,5,0))))))))))"),0.0)</f>
        <v>0</v>
      </c>
      <c r="G24" s="153">
        <f>IF(A24="","",IF(ISERROR(FIND("bins",A24))=FALSE,VLOOKUP("Base carcass 600",KitchensData,7,0),IF(OR(ISERROR(FIND("larder",A24))=FALSE,ISERROR(FIND("fridge/freezer",A24))=FALSE,ISERROR(FIND("double oven",A24))=FALSE,ISERROR(FIND("single oven",A24))=FALSE),VLOOKUP(LEFT(A24,FIND(" ",A24))&amp;"carcass "&amp;RIGHT(A24,LEN(A24)-(LEN(A24)-3)),KitchensData,7,0),IF(AND(ISERROR(FIND("carcass",A24))=FALSE,ISERROR(FIND("shelf",A24))=TRUE),IF(OR(ISERROR(FIND("Base",A24))=FALSE,ISERROR(FIND("Tower",A24))=FALSE),IF(OR(ISERROR(FIND("1200",A24))=FALSE, ISERROR(FIND("lost corner",A24))=FALSE),6*VLOOKUP("Plinth foot (2 Parts 80mm)",FurnitureData,5,0),4*VLOOKUP("Plinth foot (2 Parts 80mm)",FurnitureData,5,0)),""),""))))</f>
        <v>5.7</v>
      </c>
      <c r="H24" s="115" t="str">
        <f>IF(OR(A24="",ISERROR(FIND("door",A24))=TRUE),"",IF(ISERROR(FIND("Wall",A24))=FALSE,VLOOKUP("Hinges &amp; plates (Hettich thick door)",FurnitureData,5,0)*2,IF(ISERROR(FIND("Base",A24))=FALSE,VLOOKUP("Hinges &amp; plates (Hettich thick door)",FurnitureData,5,0)*3,IF(ISERROR(FIND("Boiler",A24))=FALSE,VLOOKUP("Hinges &amp; plates (Hettich thick door)",FurnitureData,5,0)*4,IF(ISERROR(FIND("Tower",A24))=FALSE,VLOOKUP("Hinges &amp; plates (Hettich thick door)",FurnitureData,5,0)*5)))))</f>
        <v/>
      </c>
      <c r="I24" s="115" t="str">
        <f>IF(ISERROR(FIND("shelf",A24))=FALSE,(VLOOKUP("Shelf pegs",FurnitureData,5,0)/100)*4,"")</f>
        <v/>
      </c>
      <c r="J24" s="152">
        <f>IF(OR(ISERROR(FIND("fridge/freezer",A24))=FALSE,ISERROR(FIND("larder",A24))=FALSE,AND(ISERROR(FIND("Base",A24))=FALSE,ISERROR(FIND("bins",A24))=TRUE,ISERROR(FIND("no shelves",A24))=TRUE,OR(ISERROR(FIND("carcass",A24))=FALSE,ISERROR(FIND("unit",A24))=FALSE))),VLOOKUP("Deep shelf "&amp;C24,KitchensData,18,0),IF(AND(ISERROR(FIND("Wall",A24))=FALSE,ISERROR(FIND("carcass",A24))=FALSE),2*VLOOKUP("Shallow shelf "&amp;C24,KitchensData,18,0),IF(AND(ISERROR(FIND("Tower",A24))=FALSE,ISERROR(FIND("oven",A24))=FALSE),4*VLOOKUP("Deep shelf "&amp;C24,KitchensData,18,0),IF(AND(ISERROR(FIND("Tower",A24))=FALSE,ISERROR(FIND("carcass",A24))=FALSE),5*VLOOKUP("Deep shelf "&amp;C24,KitchensData,18,0),""))))</f>
        <v>240.2254708</v>
      </c>
      <c r="K24" s="152" t="str">
        <f>IF(ISERROR(FIND("sink",A24))=FALSE,VLOOKUP("Sink liner - Aluminium "&amp;RIGHT(A24,LEN(A24)-22)&amp;"mm",ExceptionalData,5,0),IF(ISERROR(FIND("bins",A24))=FALSE,VLOOKUP("Drawer runners and clip set for bin unit (500) Dynapro",FurnitureData,5,0)+(2*VLOOKUP("Bin (42L Anthracite)",FurnitureData,5,0)),IF(ISERROR(FIND("larder",A24))=FALSE,VLOOKUP("Pull out larder unit 600mm",FurnitureData,5,0),IF(AND(ISERROR(FIND("drawer box",A24))=FALSE,ISERROR(FIND("internal",A24))=TRUE),VLOOKUP("Drawer runners and clip set (550) Dynapro",FurnitureData,5,0),IF(ISERROR(FIND("internal drawer box",A24))=FALSE,VLOOKUP("Drawer runners and clip set (450) Dynapro",FurnitureData,5,0),"")))))</f>
        <v/>
      </c>
      <c r="L24" s="152">
        <f t="shared" si="3"/>
        <v>402.1796364</v>
      </c>
      <c r="M24" s="154">
        <f>IFERROR(__xludf.DUMMYFUNCTION("IF(A24="""","""",IF(OR(ISERROR(FIND(""larder"",A24))=FALSE,ISERROR(FIND(""unit"",A24))=FALSE),VLOOKUP(LEFT(A24,FIND("" "",A24))&amp;""carcass ""&amp;RIGHT(A24,LEN(A24)-len(regexextract(A24,"".* ""))),KitchensData,13,0),IF(ISERROR(FIND(""bins"",A24))=FALSE,0.95,IF"&amp;"(ISERROR(FIND(""Cutlery insert 600"",A24))=FALSE,1.3,IF(ISERROR(FIND(""Cutlery insert 1200"",A24))=FALSE,2,IF(ISERROR(FIND(""Pan/tray rack 600"",A24))=FALSE,3.25,IF(ISERROR(FIND(""Pan/tray rack 1200"",A24))=FALSE,5.9,IF(ISERROR(FIND(""split"",A24))=FALSE,"&amp;"(((C24/1000)*0.022)*2)+VLOOKUP(SUBSTITUTE(A24,"" split"",""""),KitchensData,13,0),IF(AND(ISERROR(FIND(""drawer front"",A24))=FALSE,KitchenDoorStyle=""Flat""),(((B24/1000)*(C24/1000))*2)+((((B24+C24)/1000)*2)*0.022),IF(AND(ISERROR(FIND(""drawer front"",A24"&amp;"))=FALSE,LEFT(KitchenDoorStyle,5)=""Panel""),(((B24/1000)*(C24/1000))*2)+((((B24+C24)/1000)*2)*0.022)+((((C24/1000)-0.16)*0.013)*2)+((((D24/1000)-0.16)*0.013)*2),IF(AND(ISERROR(FIND(""drawer front"",A24))=FALSE,KitchenDoorStyle=""In-frame flat""),((((B24-"&amp;"76)/1000)*((C24-38)/1000))*2)+(MID(KitchenDoorMaterial,FIND(""("",KitchenDoorMaterial)+1,2)/1000)*((((B24-76)+(C24-38))/1000)*2)+(((B24/1000)*0.032)*2)+((((B24-76)/1000)*0.032)*2)+(((B24/1000)*0.019)*4)+(((C24/1000)*0.032)*2)+((((C24-38)/1000)*0.032)*2)+("&amp;"((C24/1000)*0.038)*4),IF(AND(ISERROR(FIND(""drawer front"",A24))=FALSE,LEFT(KitchenDoorStyle,14)=""In-frame panel""),((((B24-76)/1000)*((C24-38)/1000))*2)+((MID(KitchenDoorMaterial,FIND(""("",KitchenDoorMaterial)+1,2)/1000)*((((B24-76)+(C24-38))/1000)*2))"&amp;"+((((B24-236)/1000)+((C24-198)/1000)*2)*0.013)+(((B24/1000)*0.032)*2)+((((B24-76)/1000)*0.032)*2)+(((B24/1000)*0.019)*4)+(((C24/1000)*0.032)*2)+((((C24-38)/1000)*0.032)*2)+(((C24/1000)*0.038)*4),IF(ISERROR(FIND(""drawer box"",A24))=FALSE,((((B24/1000)*(D2"&amp;"4/1000))+((B24/1000)*(C24/1000)))*4)+((((D24/1000)+(C24/1000))*0.016)*4)+(((C24/1000)*(D24/1000))*2),IF(OR(ISERROR(FIND(""shelf"",A24))=FALSE,ISERROR(FIND(""spacer"",A24))=FALSE,,ISERROR(FIND(""filler panel"",A24))=FALSE),(((C24/1000)*(D24/1000))*2)+((((C"&amp;"24+D24)*2)/1000)*0.022),IF(ISERROR(FIND(""lost corner"",A24))=FALSE,(((B24/1000)*(C24/1000))*2)+((B24/1000)*(C24/1000))+((B24/1000)*((C24/2)/1000))+((((B24/1000)*0.025)+((C24/1000)*0.025))*2),IF(ISERROR(FIND(""carcass"",A24))=FALSE,(((C24/1000)*(D24/1000)"&amp;")*2)+(((B24/1000)*(D24/1000))*2)+((B24/1000)*(C24/1000))+((((B24/1000)*0.025)+((C24/1000)*0.025))*2),IF(AND(ISERROR(FIND(""door"",A24))=FALSE,KitchenDoorStyle=""Flat""),(((B24/1000)*(C24/1000))*2)+(MID(KitchenDoorMaterial,FIND(""("",KitchenDoorMaterial)+1"&amp;",2)/1000)*(((B24+C24)/1000)*2),IF(AND(ISERROR(FIND(""door"",A24))=FALSE,LEFT(KitchenDoorStyle,5)=""Panel""),(((B24/1000)*(C24/1000))*2)+((MID(KitchenDoorMaterial,FIND(""("",KitchenDoorMaterial)+1,2)/1000)*(((B24+C24)/1000)*2))+(((((B24-160)+(C24-160))*2)/"&amp;"1000)*(0.013)),IF(AND(ISERROR(FIND(""door"",A24))=FALSE,KitchenDoorStyle=""In-frame flat""),((((B24-76)/1000)*((C24-38)/1000))*2)+(MID(KitchenDoorMaterial,FIND(""("",KitchenDoorMaterial)+1,2)/1000)*((((B24-76)+(C24-38))/1000)*2)+(((B24/1000)*0.032)*2)+((("&amp;"(B24-76)/1000)*0.032)*2)+(((B24/1000)*0.019)*4)+(((C24/1000)*0.032)*2)+((((C24-38)/1000)*0.032)*2)+(((C24/1000)*0.038)*4),IF(AND(ISERROR(FIND(""door"",A24))=FALSE,LEFT(KitchenDoorStyle,14)=""In-frame panel""),((((B24-76)/1000)*((C24-38)/1000))*2)+((MID(Ki"&amp;"tchenDoorMaterial,FIND(""("",KitchenDoorMaterial)+1,2)/1000)*((((B24-76)+(C24-38))/1000)*2))+((((B24-236)/1000)+((C24-198)/1000)*2)*0.013)+(((B24/1000)*0.032)*2)+((((B24-76)/1000)*0.032)*2)+(((B24/1000)*0.019)*4)+(((C24/1000)*0.032)*2)+((((C24-38)/1000)*0"&amp;".032)*2)+(((C24/1000)*0.038)*4),IF(ISERROR(FIND(""Plinth"",A24))=FALSE,((B24/1000)*(C24/1000))+(((C24/1000)*0.018)*2)+(((B24/1000)*0.018)*2),IF(ISERROR(FIND(""Cornice"",A24))=FALSE,(((C24/1000)*0.1)*2)+(((C24/1000)*0.044)*2)+(((B24/1000)*0.08)*2),IF(ISERR"&amp;"OR(FIND(""Base end panel"",A24))=FALSE,((B24/1000)*(C24/1000))+(0.022*((B24/1000)+((C24/1000)*2)))+((B24/1000)*0.05),IF(ISERROR(FIND(""Wall end panel"",A24))=FALSE,((B24/1000)*(C24/1000))+(0.022*((B24/1000)+((C24/1000)*2)))+((B24/1000)*0.05),IF(ISERROR(FI"&amp;"ND(""Tower end panel"",A24))=FALSE,((B24/1000)*(C24/1000))+(0.022*((B24/1000)+((C24/1000)*2)))+((B24/1000)*0.05),IF(ISERROR(FIND(""Fillers"",A24))=FALSE,((C24/1000)*0.06)+((C24/1000)*0.069)+((0.06*0.018)*2)+((0.06*0.009)*2)+((C24/1000)*0.009)+((C24/1000)*"&amp;"0.018),IF(ISERROR(FIND(""corner post"",A24))=FALSE,(((B24/1000*0.05)*2)+((B24/1000)*0.022)*2)+((B24/1000)*0.072)+((B24/1000)*0.05)+((0.072*0.022)*2)+((0.05*0.022)*2),IF(ISERROR(FIND(""Pelmet"",A24))=FALSE,((C24/1000)*0.05)+((C24/1000)*0.068)+((0.05*0.018)"&amp;"*4)+(((C24/1000)*0.018))*2))))))))))))))))))))))))))))"),3.2100000000000004)</f>
        <v>3.21</v>
      </c>
      <c r="N24" s="152">
        <f>IF(M24="","",IF(AND(ISERROR(FIND("carcass",A24))=TRUE,ISERROR(FIND("unit",A24))=TRUE,ISERROR(FIND("insert",A24))=TRUE,ISERROR(FIND("rack",A24))=TRUE,ISERROR(FIND("box",A24))=TRUE,ISERROR(FIND("shelf",#REF!))=TRUE),VLOOKUP(KitchenDoorFinish,Finishing!$A$2:$K$10,9,0)*M24,VLOOKUP(KitchenCarcassFinish,Finishing!$A$2:$K$40,9,0)*M24))</f>
        <v>12.0375</v>
      </c>
      <c r="O24" s="155">
        <v>2.5</v>
      </c>
      <c r="P24" s="155">
        <v>1.5</v>
      </c>
      <c r="Q24" s="152">
        <f>IF(OR(O24="",P24=""),"",((O24*X24)*(VLOOKUP("Workshop",Labour!$A$3:$E$20,4,0)/8))+((P24*AE24)*(VLOOKUP("Finishing",Labour!$A$3:$E$20,4,0)/8)))</f>
        <v>151.375</v>
      </c>
      <c r="R24" s="152">
        <f t="shared" si="4"/>
        <v>565.5921364</v>
      </c>
      <c r="S24" s="156">
        <f>IF(OR(O24="",P24=""),"",IF(OR(ISERROR(FIND("carcass",$A24))=FALSE,ISERROR(FIND("unit",$A24))=FALSE),VLOOKUP(KitchenCarcassMaterial,FixedListsCarcassMaterial,2,0),0))</f>
        <v>1</v>
      </c>
      <c r="T24" s="156">
        <f>IF(OR(O24="",P24=""),"",IF(ISERROR(FIND("door",$A24))=FALSE,VLOOKUP(KitchenDoorStyle,FixedListsDoorStyle,2,0),0))</f>
        <v>0</v>
      </c>
      <c r="U24" s="156">
        <f>IF(OR(O24="",P24=""),"",IF(ISERROR(FIND("door",$A24))=FALSE,VLOOKUP(KitchenDoorMaterial,FixedListsDoorMaterial,2,0),0))</f>
        <v>0</v>
      </c>
      <c r="V24" s="156">
        <f>IF(OR(O24="",P24=""),"",IF(ISERROR(FIND("drawer",$A24))=FALSE,VLOOKUP(KitchenDrawerType,FixedListsDrawerType,2,0),0))</f>
        <v>0</v>
      </c>
      <c r="W24" s="156">
        <f>IF(OR(O24="",P24=""),"",IF(OR(S24&gt;0, T24&gt;0,V24&gt;0),VLOOKUP(KitchenHandleType,FixedListsHandleType,2,FALSE)*IF(KitchenHandleType="Simple",0,IF(S24&gt;0,VLOOKUP(KitchenHandleType,FixedListsHandleType,4,FALSE),IF(OR(T24&gt;0,V24&gt;0),1-VLOOKUP(KitchenHandleType,FixedListsHandleType,4,FALSE),"Error"))),0))</f>
        <v>0</v>
      </c>
      <c r="X24" s="156">
        <f t="shared" si="5"/>
        <v>1</v>
      </c>
      <c r="Y24" s="156">
        <f>IF(OR(O24="",P24=""),"",IF(OR(ISERROR(FIND("carcass",$A24))=FALSE,ISERROR(FIND("unit",$A24))=FALSE),VLOOKUP(KitchenCarcassMaterial,FixedListsCarcassMaterial,3,0),0))</f>
        <v>1</v>
      </c>
      <c r="Z24" s="156">
        <f>IF(OR(O24="",P24=""),"",IF(ISERROR(FIND("door",$A24))=FALSE,VLOOKUP(KitchenDoorStyle,FixedListsDoorStyle,3,0),0))</f>
        <v>0</v>
      </c>
      <c r="AA24" s="156">
        <f>IF(OR(O24="",P24=""),"",IF(ISERROR(FIND("door",$A24))=FALSE,VLOOKUP(KitchenDoorMaterial,FixedListsDoorMaterial,3,0),0))</f>
        <v>0</v>
      </c>
      <c r="AB24" s="156">
        <f>IF(OR(O24="",P24=""),"",IF(ISERROR(FIND("drawer",$A24))=FALSE,VLOOKUP(KitchenDrawerType,FixedListsDrawerType,3,0),0))</f>
        <v>0</v>
      </c>
      <c r="AC24" s="156">
        <f>IF(OR(O24="",P24=""),"",IF(OR(Y24&gt;0,Z24&gt;0,AB24&gt;0),VLOOKUP(KitchenHandleType,FixedListsHandleType,3,FALSE),0))</f>
        <v>1</v>
      </c>
      <c r="AD24" s="156">
        <f>IF(OR(O24="",P24=""),"",IF(OR(ISERROR(FIND("carcass",$A24))=FALSE,ISERROR(FIND("unit",$A24))=FALSE),VLOOKUP(KitchenCarcassFinish,FixedListsFinishes,3,0),IF(OR(ISERROR(FIND("door",$A24))=FALSE,ISERROR(FIND("Plinth",$A24))=FALSE,ISERROR(FIND("Cornice",$A24))=FALSE,ISERROR(FIND("Fillers",$A24))=FALSE,ISERROR(FIND("Pelmet",$A24))=FALSE,ISERROR(FIND("panel",$A24))=FALSE,ISERROR(FIND("post",$A24))=FALSE),VLOOKUP(KitchenDoorFinish,FixedListsFinishes,3,0),IF(OR(ISERROR(FIND("drawer",$A24))=FALSE,ISERROR(FIND("insert",$A24))=FALSE,ISERROR(FIND("rck",$A24))=FALSE),VLOOKUP(KitchenCarcassFinish,FixedListsFinishes,3,0),0))))</f>
        <v>1</v>
      </c>
      <c r="AE24" s="156">
        <f t="shared" si="6"/>
        <v>1</v>
      </c>
      <c r="AF24" s="157" t="str">
        <f>IF(AND(KitchenHandleType="Channel",OR(ISERROR(FIND("arcass",$A24))=FALSE,ISERROR(FIND("unit",$A24))=FALSE)),IF(ISERROR(FIND("Tower",$A24))=TRUE,IF(KitchenHandleFinish="Match carcass",IF(ISERROR(FIND("Walnut",KitchenCarcassMaterial))=FALSE,(0.035*0.075*($C24/1000))*VLOOKUP("Walnut (solid m3)",SolidData,4,FALSE),IF(ISERROR(FIND("Oak",KitchenCarcassMaterial))=FALSE,(0.035*0.075*($C24/1000))*VLOOKUP("Oak (solid m3)",SolidData,4,FALSE),IF(ISERROR(FIND("ply",KitchenCarcassMaterial))=FALSE,(0.1*($C24/1000))*VLOOKUP("Birch ply (24mm)",SheetsData,7,FALSE),IF(ISERROR(FIND("H/F",KitchenCarcassMaterial))=FALSE,(0.1*($C24/1000))*VLOOKUP("H/F (22mm)",SheetsData,7,FALSE),"Carcass - not tower - new material")))),IF(KitchenHandleFinish="Match door",IF(ISERROR(FIND("Walnut",KitchenDoorMaterial))=FALSE,(0.035*0.075*($C24/1000))*VLOOKUP("Walnut (solid m3)",SolidData,4,FALSE),IF(ISERROR(FIND("Oak",KitchenDoorMaterial))=FALSE,(0.035*0.075*($C24/1000))*VLOOKUP("Oak (solid m3)",SolidData,4,FALSE),IF(ISERROR(FIND("ply",KitchenDoorMaterial))=FALSE,(0.1*($C24/1000))*VLOOKUP("Birch ply (24mm)",SheetsData,7,FALSE),IF(ISERROR(FIND("H/F",KitchenCarcassMaterial))=FALSE,(0.1*($C24/1000))*VLOOKUP("H/F (22mm)",SheetsData,7,FALSE),"Door - not tower - new material")))),"Channel - not tower - handle set to other")),IF(ISERROR(FIND("Tower",$A24))=FALSE,IF(KitchenHandleFinish="Match carcass",IF(ISERROR(FIND("Walnut",KitchenCarcassMaterial))=FALSE,(0.035*0.075*($B24/1000))*VLOOKUP("Walnut (solid m3)",SolidData,4,FALSE),IF(ISERROR(FIND("Oak",KitchenCarcassMaterial))=FALSE,(0.035*0.075*($B24/1000))*VLOOKUP("Oak (solid m3)",SolidData,4,FALSE),IF(ISERROR(FIND("ply",KitchenCarcassMaterial))=FALSE,(0.1*($B24/1000))*VLOOKUP("Birch ply (24mm)",SheetsData,7,FALSE),IF(ISERROR(FIND("H/F",KitchenCarcassMaterial))=FALSE,(0.1*($C24/1000))*VLOOKUP("H/F (22mm)",SheetsData,7,FALSE),"Carcass - tower - new material")))),IF(KitchenHandleFinish="Match door",IF(ISERROR(FIND("Walnut",KitchenDoorMaterial))=FALSE,(0.035*0.075*($B24/1000))*VLOOKUP("Walnut (solid m3)",SolidData,4,FALSE),IF(ISERROR(FIND("Oak",KitchenDoorMaterial))=FALSE,(0.035*0.075*($B24/1000))*VLOOKUP("Oak (solid m3)",SolidData,4,FALSE),IF(ISERROR(FIND("ply",KitchenDoorMaterial))=FALSE,(0.1*($B24/1000))*VLOOKUP("Birch ply (24mm)",SheetData,7,FALSE),IF(ISERROR(FIND("H/F",KitchenCarcassMaterial))=FALSE,(0.1*($C24/1000))*VLOOKUP("H/F (22mm)",SheetsData,7,FALSE),"Door - tower - new material")))),"Channel - tower - handle set to other")))),"")</f>
        <v/>
      </c>
    </row>
    <row r="25">
      <c r="A25" s="151" t="s">
        <v>133</v>
      </c>
      <c r="B25" s="115">
        <f t="shared" si="1"/>
        <v>2200</v>
      </c>
      <c r="C25" s="115" t="str">
        <f>IFERROR(__xludf.DUMMYFUNCTION("IF(A25="""","""",IF(OR(RIGHT(A25,LEN(A25)-len(regexextract(A25,"".* "")))=""1200"",RIGHT(A25,LEN(A25)-len(regexextract(A25,"".* "")))=""600"",RIGHT(A25,LEN(A25)-len(regexextract(A25,"".* "")))=""400"",RIGHT(A25,LEN(A25)-len(regexextract(A25,"".* "")))=""3"&amp;"00"",RIGHT(A25,LEN(A25)-len(regexextract(A25,"".* "")))=""700"",RIGHT(A25,LEN(A25)-len(regexextract(A25,"".* "")))=""2400"",RIGHT(A25,LEN(A25)-len(regexextract(A25,"".* "")))=""650"",RIGHT(A25,LEN(A25)-len(regexextract(A25,"".* "")))=""350"",RIGHT(A25,LEN"&amp;"(A25)-len(regexextract(A25,"".* "")))=""50""),RIGHT(A25,LEN(A25)-len(regexextract(A25,"".* ""))),IF(OR(ISERROR(FIND(""spacer"",A25))=FALSE,ISERROR(FIND(""filler panel"",A25))=FALSE),""1000"",""Unexpected size in description"")))"),"300")</f>
        <v>300</v>
      </c>
      <c r="D25" s="151">
        <f t="shared" si="2"/>
        <v>600</v>
      </c>
      <c r="E25" s="152">
        <f>IFERROR(__xludf.DUMMYFUNCTION("IF(OR(A25="""",AND(ISERROR(FIND(""drawer box"",A25))=FALSE,KitchenDrawerType="""")),"""",IF(OR(ISERROR(FIND(""larder"",A25))=FALSE,ISERROR(FIND(""fridge/freezer"",A25))=FALSE,ISERROR(FIND(""double oven"",A25))=FALSE,ISERROR(FIND(""single oven"",A25))=FALS"&amp;"E),VLOOKUP(LEFT(A25,FIND("" "",A25))&amp;""carcass ""&amp;RIGHT(A25,LEN(A25)-(LEN(A25)-3)),KitchensData,5,0),IF(ISERROR(FIND(""sink"",A25))=FALSE,VLOOKUP(LEFT(A25,FIND("" "",A25))&amp;""carcass ""&amp;VALUE(REGEXREPLACE(A25,""[^[:digit:]]"", """")),KitchensData,5,0)+(((C"&amp;"25/1000)*(300/1000))*VLOOKUP(KitchenCarcassMaterial,SheetsData,8,0)),IF(ISERROR(FIND(""bins"",A25))=FALSE,IF(ISERROR(FIND(""veneer"",KitchenCarcassMaterial))=FALSE,VLOOKUP(""Base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600"",A25))=FALSE,IF(ISERROR(FIND(""veneer"""&amp;",KitchenCarcassMaterial))=FALSE,0.54*(VLOOKUP(LEFT(KitchenCarcassMaterial,FIND(""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1200"",A25))=FALSE,"&amp;"IF(ISERROR(FIND(""veneer"",KitchenCarcassMaterial))=FALSE,0.84*(VLOOKUP(LEFT(KitchenCarcassMaterial,FIND(""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600"",A25))=FALSE,IF(ISERROR(FIND(""veneer"",KitchenCarcassMaterial))=FALSE,1.44*(VLOOKUP(LEFT(KitchenCarcassMaterial,FIND(""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1200"",A25))=FALSE,IF(ISERROR(FIND(""veneer"",KitchenCarcassMaterial))=FALSE,2.7*(VLOOKUP(LEFT(KitchenCarcassMaterial,FIND(""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front"",A25))=FALSE,((B25/1000)*(C25/1000))*VLOOKUP(KitchenDoorMaterial,SheetsData,8,0),IF(AND(KitchenDrawerType=""Match carcass"",ISERROR(FIND(""drawer box"",A25))=FALSE),(((((B25/1000)*(C25/1000))+((B25/1000"&amp;")*(D25/1000)))*2)*VLOOKUP(KitchenCarcassMaterial,SheetsData,8,0))+(((C25/1000)*(D25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box"",A25))=FALSE),(((((B25/1000)*(C25/1000))+((B25/1000)*(D25/1000)))*2)*(16/1000)*VLOOKUP(LEFT(KitchenCarcassMaterial,FIND("" "&amp;""",KitchenCarcassMaterial))&amp;""(solid m3)"",SolidData,5,0))+(((C25/1000)*(D25/1000))*VLOOKUP(LEFT(KitchenCarcassMaterial,FIND(""("",KitchenCarcassMaterial)-1)&amp;IF(OR(ISERROR(FIND(""ply"",KitchenCarcassMaterial))=FALSE,ISERROR(FIND(""H/F"",KitchenCarcassMate"&amp;"rial))=FALSE),""(9mm)"",""(10mm)""),SheetsData,8,0)),IF(ISERROR(FIND(""spacer"",A25))=FALSE,((D25/1000)*(C25/1000))*VLOOKUP(""Poplar ply (18mm)"",SheetsData,8,0),IF(ISERROR(FIND(""filler panel"",A25))=FALSE,((B25/1000)*(C25/1000))*VLOOKUP(KitchenDoorMater"&amp;"ial,SheetsData,8,0),IF(ISERROR(FIND(""shelf"",A25))=FALSE,((D25/1000)*(C25/1000))*VLOOKUP(KitchenCarcassMaterial,SheetsData,8,0),IF(ISERROR(FIND(""lost corner"",A25))=FALSE,VLOOKUP(LEFT(A25,FIND("" "",A25))&amp;""carcass ""&amp;VALUE(REGEXREPLACE(A25,""[^[:digit:"&amp;"]]"", """")),KitchensData,5,0)+((((B25/1000)*(C25/1000))+((B25/1000)*(60/1000)))*VLOOKUP(KitchenCarcassMaterial,SheetsData,8,0)),IF(ISERROR(FIND(""carcass"",A25))=FALSE,(((((B25/1000)*2)*(D25/1000))+(((C25/1000)*2)*(D25/1000)))*VLOOKUP(KitchenCarcassMater"&amp;"ial,SheetsData,8,0))+((B25/1000)*(C25/1000))*VLOOKUP(LEFT(KitchenCarcassMaterial,FIND(""("",KitchenCarcassMaterial)-1)&amp;IF(OR(ISERROR(FIND(""ply"",KitchenCarcassMaterial))=FALSE,ISERROR(FIND(""H/F"",KitchenCarcassMaterial))=FALSE),""(9mm)"",""(10mm)""),She"&amp;"etsData,8,0),IF(OR(ISERROR(FIND(""Plinth"",A25))=FALSE,ISERROR(FIND(""Cornice (flat)"",A25))=FALSE),((B25/1000)*(C25/1000))*VLOOKUP(""H/F (18mm)"",SheetsData,8,0),IF(ISERROR(FIND(""Cornice (stacked)"",A25))=FALSE,((0.08*(C25/1000))*2)*VLOOKUP(""H/F (22mm)"&amp;""",SheetsData,8,0),IF(ISERROR(FIND(""Base end panel"",A25))=FALSE,VLOOKUP(KitchenDoorMaterial,SheetsData,5,0)/3,IF(ISERROR(FIND(""Wall end panel"",A25))=FALSE,VLOOKUP(KitchenDoorMaterial,SheetsData,5,0)/9,IF(ISERROR(FIND(""Tower end panel"",A25))=FALSE,VL"&amp;"OOKUP(KitchenDoorMaterial,SheetsData,5,0),IF(ISERROR(FIND(""Fillers"",A25))=FALSE,(((0.06*(C25/1000))*2)*VLOOKUP(""H/F (18mm)"",SheetsData,8,0))+(((0.06*(C25/1000))*2)*VLOOKUP(""H/F (9mm)"",SheetsData,8,0)),IF(ISERROR(FIND(""corner post"",A25))=FALSE,(((B"&amp;"25/1000)*0.05)*2)*VLOOKUP(KitchenDoorMaterial,SheetsData,8,0),IF(ISERROR(FIND(""Pelmet"",A25))=FALSE,((((B25/1000)*(C25/1000))*2)*VLOOKUP(""H/F (18mm)"",SheetsData,8,0)),IF(ISERROR(FIND(""door"",A25))=TRUE,""Check description"",IF(KitchenDoorStyle=""Flat"&amp;""",((B25/1000)*(C25/1000))*VLOOKUP(KitchenDoorMaterial,SheetsData,8,0),IF(LEFT(KitchenDoorStyle,5)=""Panel"",(((((B25/1000)*2)*0.08)+((((C25/1000)-0.16)*2)*0.08))*VLOOKUP(""H/F (22mm)"",SheetsData,8,0))+(((B25/1000)-0.14)*((C25/1000)-0.14)*VLOOKUP(""H/F ("&amp;"9mm)"",SheetsData,8,0)),IF(KitchenDoorStyle=""In-frame flat"",((((((B25/1000)*0.019)*0.038)+((((C25-38)/1000)*0.038)*0.038))*2)*VLOOKUP(""Tulip (solid m3)"",SolidData,5,0))+(((B25-76)/1000)*((C25-38)/1000))*VLOOKUP(""H/F (22mm)"",SheetsData,8,0),IF(LEFT(K"&amp;"itchenDoorStyle,14)=""In-frame panel"",(((((((B25/1000)*0.019)*0.038)+((((C25-38)/1000)*0.038)*0.038))*2)*VLOOKUP(""Tulip (solid m3)"",SolidData,5,0))+(((((((B25-76)/1000)*2)*0.08)+(((((C25-198)/1000)*2)*0.08)))*VLOOKUP(""H/F (22mm)"",SheetsData,8,0))+((("&amp;"B25-216)/1000)*((C25-178)/1000)*VLOOKUP(""H/F (9mm)"",SheetsData,8,0)))))))))))))))))))))))))))))))))"),140.22621607094868)</f>
        <v>140.2262161</v>
      </c>
      <c r="F25" s="152">
        <f>IFERROR(__xludf.DUMMYFUNCTION("IF(OR(A25="""",AND(ISERROR(FIND(""drawer box"",A25))=FALSE,KitchenDrawerType=""Solid dovetail"")),"""",IF(ISERROR(FIND(""bins"",A25))=FALSE,VLOOKUP(""Base carcass 600"",KitchensData,6,0),IF(OR(ISERROR(FIND(""larder"",A25))=FALSE,ISERROR(FIND(""unit"",A25)"&amp;")=FALSE),VLOOKUP(LEFT(A25,FIND("" "",A25))&amp;""carcass ""&amp;RIGHT(A25,LEN(A25)-len(regexextract(A25,"".* ""))),KitchensData,6,0),IF(ISERROR(FIND(""drawer front"",A25))=FALSE,IF(ISERROR(FIND(""veneer"",KitchenCarcassMaterial))=TRUE,0,(((B25+C25)/1000)*2)*VLOOK"&amp;"UP(""Edge banding (per M)"",SheetsData,5,0)),IF(ISERROR(FIND(""drawer box"",A25))=FALSE,IF(ISERROR(FIND(""veneer"",KitchenCarcassMaterial))=TRUE,0,(((C25+D25)/1000)*2)*VLOOKUP(""Edge banding (per M)"",SheetsData,5,0)),IF(ISERROR(FIND(""shelf"",A25))=FALSE"&amp;",IF(ISERROR(FIND(""veneer"",KitchenCarcassMaterial))=TRUE,0,(C25/1000)*VLOOKUP(""Edge banding (per M)"",SheetsData,5,0)),IF(AND(ISERROR(FIND(""carcass"",A25))=FALSE,ISERROR(FIND(""shelf"",A25))=TRUE),IF(ISERROR(FIND(""veneer"",KitchenCarcassMaterial))=TRU"&amp;"E,0,((2*(B25+C25))/1000)*VLOOKUP(""Edge banding (per M)"",SheetsData,5,0)),IF(ISERROR(FIND(""door"",A25))=TRUE,"""",IF(ISERROR(FIND(""veneer"",KitchenDoorMaterial))=TRUE,"""",((2*(B25+C25))/1000)*VLOOKUP(""Edge banding (per M)"",SheetsData,5,0))))))))))"),0.0)</f>
        <v>0</v>
      </c>
      <c r="G25" s="153">
        <f>IF(A25="","",IF(ISERROR(FIND("bins",A25))=FALSE,VLOOKUP("Base carcass 600",KitchensData,7,0),IF(OR(ISERROR(FIND("larder",A25))=FALSE,ISERROR(FIND("fridge/freezer",A25))=FALSE,ISERROR(FIND("double oven",A25))=FALSE,ISERROR(FIND("single oven",A25))=FALSE),VLOOKUP(LEFT(A25,FIND(" ",A25))&amp;"carcass "&amp;RIGHT(A25,LEN(A25)-(LEN(A25)-3)),KitchensData,7,0),IF(AND(ISERROR(FIND("carcass",A25))=FALSE,ISERROR(FIND("shelf",A25))=TRUE),IF(OR(ISERROR(FIND("Base",A25))=FALSE,ISERROR(FIND("Tower",A25))=FALSE),IF(OR(ISERROR(FIND("1200",A25))=FALSE, ISERROR(FIND("lost corner",A25))=FALSE),6*VLOOKUP("Plinth foot (2 Parts 80mm)",FurnitureData,5,0),4*VLOOKUP("Plinth foot (2 Parts 80mm)",FurnitureData,5,0)),""),""))))</f>
        <v>5.7</v>
      </c>
      <c r="H25" s="115" t="str">
        <f>IF(OR(A25="",ISERROR(FIND("door",A25))=TRUE),"",IF(ISERROR(FIND("Wall",A25))=FALSE,VLOOKUP("Hinges &amp; plates (Hettich thick door)",FurnitureData,5,0)*2,IF(ISERROR(FIND("Base",A25))=FALSE,VLOOKUP("Hinges &amp; plates (Hettich thick door)",FurnitureData,5,0)*3,IF(ISERROR(FIND("Boiler",A25))=FALSE,VLOOKUP("Hinges &amp; plates (Hettich thick door)",FurnitureData,5,0)*4,IF(ISERROR(FIND("Tower",A25))=FALSE,VLOOKUP("Hinges &amp; plates (Hettich thick door)",FurnitureData,5,0)*5)))))</f>
        <v/>
      </c>
      <c r="I25" s="115" t="str">
        <f>IF(ISERROR(FIND("shelf",A25))=FALSE,(VLOOKUP("Shelf pegs",FurnitureData,5,0)/100)*4,"")</f>
        <v/>
      </c>
      <c r="J25" s="152">
        <f>IF(OR(ISERROR(FIND("fridge/freezer",A25))=FALSE,ISERROR(FIND("larder",A25))=FALSE,AND(ISERROR(FIND("Base",A25))=FALSE,ISERROR(FIND("bins",A25))=TRUE,ISERROR(FIND("no shelves",A25))=TRUE,OR(ISERROR(FIND("carcass",A25))=FALSE,ISERROR(FIND("unit",A25))=FALSE))),VLOOKUP("Deep shelf "&amp;C25,KitchensData,18,0),IF(AND(ISERROR(FIND("Wall",A25))=FALSE,ISERROR(FIND("carcass",A25))=FALSE),2*VLOOKUP("Shallow shelf "&amp;C25,KitchensData,18,0),IF(AND(ISERROR(FIND("Tower",A25))=FALSE,ISERROR(FIND("oven",A25))=FALSE),4*VLOOKUP("Deep shelf "&amp;C25,KitchensData,18,0),IF(AND(ISERROR(FIND("Tower",A25))=FALSE,ISERROR(FIND("carcass",A25))=FALSE),5*VLOOKUP("Deep shelf "&amp;C25,KitchensData,18,0),""))))</f>
        <v>225.5883531</v>
      </c>
      <c r="K25" s="152" t="str">
        <f>IF(ISERROR(FIND("sink",A25))=FALSE,VLOOKUP("Sink liner - Aluminium "&amp;RIGHT(A25,LEN(A25)-22)&amp;"mm",ExceptionalData,5,0),IF(ISERROR(FIND("bins",A25))=FALSE,VLOOKUP("Drawer runners and clip set for bin unit (500) Dynapro",FurnitureData,5,0)+(2*VLOOKUP("Bin (42L Anthracite)",FurnitureData,5,0)),IF(ISERROR(FIND("larder",A25))=FALSE,VLOOKUP("Pull out larder unit 600mm",FurnitureData,5,0),IF(AND(ISERROR(FIND("drawer box",A25))=FALSE,ISERROR(FIND("internal",A25))=TRUE),VLOOKUP("Drawer runners and clip set (550) Dynapro",FurnitureData,5,0),IF(ISERROR(FIND("internal drawer box",A25))=FALSE,VLOOKUP("Drawer runners and clip set (450) Dynapro",FurnitureData,5,0),"")))))</f>
        <v/>
      </c>
      <c r="L25" s="152">
        <f t="shared" si="3"/>
        <v>371.5145692</v>
      </c>
      <c r="M25" s="154">
        <f>IFERROR(__xludf.DUMMYFUNCTION("IF(A25="""","""",IF(OR(ISERROR(FIND(""larder"",A25))=FALSE,ISERROR(FIND(""unit"",A25))=FALSE),VLOOKUP(LEFT(A25,FIND("" "",A25))&amp;""carcass ""&amp;RIGHT(A25,LEN(A25)-len(regexextract(A25,"".* ""))),KitchensData,13,0),IF(ISERROR(FIND(""bins"",A25))=FALSE,0.95,IF"&amp;"(ISERROR(FIND(""Cutlery insert 600"",A25))=FALSE,1.3,IF(ISERROR(FIND(""Cutlery insert 1200"",A25))=FALSE,2,IF(ISERROR(FIND(""Pan/tray rack 600"",A25))=FALSE,3.25,IF(ISERROR(FIND(""Pan/tray rack 1200"",A25))=FALSE,5.9,IF(ISERROR(FIND(""split"",A25))=FALSE,"&amp;"(((C25/1000)*0.022)*2)+VLOOKUP(SUBSTITUTE(A25,"" split"",""""),KitchensData,13,0),IF(AND(ISERROR(FIND(""drawer front"",A25))=FALSE,KitchenDoorStyle=""Flat""),(((B25/1000)*(C25/1000))*2)+((((B25+C25)/1000)*2)*0.022),IF(AND(ISERROR(FIND(""drawer front"",A25"&amp;"))=FALSE,LEFT(KitchenDoorStyle,5)=""Panel""),(((B25/1000)*(C25/1000))*2)+((((B25+C25)/1000)*2)*0.022)+((((C25/1000)-0.16)*0.013)*2)+((((D25/1000)-0.16)*0.013)*2),IF(AND(ISERROR(FIND(""drawer front"",A25))=FALSE,KitchenDoorStyle=""In-frame flat""),((((B25-"&amp;"76)/1000)*((C25-38)/1000))*2)+(MID(KitchenDoorMaterial,FIND(""("",KitchenDoorMaterial)+1,2)/1000)*((((B25-76)+(C25-38))/1000)*2)+(((B25/1000)*0.032)*2)+((((B25-76)/1000)*0.032)*2)+(((B25/1000)*0.019)*4)+(((C25/1000)*0.032)*2)+((((C25-38)/1000)*0.032)*2)+("&amp;"((C25/1000)*0.038)*4),IF(AND(ISERROR(FIND(""drawer front"",A25))=FALSE,LEFT(KitchenDoorStyle,14)=""In-frame panel""),((((B25-76)/1000)*((C25-38)/1000))*2)+((MID(KitchenDoorMaterial,FIND(""("",KitchenDoorMaterial)+1,2)/1000)*((((B25-76)+(C25-38))/1000)*2))"&amp;"+((((B25-236)/1000)+((C25-198)/1000)*2)*0.013)+(((B25/1000)*0.032)*2)+((((B25-76)/1000)*0.032)*2)+(((B25/1000)*0.019)*4)+(((C25/1000)*0.032)*2)+((((C25-38)/1000)*0.032)*2)+(((C25/1000)*0.038)*4),IF(ISERROR(FIND(""drawer box"",A25))=FALSE,((((B25/1000)*(D2"&amp;"5/1000))+((B25/1000)*(C25/1000)))*4)+((((D25/1000)+(C25/1000))*0.016)*4)+(((C25/1000)*(D25/1000))*2),IF(OR(ISERROR(FIND(""shelf"",A25))=FALSE,ISERROR(FIND(""spacer"",A25))=FALSE,,ISERROR(FIND(""filler panel"",A25))=FALSE),(((C25/1000)*(D25/1000))*2)+((((C"&amp;"25+D25)*2)/1000)*0.022),IF(ISERROR(FIND(""lost corner"",A25))=FALSE,(((B25/1000)*(C25/1000))*2)+((B25/1000)*(C25/1000))+((B25/1000)*((C25/2)/1000))+((((B25/1000)*0.025)+((C25/1000)*0.025))*2),IF(ISERROR(FIND(""carcass"",A25))=FALSE,(((C25/1000)*(D25/1000)"&amp;")*2)+(((B25/1000)*(D25/1000))*2)+((B25/1000)*(C25/1000))+((((B25/1000)*0.025)+((C25/1000)*0.025))*2),IF(AND(ISERROR(FIND(""door"",A25))=FALSE,KitchenDoorStyle=""Flat""),(((B25/1000)*(C25/1000))*2)+(MID(KitchenDoorMaterial,FIND(""("",KitchenDoorMaterial)+1"&amp;",2)/1000)*(((B25+C25)/1000)*2),IF(AND(ISERROR(FIND(""door"",A25))=FALSE,LEFT(KitchenDoorStyle,5)=""Panel""),(((B25/1000)*(C25/1000))*2)+((MID(KitchenDoorMaterial,FIND(""("",KitchenDoorMaterial)+1,2)/1000)*(((B25+C25)/1000)*2))+(((((B25-160)+(C25-160))*2)/"&amp;"1000)*(0.013)),IF(AND(ISERROR(FIND(""door"",A25))=FALSE,KitchenDoorStyle=""In-frame flat""),((((B25-76)/1000)*((C25-38)/1000))*2)+(MID(KitchenDoorMaterial,FIND(""("",KitchenDoorMaterial)+1,2)/1000)*((((B25-76)+(C25-38))/1000)*2)+(((B25/1000)*0.032)*2)+((("&amp;"(B25-76)/1000)*0.032)*2)+(((B25/1000)*0.019)*4)+(((C25/1000)*0.032)*2)+((((C25-38)/1000)*0.032)*2)+(((C25/1000)*0.038)*4),IF(AND(ISERROR(FIND(""door"",A25))=FALSE,LEFT(KitchenDoorStyle,14)=""In-frame panel""),((((B25-76)/1000)*((C25-38)/1000))*2)+((MID(Ki"&amp;"tchenDoorMaterial,FIND(""("",KitchenDoorMaterial)+1,2)/1000)*((((B25-76)+(C25-38))/1000)*2))+((((B25-236)/1000)+((C25-198)/1000)*2)*0.013)+(((B25/1000)*0.032)*2)+((((B25-76)/1000)*0.032)*2)+(((B25/1000)*0.019)*4)+(((C25/1000)*0.032)*2)+((((C25-38)/1000)*0"&amp;".032)*2)+(((C25/1000)*0.038)*4),IF(ISERROR(FIND(""Plinth"",A25))=FALSE,((B25/1000)*(C25/1000))+(((C25/1000)*0.018)*2)+(((B25/1000)*0.018)*2),IF(ISERROR(FIND(""Cornice"",A25))=FALSE,(((C25/1000)*0.1)*2)+(((C25/1000)*0.044)*2)+(((B25/1000)*0.08)*2),IF(ISERR"&amp;"OR(FIND(""Base end panel"",A25))=FALSE,((B25/1000)*(C25/1000))+(0.022*((B25/1000)+((C25/1000)*2)))+((B25/1000)*0.05),IF(ISERROR(FIND(""Wall end panel"",A25))=FALSE,((B25/1000)*(C25/1000))+(0.022*((B25/1000)+((C25/1000)*2)))+((B25/1000)*0.05),IF(ISERROR(FI"&amp;"ND(""Tower end panel"",A25))=FALSE,((B25/1000)*(C25/1000))+(0.022*((B25/1000)+((C25/1000)*2)))+((B25/1000)*0.05),IF(ISERROR(FIND(""Fillers"",A25))=FALSE,((C25/1000)*0.06)+((C25/1000)*0.069)+((0.06*0.018)*2)+((0.06*0.009)*2)+((C25/1000)*0.009)+((C25/1000)*"&amp;"0.018),IF(ISERROR(FIND(""corner post"",A25))=FALSE,(((B25/1000*0.05)*2)+((B25/1000)*0.022)*2)+((B25/1000)*0.072)+((B25/1000)*0.05)+((0.072*0.022)*2)+((0.05*0.022)*2),IF(ISERROR(FIND(""Pelmet"",A25))=FALSE,((C25/1000)*0.05)+((C25/1000)*0.068)+((0.05*0.018)"&amp;"*4)+(((C25/1000)*0.018))*2))))))))))))))))))))))))))))"),2.435)</f>
        <v>2.435</v>
      </c>
      <c r="N25" s="152">
        <f>IF(M25="","",IF(AND(ISERROR(FIND("carcass",A25))=TRUE,ISERROR(FIND("unit",A25))=TRUE,ISERROR(FIND("insert",A25))=TRUE,ISERROR(FIND("rack",A25))=TRUE,ISERROR(FIND("box",A25))=TRUE,ISERROR(FIND("shelf",#REF!))=TRUE),VLOOKUP(KitchenDoorFinish,Finishing!$A$2:$K$10,9,0)*M25,VLOOKUP(KitchenCarcassFinish,Finishing!$A$2:$K$40,9,0)*M25))</f>
        <v>9.13125</v>
      </c>
      <c r="O25" s="155">
        <v>2.5</v>
      </c>
      <c r="P25" s="155">
        <v>1.5</v>
      </c>
      <c r="Q25" s="152">
        <f>IF(OR(O25="",P25=""),"",((O25*X25)*(VLOOKUP("Workshop",Labour!$A$3:$E$20,4,0)/8))+((P25*AE25)*(VLOOKUP("Finishing",Labour!$A$3:$E$20,4,0)/8)))</f>
        <v>151.375</v>
      </c>
      <c r="R25" s="152">
        <f t="shared" si="4"/>
        <v>532.0208192</v>
      </c>
      <c r="S25" s="156">
        <f>IF(OR(O25="",P25=""),"",IF(OR(ISERROR(FIND("carcass",$A25))=FALSE,ISERROR(FIND("unit",$A25))=FALSE),VLOOKUP(KitchenCarcassMaterial,FixedListsCarcassMaterial,2,0),0))</f>
        <v>1</v>
      </c>
      <c r="T25" s="156">
        <f>IF(OR(O25="",P25=""),"",IF(ISERROR(FIND("door",$A25))=FALSE,VLOOKUP(KitchenDoorStyle,FixedListsDoorStyle,2,0),0))</f>
        <v>0</v>
      </c>
      <c r="U25" s="156">
        <f>IF(OR(O25="",P25=""),"",IF(ISERROR(FIND("door",$A25))=FALSE,VLOOKUP(KitchenDoorMaterial,FixedListsDoorMaterial,2,0),0))</f>
        <v>0</v>
      </c>
      <c r="V25" s="156">
        <f>IF(OR(O25="",P25=""),"",IF(ISERROR(FIND("drawer",$A25))=FALSE,VLOOKUP(KitchenDrawerType,FixedListsDrawerType,2,0),0))</f>
        <v>0</v>
      </c>
      <c r="W25" s="156">
        <f>IF(OR(O25="",P25=""),"",IF(OR(S25&gt;0, T25&gt;0,V25&gt;0),VLOOKUP(KitchenHandleType,FixedListsHandleType,2,FALSE)*IF(KitchenHandleType="Simple",0,IF(S25&gt;0,VLOOKUP(KitchenHandleType,FixedListsHandleType,4,FALSE),IF(OR(T25&gt;0,V25&gt;0),1-VLOOKUP(KitchenHandleType,FixedListsHandleType,4,FALSE),"Error"))),0))</f>
        <v>0</v>
      </c>
      <c r="X25" s="156">
        <f t="shared" si="5"/>
        <v>1</v>
      </c>
      <c r="Y25" s="156">
        <f>IF(OR(O25="",P25=""),"",IF(OR(ISERROR(FIND("carcass",$A25))=FALSE,ISERROR(FIND("unit",$A25))=FALSE),VLOOKUP(KitchenCarcassMaterial,FixedListsCarcassMaterial,3,0),0))</f>
        <v>1</v>
      </c>
      <c r="Z25" s="156">
        <f>IF(OR(O25="",P25=""),"",IF(ISERROR(FIND("door",$A25))=FALSE,VLOOKUP(KitchenDoorStyle,FixedListsDoorStyle,3,0),0))</f>
        <v>0</v>
      </c>
      <c r="AA25" s="156">
        <f>IF(OR(O25="",P25=""),"",IF(ISERROR(FIND("door",$A25))=FALSE,VLOOKUP(KitchenDoorMaterial,FixedListsDoorMaterial,3,0),0))</f>
        <v>0</v>
      </c>
      <c r="AB25" s="156">
        <f>IF(OR(O25="",P25=""),"",IF(ISERROR(FIND("drawer",$A25))=FALSE,VLOOKUP(KitchenDrawerType,FixedListsDrawerType,3,0),0))</f>
        <v>0</v>
      </c>
      <c r="AC25" s="156">
        <f>IF(OR(O25="",P25=""),"",IF(OR(Y25&gt;0,Z25&gt;0,AB25&gt;0),VLOOKUP(KitchenHandleType,FixedListsHandleType,3,FALSE),0))</f>
        <v>1</v>
      </c>
      <c r="AD25" s="156">
        <f>IF(OR(O25="",P25=""),"",IF(OR(ISERROR(FIND("carcass",$A25))=FALSE,ISERROR(FIND("unit",$A25))=FALSE),VLOOKUP(KitchenCarcassFinish,FixedListsFinishes,3,0),IF(OR(ISERROR(FIND("door",$A25))=FALSE,ISERROR(FIND("Plinth",$A25))=FALSE,ISERROR(FIND("Cornice",$A25))=FALSE,ISERROR(FIND("Fillers",$A25))=FALSE,ISERROR(FIND("Pelmet",$A25))=FALSE,ISERROR(FIND("panel",$A25))=FALSE,ISERROR(FIND("post",$A25))=FALSE),VLOOKUP(KitchenDoorFinish,FixedListsFinishes,3,0),IF(OR(ISERROR(FIND("drawer",$A25))=FALSE,ISERROR(FIND("insert",$A25))=FALSE,ISERROR(FIND("rck",$A25))=FALSE),VLOOKUP(KitchenCarcassFinish,FixedListsFinishes,3,0),0))))</f>
        <v>1</v>
      </c>
      <c r="AE25" s="156">
        <f t="shared" si="6"/>
        <v>1</v>
      </c>
      <c r="AF25" s="157" t="str">
        <f>IF(AND(KitchenHandleType="Channel",OR(ISERROR(FIND("arcass",$A25))=FALSE,ISERROR(FIND("unit",$A25))=FALSE)),IF(ISERROR(FIND("Tower",$A25))=TRUE,IF(KitchenHandleFinish="Match carcass",IF(ISERROR(FIND("Walnut",KitchenCarcassMaterial))=FALSE,(0.035*0.075*($C25/1000))*VLOOKUP("Walnut (solid m3)",SolidData,4,FALSE),IF(ISERROR(FIND("Oak",KitchenCarcassMaterial))=FALSE,(0.035*0.075*($C25/1000))*VLOOKUP("Oak (solid m3)",SolidData,4,FALSE),IF(ISERROR(FIND("ply",KitchenCarcassMaterial))=FALSE,(0.1*($C25/1000))*VLOOKUP("Birch ply (24mm)",SheetsData,7,FALSE),IF(ISERROR(FIND("H/F",KitchenCarcassMaterial))=FALSE,(0.1*($C25/1000))*VLOOKUP("H/F (22mm)",SheetsData,7,FALSE),"Carcass - not tower - new material")))),IF(KitchenHandleFinish="Match door",IF(ISERROR(FIND("Walnut",KitchenDoorMaterial))=FALSE,(0.035*0.075*($C25/1000))*VLOOKUP("Walnut (solid m3)",SolidData,4,FALSE),IF(ISERROR(FIND("Oak",KitchenDoorMaterial))=FALSE,(0.035*0.075*($C25/1000))*VLOOKUP("Oak (solid m3)",SolidData,4,FALSE),IF(ISERROR(FIND("ply",KitchenDoorMaterial))=FALSE,(0.1*($C25/1000))*VLOOKUP("Birch ply (24mm)",SheetsData,7,FALSE),IF(ISERROR(FIND("H/F",KitchenCarcassMaterial))=FALSE,(0.1*($C25/1000))*VLOOKUP("H/F (22mm)",SheetsData,7,FALSE),"Door - not tower - new material")))),"Channel - not tower - handle set to other")),IF(ISERROR(FIND("Tower",$A25))=FALSE,IF(KitchenHandleFinish="Match carcass",IF(ISERROR(FIND("Walnut",KitchenCarcassMaterial))=FALSE,(0.035*0.075*($B25/1000))*VLOOKUP("Walnut (solid m3)",SolidData,4,FALSE),IF(ISERROR(FIND("Oak",KitchenCarcassMaterial))=FALSE,(0.035*0.075*($B25/1000))*VLOOKUP("Oak (solid m3)",SolidData,4,FALSE),IF(ISERROR(FIND("ply",KitchenCarcassMaterial))=FALSE,(0.1*($B25/1000))*VLOOKUP("Birch ply (24mm)",SheetsData,7,FALSE),IF(ISERROR(FIND("H/F",KitchenCarcassMaterial))=FALSE,(0.1*($C25/1000))*VLOOKUP("H/F (22mm)",SheetsData,7,FALSE),"Carcass - tower - new material")))),IF(KitchenHandleFinish="Match door",IF(ISERROR(FIND("Walnut",KitchenDoorMaterial))=FALSE,(0.035*0.075*($B25/1000))*VLOOKUP("Walnut (solid m3)",SolidData,4,FALSE),IF(ISERROR(FIND("Oak",KitchenDoorMaterial))=FALSE,(0.035*0.075*($B25/1000))*VLOOKUP("Oak (solid m3)",SolidData,4,FALSE),IF(ISERROR(FIND("ply",KitchenDoorMaterial))=FALSE,(0.1*($B25/1000))*VLOOKUP("Birch ply (24mm)",SheetData,7,FALSE),IF(ISERROR(FIND("H/F",KitchenCarcassMaterial))=FALSE,(0.1*($C25/1000))*VLOOKUP("H/F (22mm)",SheetsData,7,FALSE),"Door - tower - new material")))),"Channel - tower - handle set to other")))),"")</f>
        <v/>
      </c>
    </row>
    <row r="26">
      <c r="A26" s="151" t="s">
        <v>134</v>
      </c>
      <c r="B26" s="115">
        <f t="shared" si="1"/>
        <v>700</v>
      </c>
      <c r="C26" s="115" t="str">
        <f>IFERROR(__xludf.DUMMYFUNCTION("IF(A26="""","""",IF(OR(RIGHT(A26,LEN(A26)-len(regexextract(A26,"".* "")))=""1200"",RIGHT(A26,LEN(A26)-len(regexextract(A26,"".* "")))=""600"",RIGHT(A26,LEN(A26)-len(regexextract(A26,"".* "")))=""400"",RIGHT(A26,LEN(A26)-len(regexextract(A26,"".* "")))=""3"&amp;"00"",RIGHT(A26,LEN(A26)-len(regexextract(A26,"".* "")))=""700"",RIGHT(A26,LEN(A26)-len(regexextract(A26,"".* "")))=""2400"",RIGHT(A26,LEN(A26)-len(regexextract(A26,"".* "")))=""650"",RIGHT(A26,LEN(A26)-len(regexextract(A26,"".* "")))=""350"",RIGHT(A26,LEN"&amp;"(A26)-len(regexextract(A26,"".* "")))=""50""),RIGHT(A26,LEN(A26)-len(regexextract(A26,"".* ""))),IF(OR(ISERROR(FIND(""spacer"",A26))=FALSE,ISERROR(FIND(""filler panel"",A26))=FALSE),""1000"",""Unexpected size in description"")))"),"1200")</f>
        <v>1200</v>
      </c>
      <c r="D26" s="151">
        <f t="shared" si="2"/>
        <v>300</v>
      </c>
      <c r="E26" s="152">
        <f>IFERROR(__xludf.DUMMYFUNCTION("IF(OR(A26="""",AND(ISERROR(FIND(""drawer box"",A26))=FALSE,KitchenDrawerType="""")),"""",IF(OR(ISERROR(FIND(""larder"",A26))=FALSE,ISERROR(FIND(""fridge/freezer"",A26))=FALSE,ISERROR(FIND(""double oven"",A26))=FALSE,ISERROR(FIND(""single oven"",A26))=FALS"&amp;"E),VLOOKUP(LEFT(A26,FIND("" "",A26))&amp;""carcass ""&amp;RIGHT(A26,LEN(A26)-(LEN(A26)-3)),KitchensData,5,0),IF(ISERROR(FIND(""sink"",A26))=FALSE,VLOOKUP(LEFT(A26,FIND("" "",A26))&amp;""carcass ""&amp;VALUE(REGEXREPLACE(A26,""[^[:digit:]]"", """")),KitchensData,5,0)+(((C"&amp;"26/1000)*(300/1000))*VLOOKUP(KitchenCarcassMaterial,SheetsData,8,0)),IF(ISERROR(FIND(""bins"",A26))=FALSE,IF(ISERROR(FIND(""veneer"",KitchenCarcassMaterial))=FALSE,VLOOKUP(""Base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600"",A26))=FALSE,IF(ISERROR(FIND(""veneer"""&amp;",KitchenCarcassMaterial))=FALSE,0.54*(VLOOKUP(LEFT(KitchenCarcassMaterial,FIND(""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1200"",A26))=FALSE,"&amp;"IF(ISERROR(FIND(""veneer"",KitchenCarcassMaterial))=FALSE,0.84*(VLOOKUP(LEFT(KitchenCarcassMaterial,FIND(""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600"",A26))=FALSE,IF(ISERROR(FIND(""veneer"",KitchenCarcassMaterial))=FALSE,1.44*(VLOOKUP(LEFT(KitchenCarcassMaterial,FIND(""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1200"",A26))=FALSE,IF(ISERROR(FIND(""veneer"",KitchenCarcassMaterial))=FALSE,2.7*(VLOOKUP(LEFT(KitchenCarcassMaterial,FIND(""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front"",A26))=FALSE,((B26/1000)*(C26/1000))*VLOOKUP(KitchenDoorMaterial,SheetsData,8,0),IF(AND(KitchenDrawerType=""Match carcass"",ISERROR(FIND(""drawer box"",A26))=FALSE),(((((B26/1000)*(C26/1000))+((B26/1000"&amp;")*(D26/1000)))*2)*VLOOKUP(KitchenCarcassMaterial,SheetsData,8,0))+(((C26/1000)*(D26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box"",A26))=FALSE),(((((B26/1000)*(C26/1000))+((B26/1000)*(D26/1000)))*2)*(16/1000)*VLOOKUP(LEFT(KitchenCarcassMaterial,FIND("" "&amp;""",KitchenCarcassMaterial))&amp;""(solid m3)"",SolidData,5,0))+(((C26/1000)*(D26/1000))*VLOOKUP(LEFT(KitchenCarcassMaterial,FIND(""("",KitchenCarcassMaterial)-1)&amp;IF(OR(ISERROR(FIND(""ply"",KitchenCarcassMaterial))=FALSE,ISERROR(FIND(""H/F"",KitchenCarcassMate"&amp;"rial))=FALSE),""(9mm)"",""(10mm)""),SheetsData,8,0)),IF(ISERROR(FIND(""spacer"",A26))=FALSE,((D26/1000)*(C26/1000))*VLOOKUP(""Poplar ply (18mm)"",SheetsData,8,0),IF(ISERROR(FIND(""filler panel"",A26))=FALSE,((B26/1000)*(C26/1000))*VLOOKUP(KitchenDoorMater"&amp;"ial,SheetsData,8,0),IF(ISERROR(FIND(""shelf"",A26))=FALSE,((D26/1000)*(C26/1000))*VLOOKUP(KitchenCarcassMaterial,SheetsData,8,0),IF(ISERROR(FIND(""lost corner"",A26))=FALSE,VLOOKUP(LEFT(A26,FIND("" "",A26))&amp;""carcass ""&amp;VALUE(REGEXREPLACE(A26,""[^[:digit:"&amp;"]]"", """")),KitchensData,5,0)+((((B26/1000)*(C26/1000))+((B26/1000)*(60/1000)))*VLOOKUP(KitchenCarcassMaterial,SheetsData,8,0)),IF(ISERROR(FIND(""carcass"",A26))=FALSE,(((((B26/1000)*2)*(D26/1000))+(((C26/1000)*2)*(D26/1000)))*VLOOKUP(KitchenCarcassMater"&amp;"ial,SheetsData,8,0))+((B26/1000)*(C26/1000))*VLOOKUP(LEFT(KitchenCarcassMaterial,FIND(""("",KitchenCarcassMaterial)-1)&amp;IF(OR(ISERROR(FIND(""ply"",KitchenCarcassMaterial))=FALSE,ISERROR(FIND(""H/F"",KitchenCarcassMaterial))=FALSE),""(9mm)"",""(10mm)""),She"&amp;"etsData,8,0),IF(OR(ISERROR(FIND(""Plinth"",A26))=FALSE,ISERROR(FIND(""Cornice (flat)"",A26))=FALSE),((B26/1000)*(C26/1000))*VLOOKUP(""H/F (18mm)"",SheetsData,8,0),IF(ISERROR(FIND(""Cornice (stacked)"",A26))=FALSE,((0.08*(C26/1000))*2)*VLOOKUP(""H/F (22mm)"&amp;""",SheetsData,8,0),IF(ISERROR(FIND(""Base end panel"",A26))=FALSE,VLOOKUP(KitchenDoorMaterial,SheetsData,5,0)/3,IF(ISERROR(FIND(""Wall end panel"",A26))=FALSE,VLOOKUP(KitchenDoorMaterial,SheetsData,5,0)/9,IF(ISERROR(FIND(""Tower end panel"",A26))=FALSE,VL"&amp;"OOKUP(KitchenDoorMaterial,SheetsData,5,0),IF(ISERROR(FIND(""Fillers"",A26))=FALSE,(((0.06*(C26/1000))*2)*VLOOKUP(""H/F (18mm)"",SheetsData,8,0))+(((0.06*(C26/1000))*2)*VLOOKUP(""H/F (9mm)"",SheetsData,8,0)),IF(ISERROR(FIND(""corner post"",A26))=FALSE,(((B"&amp;"26/1000)*0.05)*2)*VLOOKUP(KitchenDoorMaterial,SheetsData,8,0),IF(ISERROR(FIND(""Pelmet"",A26))=FALSE,((((B26/1000)*(C26/1000))*2)*VLOOKUP(""H/F (18mm)"",SheetsData,8,0)),IF(ISERROR(FIND(""door"",A26))=TRUE,""Check description"",IF(KitchenDoorStyle=""Flat"&amp;""",((B26/1000)*(C26/1000))*VLOOKUP(KitchenDoorMaterial,SheetsData,8,0),IF(LEFT(KitchenDoorStyle,5)=""Panel"",(((((B26/1000)*2)*0.08)+((((C26/1000)-0.16)*2)*0.08))*VLOOKUP(""H/F (22mm)"",SheetsData,8,0))+(((B26/1000)-0.14)*((C26/1000)-0.14)*VLOOKUP(""H/F ("&amp;"9mm)"",SheetsData,8,0)),IF(KitchenDoorStyle=""In-frame flat"",((((((B26/1000)*0.019)*0.038)+((((C26-38)/1000)*0.038)*0.038))*2)*VLOOKUP(""Tulip (solid m3)"",SolidData,5,0))+(((B26-76)/1000)*((C26-38)/1000))*VLOOKUP(""H/F (22mm)"",SheetsData,8,0),IF(LEFT(K"&amp;"itchenDoorStyle,14)=""In-frame panel"",(((((((B26/1000)*0.019)*0.038)+((((C26-38)/1000)*0.038)*0.038))*2)*VLOOKUP(""Tulip (solid m3)"",SolidData,5,0))+(((((((B26-76)/1000)*2)*0.08)+(((((C26-198)/1000)*2)*0.08)))*VLOOKUP(""H/F (22mm)"",SheetsData,8,0))+((("&amp;"B26-216)/1000)*((C26-178)/1000)*VLOOKUP(""H/F (9mm)"",SheetsData,8,0)))))))))))))))))))))))))))))))))"),85.25762563826927)</f>
        <v>85.25762564</v>
      </c>
      <c r="F26" s="152">
        <f>IFERROR(__xludf.DUMMYFUNCTION("IF(OR(A26="""",AND(ISERROR(FIND(""drawer box"",A26))=FALSE,KitchenDrawerType=""Solid dovetail"")),"""",IF(ISERROR(FIND(""bins"",A26))=FALSE,VLOOKUP(""Base carcass 600"",KitchensData,6,0),IF(OR(ISERROR(FIND(""larder"",A26))=FALSE,ISERROR(FIND(""unit"",A26)"&amp;")=FALSE),VLOOKUP(LEFT(A26,FIND("" "",A26))&amp;""carcass ""&amp;RIGHT(A26,LEN(A26)-len(regexextract(A26,"".* ""))),KitchensData,6,0),IF(ISERROR(FIND(""drawer front"",A26))=FALSE,IF(ISERROR(FIND(""veneer"",KitchenCarcassMaterial))=TRUE,0,(((B26+C26)/1000)*2)*VLOOK"&amp;"UP(""Edge banding (per M)"",SheetsData,5,0)),IF(ISERROR(FIND(""drawer box"",A26))=FALSE,IF(ISERROR(FIND(""veneer"",KitchenCarcassMaterial))=TRUE,0,(((C26+D26)/1000)*2)*VLOOKUP(""Edge banding (per M)"",SheetsData,5,0)),IF(ISERROR(FIND(""shelf"",A26))=FALSE"&amp;",IF(ISERROR(FIND(""veneer"",KitchenCarcassMaterial))=TRUE,0,(C26/1000)*VLOOKUP(""Edge banding (per M)"",SheetsData,5,0)),IF(AND(ISERROR(FIND(""carcass"",A26))=FALSE,ISERROR(FIND(""shelf"",A26))=TRUE),IF(ISERROR(FIND(""veneer"",KitchenCarcassMaterial))=TRU"&amp;"E,0,((2*(B26+C26))/1000)*VLOOKUP(""Edge banding (per M)"",SheetsData,5,0)),IF(ISERROR(FIND(""door"",A26))=TRUE,"""",IF(ISERROR(FIND(""veneer"",KitchenDoorMaterial))=TRUE,"""",((2*(B26+C26))/1000)*VLOOKUP(""Edge banding (per M)"",SheetsData,5,0))))))))))"),0.0)</f>
        <v>0</v>
      </c>
      <c r="G26" s="153" t="str">
        <f>IF(A26="","",IF(ISERROR(FIND("bins",A26))=FALSE,VLOOKUP("Base carcass 600",KitchensData,7,0),IF(OR(ISERROR(FIND("larder",A26))=FALSE,ISERROR(FIND("fridge/freezer",A26))=FALSE,ISERROR(FIND("double oven",A26))=FALSE,ISERROR(FIND("single oven",A26))=FALSE),VLOOKUP(LEFT(A26,FIND(" ",A26))&amp;"carcass "&amp;RIGHT(A26,LEN(A26)-(LEN(A26)-3)),KitchensData,7,0),IF(AND(ISERROR(FIND("carcass",A26))=FALSE,ISERROR(FIND("shelf",A26))=TRUE),IF(OR(ISERROR(FIND("Base",A26))=FALSE,ISERROR(FIND("Tower",A26))=FALSE),IF(OR(ISERROR(FIND("1200",A26))=FALSE, ISERROR(FIND("lost corner",A26))=FALSE),6*VLOOKUP("Plinth foot (2 Parts 80mm)",FurnitureData,5,0),4*VLOOKUP("Plinth foot (2 Parts 80mm)",FurnitureData,5,0)),""),""))))</f>
        <v/>
      </c>
      <c r="H26" s="115" t="str">
        <f>IF(OR(A26="",ISERROR(FIND("door",A26))=TRUE),"",IF(ISERROR(FIND("Wall",A26))=FALSE,VLOOKUP("Hinges &amp; plates (Hettich thick door)",FurnitureData,5,0)*2,IF(ISERROR(FIND("Base",A26))=FALSE,VLOOKUP("Hinges &amp; plates (Hettich thick door)",FurnitureData,5,0)*3,IF(ISERROR(FIND("Boiler",A26))=FALSE,VLOOKUP("Hinges &amp; plates (Hettich thick door)",FurnitureData,5,0)*4,IF(ISERROR(FIND("Tower",A26))=FALSE,VLOOKUP("Hinges &amp; plates (Hettich thick door)",FurnitureData,5,0)*5)))))</f>
        <v/>
      </c>
      <c r="I26" s="115" t="str">
        <f>IF(ISERROR(FIND("shelf",A26))=FALSE,(VLOOKUP("Shelf pegs",FurnitureData,5,0)/100)*4,"")</f>
        <v/>
      </c>
      <c r="J26" s="152">
        <f>IF(OR(ISERROR(FIND("fridge/freezer",A26))=FALSE,ISERROR(FIND("larder",A26))=FALSE,AND(ISERROR(FIND("Base",A26))=FALSE,ISERROR(FIND("bins",A26))=TRUE,ISERROR(FIND("no shelves",A26))=TRUE,OR(ISERROR(FIND("carcass",A26))=FALSE,ISERROR(FIND("unit",A26))=FALSE))),VLOOKUP("Deep shelf "&amp;C26,KitchensData,18,0),IF(AND(ISERROR(FIND("Wall",A26))=FALSE,ISERROR(FIND("carcass",A26))=FALSE),2*VLOOKUP("Shallow shelf "&amp;C26,KitchensData,18,0),IF(AND(ISERROR(FIND("Tower",A26))=FALSE,ISERROR(FIND("oven",A26))=FALSE),4*VLOOKUP("Deep shelf "&amp;C26,KitchensData,18,0),IF(AND(ISERROR(FIND("Tower",A26))=FALSE,ISERROR(FIND("carcass",A26))=FALSE),5*VLOOKUP("Deep shelf "&amp;C26,KitchensData,18,0),""))))</f>
        <v>107.9978825</v>
      </c>
      <c r="K26" s="152" t="str">
        <f>IF(ISERROR(FIND("sink",A26))=FALSE,VLOOKUP("Sink liner - Aluminium "&amp;RIGHT(A26,LEN(A26)-22)&amp;"mm",ExceptionalData,5,0),IF(ISERROR(FIND("bins",A26))=FALSE,VLOOKUP("Drawer runners and clip set for bin unit (500) Dynapro",FurnitureData,5,0)+(2*VLOOKUP("Bin (42L Anthracite)",FurnitureData,5,0)),IF(ISERROR(FIND("larder",A26))=FALSE,VLOOKUP("Pull out larder unit 600mm",FurnitureData,5,0),IF(AND(ISERROR(FIND("drawer box",A26))=FALSE,ISERROR(FIND("internal",A26))=TRUE),VLOOKUP("Drawer runners and clip set (550) Dynapro",FurnitureData,5,0),IF(ISERROR(FIND("internal drawer box",A26))=FALSE,VLOOKUP("Drawer runners and clip set (450) Dynapro",FurnitureData,5,0),"")))))</f>
        <v/>
      </c>
      <c r="L26" s="152">
        <f t="shared" si="3"/>
        <v>193.2555081</v>
      </c>
      <c r="M26" s="154">
        <f>IFERROR(__xludf.DUMMYFUNCTION("IF(A26="""","""",IF(OR(ISERROR(FIND(""larder"",A26))=FALSE,ISERROR(FIND(""unit"",A26))=FALSE),VLOOKUP(LEFT(A26,FIND("" "",A26))&amp;""carcass ""&amp;RIGHT(A26,LEN(A26)-len(regexextract(A26,"".* ""))),KitchensData,13,0),IF(ISERROR(FIND(""bins"",A26))=FALSE,0.95,IF"&amp;"(ISERROR(FIND(""Cutlery insert 600"",A26))=FALSE,1.3,IF(ISERROR(FIND(""Cutlery insert 1200"",A26))=FALSE,2,IF(ISERROR(FIND(""Pan/tray rack 600"",A26))=FALSE,3.25,IF(ISERROR(FIND(""Pan/tray rack 1200"",A26))=FALSE,5.9,IF(ISERROR(FIND(""split"",A26))=FALSE,"&amp;"(((C26/1000)*0.022)*2)+VLOOKUP(SUBSTITUTE(A26,"" split"",""""),KitchensData,13,0),IF(AND(ISERROR(FIND(""drawer front"",A26))=FALSE,KitchenDoorStyle=""Flat""),(((B26/1000)*(C26/1000))*2)+((((B26+C26)/1000)*2)*0.022),IF(AND(ISERROR(FIND(""drawer front"",A26"&amp;"))=FALSE,LEFT(KitchenDoorStyle,5)=""Panel""),(((B26/1000)*(C26/1000))*2)+((((B26+C26)/1000)*2)*0.022)+((((C26/1000)-0.16)*0.013)*2)+((((D26/1000)-0.16)*0.013)*2),IF(AND(ISERROR(FIND(""drawer front"",A26))=FALSE,KitchenDoorStyle=""In-frame flat""),((((B26-"&amp;"76)/1000)*((C26-38)/1000))*2)+(MID(KitchenDoorMaterial,FIND(""("",KitchenDoorMaterial)+1,2)/1000)*((((B26-76)+(C26-38))/1000)*2)+(((B26/1000)*0.032)*2)+((((B26-76)/1000)*0.032)*2)+(((B26/1000)*0.019)*4)+(((C26/1000)*0.032)*2)+((((C26-38)/1000)*0.032)*2)+("&amp;"((C26/1000)*0.038)*4),IF(AND(ISERROR(FIND(""drawer front"",A26))=FALSE,LEFT(KitchenDoorStyle,14)=""In-frame panel""),((((B26-76)/1000)*((C26-38)/1000))*2)+((MID(KitchenDoorMaterial,FIND(""("",KitchenDoorMaterial)+1,2)/1000)*((((B26-76)+(C26-38))/1000)*2))"&amp;"+((((B26-236)/1000)+((C26-198)/1000)*2)*0.013)+(((B26/1000)*0.032)*2)+((((B26-76)/1000)*0.032)*2)+(((B26/1000)*0.019)*4)+(((C26/1000)*0.032)*2)+((((C26-38)/1000)*0.032)*2)+(((C26/1000)*0.038)*4),IF(ISERROR(FIND(""drawer box"",A26))=FALSE,((((B26/1000)*(D2"&amp;"6/1000))+((B26/1000)*(C26/1000)))*4)+((((D26/1000)+(C26/1000))*0.016)*4)+(((C26/1000)*(D26/1000))*2),IF(OR(ISERROR(FIND(""shelf"",A26))=FALSE,ISERROR(FIND(""spacer"",A26))=FALSE,,ISERROR(FIND(""filler panel"",A26))=FALSE),(((C26/1000)*(D26/1000))*2)+((((C"&amp;"26+D26)*2)/1000)*0.022),IF(ISERROR(FIND(""lost corner"",A26))=FALSE,(((B26/1000)*(C26/1000))*2)+((B26/1000)*(C26/1000))+((B26/1000)*((C26/2)/1000))+((((B26/1000)*0.025)+((C26/1000)*0.025))*2),IF(ISERROR(FIND(""carcass"",A26))=FALSE,(((C26/1000)*(D26/1000)"&amp;")*2)+(((B26/1000)*(D26/1000))*2)+((B26/1000)*(C26/1000))+((((B26/1000)*0.025)+((C26/1000)*0.025))*2),IF(AND(ISERROR(FIND(""door"",A26))=FALSE,KitchenDoorStyle=""Flat""),(((B26/1000)*(C26/1000))*2)+(MID(KitchenDoorMaterial,FIND(""("",KitchenDoorMaterial)+1"&amp;",2)/1000)*(((B26+C26)/1000)*2),IF(AND(ISERROR(FIND(""door"",A26))=FALSE,LEFT(KitchenDoorStyle,5)=""Panel""),(((B26/1000)*(C26/1000))*2)+((MID(KitchenDoorMaterial,FIND(""("",KitchenDoorMaterial)+1,2)/1000)*(((B26+C26)/1000)*2))+(((((B26-160)+(C26-160))*2)/"&amp;"1000)*(0.013)),IF(AND(ISERROR(FIND(""door"",A26))=FALSE,KitchenDoorStyle=""In-frame flat""),((((B26-76)/1000)*((C26-38)/1000))*2)+(MID(KitchenDoorMaterial,FIND(""("",KitchenDoorMaterial)+1,2)/1000)*((((B26-76)+(C26-38))/1000)*2)+(((B26/1000)*0.032)*2)+((("&amp;"(B26-76)/1000)*0.032)*2)+(((B26/1000)*0.019)*4)+(((C26/1000)*0.032)*2)+((((C26-38)/1000)*0.032)*2)+(((C26/1000)*0.038)*4),IF(AND(ISERROR(FIND(""door"",A26))=FALSE,LEFT(KitchenDoorStyle,14)=""In-frame panel""),((((B26-76)/1000)*((C26-38)/1000))*2)+((MID(Ki"&amp;"tchenDoorMaterial,FIND(""("",KitchenDoorMaterial)+1,2)/1000)*((((B26-76)+(C26-38))/1000)*2))+((((B26-236)/1000)+((C26-198)/1000)*2)*0.013)+(((B26/1000)*0.032)*2)+((((B26-76)/1000)*0.032)*2)+(((B26/1000)*0.019)*4)+(((C26/1000)*0.032)*2)+((((C26-38)/1000)*0"&amp;".032)*2)+(((C26/1000)*0.038)*4),IF(ISERROR(FIND(""Plinth"",A26))=FALSE,((B26/1000)*(C26/1000))+(((C26/1000)*0.018)*2)+(((B26/1000)*0.018)*2),IF(ISERROR(FIND(""Cornice"",A26))=FALSE,(((C26/1000)*0.1)*2)+(((C26/1000)*0.044)*2)+(((B26/1000)*0.08)*2),IF(ISERR"&amp;"OR(FIND(""Base end panel"",A26))=FALSE,((B26/1000)*(C26/1000))+(0.022*((B26/1000)+((C26/1000)*2)))+((B26/1000)*0.05),IF(ISERROR(FIND(""Wall end panel"",A26))=FALSE,((B26/1000)*(C26/1000))+(0.022*((B26/1000)+((C26/1000)*2)))+((B26/1000)*0.05),IF(ISERROR(FI"&amp;"ND(""Tower end panel"",A26))=FALSE,((B26/1000)*(C26/1000))+(0.022*((B26/1000)+((C26/1000)*2)))+((B26/1000)*0.05),IF(ISERROR(FIND(""Fillers"",A26))=FALSE,((C26/1000)*0.06)+((C26/1000)*0.069)+((0.06*0.018)*2)+((0.06*0.009)*2)+((C26/1000)*0.009)+((C26/1000)*"&amp;"0.018),IF(ISERROR(FIND(""corner post"",A26))=FALSE,(((B26/1000*0.05)*2)+((B26/1000)*0.022)*2)+((B26/1000)*0.072)+((B26/1000)*0.05)+((0.072*0.022)*2)+((0.05*0.022)*2),IF(ISERROR(FIND(""Pelmet"",A26))=FALSE,((C26/1000)*0.05)+((C26/1000)*0.068)+((0.05*0.018)"&amp;"*4)+(((C26/1000)*0.018))*2))))))))))))))))))))))))))))"),3.035)</f>
        <v>3.035</v>
      </c>
      <c r="N26" s="152">
        <f>IF(M26="","",IF(AND(ISERROR(FIND("carcass",A26))=TRUE,ISERROR(FIND("unit",A26))=TRUE,ISERROR(FIND("insert",A26))=TRUE,ISERROR(FIND("rack",A26))=TRUE,ISERROR(FIND("box",A26))=TRUE,ISERROR(FIND("shelf",#REF!))=TRUE),VLOOKUP(KitchenDoorFinish,Finishing!$A$2:$K$10,9,0)*M26,VLOOKUP(KitchenCarcassFinish,Finishing!$A$2:$K$40,9,0)*M26))</f>
        <v>11.38125</v>
      </c>
      <c r="O26" s="155">
        <v>1.5</v>
      </c>
      <c r="P26" s="155">
        <v>1.0</v>
      </c>
      <c r="Q26" s="152">
        <f>IF(OR(O26="",P26=""),"",((O26*X26)*(VLOOKUP("Workshop",Labour!$A$3:$E$20,4,0)/8))+((P26*AE26)*(VLOOKUP("Finishing",Labour!$A$3:$E$20,4,0)/8)))</f>
        <v>93.625</v>
      </c>
      <c r="R26" s="152">
        <f t="shared" si="4"/>
        <v>298.2617581</v>
      </c>
      <c r="S26" s="156">
        <f>IF(OR(O26="",P26=""),"",IF(OR(ISERROR(FIND("carcass",$A26))=FALSE,ISERROR(FIND("unit",$A26))=FALSE),VLOOKUP(KitchenCarcassMaterial,FixedListsCarcassMaterial,2,0),0))</f>
        <v>1</v>
      </c>
      <c r="T26" s="156">
        <f>IF(OR(O26="",P26=""),"",IF(ISERROR(FIND("door",$A26))=FALSE,VLOOKUP(KitchenDoorStyle,FixedListsDoorStyle,2,0),0))</f>
        <v>0</v>
      </c>
      <c r="U26" s="156">
        <f>IF(OR(O26="",P26=""),"",IF(ISERROR(FIND("door",$A26))=FALSE,VLOOKUP(KitchenDoorMaterial,FixedListsDoorMaterial,2,0),0))</f>
        <v>0</v>
      </c>
      <c r="V26" s="156">
        <f>IF(OR(O26="",P26=""),"",IF(ISERROR(FIND("drawer",$A26))=FALSE,VLOOKUP(KitchenDrawerType,FixedListsDrawerType,2,0),0))</f>
        <v>0</v>
      </c>
      <c r="W26" s="156">
        <f>IF(OR(O26="",P26=""),"",IF(OR(S26&gt;0, T26&gt;0,V26&gt;0),VLOOKUP(KitchenHandleType,FixedListsHandleType,2,FALSE)*IF(KitchenHandleType="Simple",0,IF(S26&gt;0,VLOOKUP(KitchenHandleType,FixedListsHandleType,4,FALSE),IF(OR(T26&gt;0,V26&gt;0),1-VLOOKUP(KitchenHandleType,FixedListsHandleType,4,FALSE),"Error"))),0))</f>
        <v>0</v>
      </c>
      <c r="X26" s="156">
        <f t="shared" si="5"/>
        <v>1</v>
      </c>
      <c r="Y26" s="156">
        <f>IF(OR(O26="",P26=""),"",IF(OR(ISERROR(FIND("carcass",$A26))=FALSE,ISERROR(FIND("unit",$A26))=FALSE),VLOOKUP(KitchenCarcassMaterial,FixedListsCarcassMaterial,3,0),0))</f>
        <v>1</v>
      </c>
      <c r="Z26" s="156">
        <f>IF(OR(O26="",P26=""),"",IF(ISERROR(FIND("door",$A26))=FALSE,VLOOKUP(KitchenDoorStyle,FixedListsDoorStyle,3,0),0))</f>
        <v>0</v>
      </c>
      <c r="AA26" s="156">
        <f>IF(OR(O26="",P26=""),"",IF(ISERROR(FIND("door",$A26))=FALSE,VLOOKUP(KitchenDoorMaterial,FixedListsDoorMaterial,3,0),0))</f>
        <v>0</v>
      </c>
      <c r="AB26" s="156">
        <f>IF(OR(O26="",P26=""),"",IF(ISERROR(FIND("drawer",$A26))=FALSE,VLOOKUP(KitchenDrawerType,FixedListsDrawerType,3,0),0))</f>
        <v>0</v>
      </c>
      <c r="AC26" s="156">
        <f>IF(OR(O26="",P26=""),"",IF(OR(Y26&gt;0,Z26&gt;0,AB26&gt;0),VLOOKUP(KitchenHandleType,FixedListsHandleType,3,FALSE),0))</f>
        <v>1</v>
      </c>
      <c r="AD26" s="156">
        <f>IF(OR(O26="",P26=""),"",IF(OR(ISERROR(FIND("carcass",$A26))=FALSE,ISERROR(FIND("unit",$A26))=FALSE),VLOOKUP(KitchenCarcassFinish,FixedListsFinishes,3,0),IF(OR(ISERROR(FIND("door",$A26))=FALSE,ISERROR(FIND("Plinth",$A26))=FALSE,ISERROR(FIND("Cornice",$A26))=FALSE,ISERROR(FIND("Fillers",$A26))=FALSE,ISERROR(FIND("Pelmet",$A26))=FALSE,ISERROR(FIND("panel",$A26))=FALSE,ISERROR(FIND("post",$A26))=FALSE),VLOOKUP(KitchenDoorFinish,FixedListsFinishes,3,0),IF(OR(ISERROR(FIND("drawer",$A26))=FALSE,ISERROR(FIND("insert",$A26))=FALSE,ISERROR(FIND("rck",$A26))=FALSE),VLOOKUP(KitchenCarcassFinish,FixedListsFinishes,3,0),0))))</f>
        <v>1</v>
      </c>
      <c r="AE26" s="156">
        <f t="shared" si="6"/>
        <v>1</v>
      </c>
      <c r="AF26" s="157" t="str">
        <f>IF(AND(KitchenHandleType="Channel",OR(ISERROR(FIND("arcass",$A26))=FALSE,ISERROR(FIND("unit",$A26))=FALSE)),IF(ISERROR(FIND("Tower",$A26))=TRUE,IF(KitchenHandleFinish="Match carcass",IF(ISERROR(FIND("Walnut",KitchenCarcassMaterial))=FALSE,(0.035*0.075*($C26/1000))*VLOOKUP("Walnut (solid m3)",SolidData,4,FALSE),IF(ISERROR(FIND("Oak",KitchenCarcassMaterial))=FALSE,(0.035*0.075*($C26/1000))*VLOOKUP("Oak (solid m3)",SolidData,4,FALSE),IF(ISERROR(FIND("ply",KitchenCarcassMaterial))=FALSE,(0.1*($C26/1000))*VLOOKUP("Birch ply (24mm)",SheetsData,7,FALSE),IF(ISERROR(FIND("H/F",KitchenCarcassMaterial))=FALSE,(0.1*($C26/1000))*VLOOKUP("H/F (22mm)",SheetsData,7,FALSE),"Carcass - not tower - new material")))),IF(KitchenHandleFinish="Match door",IF(ISERROR(FIND("Walnut",KitchenDoorMaterial))=FALSE,(0.035*0.075*($C26/1000))*VLOOKUP("Walnut (solid m3)",SolidData,4,FALSE),IF(ISERROR(FIND("Oak",KitchenDoorMaterial))=FALSE,(0.035*0.075*($C26/1000))*VLOOKUP("Oak (solid m3)",SolidData,4,FALSE),IF(ISERROR(FIND("ply",KitchenDoorMaterial))=FALSE,(0.1*($C26/1000))*VLOOKUP("Birch ply (24mm)",SheetsData,7,FALSE),IF(ISERROR(FIND("H/F",KitchenCarcassMaterial))=FALSE,(0.1*($C26/1000))*VLOOKUP("H/F (22mm)",SheetsData,7,FALSE),"Door - not tower - new material")))),"Channel - not tower - handle set to other")),IF(ISERROR(FIND("Tower",$A26))=FALSE,IF(KitchenHandleFinish="Match carcass",IF(ISERROR(FIND("Walnut",KitchenCarcassMaterial))=FALSE,(0.035*0.075*($B26/1000))*VLOOKUP("Walnut (solid m3)",SolidData,4,FALSE),IF(ISERROR(FIND("Oak",KitchenCarcassMaterial))=FALSE,(0.035*0.075*($B26/1000))*VLOOKUP("Oak (solid m3)",SolidData,4,FALSE),IF(ISERROR(FIND("ply",KitchenCarcassMaterial))=FALSE,(0.1*($B26/1000))*VLOOKUP("Birch ply (24mm)",SheetsData,7,FALSE),IF(ISERROR(FIND("H/F",KitchenCarcassMaterial))=FALSE,(0.1*($C26/1000))*VLOOKUP("H/F (22mm)",SheetsData,7,FALSE),"Carcass - tower - new material")))),IF(KitchenHandleFinish="Match door",IF(ISERROR(FIND("Walnut",KitchenDoorMaterial))=FALSE,(0.035*0.075*($B26/1000))*VLOOKUP("Walnut (solid m3)",SolidData,4,FALSE),IF(ISERROR(FIND("Oak",KitchenDoorMaterial))=FALSE,(0.035*0.075*($B26/1000))*VLOOKUP("Oak (solid m3)",SolidData,4,FALSE),IF(ISERROR(FIND("ply",KitchenDoorMaterial))=FALSE,(0.1*($B26/1000))*VLOOKUP("Birch ply (24mm)",SheetData,7,FALSE),IF(ISERROR(FIND("H/F",KitchenCarcassMaterial))=FALSE,(0.1*($C26/1000))*VLOOKUP("H/F (22mm)",SheetsData,7,FALSE),"Door - tower - new material")))),"Channel - tower - handle set to other")))),"")</f>
        <v/>
      </c>
    </row>
    <row r="27">
      <c r="A27" s="151" t="s">
        <v>135</v>
      </c>
      <c r="B27" s="115">
        <f t="shared" si="1"/>
        <v>700</v>
      </c>
      <c r="C27" s="115" t="str">
        <f>IFERROR(__xludf.DUMMYFUNCTION("IF(A27="""","""",IF(OR(RIGHT(A27,LEN(A27)-len(regexextract(A27,"".* "")))=""1200"",RIGHT(A27,LEN(A27)-len(regexextract(A27,"".* "")))=""600"",RIGHT(A27,LEN(A27)-len(regexextract(A27,"".* "")))=""400"",RIGHT(A27,LEN(A27)-len(regexextract(A27,"".* "")))=""3"&amp;"00"",RIGHT(A27,LEN(A27)-len(regexextract(A27,"".* "")))=""700"",RIGHT(A27,LEN(A27)-len(regexextract(A27,"".* "")))=""2400"",RIGHT(A27,LEN(A27)-len(regexextract(A27,"".* "")))=""650"",RIGHT(A27,LEN(A27)-len(regexextract(A27,"".* "")))=""350"",RIGHT(A27,LEN"&amp;"(A27)-len(regexextract(A27,"".* "")))=""50""),RIGHT(A27,LEN(A27)-len(regexextract(A27,"".* ""))),IF(OR(ISERROR(FIND(""spacer"",A27))=FALSE,ISERROR(FIND(""filler panel"",A27))=FALSE),""1000"",""Unexpected size in description"")))"),"600")</f>
        <v>600</v>
      </c>
      <c r="D27" s="151">
        <f t="shared" si="2"/>
        <v>300</v>
      </c>
      <c r="E27" s="152">
        <f>IFERROR(__xludf.DUMMYFUNCTION("IF(OR(A27="""",AND(ISERROR(FIND(""drawer box"",A27))=FALSE,KitchenDrawerType="""")),"""",IF(OR(ISERROR(FIND(""larder"",A27))=FALSE,ISERROR(FIND(""fridge/freezer"",A27))=FALSE,ISERROR(FIND(""double oven"",A27))=FALSE,ISERROR(FIND(""single oven"",A27))=FALS"&amp;"E),VLOOKUP(LEFT(A27,FIND("" "",A27))&amp;""carcass ""&amp;RIGHT(A27,LEN(A27)-(LEN(A27)-3)),KitchensData,5,0),IF(ISERROR(FIND(""sink"",A27))=FALSE,VLOOKUP(LEFT(A27,FIND("" "",A27))&amp;""carcass ""&amp;VALUE(REGEXREPLACE(A27,""[^[:digit:]]"", """")),KitchensData,5,0)+(((C"&amp;"27/1000)*(300/1000))*VLOOKUP(KitchenCarcassMaterial,SheetsData,8,0)),IF(ISERROR(FIND(""bins"",A27))=FALSE,IF(ISERROR(FIND(""veneer"",KitchenCarcassMaterial))=FALSE,VLOOKUP(""Base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600"",A27))=FALSE,IF(ISERROR(FIND(""veneer"""&amp;",KitchenCarcassMaterial))=FALSE,0.54*(VLOOKUP(LEFT(KitchenCarcassMaterial,FIND(""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1200"",A27))=FALSE,"&amp;"IF(ISERROR(FIND(""veneer"",KitchenCarcassMaterial))=FALSE,0.84*(VLOOKUP(LEFT(KitchenCarcassMaterial,FIND(""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600"",A27))=FALSE,IF(ISERROR(FIND(""veneer"",KitchenCarcassMaterial))=FALSE,1.44*(VLOOKUP(LEFT(KitchenCarcassMaterial,FIND(""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1200"",A27))=FALSE,IF(ISERROR(FIND(""veneer"",KitchenCarcassMaterial))=FALSE,2.7*(VLOOKUP(LEFT(KitchenCarcassMaterial,FIND(""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front"",A27))=FALSE,((B27/1000)*(C27/1000))*VLOOKUP(KitchenDoorMaterial,SheetsData,8,0),IF(AND(KitchenDrawerType=""Match carcass"",ISERROR(FIND(""drawer box"",A27))=FALSE),(((((B27/1000)*(C27/1000))+((B27/1000"&amp;")*(D27/1000)))*2)*VLOOKUP(KitchenCarcassMaterial,SheetsData,8,0))+(((C27/1000)*(D27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box"",A27))=FALSE),(((((B27/1000)*(C27/1000))+((B27/1000)*(D27/1000)))*2)*(16/1000)*VLOOKUP(LEFT(KitchenCarcassMaterial,FIND("" "&amp;""",KitchenCarcassMaterial))&amp;""(solid m3)"",SolidData,5,0))+(((C27/1000)*(D27/1000))*VLOOKUP(LEFT(KitchenCarcassMaterial,FIND(""("",KitchenCarcassMaterial)-1)&amp;IF(OR(ISERROR(FIND(""ply"",KitchenCarcassMaterial))=FALSE,ISERROR(FIND(""H/F"",KitchenCarcassMate"&amp;"rial))=FALSE),""(9mm)"",""(10mm)""),SheetsData,8,0)),IF(ISERROR(FIND(""spacer"",A27))=FALSE,((D27/1000)*(C27/1000))*VLOOKUP(""Poplar ply (18mm)"",SheetsData,8,0),IF(ISERROR(FIND(""filler panel"",A27))=FALSE,((B27/1000)*(C27/1000))*VLOOKUP(KitchenDoorMater"&amp;"ial,SheetsData,8,0),IF(ISERROR(FIND(""shelf"",A27))=FALSE,((D27/1000)*(C27/1000))*VLOOKUP(KitchenCarcassMaterial,SheetsData,8,0),IF(ISERROR(FIND(""lost corner"",A27))=FALSE,VLOOKUP(LEFT(A27,FIND("" "",A27))&amp;""carcass ""&amp;VALUE(REGEXREPLACE(A27,""[^[:digit:"&amp;"]]"", """")),KitchensData,5,0)+((((B27/1000)*(C27/1000))+((B27/1000)*(60/1000)))*VLOOKUP(KitchenCarcassMaterial,SheetsData,8,0)),IF(ISERROR(FIND(""carcass"",A27))=FALSE,(((((B27/1000)*2)*(D27/1000))+(((C27/1000)*2)*(D27/1000)))*VLOOKUP(KitchenCarcassMater"&amp;"ial,SheetsData,8,0))+((B27/1000)*(C27/1000))*VLOOKUP(LEFT(KitchenCarcassMaterial,FIND(""("",KitchenCarcassMaterial)-1)&amp;IF(OR(ISERROR(FIND(""ply"",KitchenCarcassMaterial))=FALSE,ISERROR(FIND(""H/F"",KitchenCarcassMaterial))=FALSE),""(9mm)"",""(10mm)""),She"&amp;"etsData,8,0),IF(OR(ISERROR(FIND(""Plinth"",A27))=FALSE,ISERROR(FIND(""Cornice (flat)"",A27))=FALSE),((B27/1000)*(C27/1000))*VLOOKUP(""H/F (18mm)"",SheetsData,8,0),IF(ISERROR(FIND(""Cornice (stacked)"",A27))=FALSE,((0.08*(C27/1000))*2)*VLOOKUP(""H/F (22mm)"&amp;""",SheetsData,8,0),IF(ISERROR(FIND(""Base end panel"",A27))=FALSE,VLOOKUP(KitchenDoorMaterial,SheetsData,5,0)/3,IF(ISERROR(FIND(""Wall end panel"",A27))=FALSE,VLOOKUP(KitchenDoorMaterial,SheetsData,5,0)/9,IF(ISERROR(FIND(""Tower end panel"",A27))=FALSE,VL"&amp;"OOKUP(KitchenDoorMaterial,SheetsData,5,0),IF(ISERROR(FIND(""Fillers"",A27))=FALSE,(((0.06*(C27/1000))*2)*VLOOKUP(""H/F (18mm)"",SheetsData,8,0))+(((0.06*(C27/1000))*2)*VLOOKUP(""H/F (9mm)"",SheetsData,8,0)),IF(ISERROR(FIND(""corner post"",A27))=FALSE,(((B"&amp;"27/1000)*0.05)*2)*VLOOKUP(KitchenDoorMaterial,SheetsData,8,0),IF(ISERROR(FIND(""Pelmet"",A27))=FALSE,((((B27/1000)*(C27/1000))*2)*VLOOKUP(""H/F (18mm)"",SheetsData,8,0)),IF(ISERROR(FIND(""door"",A27))=TRUE,""Check description"",IF(KitchenDoorStyle=""Flat"&amp;""",((B27/1000)*(C27/1000))*VLOOKUP(KitchenDoorMaterial,SheetsData,8,0),IF(LEFT(KitchenDoorStyle,5)=""Panel"",(((((B27/1000)*2)*0.08)+((((C27/1000)-0.16)*2)*0.08))*VLOOKUP(""H/F (22mm)"",SheetsData,8,0))+(((B27/1000)-0.14)*((C27/1000)-0.14)*VLOOKUP(""H/F ("&amp;"9mm)"",SheetsData,8,0)),IF(KitchenDoorStyle=""In-frame flat"",((((((B27/1000)*0.019)*0.038)+((((C27-38)/1000)*0.038)*0.038))*2)*VLOOKUP(""Tulip (solid m3)"",SolidData,5,0))+(((B27-76)/1000)*((C27-38)/1000))*VLOOKUP(""H/F (22mm)"",SheetsData,8,0),IF(LEFT(K"&amp;"itchenDoorStyle,14)=""In-frame panel"",(((((((B27/1000)*0.019)*0.038)+((((C27-38)/1000)*0.038)*0.038))*2)*VLOOKUP(""Tulip (solid m3)"",SolidData,5,0))+(((((((B27-76)/1000)*2)*0.08)+(((((C27-198)/1000)*2)*0.08)))*VLOOKUP(""H/F (22mm)"",SheetsData,8,0))+((("&amp;"B27-216)/1000)*((C27-178)/1000)*VLOOKUP(""H/F (9mm)"",SheetsData,8,0)))))))))))))))))))))))))))))))))"),50.3073434560602)</f>
        <v>50.30734346</v>
      </c>
      <c r="F27" s="152">
        <f>IFERROR(__xludf.DUMMYFUNCTION("IF(OR(A27="""",AND(ISERROR(FIND(""drawer box"",A27))=FALSE,KitchenDrawerType=""Solid dovetail"")),"""",IF(ISERROR(FIND(""bins"",A27))=FALSE,VLOOKUP(""Base carcass 600"",KitchensData,6,0),IF(OR(ISERROR(FIND(""larder"",A27))=FALSE,ISERROR(FIND(""unit"",A27)"&amp;")=FALSE),VLOOKUP(LEFT(A27,FIND("" "",A27))&amp;""carcass ""&amp;RIGHT(A27,LEN(A27)-len(regexextract(A27,"".* ""))),KitchensData,6,0),IF(ISERROR(FIND(""drawer front"",A27))=FALSE,IF(ISERROR(FIND(""veneer"",KitchenCarcassMaterial))=TRUE,0,(((B27+C27)/1000)*2)*VLOOK"&amp;"UP(""Edge banding (per M)"",SheetsData,5,0)),IF(ISERROR(FIND(""drawer box"",A27))=FALSE,IF(ISERROR(FIND(""veneer"",KitchenCarcassMaterial))=TRUE,0,(((C27+D27)/1000)*2)*VLOOKUP(""Edge banding (per M)"",SheetsData,5,0)),IF(ISERROR(FIND(""shelf"",A27))=FALSE"&amp;",IF(ISERROR(FIND(""veneer"",KitchenCarcassMaterial))=TRUE,0,(C27/1000)*VLOOKUP(""Edge banding (per M)"",SheetsData,5,0)),IF(AND(ISERROR(FIND(""carcass"",A27))=FALSE,ISERROR(FIND(""shelf"",A27))=TRUE),IF(ISERROR(FIND(""veneer"",KitchenCarcassMaterial))=TRU"&amp;"E,0,((2*(B27+C27))/1000)*VLOOKUP(""Edge banding (per M)"",SheetsData,5,0)),IF(ISERROR(FIND(""door"",A27))=TRUE,"""",IF(ISERROR(FIND(""veneer"",KitchenDoorMaterial))=TRUE,"""",((2*(B27+C27))/1000)*VLOOKUP(""Edge banding (per M)"",SheetsData,5,0))))))))))"),0.0)</f>
        <v>0</v>
      </c>
      <c r="G27" s="153" t="str">
        <f>IF(A27="","",IF(ISERROR(FIND("bins",A27))=FALSE,VLOOKUP("Base carcass 600",KitchensData,7,0),IF(OR(ISERROR(FIND("larder",A27))=FALSE,ISERROR(FIND("fridge/freezer",A27))=FALSE,ISERROR(FIND("double oven",A27))=FALSE,ISERROR(FIND("single oven",A27))=FALSE),VLOOKUP(LEFT(A27,FIND(" ",A27))&amp;"carcass "&amp;RIGHT(A27,LEN(A27)-(LEN(A27)-3)),KitchensData,7,0),IF(AND(ISERROR(FIND("carcass",A27))=FALSE,ISERROR(FIND("shelf",A27))=TRUE),IF(OR(ISERROR(FIND("Base",A27))=FALSE,ISERROR(FIND("Tower",A27))=FALSE),IF(OR(ISERROR(FIND("1200",A27))=FALSE, ISERROR(FIND("lost corner",A27))=FALSE),6*VLOOKUP("Plinth foot (2 Parts 80mm)",FurnitureData,5,0),4*VLOOKUP("Plinth foot (2 Parts 80mm)",FurnitureData,5,0)),""),""))))</f>
        <v/>
      </c>
      <c r="H27" s="115" t="str">
        <f>IF(OR(A27="",ISERROR(FIND("door",A27))=TRUE),"",IF(ISERROR(FIND("Wall",A27))=FALSE,VLOOKUP("Hinges &amp; plates (Hettich thick door)",FurnitureData,5,0)*2,IF(ISERROR(FIND("Base",A27))=FALSE,VLOOKUP("Hinges &amp; plates (Hettich thick door)",FurnitureData,5,0)*3,IF(ISERROR(FIND("Boiler",A27))=FALSE,VLOOKUP("Hinges &amp; plates (Hettich thick door)",FurnitureData,5,0)*4,IF(ISERROR(FIND("Tower",A27))=FALSE,VLOOKUP("Hinges &amp; plates (Hettich thick door)",FurnitureData,5,0)*5)))))</f>
        <v/>
      </c>
      <c r="I27" s="115" t="str">
        <f>IF(ISERROR(FIND("shelf",A27))=FALSE,(VLOOKUP("Shelf pegs",FurnitureData,5,0)/100)*4,"")</f>
        <v/>
      </c>
      <c r="J27" s="152">
        <f>IF(OR(ISERROR(FIND("fridge/freezer",A27))=FALSE,ISERROR(FIND("larder",A27))=FALSE,AND(ISERROR(FIND("Base",A27))=FALSE,ISERROR(FIND("bins",A27))=TRUE,ISERROR(FIND("no shelves",A27))=TRUE,OR(ISERROR(FIND("carcass",A27))=FALSE,ISERROR(FIND("unit",A27))=FALSE))),VLOOKUP("Deep shelf "&amp;C27,KitchensData,18,0),IF(AND(ISERROR(FIND("Wall",A27))=FALSE,ISERROR(FIND("carcass",A27))=FALSE),2*VLOOKUP("Shallow shelf "&amp;C27,KitchensData,18,0),IF(AND(ISERROR(FIND("Tower",A27))=FALSE,ISERROR(FIND("oven",A27))=FALSE),4*VLOOKUP("Deep shelf "&amp;C27,KitchensData,18,0),IF(AND(ISERROR(FIND("Tower",A27))=FALSE,ISERROR(FIND("carcass",A27))=FALSE),5*VLOOKUP("Deep shelf "&amp;C27,KitchensData,18,0),""))))</f>
        <v>90.23534125</v>
      </c>
      <c r="K27" s="152" t="str">
        <f>IF(ISERROR(FIND("sink",A27))=FALSE,VLOOKUP("Sink liner - Aluminium "&amp;RIGHT(A27,LEN(A27)-22)&amp;"mm",ExceptionalData,5,0),IF(ISERROR(FIND("bins",A27))=FALSE,VLOOKUP("Drawer runners and clip set for bin unit (500) Dynapro",FurnitureData,5,0)+(2*VLOOKUP("Bin (42L Anthracite)",FurnitureData,5,0)),IF(ISERROR(FIND("larder",A27))=FALSE,VLOOKUP("Pull out larder unit 600mm",FurnitureData,5,0),IF(AND(ISERROR(FIND("drawer box",A27))=FALSE,ISERROR(FIND("internal",A27))=TRUE),VLOOKUP("Drawer runners and clip set (550) Dynapro",FurnitureData,5,0),IF(ISERROR(FIND("internal drawer box",A27))=FALSE,VLOOKUP("Drawer runners and clip set (450) Dynapro",FurnitureData,5,0),"")))))</f>
        <v/>
      </c>
      <c r="L27" s="152">
        <f t="shared" si="3"/>
        <v>140.5426847</v>
      </c>
      <c r="M27" s="154">
        <f>IFERROR(__xludf.DUMMYFUNCTION("IF(A27="""","""",IF(OR(ISERROR(FIND(""larder"",A27))=FALSE,ISERROR(FIND(""unit"",A27))=FALSE),VLOOKUP(LEFT(A27,FIND("" "",A27))&amp;""carcass ""&amp;RIGHT(A27,LEN(A27)-len(regexextract(A27,"".* ""))),KitchensData,13,0),IF(ISERROR(FIND(""bins"",A27))=FALSE,0.95,IF"&amp;"(ISERROR(FIND(""Cutlery insert 600"",A27))=FALSE,1.3,IF(ISERROR(FIND(""Cutlery insert 1200"",A27))=FALSE,2,IF(ISERROR(FIND(""Pan/tray rack 600"",A27))=FALSE,3.25,IF(ISERROR(FIND(""Pan/tray rack 1200"",A27))=FALSE,5.9,IF(ISERROR(FIND(""split"",A27))=FALSE,"&amp;"(((C27/1000)*0.022)*2)+VLOOKUP(SUBSTITUTE(A27,"" split"",""""),KitchensData,13,0),IF(AND(ISERROR(FIND(""drawer front"",A27))=FALSE,KitchenDoorStyle=""Flat""),(((B27/1000)*(C27/1000))*2)+((((B27+C27)/1000)*2)*0.022),IF(AND(ISERROR(FIND(""drawer front"",A27"&amp;"))=FALSE,LEFT(KitchenDoorStyle,5)=""Panel""),(((B27/1000)*(C27/1000))*2)+((((B27+C27)/1000)*2)*0.022)+((((C27/1000)-0.16)*0.013)*2)+((((D27/1000)-0.16)*0.013)*2),IF(AND(ISERROR(FIND(""drawer front"",A27))=FALSE,KitchenDoorStyle=""In-frame flat""),((((B27-"&amp;"76)/1000)*((C27-38)/1000))*2)+(MID(KitchenDoorMaterial,FIND(""("",KitchenDoorMaterial)+1,2)/1000)*((((B27-76)+(C27-38))/1000)*2)+(((B27/1000)*0.032)*2)+((((B27-76)/1000)*0.032)*2)+(((B27/1000)*0.019)*4)+(((C27/1000)*0.032)*2)+((((C27-38)/1000)*0.032)*2)+("&amp;"((C27/1000)*0.038)*4),IF(AND(ISERROR(FIND(""drawer front"",A27))=FALSE,LEFT(KitchenDoorStyle,14)=""In-frame panel""),((((B27-76)/1000)*((C27-38)/1000))*2)+((MID(KitchenDoorMaterial,FIND(""("",KitchenDoorMaterial)+1,2)/1000)*((((B27-76)+(C27-38))/1000)*2))"&amp;"+((((B27-236)/1000)+((C27-198)/1000)*2)*0.013)+(((B27/1000)*0.032)*2)+((((B27-76)/1000)*0.032)*2)+(((B27/1000)*0.019)*4)+(((C27/1000)*0.032)*2)+((((C27-38)/1000)*0.032)*2)+(((C27/1000)*0.038)*4),IF(ISERROR(FIND(""drawer box"",A27))=FALSE,((((B27/1000)*(D2"&amp;"7/1000))+((B27/1000)*(C27/1000)))*4)+((((D27/1000)+(C27/1000))*0.016)*4)+(((C27/1000)*(D27/1000))*2),IF(OR(ISERROR(FIND(""shelf"",A27))=FALSE,ISERROR(FIND(""spacer"",A27))=FALSE,,ISERROR(FIND(""filler panel"",A27))=FALSE),(((C27/1000)*(D27/1000))*2)+((((C"&amp;"27+D27)*2)/1000)*0.022),IF(ISERROR(FIND(""lost corner"",A27))=FALSE,(((B27/1000)*(C27/1000))*2)+((B27/1000)*(C27/1000))+((B27/1000)*((C27/2)/1000))+((((B27/1000)*0.025)+((C27/1000)*0.025))*2),IF(ISERROR(FIND(""carcass"",A27))=FALSE,(((C27/1000)*(D27/1000)"&amp;")*2)+(((B27/1000)*(D27/1000))*2)+((B27/1000)*(C27/1000))+((((B27/1000)*0.025)+((C27/1000)*0.025))*2),IF(AND(ISERROR(FIND(""door"",A27))=FALSE,KitchenDoorStyle=""Flat""),(((B27/1000)*(C27/1000))*2)+(MID(KitchenDoorMaterial,FIND(""("",KitchenDoorMaterial)+1"&amp;",2)/1000)*(((B27+C27)/1000)*2),IF(AND(ISERROR(FIND(""door"",A27))=FALSE,LEFT(KitchenDoorStyle,5)=""Panel""),(((B27/1000)*(C27/1000))*2)+((MID(KitchenDoorMaterial,FIND(""("",KitchenDoorMaterial)+1,2)/1000)*(((B27+C27)/1000)*2))+(((((B27-160)+(C27-160))*2)/"&amp;"1000)*(0.013)),IF(AND(ISERROR(FIND(""door"",A27))=FALSE,KitchenDoorStyle=""In-frame flat""),((((B27-76)/1000)*((C27-38)/1000))*2)+(MID(KitchenDoorMaterial,FIND(""("",KitchenDoorMaterial)+1,2)/1000)*((((B27-76)+(C27-38))/1000)*2)+(((B27/1000)*0.032)*2)+((("&amp;"(B27-76)/1000)*0.032)*2)+(((B27/1000)*0.019)*4)+(((C27/1000)*0.032)*2)+((((C27-38)/1000)*0.032)*2)+(((C27/1000)*0.038)*4),IF(AND(ISERROR(FIND(""door"",A27))=FALSE,LEFT(KitchenDoorStyle,14)=""In-frame panel""),((((B27-76)/1000)*((C27-38)/1000))*2)+((MID(Ki"&amp;"tchenDoorMaterial,FIND(""("",KitchenDoorMaterial)+1,2)/1000)*((((B27-76)+(C27-38))/1000)*2))+((((B27-236)/1000)+((C27-198)/1000)*2)*0.013)+(((B27/1000)*0.032)*2)+((((B27-76)/1000)*0.032)*2)+(((B27/1000)*0.019)*4)+(((C27/1000)*0.032)*2)+((((C27-38)/1000)*0"&amp;".032)*2)+(((C27/1000)*0.038)*4),IF(ISERROR(FIND(""Plinth"",A27))=FALSE,((B27/1000)*(C27/1000))+(((C27/1000)*0.018)*2)+(((B27/1000)*0.018)*2),IF(ISERROR(FIND(""Cornice"",A27))=FALSE,(((C27/1000)*0.1)*2)+(((C27/1000)*0.044)*2)+(((B27/1000)*0.08)*2),IF(ISERR"&amp;"OR(FIND(""Base end panel"",A27))=FALSE,((B27/1000)*(C27/1000))+(0.022*((B27/1000)+((C27/1000)*2)))+((B27/1000)*0.05),IF(ISERROR(FIND(""Wall end panel"",A27))=FALSE,((B27/1000)*(C27/1000))+(0.022*((B27/1000)+((C27/1000)*2)))+((B27/1000)*0.05),IF(ISERROR(FI"&amp;"ND(""Tower end panel"",A27))=FALSE,((B27/1000)*(C27/1000))+(0.022*((B27/1000)+((C27/1000)*2)))+((B27/1000)*0.05),IF(ISERROR(FIND(""Fillers"",A27))=FALSE,((C27/1000)*0.06)+((C27/1000)*0.069)+((0.06*0.018)*2)+((0.06*0.009)*2)+((C27/1000)*0.009)+((C27/1000)*"&amp;"0.018),IF(ISERROR(FIND(""corner post"",A27))=FALSE,(((B27/1000*0.05)*2)+((B27/1000)*0.022)*2)+((B27/1000)*0.072)+((B27/1000)*0.05)+((0.072*0.022)*2)+((0.05*0.022)*2),IF(ISERROR(FIND(""Pelmet"",A27))=FALSE,((C27/1000)*0.05)+((C27/1000)*0.068)+((0.05*0.018)"&amp;"*4)+(((C27/1000)*0.018))*2))))))))))))))))))))))))))))"),1.535)</f>
        <v>1.535</v>
      </c>
      <c r="N27" s="152">
        <f>IF(M27="","",IF(AND(ISERROR(FIND("carcass",A27))=TRUE,ISERROR(FIND("unit",A27))=TRUE,ISERROR(FIND("insert",A27))=TRUE,ISERROR(FIND("rack",A27))=TRUE,ISERROR(FIND("box",A27))=TRUE,ISERROR(FIND("shelf",#REF!))=TRUE),VLOOKUP(KitchenDoorFinish,Finishing!$A$2:$K$10,9,0)*M27,VLOOKUP(KitchenCarcassFinish,Finishing!$A$2:$K$40,9,0)*M27))</f>
        <v>5.75625</v>
      </c>
      <c r="O27" s="155">
        <v>1.5</v>
      </c>
      <c r="P27" s="155">
        <v>1.0</v>
      </c>
      <c r="Q27" s="152">
        <f>IF(OR(O27="",P27=""),"",((O27*X27)*(VLOOKUP("Workshop",Labour!$A$3:$E$20,4,0)/8))+((P27*AE27)*(VLOOKUP("Finishing",Labour!$A$3:$E$20,4,0)/8)))</f>
        <v>93.625</v>
      </c>
      <c r="R27" s="152">
        <f t="shared" si="4"/>
        <v>239.9239347</v>
      </c>
      <c r="S27" s="156">
        <f>IF(OR(O27="",P27=""),"",IF(OR(ISERROR(FIND("carcass",$A27))=FALSE,ISERROR(FIND("unit",$A27))=FALSE),VLOOKUP(KitchenCarcassMaterial,FixedListsCarcassMaterial,2,0),0))</f>
        <v>1</v>
      </c>
      <c r="T27" s="156">
        <f>IF(OR(O27="",P27=""),"",IF(ISERROR(FIND("door",$A27))=FALSE,VLOOKUP(KitchenDoorStyle,FixedListsDoorStyle,2,0),0))</f>
        <v>0</v>
      </c>
      <c r="U27" s="156">
        <f>IF(OR(O27="",P27=""),"",IF(ISERROR(FIND("door",$A27))=FALSE,VLOOKUP(KitchenDoorMaterial,FixedListsDoorMaterial,2,0),0))</f>
        <v>0</v>
      </c>
      <c r="V27" s="156">
        <f>IF(OR(O27="",P27=""),"",IF(ISERROR(FIND("drawer",$A27))=FALSE,VLOOKUP(KitchenDrawerType,FixedListsDrawerType,2,0),0))</f>
        <v>0</v>
      </c>
      <c r="W27" s="156">
        <f>IF(OR(O27="",P27=""),"",IF(OR(S27&gt;0, T27&gt;0,V27&gt;0),VLOOKUP(KitchenHandleType,FixedListsHandleType,2,FALSE)*IF(KitchenHandleType="Simple",0,IF(S27&gt;0,VLOOKUP(KitchenHandleType,FixedListsHandleType,4,FALSE),IF(OR(T27&gt;0,V27&gt;0),1-VLOOKUP(KitchenHandleType,FixedListsHandleType,4,FALSE),"Error"))),0))</f>
        <v>0</v>
      </c>
      <c r="X27" s="156">
        <f t="shared" si="5"/>
        <v>1</v>
      </c>
      <c r="Y27" s="156">
        <f>IF(OR(O27="",P27=""),"",IF(OR(ISERROR(FIND("carcass",$A27))=FALSE,ISERROR(FIND("unit",$A27))=FALSE),VLOOKUP(KitchenCarcassMaterial,FixedListsCarcassMaterial,3,0),0))</f>
        <v>1</v>
      </c>
      <c r="Z27" s="156">
        <f>IF(OR(O27="",P27=""),"",IF(ISERROR(FIND("door",$A27))=FALSE,VLOOKUP(KitchenDoorStyle,FixedListsDoorStyle,3,0),0))</f>
        <v>0</v>
      </c>
      <c r="AA27" s="156">
        <f>IF(OR(O27="",P27=""),"",IF(ISERROR(FIND("door",$A27))=FALSE,VLOOKUP(KitchenDoorMaterial,FixedListsDoorMaterial,3,0),0))</f>
        <v>0</v>
      </c>
      <c r="AB27" s="156">
        <f>IF(OR(O27="",P27=""),"",IF(ISERROR(FIND("drawer",$A27))=FALSE,VLOOKUP(KitchenDrawerType,FixedListsDrawerType,3,0),0))</f>
        <v>0</v>
      </c>
      <c r="AC27" s="156">
        <f>IF(OR(O27="",P27=""),"",IF(OR(Y27&gt;0,Z27&gt;0,AB27&gt;0),VLOOKUP(KitchenHandleType,FixedListsHandleType,3,FALSE),0))</f>
        <v>1</v>
      </c>
      <c r="AD27" s="156">
        <f>IF(OR(O27="",P27=""),"",IF(OR(ISERROR(FIND("carcass",$A27))=FALSE,ISERROR(FIND("unit",$A27))=FALSE),VLOOKUP(KitchenCarcassFinish,FixedListsFinishes,3,0),IF(OR(ISERROR(FIND("door",$A27))=FALSE,ISERROR(FIND("Plinth",$A27))=FALSE,ISERROR(FIND("Cornice",$A27))=FALSE,ISERROR(FIND("Fillers",$A27))=FALSE,ISERROR(FIND("Pelmet",$A27))=FALSE,ISERROR(FIND("panel",$A27))=FALSE,ISERROR(FIND("post",$A27))=FALSE),VLOOKUP(KitchenDoorFinish,FixedListsFinishes,3,0),IF(OR(ISERROR(FIND("drawer",$A27))=FALSE,ISERROR(FIND("insert",$A27))=FALSE,ISERROR(FIND("rck",$A27))=FALSE),VLOOKUP(KitchenCarcassFinish,FixedListsFinishes,3,0),0))))</f>
        <v>1</v>
      </c>
      <c r="AE27" s="156">
        <f t="shared" si="6"/>
        <v>1</v>
      </c>
      <c r="AF27" s="157" t="str">
        <f>IF(AND(KitchenHandleType="Channel",OR(ISERROR(FIND("arcass",$A27))=FALSE,ISERROR(FIND("unit",$A27))=FALSE)),IF(ISERROR(FIND("Tower",$A27))=TRUE,IF(KitchenHandleFinish="Match carcass",IF(ISERROR(FIND("Walnut",KitchenCarcassMaterial))=FALSE,(0.035*0.075*($C27/1000))*VLOOKUP("Walnut (solid m3)",SolidData,4,FALSE),IF(ISERROR(FIND("Oak",KitchenCarcassMaterial))=FALSE,(0.035*0.075*($C27/1000))*VLOOKUP("Oak (solid m3)",SolidData,4,FALSE),IF(ISERROR(FIND("ply",KitchenCarcassMaterial))=FALSE,(0.1*($C27/1000))*VLOOKUP("Birch ply (24mm)",SheetsData,7,FALSE),IF(ISERROR(FIND("H/F",KitchenCarcassMaterial))=FALSE,(0.1*($C27/1000))*VLOOKUP("H/F (22mm)",SheetsData,7,FALSE),"Carcass - not tower - new material")))),IF(KitchenHandleFinish="Match door",IF(ISERROR(FIND("Walnut",KitchenDoorMaterial))=FALSE,(0.035*0.075*($C27/1000))*VLOOKUP("Walnut (solid m3)",SolidData,4,FALSE),IF(ISERROR(FIND("Oak",KitchenDoorMaterial))=FALSE,(0.035*0.075*($C27/1000))*VLOOKUP("Oak (solid m3)",SolidData,4,FALSE),IF(ISERROR(FIND("ply",KitchenDoorMaterial))=FALSE,(0.1*($C27/1000))*VLOOKUP("Birch ply (24mm)",SheetsData,7,FALSE),IF(ISERROR(FIND("H/F",KitchenCarcassMaterial))=FALSE,(0.1*($C27/1000))*VLOOKUP("H/F (22mm)",SheetsData,7,FALSE),"Door - not tower - new material")))),"Channel - not tower - handle set to other")),IF(ISERROR(FIND("Tower",$A27))=FALSE,IF(KitchenHandleFinish="Match carcass",IF(ISERROR(FIND("Walnut",KitchenCarcassMaterial))=FALSE,(0.035*0.075*($B27/1000))*VLOOKUP("Walnut (solid m3)",SolidData,4,FALSE),IF(ISERROR(FIND("Oak",KitchenCarcassMaterial))=FALSE,(0.035*0.075*($B27/1000))*VLOOKUP("Oak (solid m3)",SolidData,4,FALSE),IF(ISERROR(FIND("ply",KitchenCarcassMaterial))=FALSE,(0.1*($B27/1000))*VLOOKUP("Birch ply (24mm)",SheetsData,7,FALSE),IF(ISERROR(FIND("H/F",KitchenCarcassMaterial))=FALSE,(0.1*($C27/1000))*VLOOKUP("H/F (22mm)",SheetsData,7,FALSE),"Carcass - tower - new material")))),IF(KitchenHandleFinish="Match door",IF(ISERROR(FIND("Walnut",KitchenDoorMaterial))=FALSE,(0.035*0.075*($B27/1000))*VLOOKUP("Walnut (solid m3)",SolidData,4,FALSE),IF(ISERROR(FIND("Oak",KitchenDoorMaterial))=FALSE,(0.035*0.075*($B27/1000))*VLOOKUP("Oak (solid m3)",SolidData,4,FALSE),IF(ISERROR(FIND("ply",KitchenDoorMaterial))=FALSE,(0.1*($B27/1000))*VLOOKUP("Birch ply (24mm)",SheetData,7,FALSE),IF(ISERROR(FIND("H/F",KitchenCarcassMaterial))=FALSE,(0.1*($C27/1000))*VLOOKUP("H/F (22mm)",SheetsData,7,FALSE),"Door - tower - new material")))),"Channel - tower - handle set to other")))),"")</f>
        <v/>
      </c>
    </row>
    <row r="28">
      <c r="A28" s="151" t="s">
        <v>136</v>
      </c>
      <c r="B28" s="115">
        <f t="shared" si="1"/>
        <v>700</v>
      </c>
      <c r="C28" s="115" t="str">
        <f>IFERROR(__xludf.DUMMYFUNCTION("IF(A28="""","""",IF(OR(RIGHT(A28,LEN(A28)-len(regexextract(A28,"".* "")))=""1200"",RIGHT(A28,LEN(A28)-len(regexextract(A28,"".* "")))=""600"",RIGHT(A28,LEN(A28)-len(regexextract(A28,"".* "")))=""400"",RIGHT(A28,LEN(A28)-len(regexextract(A28,"".* "")))=""3"&amp;"00"",RIGHT(A28,LEN(A28)-len(regexextract(A28,"".* "")))=""700"",RIGHT(A28,LEN(A28)-len(regexextract(A28,"".* "")))=""2400"",RIGHT(A28,LEN(A28)-len(regexextract(A28,"".* "")))=""650"",RIGHT(A28,LEN(A28)-len(regexextract(A28,"".* "")))=""350"",RIGHT(A28,LEN"&amp;"(A28)-len(regexextract(A28,"".* "")))=""50""),RIGHT(A28,LEN(A28)-len(regexextract(A28,"".* ""))),IF(OR(ISERROR(FIND(""spacer"",A28))=FALSE,ISERROR(FIND(""filler panel"",A28))=FALSE),""1000"",""Unexpected size in description"")))"),"400")</f>
        <v>400</v>
      </c>
      <c r="D28" s="151">
        <f t="shared" si="2"/>
        <v>300</v>
      </c>
      <c r="E28" s="152">
        <f>IFERROR(__xludf.DUMMYFUNCTION("IF(OR(A28="""",AND(ISERROR(FIND(""drawer box"",A28))=FALSE,KitchenDrawerType="""")),"""",IF(OR(ISERROR(FIND(""larder"",A28))=FALSE,ISERROR(FIND(""fridge/freezer"",A28))=FALSE,ISERROR(FIND(""double oven"",A28))=FALSE,ISERROR(FIND(""single oven"",A28))=FALS"&amp;"E),VLOOKUP(LEFT(A28,FIND("" "",A28))&amp;""carcass ""&amp;RIGHT(A28,LEN(A28)-(LEN(A28)-3)),KitchensData,5,0),IF(ISERROR(FIND(""sink"",A28))=FALSE,VLOOKUP(LEFT(A28,FIND("" "",A28))&amp;""carcass ""&amp;VALUE(REGEXREPLACE(A28,""[^[:digit:]]"", """")),KitchensData,5,0)+(((C"&amp;"28/1000)*(300/1000))*VLOOKUP(KitchenCarcassMaterial,SheetsData,8,0)),IF(ISERROR(FIND(""bins"",A28))=FALSE,IF(ISERROR(FIND(""veneer"",KitchenCarcassMaterial))=FALSE,VLOOKUP(""Base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600"",A28))=FALSE,IF(ISERROR(FIND(""veneer"""&amp;",KitchenCarcassMaterial))=FALSE,0.54*(VLOOKUP(LEFT(KitchenCarcassMaterial,FIND(""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1200"",A28))=FALSE,"&amp;"IF(ISERROR(FIND(""veneer"",KitchenCarcassMaterial))=FALSE,0.84*(VLOOKUP(LEFT(KitchenCarcassMaterial,FIND(""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600"",A28))=FALSE,IF(ISERROR(FIND(""veneer"",KitchenCarcassMaterial))=FALSE,1.44*(VLOOKUP(LEFT(KitchenCarcassMaterial,FIND(""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1200"",A28))=FALSE,IF(ISERROR(FIND(""veneer"",KitchenCarcassMaterial))=FALSE,2.7*(VLOOKUP(LEFT(KitchenCarcassMaterial,FIND(""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front"",A28))=FALSE,((B28/1000)*(C28/1000))*VLOOKUP(KitchenDoorMaterial,SheetsData,8,0),IF(AND(KitchenDrawerType=""Match carcass"",ISERROR(FIND(""drawer box"",A28))=FALSE),(((((B28/1000)*(C28/1000))+((B28/1000"&amp;")*(D28/1000)))*2)*VLOOKUP(KitchenCarcassMaterial,SheetsData,8,0))+(((C28/1000)*(D28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box"",A28))=FALSE),(((((B28/1000)*(C28/1000))+((B28/1000)*(D28/1000)))*2)*(16/1000)*VLOOKUP(LEFT(KitchenCarcassMaterial,FIND("" "&amp;""",KitchenCarcassMaterial))&amp;""(solid m3)"",SolidData,5,0))+(((C28/1000)*(D28/1000))*VLOOKUP(LEFT(KitchenCarcassMaterial,FIND(""("",KitchenCarcassMaterial)-1)&amp;IF(OR(ISERROR(FIND(""ply"",KitchenCarcassMaterial))=FALSE,ISERROR(FIND(""H/F"",KitchenCarcassMate"&amp;"rial))=FALSE),""(9mm)"",""(10mm)""),SheetsData,8,0)),IF(ISERROR(FIND(""spacer"",A28))=FALSE,((D28/1000)*(C28/1000))*VLOOKUP(""Poplar ply (18mm)"",SheetsData,8,0),IF(ISERROR(FIND(""filler panel"",A28))=FALSE,((B28/1000)*(C28/1000))*VLOOKUP(KitchenDoorMater"&amp;"ial,SheetsData,8,0),IF(ISERROR(FIND(""shelf"",A28))=FALSE,((D28/1000)*(C28/1000))*VLOOKUP(KitchenCarcassMaterial,SheetsData,8,0),IF(ISERROR(FIND(""lost corner"",A28))=FALSE,VLOOKUP(LEFT(A28,FIND("" "",A28))&amp;""carcass ""&amp;VALUE(REGEXREPLACE(A28,""[^[:digit:"&amp;"]]"", """")),KitchensData,5,0)+((((B28/1000)*(C28/1000))+((B28/1000)*(60/1000)))*VLOOKUP(KitchenCarcassMaterial,SheetsData,8,0)),IF(ISERROR(FIND(""carcass"",A28))=FALSE,(((((B28/1000)*2)*(D28/1000))+(((C28/1000)*2)*(D28/1000)))*VLOOKUP(KitchenCarcassMater"&amp;"ial,SheetsData,8,0))+((B28/1000)*(C28/1000))*VLOOKUP(LEFT(KitchenCarcassMaterial,FIND(""("",KitchenCarcassMaterial)-1)&amp;IF(OR(ISERROR(FIND(""ply"",KitchenCarcassMaterial))=FALSE,ISERROR(FIND(""H/F"",KitchenCarcassMaterial))=FALSE),""(9mm)"",""(10mm)""),She"&amp;"etsData,8,0),IF(OR(ISERROR(FIND(""Plinth"",A28))=FALSE,ISERROR(FIND(""Cornice (flat)"",A28))=FALSE),((B28/1000)*(C28/1000))*VLOOKUP(""H/F (18mm)"",SheetsData,8,0),IF(ISERROR(FIND(""Cornice (stacked)"",A28))=FALSE,((0.08*(C28/1000))*2)*VLOOKUP(""H/F (22mm)"&amp;""",SheetsData,8,0),IF(ISERROR(FIND(""Base end panel"",A28))=FALSE,VLOOKUP(KitchenDoorMaterial,SheetsData,5,0)/3,IF(ISERROR(FIND(""Wall end panel"",A28))=FALSE,VLOOKUP(KitchenDoorMaterial,SheetsData,5,0)/9,IF(ISERROR(FIND(""Tower end panel"",A28))=FALSE,VL"&amp;"OOKUP(KitchenDoorMaterial,SheetsData,5,0),IF(ISERROR(FIND(""Fillers"",A28))=FALSE,(((0.06*(C28/1000))*2)*VLOOKUP(""H/F (18mm)"",SheetsData,8,0))+(((0.06*(C28/1000))*2)*VLOOKUP(""H/F (9mm)"",SheetsData,8,0)),IF(ISERROR(FIND(""corner post"",A28))=FALSE,(((B"&amp;"28/1000)*0.05)*2)*VLOOKUP(KitchenDoorMaterial,SheetsData,8,0),IF(ISERROR(FIND(""Pelmet"",A28))=FALSE,((((B28/1000)*(C28/1000))*2)*VLOOKUP(""H/F (18mm)"",SheetsData,8,0)),IF(ISERROR(FIND(""door"",A28))=TRUE,""Check description"",IF(KitchenDoorStyle=""Flat"&amp;""",((B28/1000)*(C28/1000))*VLOOKUP(KitchenDoorMaterial,SheetsData,8,0),IF(LEFT(KitchenDoorStyle,5)=""Panel"",(((((B28/1000)*2)*0.08)+((((C28/1000)-0.16)*2)*0.08))*VLOOKUP(""H/F (22mm)"",SheetsData,8,0))+(((B28/1000)-0.14)*((C28/1000)-0.14)*VLOOKUP(""H/F ("&amp;"9mm)"",SheetsData,8,0)),IF(KitchenDoorStyle=""In-frame flat"",((((((B28/1000)*0.019)*0.038)+((((C28-38)/1000)*0.038)*0.038))*2)*VLOOKUP(""Tulip (solid m3)"",SolidData,5,0))+(((B28-76)/1000)*((C28-38)/1000))*VLOOKUP(""H/F (22mm)"",SheetsData,8,0),IF(LEFT(K"&amp;"itchenDoorStyle,14)=""In-frame panel"",(((((((B28/1000)*0.019)*0.038)+((((C28-38)/1000)*0.038)*0.038))*2)*VLOOKUP(""Tulip (solid m3)"",SolidData,5,0))+(((((((B28-76)/1000)*2)*0.08)+(((((C28-198)/1000)*2)*0.08)))*VLOOKUP(""H/F (22mm)"",SheetsData,8,0))+((("&amp;"B28-216)/1000)*((C28-178)/1000)*VLOOKUP(""H/F (9mm)"",SheetsData,8,0)))))))))))))))))))))))))))))))))"),38.65724939532383)</f>
        <v>38.6572494</v>
      </c>
      <c r="F28" s="152">
        <f>IFERROR(__xludf.DUMMYFUNCTION("IF(OR(A28="""",AND(ISERROR(FIND(""drawer box"",A28))=FALSE,KitchenDrawerType=""Solid dovetail"")),"""",IF(ISERROR(FIND(""bins"",A28))=FALSE,VLOOKUP(""Base carcass 600"",KitchensData,6,0),IF(OR(ISERROR(FIND(""larder"",A28))=FALSE,ISERROR(FIND(""unit"",A28)"&amp;")=FALSE),VLOOKUP(LEFT(A28,FIND("" "",A28))&amp;""carcass ""&amp;RIGHT(A28,LEN(A28)-len(regexextract(A28,"".* ""))),KitchensData,6,0),IF(ISERROR(FIND(""drawer front"",A28))=FALSE,IF(ISERROR(FIND(""veneer"",KitchenCarcassMaterial))=TRUE,0,(((B28+C28)/1000)*2)*VLOOK"&amp;"UP(""Edge banding (per M)"",SheetsData,5,0)),IF(ISERROR(FIND(""drawer box"",A28))=FALSE,IF(ISERROR(FIND(""veneer"",KitchenCarcassMaterial))=TRUE,0,(((C28+D28)/1000)*2)*VLOOKUP(""Edge banding (per M)"",SheetsData,5,0)),IF(ISERROR(FIND(""shelf"",A28))=FALSE"&amp;",IF(ISERROR(FIND(""veneer"",KitchenCarcassMaterial))=TRUE,0,(C28/1000)*VLOOKUP(""Edge banding (per M)"",SheetsData,5,0)),IF(AND(ISERROR(FIND(""carcass"",A28))=FALSE,ISERROR(FIND(""shelf"",A28))=TRUE),IF(ISERROR(FIND(""veneer"",KitchenCarcassMaterial))=TRU"&amp;"E,0,((2*(B28+C28))/1000)*VLOOKUP(""Edge banding (per M)"",SheetsData,5,0)),IF(ISERROR(FIND(""door"",A28))=TRUE,"""",IF(ISERROR(FIND(""veneer"",KitchenDoorMaterial))=TRUE,"""",((2*(B28+C28))/1000)*VLOOKUP(""Edge banding (per M)"",SheetsData,5,0))))))))))"),0.0)</f>
        <v>0</v>
      </c>
      <c r="G28" s="153" t="str">
        <f>IF(A28="","",IF(ISERROR(FIND("bins",A28))=FALSE,VLOOKUP("Base carcass 600",KitchensData,7,0),IF(OR(ISERROR(FIND("larder",A28))=FALSE,ISERROR(FIND("fridge/freezer",A28))=FALSE,ISERROR(FIND("double oven",A28))=FALSE,ISERROR(FIND("single oven",A28))=FALSE),VLOOKUP(LEFT(A28,FIND(" ",A28))&amp;"carcass "&amp;RIGHT(A28,LEN(A28)-(LEN(A28)-3)),KitchensData,7,0),IF(AND(ISERROR(FIND("carcass",A28))=FALSE,ISERROR(FIND("shelf",A28))=TRUE),IF(OR(ISERROR(FIND("Base",A28))=FALSE,ISERROR(FIND("Tower",A28))=FALSE),IF(OR(ISERROR(FIND("1200",A28))=FALSE, ISERROR(FIND("lost corner",A28))=FALSE),6*VLOOKUP("Plinth foot (2 Parts 80mm)",FurnitureData,5,0),4*VLOOKUP("Plinth foot (2 Parts 80mm)",FurnitureData,5,0)),""),""))))</f>
        <v/>
      </c>
      <c r="H28" s="115" t="str">
        <f>IF(OR(A28="",ISERROR(FIND("door",A28))=TRUE),"",IF(ISERROR(FIND("Wall",A28))=FALSE,VLOOKUP("Hinges &amp; plates (Hettich thick door)",FurnitureData,5,0)*2,IF(ISERROR(FIND("Base",A28))=FALSE,VLOOKUP("Hinges &amp; plates (Hettich thick door)",FurnitureData,5,0)*3,IF(ISERROR(FIND("Boiler",A28))=FALSE,VLOOKUP("Hinges &amp; plates (Hettich thick door)",FurnitureData,5,0)*4,IF(ISERROR(FIND("Tower",A28))=FALSE,VLOOKUP("Hinges &amp; plates (Hettich thick door)",FurnitureData,5,0)*5)))))</f>
        <v/>
      </c>
      <c r="I28" s="115" t="str">
        <f>IF(ISERROR(FIND("shelf",A28))=FALSE,(VLOOKUP("Shelf pegs",FurnitureData,5,0)/100)*4,"")</f>
        <v/>
      </c>
      <c r="J28" s="152">
        <f>IF(OR(ISERROR(FIND("fridge/freezer",A28))=FALSE,ISERROR(FIND("larder",A28))=FALSE,AND(ISERROR(FIND("Base",A28))=FALSE,ISERROR(FIND("bins",A28))=TRUE,ISERROR(FIND("no shelves",A28))=TRUE,OR(ISERROR(FIND("carcass",A28))=FALSE,ISERROR(FIND("unit",A28))=FALSE))),VLOOKUP("Deep shelf "&amp;C28,KitchensData,18,0),IF(AND(ISERROR(FIND("Wall",A28))=FALSE,ISERROR(FIND("carcass",A28))=FALSE),2*VLOOKUP("Shallow shelf "&amp;C28,KitchensData,18,0),IF(AND(ISERROR(FIND("Tower",A28))=FALSE,ISERROR(FIND("oven",A28))=FALSE),4*VLOOKUP("Deep shelf "&amp;C28,KitchensData,18,0),IF(AND(ISERROR(FIND("Tower",A28))=FALSE,ISERROR(FIND("carcass",A28))=FALSE),5*VLOOKUP("Deep shelf "&amp;C28,KitchensData,18,0),""))))</f>
        <v>84.31449417</v>
      </c>
      <c r="K28" s="152" t="str">
        <f>IF(ISERROR(FIND("sink",A28))=FALSE,VLOOKUP("Sink liner - Aluminium "&amp;RIGHT(A28,LEN(A28)-22)&amp;"mm",ExceptionalData,5,0),IF(ISERROR(FIND("bins",A28))=FALSE,VLOOKUP("Drawer runners and clip set for bin unit (500) Dynapro",FurnitureData,5,0)+(2*VLOOKUP("Bin (42L Anthracite)",FurnitureData,5,0)),IF(ISERROR(FIND("larder",A28))=FALSE,VLOOKUP("Pull out larder unit 600mm",FurnitureData,5,0),IF(AND(ISERROR(FIND("drawer box",A28))=FALSE,ISERROR(FIND("internal",A28))=TRUE),VLOOKUP("Drawer runners and clip set (550) Dynapro",FurnitureData,5,0),IF(ISERROR(FIND("internal drawer box",A28))=FALSE,VLOOKUP("Drawer runners and clip set (450) Dynapro",FurnitureData,5,0),"")))))</f>
        <v/>
      </c>
      <c r="L28" s="152">
        <f t="shared" si="3"/>
        <v>122.9717436</v>
      </c>
      <c r="M28" s="154">
        <f>IFERROR(__xludf.DUMMYFUNCTION("IF(A28="""","""",IF(OR(ISERROR(FIND(""larder"",A28))=FALSE,ISERROR(FIND(""unit"",A28))=FALSE),VLOOKUP(LEFT(A28,FIND("" "",A28))&amp;""carcass ""&amp;RIGHT(A28,LEN(A28)-len(regexextract(A28,"".* ""))),KitchensData,13,0),IF(ISERROR(FIND(""bins"",A28))=FALSE,0.95,IF"&amp;"(ISERROR(FIND(""Cutlery insert 600"",A28))=FALSE,1.3,IF(ISERROR(FIND(""Cutlery insert 1200"",A28))=FALSE,2,IF(ISERROR(FIND(""Pan/tray rack 600"",A28))=FALSE,3.25,IF(ISERROR(FIND(""Pan/tray rack 1200"",A28))=FALSE,5.9,IF(ISERROR(FIND(""split"",A28))=FALSE,"&amp;"(((C28/1000)*0.022)*2)+VLOOKUP(SUBSTITUTE(A28,"" split"",""""),KitchensData,13,0),IF(AND(ISERROR(FIND(""drawer front"",A28))=FALSE,KitchenDoorStyle=""Flat""),(((B28/1000)*(C28/1000))*2)+((((B28+C28)/1000)*2)*0.022),IF(AND(ISERROR(FIND(""drawer front"",A28"&amp;"))=FALSE,LEFT(KitchenDoorStyle,5)=""Panel""),(((B28/1000)*(C28/1000))*2)+((((B28+C28)/1000)*2)*0.022)+((((C28/1000)-0.16)*0.013)*2)+((((D28/1000)-0.16)*0.013)*2),IF(AND(ISERROR(FIND(""drawer front"",A28))=FALSE,KitchenDoorStyle=""In-frame flat""),((((B28-"&amp;"76)/1000)*((C28-38)/1000))*2)+(MID(KitchenDoorMaterial,FIND(""("",KitchenDoorMaterial)+1,2)/1000)*((((B28-76)+(C28-38))/1000)*2)+(((B28/1000)*0.032)*2)+((((B28-76)/1000)*0.032)*2)+(((B28/1000)*0.019)*4)+(((C28/1000)*0.032)*2)+((((C28-38)/1000)*0.032)*2)+("&amp;"((C28/1000)*0.038)*4),IF(AND(ISERROR(FIND(""drawer front"",A28))=FALSE,LEFT(KitchenDoorStyle,14)=""In-frame panel""),((((B28-76)/1000)*((C28-38)/1000))*2)+((MID(KitchenDoorMaterial,FIND(""("",KitchenDoorMaterial)+1,2)/1000)*((((B28-76)+(C28-38))/1000)*2))"&amp;"+((((B28-236)/1000)+((C28-198)/1000)*2)*0.013)+(((B28/1000)*0.032)*2)+((((B28-76)/1000)*0.032)*2)+(((B28/1000)*0.019)*4)+(((C28/1000)*0.032)*2)+((((C28-38)/1000)*0.032)*2)+(((C28/1000)*0.038)*4),IF(ISERROR(FIND(""drawer box"",A28))=FALSE,((((B28/1000)*(D2"&amp;"8/1000))+((B28/1000)*(C28/1000)))*4)+((((D28/1000)+(C28/1000))*0.016)*4)+(((C28/1000)*(D28/1000))*2),IF(OR(ISERROR(FIND(""shelf"",A28))=FALSE,ISERROR(FIND(""spacer"",A28))=FALSE,,ISERROR(FIND(""filler panel"",A28))=FALSE),(((C28/1000)*(D28/1000))*2)+((((C"&amp;"28+D28)*2)/1000)*0.022),IF(ISERROR(FIND(""lost corner"",A28))=FALSE,(((B28/1000)*(C28/1000))*2)+((B28/1000)*(C28/1000))+((B28/1000)*((C28/2)/1000))+((((B28/1000)*0.025)+((C28/1000)*0.025))*2),IF(ISERROR(FIND(""carcass"",A28))=FALSE,(((C28/1000)*(D28/1000)"&amp;")*2)+(((B28/1000)*(D28/1000))*2)+((B28/1000)*(C28/1000))+((((B28/1000)*0.025)+((C28/1000)*0.025))*2),IF(AND(ISERROR(FIND(""door"",A28))=FALSE,KitchenDoorStyle=""Flat""),(((B28/1000)*(C28/1000))*2)+(MID(KitchenDoorMaterial,FIND(""("",KitchenDoorMaterial)+1"&amp;",2)/1000)*(((B28+C28)/1000)*2),IF(AND(ISERROR(FIND(""door"",A28))=FALSE,LEFT(KitchenDoorStyle,5)=""Panel""),(((B28/1000)*(C28/1000))*2)+((MID(KitchenDoorMaterial,FIND(""("",KitchenDoorMaterial)+1,2)/1000)*(((B28+C28)/1000)*2))+(((((B28-160)+(C28-160))*2)/"&amp;"1000)*(0.013)),IF(AND(ISERROR(FIND(""door"",A28))=FALSE,KitchenDoorStyle=""In-frame flat""),((((B28-76)/1000)*((C28-38)/1000))*2)+(MID(KitchenDoorMaterial,FIND(""("",KitchenDoorMaterial)+1,2)/1000)*((((B28-76)+(C28-38))/1000)*2)+(((B28/1000)*0.032)*2)+((("&amp;"(B28-76)/1000)*0.032)*2)+(((B28/1000)*0.019)*4)+(((C28/1000)*0.032)*2)+((((C28-38)/1000)*0.032)*2)+(((C28/1000)*0.038)*4),IF(AND(ISERROR(FIND(""door"",A28))=FALSE,LEFT(KitchenDoorStyle,14)=""In-frame panel""),((((B28-76)/1000)*((C28-38)/1000))*2)+((MID(Ki"&amp;"tchenDoorMaterial,FIND(""("",KitchenDoorMaterial)+1,2)/1000)*((((B28-76)+(C28-38))/1000)*2))+((((B28-236)/1000)+((C28-198)/1000)*2)*0.013)+(((B28/1000)*0.032)*2)+((((B28-76)/1000)*0.032)*2)+(((B28/1000)*0.019)*4)+(((C28/1000)*0.032)*2)+((((C28-38)/1000)*0"&amp;".032)*2)+(((C28/1000)*0.038)*4),IF(ISERROR(FIND(""Plinth"",A28))=FALSE,((B28/1000)*(C28/1000))+(((C28/1000)*0.018)*2)+(((B28/1000)*0.018)*2),IF(ISERROR(FIND(""Cornice"",A28))=FALSE,(((C28/1000)*0.1)*2)+(((C28/1000)*0.044)*2)+(((B28/1000)*0.08)*2),IF(ISERR"&amp;"OR(FIND(""Base end panel"",A28))=FALSE,((B28/1000)*(C28/1000))+(0.022*((B28/1000)+((C28/1000)*2)))+((B28/1000)*0.05),IF(ISERROR(FIND(""Wall end panel"",A28))=FALSE,((B28/1000)*(C28/1000))+(0.022*((B28/1000)+((C28/1000)*2)))+((B28/1000)*0.05),IF(ISERROR(FI"&amp;"ND(""Tower end panel"",A28))=FALSE,((B28/1000)*(C28/1000))+(0.022*((B28/1000)+((C28/1000)*2)))+((B28/1000)*0.05),IF(ISERROR(FIND(""Fillers"",A28))=FALSE,((C28/1000)*0.06)+((C28/1000)*0.069)+((0.06*0.018)*2)+((0.06*0.009)*2)+((C28/1000)*0.009)+((C28/1000)*"&amp;"0.018),IF(ISERROR(FIND(""corner post"",A28))=FALSE,(((B28/1000*0.05)*2)+((B28/1000)*0.022)*2)+((B28/1000)*0.072)+((B28/1000)*0.05)+((0.072*0.022)*2)+((0.05*0.022)*2),IF(ISERROR(FIND(""Pelmet"",A28))=FALSE,((C28/1000)*0.05)+((C28/1000)*0.068)+((0.05*0.018)"&amp;"*4)+(((C28/1000)*0.018))*2))))))))))))))))))))))))))))"),1.035)</f>
        <v>1.035</v>
      </c>
      <c r="N28" s="152">
        <f>IF(M28="","",IF(AND(ISERROR(FIND("carcass",A28))=TRUE,ISERROR(FIND("unit",A28))=TRUE,ISERROR(FIND("insert",A28))=TRUE,ISERROR(FIND("rack",A28))=TRUE,ISERROR(FIND("box",A28))=TRUE,ISERROR(FIND("shelf",#REF!))=TRUE),VLOOKUP(KitchenDoorFinish,Finishing!$A$2:$K$10,9,0)*M28,VLOOKUP(KitchenCarcassFinish,Finishing!$A$2:$K$40,9,0)*M28))</f>
        <v>3.88125</v>
      </c>
      <c r="O28" s="155">
        <v>1.5</v>
      </c>
      <c r="P28" s="155">
        <v>1.0</v>
      </c>
      <c r="Q28" s="152">
        <f>IF(OR(O28="",P28=""),"",((O28*X28)*(VLOOKUP("Workshop",Labour!$A$3:$E$20,4,0)/8))+((P28*AE28)*(VLOOKUP("Finishing",Labour!$A$3:$E$20,4,0)/8)))</f>
        <v>93.625</v>
      </c>
      <c r="R28" s="152">
        <f t="shared" si="4"/>
        <v>220.4779936</v>
      </c>
      <c r="S28" s="156">
        <f>IF(OR(O28="",P28=""),"",IF(OR(ISERROR(FIND("carcass",$A28))=FALSE,ISERROR(FIND("unit",$A28))=FALSE),VLOOKUP(KitchenCarcassMaterial,FixedListsCarcassMaterial,2,0),0))</f>
        <v>1</v>
      </c>
      <c r="T28" s="156">
        <f>IF(OR(O28="",P28=""),"",IF(ISERROR(FIND("door",$A28))=FALSE,VLOOKUP(KitchenDoorStyle,FixedListsDoorStyle,2,0),0))</f>
        <v>0</v>
      </c>
      <c r="U28" s="156">
        <f>IF(OR(O28="",P28=""),"",IF(ISERROR(FIND("door",$A28))=FALSE,VLOOKUP(KitchenDoorMaterial,FixedListsDoorMaterial,2,0),0))</f>
        <v>0</v>
      </c>
      <c r="V28" s="156">
        <f>IF(OR(O28="",P28=""),"",IF(ISERROR(FIND("drawer",$A28))=FALSE,VLOOKUP(KitchenDrawerType,FixedListsDrawerType,2,0),0))</f>
        <v>0</v>
      </c>
      <c r="W28" s="156">
        <f>IF(OR(O28="",P28=""),"",IF(OR(S28&gt;0, T28&gt;0,V28&gt;0),VLOOKUP(KitchenHandleType,FixedListsHandleType,2,FALSE)*IF(KitchenHandleType="Simple",0,IF(S28&gt;0,VLOOKUP(KitchenHandleType,FixedListsHandleType,4,FALSE),IF(OR(T28&gt;0,V28&gt;0),1-VLOOKUP(KitchenHandleType,FixedListsHandleType,4,FALSE),"Error"))),0))</f>
        <v>0</v>
      </c>
      <c r="X28" s="156">
        <f t="shared" si="5"/>
        <v>1</v>
      </c>
      <c r="Y28" s="156">
        <f>IF(OR(O28="",P28=""),"",IF(OR(ISERROR(FIND("carcass",$A28))=FALSE,ISERROR(FIND("unit",$A28))=FALSE),VLOOKUP(KitchenCarcassMaterial,FixedListsCarcassMaterial,3,0),0))</f>
        <v>1</v>
      </c>
      <c r="Z28" s="156">
        <f>IF(OR(O28="",P28=""),"",IF(ISERROR(FIND("door",$A28))=FALSE,VLOOKUP(KitchenDoorStyle,FixedListsDoorStyle,3,0),0))</f>
        <v>0</v>
      </c>
      <c r="AA28" s="156">
        <f>IF(OR(O28="",P28=""),"",IF(ISERROR(FIND("door",$A28))=FALSE,VLOOKUP(KitchenDoorMaterial,FixedListsDoorMaterial,3,0),0))</f>
        <v>0</v>
      </c>
      <c r="AB28" s="156">
        <f>IF(OR(O28="",P28=""),"",IF(ISERROR(FIND("drawer",$A28))=FALSE,VLOOKUP(KitchenDrawerType,FixedListsDrawerType,3,0),0))</f>
        <v>0</v>
      </c>
      <c r="AC28" s="156">
        <f>IF(OR(O28="",P28=""),"",IF(OR(Y28&gt;0,Z28&gt;0,AB28&gt;0),VLOOKUP(KitchenHandleType,FixedListsHandleType,3,FALSE),0))</f>
        <v>1</v>
      </c>
      <c r="AD28" s="156">
        <f>IF(OR(O28="",P28=""),"",IF(OR(ISERROR(FIND("carcass",$A28))=FALSE,ISERROR(FIND("unit",$A28))=FALSE),VLOOKUP(KitchenCarcassFinish,FixedListsFinishes,3,0),IF(OR(ISERROR(FIND("door",$A28))=FALSE,ISERROR(FIND("Plinth",$A28))=FALSE,ISERROR(FIND("Cornice",$A28))=FALSE,ISERROR(FIND("Fillers",$A28))=FALSE,ISERROR(FIND("Pelmet",$A28))=FALSE,ISERROR(FIND("panel",$A28))=FALSE,ISERROR(FIND("post",$A28))=FALSE),VLOOKUP(KitchenDoorFinish,FixedListsFinishes,3,0),IF(OR(ISERROR(FIND("drawer",$A28))=FALSE,ISERROR(FIND("insert",$A28))=FALSE,ISERROR(FIND("rck",$A28))=FALSE),VLOOKUP(KitchenCarcassFinish,FixedListsFinishes,3,0),0))))</f>
        <v>1</v>
      </c>
      <c r="AE28" s="156">
        <f t="shared" si="6"/>
        <v>1</v>
      </c>
      <c r="AF28" s="157" t="str">
        <f>IF(AND(KitchenHandleType="Channel",OR(ISERROR(FIND("arcass",$A28))=FALSE,ISERROR(FIND("unit",$A28))=FALSE)),IF(ISERROR(FIND("Tower",$A28))=TRUE,IF(KitchenHandleFinish="Match carcass",IF(ISERROR(FIND("Walnut",KitchenCarcassMaterial))=FALSE,(0.035*0.075*($C28/1000))*VLOOKUP("Walnut (solid m3)",SolidData,4,FALSE),IF(ISERROR(FIND("Oak",KitchenCarcassMaterial))=FALSE,(0.035*0.075*($C28/1000))*VLOOKUP("Oak (solid m3)",SolidData,4,FALSE),IF(ISERROR(FIND("ply",KitchenCarcassMaterial))=FALSE,(0.1*($C28/1000))*VLOOKUP("Birch ply (24mm)",SheetsData,7,FALSE),IF(ISERROR(FIND("H/F",KitchenCarcassMaterial))=FALSE,(0.1*($C28/1000))*VLOOKUP("H/F (22mm)",SheetsData,7,FALSE),"Carcass - not tower - new material")))),IF(KitchenHandleFinish="Match door",IF(ISERROR(FIND("Walnut",KitchenDoorMaterial))=FALSE,(0.035*0.075*($C28/1000))*VLOOKUP("Walnut (solid m3)",SolidData,4,FALSE),IF(ISERROR(FIND("Oak",KitchenDoorMaterial))=FALSE,(0.035*0.075*($C28/1000))*VLOOKUP("Oak (solid m3)",SolidData,4,FALSE),IF(ISERROR(FIND("ply",KitchenDoorMaterial))=FALSE,(0.1*($C28/1000))*VLOOKUP("Birch ply (24mm)",SheetsData,7,FALSE),IF(ISERROR(FIND("H/F",KitchenCarcassMaterial))=FALSE,(0.1*($C28/1000))*VLOOKUP("H/F (22mm)",SheetsData,7,FALSE),"Door - not tower - new material")))),"Channel - not tower - handle set to other")),IF(ISERROR(FIND("Tower",$A28))=FALSE,IF(KitchenHandleFinish="Match carcass",IF(ISERROR(FIND("Walnut",KitchenCarcassMaterial))=FALSE,(0.035*0.075*($B28/1000))*VLOOKUP("Walnut (solid m3)",SolidData,4,FALSE),IF(ISERROR(FIND("Oak",KitchenCarcassMaterial))=FALSE,(0.035*0.075*($B28/1000))*VLOOKUP("Oak (solid m3)",SolidData,4,FALSE),IF(ISERROR(FIND("ply",KitchenCarcassMaterial))=FALSE,(0.1*($B28/1000))*VLOOKUP("Birch ply (24mm)",SheetsData,7,FALSE),IF(ISERROR(FIND("H/F",KitchenCarcassMaterial))=FALSE,(0.1*($C28/1000))*VLOOKUP("H/F (22mm)",SheetsData,7,FALSE),"Carcass - tower - new material")))),IF(KitchenHandleFinish="Match door",IF(ISERROR(FIND("Walnut",KitchenDoorMaterial))=FALSE,(0.035*0.075*($B28/1000))*VLOOKUP("Walnut (solid m3)",SolidData,4,FALSE),IF(ISERROR(FIND("Oak",KitchenDoorMaterial))=FALSE,(0.035*0.075*($B28/1000))*VLOOKUP("Oak (solid m3)",SolidData,4,FALSE),IF(ISERROR(FIND("ply",KitchenDoorMaterial))=FALSE,(0.1*($B28/1000))*VLOOKUP("Birch ply (24mm)",SheetData,7,FALSE),IF(ISERROR(FIND("H/F",KitchenCarcassMaterial))=FALSE,(0.1*($C28/1000))*VLOOKUP("H/F (22mm)",SheetsData,7,FALSE),"Door - tower - new material")))),"Channel - tower - handle set to other")))),"")</f>
        <v/>
      </c>
    </row>
    <row r="29">
      <c r="A29" s="151" t="s">
        <v>137</v>
      </c>
      <c r="B29" s="115">
        <f t="shared" si="1"/>
        <v>700</v>
      </c>
      <c r="C29" s="115" t="str">
        <f>IFERROR(__xludf.DUMMYFUNCTION("IF(A29="""","""",IF(OR(RIGHT(A29,LEN(A29)-len(regexextract(A29,"".* "")))=""1200"",RIGHT(A29,LEN(A29)-len(regexextract(A29,"".* "")))=""600"",RIGHT(A29,LEN(A29)-len(regexextract(A29,"".* "")))=""400"",RIGHT(A29,LEN(A29)-len(regexextract(A29,"".* "")))=""3"&amp;"00"",RIGHT(A29,LEN(A29)-len(regexextract(A29,"".* "")))=""700"",RIGHT(A29,LEN(A29)-len(regexextract(A29,"".* "")))=""2400"",RIGHT(A29,LEN(A29)-len(regexextract(A29,"".* "")))=""650"",RIGHT(A29,LEN(A29)-len(regexextract(A29,"".* "")))=""350"",RIGHT(A29,LEN"&amp;"(A29)-len(regexextract(A29,"".* "")))=""50""),RIGHT(A29,LEN(A29)-len(regexextract(A29,"".* ""))),IF(OR(ISERROR(FIND(""spacer"",A29))=FALSE,ISERROR(FIND(""filler panel"",A29))=FALSE),""1000"",""Unexpected size in description"")))"),"300")</f>
        <v>300</v>
      </c>
      <c r="D29" s="151">
        <f t="shared" si="2"/>
        <v>300</v>
      </c>
      <c r="E29" s="152">
        <f>IFERROR(__xludf.DUMMYFUNCTION("IF(OR(A29="""",AND(ISERROR(FIND(""drawer box"",A29))=FALSE,KitchenDrawerType="""")),"""",IF(OR(ISERROR(FIND(""larder"",A29))=FALSE,ISERROR(FIND(""fridge/freezer"",A29))=FALSE,ISERROR(FIND(""double oven"",A29))=FALSE,ISERROR(FIND(""single oven"",A29))=FALS"&amp;"E),VLOOKUP(LEFT(A29,FIND("" "",A29))&amp;""carcass ""&amp;RIGHT(A29,LEN(A29)-(LEN(A29)-3)),KitchensData,5,0),IF(ISERROR(FIND(""sink"",A29))=FALSE,VLOOKUP(LEFT(A29,FIND("" "",A29))&amp;""carcass ""&amp;VALUE(REGEXREPLACE(A29,""[^[:digit:]]"", """")),KitchensData,5,0)+(((C"&amp;"29/1000)*(300/1000))*VLOOKUP(KitchenCarcassMaterial,SheetsData,8,0)),IF(ISERROR(FIND(""bins"",A29))=FALSE,IF(ISERROR(FIND(""veneer"",KitchenCarcassMaterial))=FALSE,VLOOKUP(""Base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600"",A29))=FALSE,IF(ISERROR(FIND(""veneer"""&amp;",KitchenCarcassMaterial))=FALSE,0.54*(VLOOKUP(LEFT(KitchenCarcassMaterial,FIND(""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1200"",A29))=FALSE,"&amp;"IF(ISERROR(FIND(""veneer"",KitchenCarcassMaterial))=FALSE,0.84*(VLOOKUP(LEFT(KitchenCarcassMaterial,FIND(""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600"",A29))=FALSE,IF(ISERROR(FIND(""veneer"",KitchenCarcassMaterial))=FALSE,1.44*(VLOOKUP(LEFT(KitchenCarcassMaterial,FIND(""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1200"",A29))=FALSE,IF(ISERROR(FIND(""veneer"",KitchenCarcassMaterial))=FALSE,2.7*(VLOOKUP(LEFT(KitchenCarcassMaterial,FIND(""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front"",A29))=FALSE,((B29/1000)*(C29/1000))*VLOOKUP(KitchenDoorMaterial,SheetsData,8,0),IF(AND(KitchenDrawerType=""Match carcass"",ISERROR(FIND(""drawer box"",A29))=FALSE),(((((B29/1000)*(C29/1000))+((B29/1000"&amp;")*(D29/1000)))*2)*VLOOKUP(KitchenCarcassMaterial,SheetsData,8,0))+(((C29/1000)*(D29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box"",A29))=FALSE),(((((B29/1000)*(C29/1000))+((B29/1000)*(D29/1000)))*2)*(16/1000)*VLOOKUP(LEFT(KitchenCarcassMaterial,FIND("" "&amp;""",KitchenCarcassMaterial))&amp;""(solid m3)"",SolidData,5,0))+(((C29/1000)*(D29/1000))*VLOOKUP(LEFT(KitchenCarcassMaterial,FIND(""("",KitchenCarcassMaterial)-1)&amp;IF(OR(ISERROR(FIND(""ply"",KitchenCarcassMaterial))=FALSE,ISERROR(FIND(""H/F"",KitchenCarcassMate"&amp;"rial))=FALSE),""(9mm)"",""(10mm)""),SheetsData,8,0)),IF(ISERROR(FIND(""spacer"",A29))=FALSE,((D29/1000)*(C29/1000))*VLOOKUP(""Poplar ply (18mm)"",SheetsData,8,0),IF(ISERROR(FIND(""filler panel"",A29))=FALSE,((B29/1000)*(C29/1000))*VLOOKUP(KitchenDoorMater"&amp;"ial,SheetsData,8,0),IF(ISERROR(FIND(""shelf"",A29))=FALSE,((D29/1000)*(C29/1000))*VLOOKUP(KitchenCarcassMaterial,SheetsData,8,0),IF(ISERROR(FIND(""lost corner"",A29))=FALSE,VLOOKUP(LEFT(A29,FIND("" "",A29))&amp;""carcass ""&amp;VALUE(REGEXREPLACE(A29,""[^[:digit:"&amp;"]]"", """")),KitchensData,5,0)+((((B29/1000)*(C29/1000))+((B29/1000)*(60/1000)))*VLOOKUP(KitchenCarcassMaterial,SheetsData,8,0)),IF(ISERROR(FIND(""carcass"",A29))=FALSE,(((((B29/1000)*2)*(D29/1000))+(((C29/1000)*2)*(D29/1000)))*VLOOKUP(KitchenCarcassMater"&amp;"ial,SheetsData,8,0))+((B29/1000)*(C29/1000))*VLOOKUP(LEFT(KitchenCarcassMaterial,FIND(""("",KitchenCarcassMaterial)-1)&amp;IF(OR(ISERROR(FIND(""ply"",KitchenCarcassMaterial))=FALSE,ISERROR(FIND(""H/F"",KitchenCarcassMaterial))=FALSE),""(9mm)"",""(10mm)""),She"&amp;"etsData,8,0),IF(OR(ISERROR(FIND(""Plinth"",A29))=FALSE,ISERROR(FIND(""Cornice (flat)"",A29))=FALSE),((B29/1000)*(C29/1000))*VLOOKUP(""H/F (18mm)"",SheetsData,8,0),IF(ISERROR(FIND(""Cornice (stacked)"",A29))=FALSE,((0.08*(C29/1000))*2)*VLOOKUP(""H/F (22mm)"&amp;""",SheetsData,8,0),IF(ISERROR(FIND(""Base end panel"",A29))=FALSE,VLOOKUP(KitchenDoorMaterial,SheetsData,5,0)/3,IF(ISERROR(FIND(""Wall end panel"",A29))=FALSE,VLOOKUP(KitchenDoorMaterial,SheetsData,5,0)/9,IF(ISERROR(FIND(""Tower end panel"",A29))=FALSE,VL"&amp;"OOKUP(KitchenDoorMaterial,SheetsData,5,0),IF(ISERROR(FIND(""Fillers"",A29))=FALSE,(((0.06*(C29/1000))*2)*VLOOKUP(""H/F (18mm)"",SheetsData,8,0))+(((0.06*(C29/1000))*2)*VLOOKUP(""H/F (9mm)"",SheetsData,8,0)),IF(ISERROR(FIND(""corner post"",A29))=FALSE,(((B"&amp;"29/1000)*0.05)*2)*VLOOKUP(KitchenDoorMaterial,SheetsData,8,0),IF(ISERROR(FIND(""Pelmet"",A29))=FALSE,((((B29/1000)*(C29/1000))*2)*VLOOKUP(""H/F (18mm)"",SheetsData,8,0)),IF(ISERROR(FIND(""door"",A29))=TRUE,""Check description"",IF(KitchenDoorStyle=""Flat"&amp;""",((B29/1000)*(C29/1000))*VLOOKUP(KitchenDoorMaterial,SheetsData,8,0),IF(LEFT(KitchenDoorStyle,5)=""Panel"",(((((B29/1000)*2)*0.08)+((((C29/1000)-0.16)*2)*0.08))*VLOOKUP(""H/F (22mm)"",SheetsData,8,0))+(((B29/1000)-0.14)*((C29/1000)-0.14)*VLOOKUP(""H/F ("&amp;"9mm)"",SheetsData,8,0)),IF(KitchenDoorStyle=""In-frame flat"",((((((B29/1000)*0.019)*0.038)+((((C29-38)/1000)*0.038)*0.038))*2)*VLOOKUP(""Tulip (solid m3)"",SolidData,5,0))+(((B29-76)/1000)*((C29-38)/1000))*VLOOKUP(""H/F (22mm)"",SheetsData,8,0),IF(LEFT(K"&amp;"itchenDoorStyle,14)=""In-frame panel"",(((((((B29/1000)*0.019)*0.038)+((((C29-38)/1000)*0.038)*0.038))*2)*VLOOKUP(""Tulip (solid m3)"",SolidData,5,0))+(((((((B29-76)/1000)*2)*0.08)+(((((C29-198)/1000)*2)*0.08)))*VLOOKUP(""H/F (22mm)"",SheetsData,8,0))+((("&amp;"B29-216)/1000)*((C29-178)/1000)*VLOOKUP(""H/F (9mm)"",SheetsData,8,0)))))))))))))))))))))))))))))))))"),32.83220236495566)</f>
        <v>32.83220236</v>
      </c>
      <c r="F29" s="152">
        <f>IFERROR(__xludf.DUMMYFUNCTION("IF(OR(A29="""",AND(ISERROR(FIND(""drawer box"",A29))=FALSE,KitchenDrawerType=""Solid dovetail"")),"""",IF(ISERROR(FIND(""bins"",A29))=FALSE,VLOOKUP(""Base carcass 600"",KitchensData,6,0),IF(OR(ISERROR(FIND(""larder"",A29))=FALSE,ISERROR(FIND(""unit"",A29)"&amp;")=FALSE),VLOOKUP(LEFT(A29,FIND("" "",A29))&amp;""carcass ""&amp;RIGHT(A29,LEN(A29)-len(regexextract(A29,"".* ""))),KitchensData,6,0),IF(ISERROR(FIND(""drawer front"",A29))=FALSE,IF(ISERROR(FIND(""veneer"",KitchenCarcassMaterial))=TRUE,0,(((B29+C29)/1000)*2)*VLOOK"&amp;"UP(""Edge banding (per M)"",SheetsData,5,0)),IF(ISERROR(FIND(""drawer box"",A29))=FALSE,IF(ISERROR(FIND(""veneer"",KitchenCarcassMaterial))=TRUE,0,(((C29+D29)/1000)*2)*VLOOKUP(""Edge banding (per M)"",SheetsData,5,0)),IF(ISERROR(FIND(""shelf"",A29))=FALSE"&amp;",IF(ISERROR(FIND(""veneer"",KitchenCarcassMaterial))=TRUE,0,(C29/1000)*VLOOKUP(""Edge banding (per M)"",SheetsData,5,0)),IF(AND(ISERROR(FIND(""carcass"",A29))=FALSE,ISERROR(FIND(""shelf"",A29))=TRUE),IF(ISERROR(FIND(""veneer"",KitchenCarcassMaterial))=TRU"&amp;"E,0,((2*(B29+C29))/1000)*VLOOKUP(""Edge banding (per M)"",SheetsData,5,0)),IF(ISERROR(FIND(""door"",A29))=TRUE,"""",IF(ISERROR(FIND(""veneer"",KitchenDoorMaterial))=TRUE,"""",((2*(B29+C29))/1000)*VLOOKUP(""Edge banding (per M)"",SheetsData,5,0))))))))))"),0.0)</f>
        <v>0</v>
      </c>
      <c r="G29" s="153" t="str">
        <f>IF(A29="","",IF(ISERROR(FIND("bins",A29))=FALSE,VLOOKUP("Base carcass 600",KitchensData,7,0),IF(OR(ISERROR(FIND("larder",A29))=FALSE,ISERROR(FIND("fridge/freezer",A29))=FALSE,ISERROR(FIND("double oven",A29))=FALSE,ISERROR(FIND("single oven",A29))=FALSE),VLOOKUP(LEFT(A29,FIND(" ",A29))&amp;"carcass "&amp;RIGHT(A29,LEN(A29)-(LEN(A29)-3)),KitchensData,7,0),IF(AND(ISERROR(FIND("carcass",A29))=FALSE,ISERROR(FIND("shelf",A29))=TRUE),IF(OR(ISERROR(FIND("Base",A29))=FALSE,ISERROR(FIND("Tower",A29))=FALSE),IF(OR(ISERROR(FIND("1200",A29))=FALSE, ISERROR(FIND("lost corner",A29))=FALSE),6*VLOOKUP("Plinth foot (2 Parts 80mm)",FurnitureData,5,0),4*VLOOKUP("Plinth foot (2 Parts 80mm)",FurnitureData,5,0)),""),""))))</f>
        <v/>
      </c>
      <c r="H29" s="115" t="str">
        <f>IF(OR(A29="",ISERROR(FIND("door",A29))=TRUE),"",IF(ISERROR(FIND("Wall",A29))=FALSE,VLOOKUP("Hinges &amp; plates (Hettich thick door)",FurnitureData,5,0)*2,IF(ISERROR(FIND("Base",A29))=FALSE,VLOOKUP("Hinges &amp; plates (Hettich thick door)",FurnitureData,5,0)*3,IF(ISERROR(FIND("Boiler",A29))=FALSE,VLOOKUP("Hinges &amp; plates (Hettich thick door)",FurnitureData,5,0)*4,IF(ISERROR(FIND("Tower",A29))=FALSE,VLOOKUP("Hinges &amp; plates (Hettich thick door)",FurnitureData,5,0)*5)))))</f>
        <v/>
      </c>
      <c r="I29" s="115" t="str">
        <f>IF(ISERROR(FIND("shelf",A29))=FALSE,(VLOOKUP("Shelf pegs",FurnitureData,5,0)/100)*4,"")</f>
        <v/>
      </c>
      <c r="J29" s="152">
        <f>IF(OR(ISERROR(FIND("fridge/freezer",A29))=FALSE,ISERROR(FIND("larder",A29))=FALSE,AND(ISERROR(FIND("Base",A29))=FALSE,ISERROR(FIND("bins",A29))=TRUE,ISERROR(FIND("no shelves",A29))=TRUE,OR(ISERROR(FIND("carcass",A29))=FALSE,ISERROR(FIND("unit",A29))=FALSE))),VLOOKUP("Deep shelf "&amp;C29,KitchensData,18,0),IF(AND(ISERROR(FIND("Wall",A29))=FALSE,ISERROR(FIND("carcass",A29))=FALSE),2*VLOOKUP("Shallow shelf "&amp;C29,KitchensData,18,0),IF(AND(ISERROR(FIND("Tower",A29))=FALSE,ISERROR(FIND("oven",A29))=FALSE),4*VLOOKUP("Deep shelf "&amp;C29,KitchensData,18,0),IF(AND(ISERROR(FIND("Tower",A29))=FALSE,ISERROR(FIND("carcass",A29))=FALSE),5*VLOOKUP("Deep shelf "&amp;C29,KitchensData,18,0),""))))</f>
        <v>81.35407063</v>
      </c>
      <c r="K29" s="152" t="str">
        <f>IF(ISERROR(FIND("sink",A29))=FALSE,VLOOKUP("Sink liner - Aluminium "&amp;RIGHT(A29,LEN(A29)-22)&amp;"mm",ExceptionalData,5,0),IF(ISERROR(FIND("bins",A29))=FALSE,VLOOKUP("Drawer runners and clip set for bin unit (500) Dynapro",FurnitureData,5,0)+(2*VLOOKUP("Bin (42L Anthracite)",FurnitureData,5,0)),IF(ISERROR(FIND("larder",A29))=FALSE,VLOOKUP("Pull out larder unit 600mm",FurnitureData,5,0),IF(AND(ISERROR(FIND("drawer box",A29))=FALSE,ISERROR(FIND("internal",A29))=TRUE),VLOOKUP("Drawer runners and clip set (550) Dynapro",FurnitureData,5,0),IF(ISERROR(FIND("internal drawer box",A29))=FALSE,VLOOKUP("Drawer runners and clip set (450) Dynapro",FurnitureData,5,0),"")))))</f>
        <v/>
      </c>
      <c r="L29" s="152">
        <f t="shared" si="3"/>
        <v>114.186273</v>
      </c>
      <c r="M29" s="154">
        <f>IFERROR(__xludf.DUMMYFUNCTION("IF(A29="""","""",IF(OR(ISERROR(FIND(""larder"",A29))=FALSE,ISERROR(FIND(""unit"",A29))=FALSE),VLOOKUP(LEFT(A29,FIND("" "",A29))&amp;""carcass ""&amp;RIGHT(A29,LEN(A29)-len(regexextract(A29,"".* ""))),KitchensData,13,0),IF(ISERROR(FIND(""bins"",A29))=FALSE,0.95,IF"&amp;"(ISERROR(FIND(""Cutlery insert 600"",A29))=FALSE,1.3,IF(ISERROR(FIND(""Cutlery insert 1200"",A29))=FALSE,2,IF(ISERROR(FIND(""Pan/tray rack 600"",A29))=FALSE,3.25,IF(ISERROR(FIND(""Pan/tray rack 1200"",A29))=FALSE,5.9,IF(ISERROR(FIND(""split"",A29))=FALSE,"&amp;"(((C29/1000)*0.022)*2)+VLOOKUP(SUBSTITUTE(A29,"" split"",""""),KitchensData,13,0),IF(AND(ISERROR(FIND(""drawer front"",A29))=FALSE,KitchenDoorStyle=""Flat""),(((B29/1000)*(C29/1000))*2)+((((B29+C29)/1000)*2)*0.022),IF(AND(ISERROR(FIND(""drawer front"",A29"&amp;"))=FALSE,LEFT(KitchenDoorStyle,5)=""Panel""),(((B29/1000)*(C29/1000))*2)+((((B29+C29)/1000)*2)*0.022)+((((C29/1000)-0.16)*0.013)*2)+((((D29/1000)-0.16)*0.013)*2),IF(AND(ISERROR(FIND(""drawer front"",A29))=FALSE,KitchenDoorStyle=""In-frame flat""),((((B29-"&amp;"76)/1000)*((C29-38)/1000))*2)+(MID(KitchenDoorMaterial,FIND(""("",KitchenDoorMaterial)+1,2)/1000)*((((B29-76)+(C29-38))/1000)*2)+(((B29/1000)*0.032)*2)+((((B29-76)/1000)*0.032)*2)+(((B29/1000)*0.019)*4)+(((C29/1000)*0.032)*2)+((((C29-38)/1000)*0.032)*2)+("&amp;"((C29/1000)*0.038)*4),IF(AND(ISERROR(FIND(""drawer front"",A29))=FALSE,LEFT(KitchenDoorStyle,14)=""In-frame panel""),((((B29-76)/1000)*((C29-38)/1000))*2)+((MID(KitchenDoorMaterial,FIND(""("",KitchenDoorMaterial)+1,2)/1000)*((((B29-76)+(C29-38))/1000)*2))"&amp;"+((((B29-236)/1000)+((C29-198)/1000)*2)*0.013)+(((B29/1000)*0.032)*2)+((((B29-76)/1000)*0.032)*2)+(((B29/1000)*0.019)*4)+(((C29/1000)*0.032)*2)+((((C29-38)/1000)*0.032)*2)+(((C29/1000)*0.038)*4),IF(ISERROR(FIND(""drawer box"",A29))=FALSE,((((B29/1000)*(D2"&amp;"9/1000))+((B29/1000)*(C29/1000)))*4)+((((D29/1000)+(C29/1000))*0.016)*4)+(((C29/1000)*(D29/1000))*2),IF(OR(ISERROR(FIND(""shelf"",A29))=FALSE,ISERROR(FIND(""spacer"",A29))=FALSE,,ISERROR(FIND(""filler panel"",A29))=FALSE),(((C29/1000)*(D29/1000))*2)+((((C"&amp;"29+D29)*2)/1000)*0.022),IF(ISERROR(FIND(""lost corner"",A29))=FALSE,(((B29/1000)*(C29/1000))*2)+((B29/1000)*(C29/1000))+((B29/1000)*((C29/2)/1000))+((((B29/1000)*0.025)+((C29/1000)*0.025))*2),IF(ISERROR(FIND(""carcass"",A29))=FALSE,(((C29/1000)*(D29/1000)"&amp;")*2)+(((B29/1000)*(D29/1000))*2)+((B29/1000)*(C29/1000))+((((B29/1000)*0.025)+((C29/1000)*0.025))*2),IF(AND(ISERROR(FIND(""door"",A29))=FALSE,KitchenDoorStyle=""Flat""),(((B29/1000)*(C29/1000))*2)+(MID(KitchenDoorMaterial,FIND(""("",KitchenDoorMaterial)+1"&amp;",2)/1000)*(((B29+C29)/1000)*2),IF(AND(ISERROR(FIND(""door"",A29))=FALSE,LEFT(KitchenDoorStyle,5)=""Panel""),(((B29/1000)*(C29/1000))*2)+((MID(KitchenDoorMaterial,FIND(""("",KitchenDoorMaterial)+1,2)/1000)*(((B29+C29)/1000)*2))+(((((B29-160)+(C29-160))*2)/"&amp;"1000)*(0.013)),IF(AND(ISERROR(FIND(""door"",A29))=FALSE,KitchenDoorStyle=""In-frame flat""),((((B29-76)/1000)*((C29-38)/1000))*2)+(MID(KitchenDoorMaterial,FIND(""("",KitchenDoorMaterial)+1,2)/1000)*((((B29-76)+(C29-38))/1000)*2)+(((B29/1000)*0.032)*2)+((("&amp;"(B29-76)/1000)*0.032)*2)+(((B29/1000)*0.019)*4)+(((C29/1000)*0.032)*2)+((((C29-38)/1000)*0.032)*2)+(((C29/1000)*0.038)*4),IF(AND(ISERROR(FIND(""door"",A29))=FALSE,LEFT(KitchenDoorStyle,14)=""In-frame panel""),((((B29-76)/1000)*((C29-38)/1000))*2)+((MID(Ki"&amp;"tchenDoorMaterial,FIND(""("",KitchenDoorMaterial)+1,2)/1000)*((((B29-76)+(C29-38))/1000)*2))+((((B29-236)/1000)+((C29-198)/1000)*2)*0.013)+(((B29/1000)*0.032)*2)+((((B29-76)/1000)*0.032)*2)+(((B29/1000)*0.019)*4)+(((C29/1000)*0.032)*2)+((((C29-38)/1000)*0"&amp;".032)*2)+(((C29/1000)*0.038)*4),IF(ISERROR(FIND(""Plinth"",A29))=FALSE,((B29/1000)*(C29/1000))+(((C29/1000)*0.018)*2)+(((B29/1000)*0.018)*2),IF(ISERROR(FIND(""Cornice"",A29))=FALSE,(((C29/1000)*0.1)*2)+(((C29/1000)*0.044)*2)+(((B29/1000)*0.08)*2),IF(ISERR"&amp;"OR(FIND(""Base end panel"",A29))=FALSE,((B29/1000)*(C29/1000))+(0.022*((B29/1000)+((C29/1000)*2)))+((B29/1000)*0.05),IF(ISERROR(FIND(""Wall end panel"",A29))=FALSE,((B29/1000)*(C29/1000))+(0.022*((B29/1000)+((C29/1000)*2)))+((B29/1000)*0.05),IF(ISERROR(FI"&amp;"ND(""Tower end panel"",A29))=FALSE,((B29/1000)*(C29/1000))+(0.022*((B29/1000)+((C29/1000)*2)))+((B29/1000)*0.05),IF(ISERROR(FIND(""Fillers"",A29))=FALSE,((C29/1000)*0.06)+((C29/1000)*0.069)+((0.06*0.018)*2)+((0.06*0.009)*2)+((C29/1000)*0.009)+((C29/1000)*"&amp;"0.018),IF(ISERROR(FIND(""corner post"",A29))=FALSE,(((B29/1000*0.05)*2)+((B29/1000)*0.022)*2)+((B29/1000)*0.072)+((B29/1000)*0.05)+((0.072*0.022)*2)+((0.05*0.022)*2),IF(ISERROR(FIND(""Pelmet"",A29))=FALSE,((C29/1000)*0.05)+((C29/1000)*0.068)+((0.05*0.018)"&amp;"*4)+(((C29/1000)*0.018))*2))))))))))))))))))))))))))))"),0.785)</f>
        <v>0.785</v>
      </c>
      <c r="N29" s="152">
        <f>IF(M29="","",IF(AND(ISERROR(FIND("carcass",A29))=TRUE,ISERROR(FIND("unit",A29))=TRUE,ISERROR(FIND("insert",A29))=TRUE,ISERROR(FIND("rack",A29))=TRUE,ISERROR(FIND("box",A29))=TRUE,ISERROR(FIND("shelf",#REF!))=TRUE),VLOOKUP(KitchenDoorFinish,Finishing!$A$2:$K$10,9,0)*M29,VLOOKUP(KitchenCarcassFinish,Finishing!$A$2:$K$40,9,0)*M29))</f>
        <v>2.94375</v>
      </c>
      <c r="O29" s="155">
        <v>1.5</v>
      </c>
      <c r="P29" s="155">
        <v>1.0</v>
      </c>
      <c r="Q29" s="152">
        <f>IF(OR(O29="",P29=""),"",((O29*X29)*(VLOOKUP("Workshop",Labour!$A$3:$E$20,4,0)/8))+((P29*AE29)*(VLOOKUP("Finishing",Labour!$A$3:$E$20,4,0)/8)))</f>
        <v>93.625</v>
      </c>
      <c r="R29" s="152">
        <f t="shared" si="4"/>
        <v>210.755023</v>
      </c>
      <c r="S29" s="156">
        <f>IF(OR(O29="",P29=""),"",IF(OR(ISERROR(FIND("carcass",$A29))=FALSE,ISERROR(FIND("unit",$A29))=FALSE),VLOOKUP(KitchenCarcassMaterial,FixedListsCarcassMaterial,2,0),0))</f>
        <v>1</v>
      </c>
      <c r="T29" s="156">
        <f>IF(OR(O29="",P29=""),"",IF(ISERROR(FIND("door",$A29))=FALSE,VLOOKUP(KitchenDoorStyle,FixedListsDoorStyle,2,0),0))</f>
        <v>0</v>
      </c>
      <c r="U29" s="156">
        <f>IF(OR(O29="",P29=""),"",IF(ISERROR(FIND("door",$A29))=FALSE,VLOOKUP(KitchenDoorMaterial,FixedListsDoorMaterial,2,0),0))</f>
        <v>0</v>
      </c>
      <c r="V29" s="156">
        <f>IF(OR(O29="",P29=""),"",IF(ISERROR(FIND("drawer",$A29))=FALSE,VLOOKUP(KitchenDrawerType,FixedListsDrawerType,2,0),0))</f>
        <v>0</v>
      </c>
      <c r="W29" s="156">
        <f>IF(OR(O29="",P29=""),"",IF(OR(S29&gt;0, T29&gt;0,V29&gt;0),VLOOKUP(KitchenHandleType,FixedListsHandleType,2,FALSE)*IF(KitchenHandleType="Simple",0,IF(S29&gt;0,VLOOKUP(KitchenHandleType,FixedListsHandleType,4,FALSE),IF(OR(T29&gt;0,V29&gt;0),1-VLOOKUP(KitchenHandleType,FixedListsHandleType,4,FALSE),"Error"))),0))</f>
        <v>0</v>
      </c>
      <c r="X29" s="156">
        <f t="shared" si="5"/>
        <v>1</v>
      </c>
      <c r="Y29" s="156">
        <f>IF(OR(O29="",P29=""),"",IF(OR(ISERROR(FIND("carcass",$A29))=FALSE,ISERROR(FIND("unit",$A29))=FALSE),VLOOKUP(KitchenCarcassMaterial,FixedListsCarcassMaterial,3,0),0))</f>
        <v>1</v>
      </c>
      <c r="Z29" s="156">
        <f>IF(OR(O29="",P29=""),"",IF(ISERROR(FIND("door",$A29))=FALSE,VLOOKUP(KitchenDoorStyle,FixedListsDoorStyle,3,0),0))</f>
        <v>0</v>
      </c>
      <c r="AA29" s="156">
        <f>IF(OR(O29="",P29=""),"",IF(ISERROR(FIND("door",$A29))=FALSE,VLOOKUP(KitchenDoorMaterial,FixedListsDoorMaterial,3,0),0))</f>
        <v>0</v>
      </c>
      <c r="AB29" s="156">
        <f>IF(OR(O29="",P29=""),"",IF(ISERROR(FIND("drawer",$A29))=FALSE,VLOOKUP(KitchenDrawerType,FixedListsDrawerType,3,0),0))</f>
        <v>0</v>
      </c>
      <c r="AC29" s="156">
        <f>IF(OR(O29="",P29=""),"",IF(OR(Y29&gt;0,Z29&gt;0,AB29&gt;0),VLOOKUP(KitchenHandleType,FixedListsHandleType,3,FALSE),0))</f>
        <v>1</v>
      </c>
      <c r="AD29" s="156">
        <f>IF(OR(O29="",P29=""),"",IF(OR(ISERROR(FIND("carcass",$A29))=FALSE,ISERROR(FIND("unit",$A29))=FALSE),VLOOKUP(KitchenCarcassFinish,FixedListsFinishes,3,0),IF(OR(ISERROR(FIND("door",$A29))=FALSE,ISERROR(FIND("Plinth",$A29))=FALSE,ISERROR(FIND("Cornice",$A29))=FALSE,ISERROR(FIND("Fillers",$A29))=FALSE,ISERROR(FIND("Pelmet",$A29))=FALSE,ISERROR(FIND("panel",$A29))=FALSE,ISERROR(FIND("post",$A29))=FALSE),VLOOKUP(KitchenDoorFinish,FixedListsFinishes,3,0),IF(OR(ISERROR(FIND("drawer",$A29))=FALSE,ISERROR(FIND("insert",$A29))=FALSE,ISERROR(FIND("rck",$A29))=FALSE),VLOOKUP(KitchenCarcassFinish,FixedListsFinishes,3,0),0))))</f>
        <v>1</v>
      </c>
      <c r="AE29" s="156">
        <f t="shared" si="6"/>
        <v>1</v>
      </c>
      <c r="AF29" s="157" t="str">
        <f>IF(AND(KitchenHandleType="Channel",OR(ISERROR(FIND("arcass",$A29))=FALSE,ISERROR(FIND("unit",$A29))=FALSE)),IF(ISERROR(FIND("Tower",$A29))=TRUE,IF(KitchenHandleFinish="Match carcass",IF(ISERROR(FIND("Walnut",KitchenCarcassMaterial))=FALSE,(0.035*0.075*($C29/1000))*VLOOKUP("Walnut (solid m3)",SolidData,4,FALSE),IF(ISERROR(FIND("Oak",KitchenCarcassMaterial))=FALSE,(0.035*0.075*($C29/1000))*VLOOKUP("Oak (solid m3)",SolidData,4,FALSE),IF(ISERROR(FIND("ply",KitchenCarcassMaterial))=FALSE,(0.1*($C29/1000))*VLOOKUP("Birch ply (24mm)",SheetsData,7,FALSE),IF(ISERROR(FIND("H/F",KitchenCarcassMaterial))=FALSE,(0.1*($C29/1000))*VLOOKUP("H/F (22mm)",SheetsData,7,FALSE),"Carcass - not tower - new material")))),IF(KitchenHandleFinish="Match door",IF(ISERROR(FIND("Walnut",KitchenDoorMaterial))=FALSE,(0.035*0.075*($C29/1000))*VLOOKUP("Walnut (solid m3)",SolidData,4,FALSE),IF(ISERROR(FIND("Oak",KitchenDoorMaterial))=FALSE,(0.035*0.075*($C29/1000))*VLOOKUP("Oak (solid m3)",SolidData,4,FALSE),IF(ISERROR(FIND("ply",KitchenDoorMaterial))=FALSE,(0.1*($C29/1000))*VLOOKUP("Birch ply (24mm)",SheetsData,7,FALSE),IF(ISERROR(FIND("H/F",KitchenCarcassMaterial))=FALSE,(0.1*($C29/1000))*VLOOKUP("H/F (22mm)",SheetsData,7,FALSE),"Door - not tower - new material")))),"Channel - not tower - handle set to other")),IF(ISERROR(FIND("Tower",$A29))=FALSE,IF(KitchenHandleFinish="Match carcass",IF(ISERROR(FIND("Walnut",KitchenCarcassMaterial))=FALSE,(0.035*0.075*($B29/1000))*VLOOKUP("Walnut (solid m3)",SolidData,4,FALSE),IF(ISERROR(FIND("Oak",KitchenCarcassMaterial))=FALSE,(0.035*0.075*($B29/1000))*VLOOKUP("Oak (solid m3)",SolidData,4,FALSE),IF(ISERROR(FIND("ply",KitchenCarcassMaterial))=FALSE,(0.1*($B29/1000))*VLOOKUP("Birch ply (24mm)",SheetsData,7,FALSE),IF(ISERROR(FIND("H/F",KitchenCarcassMaterial))=FALSE,(0.1*($C29/1000))*VLOOKUP("H/F (22mm)",SheetsData,7,FALSE),"Carcass - tower - new material")))),IF(KitchenHandleFinish="Match door",IF(ISERROR(FIND("Walnut",KitchenDoorMaterial))=FALSE,(0.035*0.075*($B29/1000))*VLOOKUP("Walnut (solid m3)",SolidData,4,FALSE),IF(ISERROR(FIND("Oak",KitchenDoorMaterial))=FALSE,(0.035*0.075*($B29/1000))*VLOOKUP("Oak (solid m3)",SolidData,4,FALSE),IF(ISERROR(FIND("ply",KitchenDoorMaterial))=FALSE,(0.1*($B29/1000))*VLOOKUP("Birch ply (24mm)",SheetData,7,FALSE),IF(ISERROR(FIND("H/F",KitchenCarcassMaterial))=FALSE,(0.1*($C29/1000))*VLOOKUP("H/F (22mm)",SheetsData,7,FALSE),"Door - tower - new material")))),"Channel - tower - handle set to other")))),"")</f>
        <v/>
      </c>
    </row>
    <row r="30">
      <c r="A30" s="115" t="s">
        <v>138</v>
      </c>
      <c r="B30" s="115">
        <f t="shared" si="1"/>
        <v>800</v>
      </c>
      <c r="C30" s="115" t="str">
        <f>IFERROR(__xludf.DUMMYFUNCTION("IF(A30="""","""",IF(OR(RIGHT(A30,LEN(A30)-len(regexextract(A30,"".* "")))=""1200"",RIGHT(A30,LEN(A30)-len(regexextract(A30,"".* "")))=""600"",RIGHT(A30,LEN(A30)-len(regexextract(A30,"".* "")))=""400"",RIGHT(A30,LEN(A30)-len(regexextract(A30,"".* "")))=""3"&amp;"00"",RIGHT(A30,LEN(A30)-len(regexextract(A30,"".* "")))=""700"",RIGHT(A30,LEN(A30)-len(regexextract(A30,"".* "")))=""2400"",RIGHT(A30,LEN(A30)-len(regexextract(A30,"".* "")))=""650"",RIGHT(A30,LEN(A30)-len(regexextract(A30,"".* "")))=""350"",RIGHT(A30,LEN"&amp;"(A30)-len(regexextract(A30,"".* "")))=""50""),RIGHT(A30,LEN(A30)-len(regexextract(A30,"".* ""))),IF(OR(ISERROR(FIND(""spacer"",A30))=FALSE,ISERROR(FIND(""filler panel"",A30))=FALSE),""1000"",""Unexpected size in description"")))"),"600")</f>
        <v>600</v>
      </c>
      <c r="D30" s="151" t="str">
        <f t="shared" si="2"/>
        <v/>
      </c>
      <c r="E30" s="152">
        <f>IFERROR(__xludf.DUMMYFUNCTION("IF(OR(A30="""",AND(ISERROR(FIND(""drawer box"",A30))=FALSE,KitchenDrawerType="""")),"""",IF(OR(ISERROR(FIND(""larder"",A30))=FALSE,ISERROR(FIND(""fridge/freezer"",A30))=FALSE,ISERROR(FIND(""double oven"",A30))=FALSE,ISERROR(FIND(""single oven"",A30))=FALS"&amp;"E),VLOOKUP(LEFT(A30,FIND("" "",A30))&amp;""carcass ""&amp;RIGHT(A30,LEN(A30)-(LEN(A30)-3)),KitchensData,5,0),IF(ISERROR(FIND(""sink"",A30))=FALSE,VLOOKUP(LEFT(A30,FIND("" "",A30))&amp;""carcass ""&amp;VALUE(REGEXREPLACE(A30,""[^[:digit:]]"", """")),KitchensData,5,0)+(((C"&amp;"30/1000)*(300/1000))*VLOOKUP(KitchenCarcassMaterial,SheetsData,8,0)),IF(ISERROR(FIND(""bins"",A30))=FALSE,IF(ISERROR(FIND(""veneer"",KitchenCarcassMaterial))=FALSE,VLOOKUP(""Base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600"",A30))=FALSE,IF(ISERROR(FIND(""veneer"""&amp;",KitchenCarcassMaterial))=FALSE,0.54*(VLOOKUP(LEFT(KitchenCarcassMaterial,FIND(""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1200"",A30))=FALSE,"&amp;"IF(ISERROR(FIND(""veneer"",KitchenCarcassMaterial))=FALSE,0.84*(VLOOKUP(LEFT(KitchenCarcassMaterial,FIND(""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600"",A30))=FALSE,IF(ISERROR(FIND(""veneer"",KitchenCarcassMaterial))=FALSE,1.44*(VLOOKUP(LEFT(KitchenCarcassMaterial,FIND(""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1200"",A30))=FALSE,IF(ISERROR(FIND(""veneer"",KitchenCarcassMaterial))=FALSE,2.7*(VLOOKUP(LEFT(KitchenCarcassMaterial,FIND(""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front"",A30))=FALSE,((B30/1000)*(C30/1000))*VLOOKUP(KitchenDoorMaterial,SheetsData,8,0),IF(AND(KitchenDrawerType=""Match carcass"",ISERROR(FIND(""drawer box"",A30))=FALSE),(((((B30/1000)*(C30/1000))+((B30/1000"&amp;")*(D30/1000)))*2)*VLOOKUP(KitchenCarcassMaterial,SheetsData,8,0))+(((C30/1000)*(D30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box"",A30))=FALSE),(((((B30/1000)*(C30/1000))+((B30/1000)*(D30/1000)))*2)*(16/1000)*VLOOKUP(LEFT(KitchenCarcassMaterial,FIND("" "&amp;""",KitchenCarcassMaterial))&amp;""(solid m3)"",SolidData,5,0))+(((C30/1000)*(D30/1000))*VLOOKUP(LEFT(KitchenCarcassMaterial,FIND(""("",KitchenCarcassMaterial)-1)&amp;IF(OR(ISERROR(FIND(""ply"",KitchenCarcassMaterial))=FALSE,ISERROR(FIND(""H/F"",KitchenCarcassMate"&amp;"rial))=FALSE),""(9mm)"",""(10mm)""),SheetsData,8,0)),IF(ISERROR(FIND(""spacer"",A30))=FALSE,((D30/1000)*(C30/1000))*VLOOKUP(""Poplar ply (18mm)"",SheetsData,8,0),IF(ISERROR(FIND(""filler panel"",A30))=FALSE,((B30/1000)*(C30/1000))*VLOOKUP(KitchenDoorMater"&amp;"ial,SheetsData,8,0),IF(ISERROR(FIND(""shelf"",A30))=FALSE,((D30/1000)*(C30/1000))*VLOOKUP(KitchenCarcassMaterial,SheetsData,8,0),IF(ISERROR(FIND(""lost corner"",A30))=FALSE,VLOOKUP(LEFT(A30,FIND("" "",A30))&amp;""carcass ""&amp;VALUE(REGEXREPLACE(A30,""[^[:digit:"&amp;"]]"", """")),KitchensData,5,0)+((((B30/1000)*(C30/1000))+((B30/1000)*(60/1000)))*VLOOKUP(KitchenCarcassMaterial,SheetsData,8,0)),IF(ISERROR(FIND(""carcass"",A30))=FALSE,(((((B30/1000)*2)*(D30/1000))+(((C30/1000)*2)*(D30/1000)))*VLOOKUP(KitchenCarcassMater"&amp;"ial,SheetsData,8,0))+((B30/1000)*(C30/1000))*VLOOKUP(LEFT(KitchenCarcassMaterial,FIND(""("",KitchenCarcassMaterial)-1)&amp;IF(OR(ISERROR(FIND(""ply"",KitchenCarcassMaterial))=FALSE,ISERROR(FIND(""H/F"",KitchenCarcassMaterial))=FALSE),""(9mm)"",""(10mm)""),She"&amp;"etsData,8,0),IF(OR(ISERROR(FIND(""Plinth"",A30))=FALSE,ISERROR(FIND(""Cornice (flat)"",A30))=FALSE),((B30/1000)*(C30/1000))*VLOOKUP(""H/F (18mm)"",SheetsData,8,0),IF(ISERROR(FIND(""Cornice (stacked)"",A30))=FALSE,((0.08*(C30/1000))*2)*VLOOKUP(""H/F (22mm)"&amp;""",SheetsData,8,0),IF(ISERROR(FIND(""Base end panel"",A30))=FALSE,VLOOKUP(KitchenDoorMaterial,SheetsData,5,0)/3,IF(ISERROR(FIND(""Wall end panel"",A30))=FALSE,VLOOKUP(KitchenDoorMaterial,SheetsData,5,0)/9,IF(ISERROR(FIND(""Tower end panel"",A30))=FALSE,VL"&amp;"OOKUP(KitchenDoorMaterial,SheetsData,5,0),IF(ISERROR(FIND(""Fillers"",A30))=FALSE,(((0.06*(C30/1000))*2)*VLOOKUP(""H/F (18mm)"",SheetsData,8,0))+(((0.06*(C30/1000))*2)*VLOOKUP(""H/F (9mm)"",SheetsData,8,0)),IF(ISERROR(FIND(""corner post"",A30))=FALSE,(((B"&amp;"30/1000)*0.05)*2)*VLOOKUP(KitchenDoorMaterial,SheetsData,8,0),IF(ISERROR(FIND(""Pelmet"",A30))=FALSE,((((B30/1000)*(C30/1000))*2)*VLOOKUP(""H/F (18mm)"",SheetsData,8,0)),IF(ISERROR(FIND(""door"",A30))=TRUE,""Check description"",IF(KitchenDoorStyle=""Flat"&amp;""",((B30/1000)*(C30/1000))*VLOOKUP(KitchenDoorMaterial,SheetsData,8,0),IF(LEFT(KitchenDoorStyle,5)=""Panel"",(((((B30/1000)*2)*0.08)+((((C30/1000)-0.16)*2)*0.08))*VLOOKUP(""H/F (22mm)"",SheetsData,8,0))+(((B30/1000)-0.14)*((C30/1000)-0.14)*VLOOKUP(""H/F ("&amp;"9mm)"",SheetsData,8,0)),IF(KitchenDoorStyle=""In-frame flat"",((((((B30/1000)*0.019)*0.038)+((((C30-38)/1000)*0.038)*0.038))*2)*VLOOKUP(""Tulip (solid m3)"",SolidData,5,0))+(((B30-76)/1000)*((C30-38)/1000))*VLOOKUP(""H/F (22mm)"",SheetsData,8,0),IF(LEFT(K"&amp;"itchenDoorStyle,14)=""In-frame panel"",(((((((B30/1000)*0.019)*0.038)+((((C30-38)/1000)*0.038)*0.038))*2)*VLOOKUP(""Tulip (solid m3)"",SolidData,5,0))+(((((((B30-76)/1000)*2)*0.08)+(((((C30-198)/1000)*2)*0.08)))*VLOOKUP(""H/F (22mm)"",SheetsData,8,0))+((("&amp;"B30-216)/1000)*((C30-178)/1000)*VLOOKUP(""H/F (9mm)"",SheetsData,8,0)))))))))))))))))))))))))))))))))"),8.860521365224402)</f>
        <v>8.860521365</v>
      </c>
      <c r="F30" s="152" t="str">
        <f>IFERROR(__xludf.DUMMYFUNCTION("IF(OR(A30="""",AND(ISERROR(FIND(""drawer box"",A30))=FALSE,KitchenDrawerType=""Solid dovetail"")),"""",IF(ISERROR(FIND(""bins"",A30))=FALSE,VLOOKUP(""Base carcass 600"",KitchensData,6,0),IF(OR(ISERROR(FIND(""larder"",A30))=FALSE,ISERROR(FIND(""unit"",A30)"&amp;")=FALSE),VLOOKUP(LEFT(A30,FIND("" "",A30))&amp;""carcass ""&amp;RIGHT(A30,LEN(A30)-len(regexextract(A30,"".* ""))),KitchensData,6,0),IF(ISERROR(FIND(""drawer front"",A30))=FALSE,IF(ISERROR(FIND(""veneer"",KitchenCarcassMaterial))=TRUE,0,(((B30+C30)/1000)*2)*VLOOK"&amp;"UP(""Edge banding (per M)"",SheetsData,5,0)),IF(ISERROR(FIND(""drawer box"",A30))=FALSE,IF(ISERROR(FIND(""veneer"",KitchenCarcassMaterial))=TRUE,0,(((C30+D30)/1000)*2)*VLOOKUP(""Edge banding (per M)"",SheetsData,5,0)),IF(ISERROR(FIND(""shelf"",A30))=FALSE"&amp;",IF(ISERROR(FIND(""veneer"",KitchenCarcassMaterial))=TRUE,0,(C30/1000)*VLOOKUP(""Edge banding (per M)"",SheetsData,5,0)),IF(AND(ISERROR(FIND(""carcass"",A30))=FALSE,ISERROR(FIND(""shelf"",A30))=TRUE),IF(ISERROR(FIND(""veneer"",KitchenCarcassMaterial))=TRU"&amp;"E,0,((2*(B30+C30))/1000)*VLOOKUP(""Edge banding (per M)"",SheetsData,5,0)),IF(ISERROR(FIND(""door"",A30))=TRUE,"""",IF(ISERROR(FIND(""veneer"",KitchenDoorMaterial))=TRUE,"""",((2*(B30+C30))/1000)*VLOOKUP(""Edge banding (per M)"",SheetsData,5,0))))))))))"),"")</f>
        <v/>
      </c>
      <c r="G30" s="153" t="str">
        <f>IF(A30="","",IF(ISERROR(FIND("bins",A30))=FALSE,VLOOKUP("Base carcass 600",KitchensData,7,0),IF(OR(ISERROR(FIND("larder",A30))=FALSE,ISERROR(FIND("fridge/freezer",A30))=FALSE,ISERROR(FIND("double oven",A30))=FALSE,ISERROR(FIND("single oven",A30))=FALSE),VLOOKUP(LEFT(A30,FIND(" ",A30))&amp;"carcass "&amp;RIGHT(A30,LEN(A30)-(LEN(A30)-3)),KitchensData,7,0),IF(AND(ISERROR(FIND("carcass",A30))=FALSE,ISERROR(FIND("shelf",A30))=TRUE),IF(OR(ISERROR(FIND("Base",A30))=FALSE,ISERROR(FIND("Tower",A30))=FALSE),IF(OR(ISERROR(FIND("1200",A30))=FALSE, ISERROR(FIND("lost corner",A30))=FALSE),6*VLOOKUP("Plinth foot (2 Parts 80mm)",FurnitureData,5,0),4*VLOOKUP("Plinth foot (2 Parts 80mm)",FurnitureData,5,0)),""),""))))</f>
        <v/>
      </c>
      <c r="H30" s="153">
        <f>IF(OR(A30="",ISERROR(FIND("door",A30))=TRUE),"",IF(ISERROR(FIND("Wall",A30))=FALSE,VLOOKUP("Hinges &amp; plates (Hettich thick door)",FurnitureData,5,0)*2,IF(ISERROR(FIND("Base",A30))=FALSE,VLOOKUP("Hinges &amp; plates (Hettich thick door)",FurnitureData,5,0)*3,IF(ISERROR(FIND("Boiler",A30))=FALSE,VLOOKUP("Hinges &amp; plates (Hettich thick door)",FurnitureData,5,0)*4,IF(ISERROR(FIND("Tower",A30))=FALSE,VLOOKUP("Hinges &amp; plates (Hettich thick door)",FurnitureData,5,0)*5)))))</f>
        <v>10.41</v>
      </c>
      <c r="I30" s="115" t="str">
        <f>IF(ISERROR(FIND("shelf",A30))=FALSE,(VLOOKUP("Shelf pegs",FurnitureData,5,0)/100)*4,"")</f>
        <v/>
      </c>
      <c r="J30" s="152" t="str">
        <f>IF(OR(ISERROR(FIND("fridge/freezer",A30))=FALSE,ISERROR(FIND("larder",A30))=FALSE,AND(ISERROR(FIND("Base",A30))=FALSE,ISERROR(FIND("bins",A30))=TRUE,ISERROR(FIND("no shelves",A30))=TRUE,OR(ISERROR(FIND("carcass",A30))=FALSE,ISERROR(FIND("unit",A30))=FALSE))),VLOOKUP("Deep shelf "&amp;C30,KitchensData,18,0),IF(AND(ISERROR(FIND("Wall",A30))=FALSE,ISERROR(FIND("carcass",A30))=FALSE),2*VLOOKUP("Shallow shelf "&amp;C30,KitchensData,18,0),IF(AND(ISERROR(FIND("Tower",A30))=FALSE,ISERROR(FIND("oven",A30))=FALSE),4*VLOOKUP("Deep shelf "&amp;C30,KitchensData,18,0),IF(AND(ISERROR(FIND("Tower",A30))=FALSE,ISERROR(FIND("carcass",A30))=FALSE),5*VLOOKUP("Deep shelf "&amp;C30,KitchensData,18,0),""))))</f>
        <v/>
      </c>
      <c r="K30" s="152" t="str">
        <f>IF(ISERROR(FIND("sink",A30))=FALSE,VLOOKUP("Sink liner - Aluminium "&amp;RIGHT(A30,LEN(A30)-22)&amp;"mm",ExceptionalData,5,0),IF(ISERROR(FIND("bins",A30))=FALSE,VLOOKUP("Drawer runners and clip set for bin unit (500) Dynapro",FurnitureData,5,0)+(2*VLOOKUP("Bin (42L Anthracite)",FurnitureData,5,0)),IF(ISERROR(FIND("larder",A30))=FALSE,VLOOKUP("Pull out larder unit 600mm",FurnitureData,5,0),IF(AND(ISERROR(FIND("drawer box",A30))=FALSE,ISERROR(FIND("internal",A30))=TRUE),VLOOKUP("Drawer runners and clip set (550) Dynapro",FurnitureData,5,0),IF(ISERROR(FIND("internal drawer box",A30))=FALSE,VLOOKUP("Drawer runners and clip set (450) Dynapro",FurnitureData,5,0),"")))))</f>
        <v/>
      </c>
      <c r="L30" s="152">
        <f t="shared" si="3"/>
        <v>19.27052137</v>
      </c>
      <c r="M30" s="154">
        <f>IFERROR(__xludf.DUMMYFUNCTION("IF(A30="""","""",IF(OR(ISERROR(FIND(""larder"",A30))=FALSE,ISERROR(FIND(""unit"",A30))=FALSE),VLOOKUP(LEFT(A30,FIND("" "",A30))&amp;""carcass ""&amp;RIGHT(A30,LEN(A30)-len(regexextract(A30,"".* ""))),KitchensData,13,0),IF(ISERROR(FIND(""bins"",A30))=FALSE,0.95,IF"&amp;"(ISERROR(FIND(""Cutlery insert 600"",A30))=FALSE,1.3,IF(ISERROR(FIND(""Cutlery insert 1200"",A30))=FALSE,2,IF(ISERROR(FIND(""Pan/tray rack 600"",A30))=FALSE,3.25,IF(ISERROR(FIND(""Pan/tray rack 1200"",A30))=FALSE,5.9,IF(ISERROR(FIND(""split"",A30))=FALSE,"&amp;"(((C30/1000)*0.022)*2)+VLOOKUP(SUBSTITUTE(A30,"" split"",""""),KitchensData,13,0),IF(AND(ISERROR(FIND(""drawer front"",A30))=FALSE,KitchenDoorStyle=""Flat""),(((B30/1000)*(C30/1000))*2)+((((B30+C30)/1000)*2)*0.022),IF(AND(ISERROR(FIND(""drawer front"",A30"&amp;"))=FALSE,LEFT(KitchenDoorStyle,5)=""Panel""),(((B30/1000)*(C30/1000))*2)+((((B30+C30)/1000)*2)*0.022)+((((C30/1000)-0.16)*0.013)*2)+((((D30/1000)-0.16)*0.013)*2),IF(AND(ISERROR(FIND(""drawer front"",A30))=FALSE,KitchenDoorStyle=""In-frame flat""),((((B30-"&amp;"76)/1000)*((C30-38)/1000))*2)+(MID(KitchenDoorMaterial,FIND(""("",KitchenDoorMaterial)+1,2)/1000)*((((B30-76)+(C30-38))/1000)*2)+(((B30/1000)*0.032)*2)+((((B30-76)/1000)*0.032)*2)+(((B30/1000)*0.019)*4)+(((C30/1000)*0.032)*2)+((((C30-38)/1000)*0.032)*2)+("&amp;"((C30/1000)*0.038)*4),IF(AND(ISERROR(FIND(""drawer front"",A30))=FALSE,LEFT(KitchenDoorStyle,14)=""In-frame panel""),((((B30-76)/1000)*((C30-38)/1000))*2)+((MID(KitchenDoorMaterial,FIND(""("",KitchenDoorMaterial)+1,2)/1000)*((((B30-76)+(C30-38))/1000)*2))"&amp;"+((((B30-236)/1000)+((C30-198)/1000)*2)*0.013)+(((B30/1000)*0.032)*2)+((((B30-76)/1000)*0.032)*2)+(((B30/1000)*0.019)*4)+(((C30/1000)*0.032)*2)+((((C30-38)/1000)*0.032)*2)+(((C30/1000)*0.038)*4),IF(ISERROR(FIND(""drawer box"",A30))=FALSE,((((B30/1000)*(D3"&amp;"0/1000))+((B30/1000)*(C30/1000)))*4)+((((D30/1000)+(C30/1000))*0.016)*4)+(((C30/1000)*(D30/1000))*2),IF(OR(ISERROR(FIND(""shelf"",A30))=FALSE,ISERROR(FIND(""spacer"",A30))=FALSE,,ISERROR(FIND(""filler panel"",A30))=FALSE),(((C30/1000)*(D30/1000))*2)+((((C"&amp;"30+D30)*2)/1000)*0.022),IF(ISERROR(FIND(""lost corner"",A30))=FALSE,(((B30/1000)*(C30/1000))*2)+((B30/1000)*(C30/1000))+((B30/1000)*((C30/2)/1000))+((((B30/1000)*0.025)+((C30/1000)*0.025))*2),IF(ISERROR(FIND(""carcass"",A30))=FALSE,(((C30/1000)*(D30/1000)"&amp;")*2)+(((B30/1000)*(D30/1000))*2)+((B30/1000)*(C30/1000))+((((B30/1000)*0.025)+((C30/1000)*0.025))*2),IF(AND(ISERROR(FIND(""door"",A30))=FALSE,KitchenDoorStyle=""Flat""),(((B30/1000)*(C30/1000))*2)+(MID(KitchenDoorMaterial,FIND(""("",KitchenDoorMaterial)+1"&amp;",2)/1000)*(((B30+C30)/1000)*2),IF(AND(ISERROR(FIND(""door"",A30))=FALSE,LEFT(KitchenDoorStyle,5)=""Panel""),(((B30/1000)*(C30/1000))*2)+((MID(KitchenDoorMaterial,FIND(""("",KitchenDoorMaterial)+1,2)/1000)*(((B30+C30)/1000)*2))+(((((B30-160)+(C30-160))*2)/"&amp;"1000)*(0.013)),IF(AND(ISERROR(FIND(""door"",A30))=FALSE,KitchenDoorStyle=""In-frame flat""),((((B30-76)/1000)*((C30-38)/1000))*2)+(MID(KitchenDoorMaterial,FIND(""("",KitchenDoorMaterial)+1,2)/1000)*((((B30-76)+(C30-38))/1000)*2)+(((B30/1000)*0.032)*2)+((("&amp;"(B30-76)/1000)*0.032)*2)+(((B30/1000)*0.019)*4)+(((C30/1000)*0.032)*2)+((((C30-38)/1000)*0.032)*2)+(((C30/1000)*0.038)*4),IF(AND(ISERROR(FIND(""door"",A30))=FALSE,LEFT(KitchenDoorStyle,14)=""In-frame panel""),((((B30-76)/1000)*((C30-38)/1000))*2)+((MID(Ki"&amp;"tchenDoorMaterial,FIND(""("",KitchenDoorMaterial)+1,2)/1000)*((((B30-76)+(C30-38))/1000)*2))+((((B30-236)/1000)+((C30-198)/1000)*2)*0.013)+(((B30/1000)*0.032)*2)+((((B30-76)/1000)*0.032)*2)+(((B30/1000)*0.019)*4)+(((C30/1000)*0.032)*2)+((((C30-38)/1000)*0"&amp;".032)*2)+(((C30/1000)*0.038)*4),IF(ISERROR(FIND(""Plinth"",A30))=FALSE,((B30/1000)*(C30/1000))+(((C30/1000)*0.018)*2)+(((B30/1000)*0.018)*2),IF(ISERROR(FIND(""Cornice"",A30))=FALSE,(((C30/1000)*0.1)*2)+(((C30/1000)*0.044)*2)+(((B30/1000)*0.08)*2),IF(ISERR"&amp;"OR(FIND(""Base end panel"",A30))=FALSE,((B30/1000)*(C30/1000))+(0.022*((B30/1000)+((C30/1000)*2)))+((B30/1000)*0.05),IF(ISERROR(FIND(""Wall end panel"",A30))=FALSE,((B30/1000)*(C30/1000))+(0.022*((B30/1000)+((C30/1000)*2)))+((B30/1000)*0.05),IF(ISERROR(FI"&amp;"ND(""Tower end panel"",A30))=FALSE,((B30/1000)*(C30/1000))+(0.022*((B30/1000)+((C30/1000)*2)))+((B30/1000)*0.05),IF(ISERROR(FIND(""Fillers"",A30))=FALSE,((C30/1000)*0.06)+((C30/1000)*0.069)+((0.06*0.018)*2)+((0.06*0.009)*2)+((C30/1000)*0.009)+((C30/1000)*"&amp;"0.018),IF(ISERROR(FIND(""corner post"",A30))=FALSE,(((B30/1000*0.05)*2)+((B30/1000)*0.022)*2)+((B30/1000)*0.072)+((B30/1000)*0.05)+((0.072*0.022)*2)+((0.05*0.022)*2),IF(ISERROR(FIND(""Pelmet"",A30))=FALSE,((C30/1000)*0.05)+((C30/1000)*0.068)+((0.05*0.018)"&amp;"*4)+(((C30/1000)*0.018))*2))))))))))))))))))))))))))))"),1.0216)</f>
        <v>1.0216</v>
      </c>
      <c r="N30" s="152">
        <f>IF(M30="","",IF(AND(ISERROR(FIND("carcass",A30))=TRUE,ISERROR(FIND("unit",A30))=TRUE,ISERROR(FIND("insert",A30))=TRUE,ISERROR(FIND("rack",A30))=TRUE,ISERROR(FIND("box",A30))=TRUE,ISERROR(FIND("shelf",#REF!))=TRUE),VLOOKUP(KitchenDoorFinish,Finishing!$A$2:$K$10,9,0)*M30,VLOOKUP(KitchenCarcassFinish,Finishing!$A$2:$K$40,9,0)*M30))</f>
        <v>7.662</v>
      </c>
      <c r="O30" s="155">
        <v>1.0</v>
      </c>
      <c r="P30" s="155">
        <v>1.0</v>
      </c>
      <c r="Q30" s="152">
        <f>IF(OR(O30="",P30=""),"",((O30*X30)*(VLOOKUP("Workshop",Labour!$A$3:$E$20,4,0)/8))+((P30*AE30)*(VLOOKUP("Finishing",Labour!$A$3:$E$20,4,0)/8)))</f>
        <v>155.75</v>
      </c>
      <c r="R30" s="152">
        <f t="shared" si="4"/>
        <v>182.6825214</v>
      </c>
      <c r="S30" s="156">
        <f>IF(OR(O30="",P30=""),"",IF(OR(ISERROR(FIND("carcass",$A30))=FALSE,ISERROR(FIND("unit",$A30))=FALSE),VLOOKUP(KitchenCarcassMaterial,FixedListsCarcassMaterial,2,0),0))</f>
        <v>0</v>
      </c>
      <c r="T30" s="156">
        <f>IF(OR(O30="",P30=""),"",IF(ISERROR(FIND("door",$A30))=FALSE,VLOOKUP(KitchenDoorStyle,FixedListsDoorStyle,2,0),0))</f>
        <v>1</v>
      </c>
      <c r="U30" s="156">
        <f>IF(OR(O30="",P30=""),"",IF(ISERROR(FIND("door",$A30))=FALSE,VLOOKUP(KitchenDoorMaterial,FixedListsDoorMaterial,2,0),0))</f>
        <v>1</v>
      </c>
      <c r="V30" s="156">
        <f>IF(OR(O30="",P30=""),"",IF(ISERROR(FIND("drawer",$A30))=FALSE,VLOOKUP(KitchenDrawerType,FixedListsDrawerType,2,0),0))</f>
        <v>0</v>
      </c>
      <c r="W30" s="156">
        <f>IF(OR(O30="",P30=""),"",IF(OR(S30&gt;0, T30&gt;0,V30&gt;0),VLOOKUP(KitchenHandleType,FixedListsHandleType,2,FALSE)*IF(KitchenHandleType="Simple",0,IF(S30&gt;0,VLOOKUP(KitchenHandleType,FixedListsHandleType,4,FALSE),IF(OR(T30&gt;0,V30&gt;0),1-VLOOKUP(KitchenHandleType,FixedListsHandleType,4,FALSE),"Error"))),0))</f>
        <v>0</v>
      </c>
      <c r="X30" s="156">
        <f t="shared" si="5"/>
        <v>1</v>
      </c>
      <c r="Y30" s="156">
        <f>IF(OR(O30="",P30=""),"",IF(OR(ISERROR(FIND("carcass",$A30))=FALSE,ISERROR(FIND("unit",$A30))=FALSE),VLOOKUP(KitchenCarcassMaterial,FixedListsCarcassMaterial,3,0),0))</f>
        <v>0</v>
      </c>
      <c r="Z30" s="156">
        <f>IF(OR(O30="",P30=""),"",IF(ISERROR(FIND("door",$A30))=FALSE,VLOOKUP(KitchenDoorStyle,FixedListsDoorStyle,3,0),0))</f>
        <v>1</v>
      </c>
      <c r="AA30" s="156">
        <f>IF(OR(O30="",P30=""),"",IF(ISERROR(FIND("door",$A30))=FALSE,VLOOKUP(KitchenDoorMaterial,FixedListsDoorMaterial,3,0),0))</f>
        <v>2</v>
      </c>
      <c r="AB30" s="156">
        <f>IF(OR(O30="",P30=""),"",IF(ISERROR(FIND("drawer",$A30))=FALSE,VLOOKUP(KitchenDrawerType,FixedListsDrawerType,3,0),0))</f>
        <v>0</v>
      </c>
      <c r="AC30" s="156">
        <f>IF(OR(O30="",P30=""),"",IF(OR(Y30&gt;0,Z30&gt;0,AB30&gt;0),VLOOKUP(KitchenHandleType,FixedListsHandleType,3,FALSE),0))</f>
        <v>1</v>
      </c>
      <c r="AD30" s="156">
        <f>IF(OR(O30="",P30=""),"",IF(OR(ISERROR(FIND("carcass",$A30))=FALSE,ISERROR(FIND("unit",$A30))=FALSE),VLOOKUP(KitchenCarcassFinish,FixedListsFinishes,3,0),IF(OR(ISERROR(FIND("door",$A30))=FALSE,ISERROR(FIND("Plinth",$A30))=FALSE,ISERROR(FIND("Cornice",$A30))=FALSE,ISERROR(FIND("Fillers",$A30))=FALSE,ISERROR(FIND("Pelmet",$A30))=FALSE,ISERROR(FIND("panel",$A30))=FALSE,ISERROR(FIND("post",$A30))=FALSE),VLOOKUP(KitchenDoorFinish,FixedListsFinishes,3,0),IF(OR(ISERROR(FIND("drawer",$A30))=FALSE,ISERROR(FIND("insert",$A30))=FALSE,ISERROR(FIND("rck",$A30))=FALSE),VLOOKUP(KitchenCarcassFinish,FixedListsFinishes,3,0),0))))</f>
        <v>2</v>
      </c>
      <c r="AE30" s="156">
        <f t="shared" si="6"/>
        <v>4</v>
      </c>
      <c r="AF30" s="157" t="str">
        <f>IF(AND(KitchenHandleType="Channel",OR(ISERROR(FIND("arcass",$A30))=FALSE,ISERROR(FIND("unit",$A30))=FALSE)),IF(ISERROR(FIND("Tower",$A30))=TRUE,IF(KitchenHandleFinish="Match carcass",IF(ISERROR(FIND("Walnut",KitchenCarcassMaterial))=FALSE,(0.035*0.075*($C30/1000))*VLOOKUP("Walnut (solid m3)",SolidData,4,FALSE),IF(ISERROR(FIND("Oak",KitchenCarcassMaterial))=FALSE,(0.035*0.075*($C30/1000))*VLOOKUP("Oak (solid m3)",SolidData,4,FALSE),IF(ISERROR(FIND("ply",KitchenCarcassMaterial))=FALSE,(0.1*($C30/1000))*VLOOKUP("Birch ply (24mm)",SheetsData,7,FALSE),IF(ISERROR(FIND("H/F",KitchenCarcassMaterial))=FALSE,(0.1*($C30/1000))*VLOOKUP("H/F (22mm)",SheetsData,7,FALSE),"Carcass - not tower - new material")))),IF(KitchenHandleFinish="Match door",IF(ISERROR(FIND("Walnut",KitchenDoorMaterial))=FALSE,(0.035*0.075*($C30/1000))*VLOOKUP("Walnut (solid m3)",SolidData,4,FALSE),IF(ISERROR(FIND("Oak",KitchenDoorMaterial))=FALSE,(0.035*0.075*($C30/1000))*VLOOKUP("Oak (solid m3)",SolidData,4,FALSE),IF(ISERROR(FIND("ply",KitchenDoorMaterial))=FALSE,(0.1*($C30/1000))*VLOOKUP("Birch ply (24mm)",SheetsData,7,FALSE),IF(ISERROR(FIND("H/F",KitchenCarcassMaterial))=FALSE,(0.1*($C30/1000))*VLOOKUP("H/F (22mm)",SheetsData,7,FALSE),"Door - not tower - new material")))),"Channel - not tower - handle set to other")),IF(ISERROR(FIND("Tower",$A30))=FALSE,IF(KitchenHandleFinish="Match carcass",IF(ISERROR(FIND("Walnut",KitchenCarcassMaterial))=FALSE,(0.035*0.075*($B30/1000))*VLOOKUP("Walnut (solid m3)",SolidData,4,FALSE),IF(ISERROR(FIND("Oak",KitchenCarcassMaterial))=FALSE,(0.035*0.075*($B30/1000))*VLOOKUP("Oak (solid m3)",SolidData,4,FALSE),IF(ISERROR(FIND("ply",KitchenCarcassMaterial))=FALSE,(0.1*($B30/1000))*VLOOKUP("Birch ply (24mm)",SheetsData,7,FALSE),IF(ISERROR(FIND("H/F",KitchenCarcassMaterial))=FALSE,(0.1*($C30/1000))*VLOOKUP("H/F (22mm)",SheetsData,7,FALSE),"Carcass - tower - new material")))),IF(KitchenHandleFinish="Match door",IF(ISERROR(FIND("Walnut",KitchenDoorMaterial))=FALSE,(0.035*0.075*($B30/1000))*VLOOKUP("Walnut (solid m3)",SolidData,4,FALSE),IF(ISERROR(FIND("Oak",KitchenDoorMaterial))=FALSE,(0.035*0.075*($B30/1000))*VLOOKUP("Oak (solid m3)",SolidData,4,FALSE),IF(ISERROR(FIND("ply",KitchenDoorMaterial))=FALSE,(0.1*($B30/1000))*VLOOKUP("Birch ply (24mm)",SheetData,7,FALSE),IF(ISERROR(FIND("H/F",KitchenCarcassMaterial))=FALSE,(0.1*($C30/1000))*VLOOKUP("H/F (22mm)",SheetsData,7,FALSE),"Door - tower - new material")))),"Channel - tower - handle set to other")))),"")</f>
        <v/>
      </c>
    </row>
    <row r="31">
      <c r="A31" s="151" t="s">
        <v>139</v>
      </c>
      <c r="B31" s="115">
        <f t="shared" si="1"/>
        <v>800</v>
      </c>
      <c r="C31" s="115" t="str">
        <f>IFERROR(__xludf.DUMMYFUNCTION("IF(A31="""","""",IF(OR(RIGHT(A31,LEN(A31)-len(regexextract(A31,"".* "")))=""1200"",RIGHT(A31,LEN(A31)-len(regexextract(A31,"".* "")))=""600"",RIGHT(A31,LEN(A31)-len(regexextract(A31,"".* "")))=""400"",RIGHT(A31,LEN(A31)-len(regexextract(A31,"".* "")))=""3"&amp;"00"",RIGHT(A31,LEN(A31)-len(regexextract(A31,"".* "")))=""700"",RIGHT(A31,LEN(A31)-len(regexextract(A31,"".* "")))=""2400"",RIGHT(A31,LEN(A31)-len(regexextract(A31,"".* "")))=""650"",RIGHT(A31,LEN(A31)-len(regexextract(A31,"".* "")))=""350"",RIGHT(A31,LEN"&amp;"(A31)-len(regexextract(A31,"".* "")))=""50""),RIGHT(A31,LEN(A31)-len(regexextract(A31,"".* ""))),IF(OR(ISERROR(FIND(""spacer"",A31))=FALSE,ISERROR(FIND(""filler panel"",A31))=FALSE),""1000"",""Unexpected size in description"")))"),"400")</f>
        <v>400</v>
      </c>
      <c r="D31" s="151" t="str">
        <f t="shared" si="2"/>
        <v/>
      </c>
      <c r="E31" s="152">
        <f>IFERROR(__xludf.DUMMYFUNCTION("IF(OR(A31="""",AND(ISERROR(FIND(""drawer box"",A31))=FALSE,KitchenDrawerType="""")),"""",IF(OR(ISERROR(FIND(""larder"",A31))=FALSE,ISERROR(FIND(""fridge/freezer"",A31))=FALSE,ISERROR(FIND(""double oven"",A31))=FALSE,ISERROR(FIND(""single oven"",A31))=FALS"&amp;"E),VLOOKUP(LEFT(A31,FIND("" "",A31))&amp;""carcass ""&amp;RIGHT(A31,LEN(A31)-(LEN(A31)-3)),KitchensData,5,0),IF(ISERROR(FIND(""sink"",A31))=FALSE,VLOOKUP(LEFT(A31,FIND("" "",A31))&amp;""carcass ""&amp;VALUE(REGEXREPLACE(A31,""[^[:digit:]]"", """")),KitchensData,5,0)+(((C"&amp;"31/1000)*(300/1000))*VLOOKUP(KitchenCarcassMaterial,SheetsData,8,0)),IF(ISERROR(FIND(""bins"",A31))=FALSE,IF(ISERROR(FIND(""veneer"",KitchenCarcassMaterial))=FALSE,VLOOKUP(""Base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600"",A31))=FALSE,IF(ISERROR(FIND(""veneer"""&amp;",KitchenCarcassMaterial))=FALSE,0.54*(VLOOKUP(LEFT(KitchenCarcassMaterial,FIND(""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1200"",A31))=FALSE,"&amp;"IF(ISERROR(FIND(""veneer"",KitchenCarcassMaterial))=FALSE,0.84*(VLOOKUP(LEFT(KitchenCarcassMaterial,FIND(""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600"",A31))=FALSE,IF(ISERROR(FIND(""veneer"",KitchenCarcassMaterial))=FALSE,1.44*(VLOOKUP(LEFT(KitchenCarcassMaterial,FIND(""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1200"",A31))=FALSE,IF(ISERROR(FIND(""veneer"",KitchenCarcassMaterial))=FALSE,2.7*(VLOOKUP(LEFT(KitchenCarcassMaterial,FIND(""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front"",A31))=FALSE,((B31/1000)*(C31/1000))*VLOOKUP(KitchenDoorMaterial,SheetsData,8,0),IF(AND(KitchenDrawerType=""Match carcass"",ISERROR(FIND(""drawer box"",A31))=FALSE),(((((B31/1000)*(C31/1000))+((B31/1000"&amp;")*(D31/1000)))*2)*VLOOKUP(KitchenCarcassMaterial,SheetsData,8,0))+(((C31/1000)*(D31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box"",A31))=FALSE),(((((B31/1000)*(C31/1000))+((B31/1000)*(D31/1000)))*2)*(16/1000)*VLOOKUP(LEFT(KitchenCarcassMaterial,FIND("" "&amp;""",KitchenCarcassMaterial))&amp;""(solid m3)"",SolidData,5,0))+(((C31/1000)*(D31/1000))*VLOOKUP(LEFT(KitchenCarcassMaterial,FIND(""("",KitchenCarcassMaterial)-1)&amp;IF(OR(ISERROR(FIND(""ply"",KitchenCarcassMaterial))=FALSE,ISERROR(FIND(""H/F"",KitchenCarcassMate"&amp;"rial))=FALSE),""(9mm)"",""(10mm)""),SheetsData,8,0)),IF(ISERROR(FIND(""spacer"",A31))=FALSE,((D31/1000)*(C31/1000))*VLOOKUP(""Poplar ply (18mm)"",SheetsData,8,0),IF(ISERROR(FIND(""filler panel"",A31))=FALSE,((B31/1000)*(C31/1000))*VLOOKUP(KitchenDoorMater"&amp;"ial,SheetsData,8,0),IF(ISERROR(FIND(""shelf"",A31))=FALSE,((D31/1000)*(C31/1000))*VLOOKUP(KitchenCarcassMaterial,SheetsData,8,0),IF(ISERROR(FIND(""lost corner"",A31))=FALSE,VLOOKUP(LEFT(A31,FIND("" "",A31))&amp;""carcass ""&amp;VALUE(REGEXREPLACE(A31,""[^[:digit:"&amp;"]]"", """")),KitchensData,5,0)+((((B31/1000)*(C31/1000))+((B31/1000)*(60/1000)))*VLOOKUP(KitchenCarcassMaterial,SheetsData,8,0)),IF(ISERROR(FIND(""carcass"",A31))=FALSE,(((((B31/1000)*2)*(D31/1000))+(((C31/1000)*2)*(D31/1000)))*VLOOKUP(KitchenCarcassMater"&amp;"ial,SheetsData,8,0))+((B31/1000)*(C31/1000))*VLOOKUP(LEFT(KitchenCarcassMaterial,FIND(""("",KitchenCarcassMaterial)-1)&amp;IF(OR(ISERROR(FIND(""ply"",KitchenCarcassMaterial))=FALSE,ISERROR(FIND(""H/F"",KitchenCarcassMaterial))=FALSE),""(9mm)"",""(10mm)""),She"&amp;"etsData,8,0),IF(OR(ISERROR(FIND(""Plinth"",A31))=FALSE,ISERROR(FIND(""Cornice (flat)"",A31))=FALSE),((B31/1000)*(C31/1000))*VLOOKUP(""H/F (18mm)"",SheetsData,8,0),IF(ISERROR(FIND(""Cornice (stacked)"",A31))=FALSE,((0.08*(C31/1000))*2)*VLOOKUP(""H/F (22mm)"&amp;""",SheetsData,8,0),IF(ISERROR(FIND(""Base end panel"",A31))=FALSE,VLOOKUP(KitchenDoorMaterial,SheetsData,5,0)/3,IF(ISERROR(FIND(""Wall end panel"",A31))=FALSE,VLOOKUP(KitchenDoorMaterial,SheetsData,5,0)/9,IF(ISERROR(FIND(""Tower end panel"",A31))=FALSE,VL"&amp;"OOKUP(KitchenDoorMaterial,SheetsData,5,0),IF(ISERROR(FIND(""Fillers"",A31))=FALSE,(((0.06*(C31/1000))*2)*VLOOKUP(""H/F (18mm)"",SheetsData,8,0))+(((0.06*(C31/1000))*2)*VLOOKUP(""H/F (9mm)"",SheetsData,8,0)),IF(ISERROR(FIND(""corner post"",A31))=FALSE,(((B"&amp;"31/1000)*0.05)*2)*VLOOKUP(KitchenDoorMaterial,SheetsData,8,0),IF(ISERROR(FIND(""Pelmet"",A31))=FALSE,((((B31/1000)*(C31/1000))*2)*VLOOKUP(""H/F (18mm)"",SheetsData,8,0)),IF(ISERROR(FIND(""door"",A31))=TRUE,""Check description"",IF(KitchenDoorStyle=""Flat"&amp;""",((B31/1000)*(C31/1000))*VLOOKUP(KitchenDoorMaterial,SheetsData,8,0),IF(LEFT(KitchenDoorStyle,5)=""Panel"",(((((B31/1000)*2)*0.08)+((((C31/1000)-0.16)*2)*0.08))*VLOOKUP(""H/F (22mm)"",SheetsData,8,0))+(((B31/1000)-0.14)*((C31/1000)-0.14)*VLOOKUP(""H/F ("&amp;"9mm)"",SheetsData,8,0)),IF(KitchenDoorStyle=""In-frame flat"",((((((B31/1000)*0.019)*0.038)+((((C31-38)/1000)*0.038)*0.038))*2)*VLOOKUP(""Tulip (solid m3)"",SolidData,5,0))+(((B31-76)/1000)*((C31-38)/1000))*VLOOKUP(""H/F (22mm)"",SheetsData,8,0),IF(LEFT(K"&amp;"itchenDoorStyle,14)=""In-frame panel"",(((((((B31/1000)*0.019)*0.038)+((((C31-38)/1000)*0.038)*0.038))*2)*VLOOKUP(""Tulip (solid m3)"",SolidData,5,0))+(((((((B31-76)/1000)*2)*0.08)+(((((C31-198)/1000)*2)*0.08)))*VLOOKUP(""H/F (22mm)"",SheetsData,8,0))+((("&amp;"B31-216)/1000)*((C31-178)/1000)*VLOOKUP(""H/F (9mm)"",SheetsData,8,0)))))))))))))))))))))))))))))))))"),5.907014243482936)</f>
        <v>5.907014243</v>
      </c>
      <c r="F31" s="152" t="str">
        <f>IFERROR(__xludf.DUMMYFUNCTION("IF(OR(A31="""",AND(ISERROR(FIND(""drawer box"",A31))=FALSE,KitchenDrawerType=""Solid dovetail"")),"""",IF(ISERROR(FIND(""bins"",A31))=FALSE,VLOOKUP(""Base carcass 600"",KitchensData,6,0),IF(OR(ISERROR(FIND(""larder"",A31))=FALSE,ISERROR(FIND(""unit"",A31)"&amp;")=FALSE),VLOOKUP(LEFT(A31,FIND("" "",A31))&amp;""carcass ""&amp;RIGHT(A31,LEN(A31)-len(regexextract(A31,"".* ""))),KitchensData,6,0),IF(ISERROR(FIND(""drawer front"",A31))=FALSE,IF(ISERROR(FIND(""veneer"",KitchenCarcassMaterial))=TRUE,0,(((B31+C31)/1000)*2)*VLOOK"&amp;"UP(""Edge banding (per M)"",SheetsData,5,0)),IF(ISERROR(FIND(""drawer box"",A31))=FALSE,IF(ISERROR(FIND(""veneer"",KitchenCarcassMaterial))=TRUE,0,(((C31+D31)/1000)*2)*VLOOKUP(""Edge banding (per M)"",SheetsData,5,0)),IF(ISERROR(FIND(""shelf"",A31))=FALSE"&amp;",IF(ISERROR(FIND(""veneer"",KitchenCarcassMaterial))=TRUE,0,(C31/1000)*VLOOKUP(""Edge banding (per M)"",SheetsData,5,0)),IF(AND(ISERROR(FIND(""carcass"",A31))=FALSE,ISERROR(FIND(""shelf"",A31))=TRUE),IF(ISERROR(FIND(""veneer"",KitchenCarcassMaterial))=TRU"&amp;"E,0,((2*(B31+C31))/1000)*VLOOKUP(""Edge banding (per M)"",SheetsData,5,0)),IF(ISERROR(FIND(""door"",A31))=TRUE,"""",IF(ISERROR(FIND(""veneer"",KitchenDoorMaterial))=TRUE,"""",((2*(B31+C31))/1000)*VLOOKUP(""Edge banding (per M)"",SheetsData,5,0))))))))))"),"")</f>
        <v/>
      </c>
      <c r="G31" s="153" t="str">
        <f>IF(A31="","",IF(ISERROR(FIND("bins",A31))=FALSE,VLOOKUP("Base carcass 600",KitchensData,7,0),IF(OR(ISERROR(FIND("larder",A31))=FALSE,ISERROR(FIND("fridge/freezer",A31))=FALSE,ISERROR(FIND("double oven",A31))=FALSE,ISERROR(FIND("single oven",A31))=FALSE),VLOOKUP(LEFT(A31,FIND(" ",A31))&amp;"carcass "&amp;RIGHT(A31,LEN(A31)-(LEN(A31)-3)),KitchensData,7,0),IF(AND(ISERROR(FIND("carcass",A31))=FALSE,ISERROR(FIND("shelf",A31))=TRUE),IF(OR(ISERROR(FIND("Base",A31))=FALSE,ISERROR(FIND("Tower",A31))=FALSE),IF(OR(ISERROR(FIND("1200",A31))=FALSE, ISERROR(FIND("lost corner",A31))=FALSE),6*VLOOKUP("Plinth foot (2 Parts 80mm)",FurnitureData,5,0),4*VLOOKUP("Plinth foot (2 Parts 80mm)",FurnitureData,5,0)),""),""))))</f>
        <v/>
      </c>
      <c r="H31" s="153">
        <f>IF(OR(A31="",ISERROR(FIND("door",A31))=TRUE),"",IF(ISERROR(FIND("Wall",A31))=FALSE,VLOOKUP("Hinges &amp; plates (Hettich thick door)",FurnitureData,5,0)*2,IF(ISERROR(FIND("Base",A31))=FALSE,VLOOKUP("Hinges &amp; plates (Hettich thick door)",FurnitureData,5,0)*3,IF(ISERROR(FIND("Boiler",A31))=FALSE,VLOOKUP("Hinges &amp; plates (Hettich thick door)",FurnitureData,5,0)*4,IF(ISERROR(FIND("Tower",A31))=FALSE,VLOOKUP("Hinges &amp; plates (Hettich thick door)",FurnitureData,5,0)*5)))))</f>
        <v>10.41</v>
      </c>
      <c r="I31" s="115" t="str">
        <f>IF(ISERROR(FIND("shelf",A31))=FALSE,(VLOOKUP("Shelf pegs",FurnitureData,5,0)/100)*4,"")</f>
        <v/>
      </c>
      <c r="J31" s="152" t="str">
        <f>IF(OR(ISERROR(FIND("fridge/freezer",A31))=FALSE,ISERROR(FIND("larder",A31))=FALSE,AND(ISERROR(FIND("Base",A31))=FALSE,ISERROR(FIND("bins",A31))=TRUE,ISERROR(FIND("no shelves",A31))=TRUE,OR(ISERROR(FIND("carcass",A31))=FALSE,ISERROR(FIND("unit",A31))=FALSE))),VLOOKUP("Deep shelf "&amp;C31,KitchensData,18,0),IF(AND(ISERROR(FIND("Wall",A31))=FALSE,ISERROR(FIND("carcass",A31))=FALSE),2*VLOOKUP("Shallow shelf "&amp;C31,KitchensData,18,0),IF(AND(ISERROR(FIND("Tower",A31))=FALSE,ISERROR(FIND("oven",A31))=FALSE),4*VLOOKUP("Deep shelf "&amp;C31,KitchensData,18,0),IF(AND(ISERROR(FIND("Tower",A31))=FALSE,ISERROR(FIND("carcass",A31))=FALSE),5*VLOOKUP("Deep shelf "&amp;C31,KitchensData,18,0),""))))</f>
        <v/>
      </c>
      <c r="K31" s="152" t="str">
        <f>IF(ISERROR(FIND("sink",A31))=FALSE,VLOOKUP("Sink liner - Aluminium "&amp;RIGHT(A31,LEN(A31)-22)&amp;"mm",ExceptionalData,5,0),IF(ISERROR(FIND("bins",A31))=FALSE,VLOOKUP("Drawer runners and clip set for bin unit (500) Dynapro",FurnitureData,5,0)+(2*VLOOKUP("Bin (42L Anthracite)",FurnitureData,5,0)),IF(ISERROR(FIND("larder",A31))=FALSE,VLOOKUP("Pull out larder unit 600mm",FurnitureData,5,0),IF(AND(ISERROR(FIND("drawer box",A31))=FALSE,ISERROR(FIND("internal",A31))=TRUE),VLOOKUP("Drawer runners and clip set (550) Dynapro",FurnitureData,5,0),IF(ISERROR(FIND("internal drawer box",A31))=FALSE,VLOOKUP("Drawer runners and clip set (450) Dynapro",FurnitureData,5,0),"")))))</f>
        <v/>
      </c>
      <c r="L31" s="152">
        <f t="shared" si="3"/>
        <v>16.31701424</v>
      </c>
      <c r="M31" s="154">
        <f>IFERROR(__xludf.DUMMYFUNCTION("IF(A31="""","""",IF(OR(ISERROR(FIND(""larder"",A31))=FALSE,ISERROR(FIND(""unit"",A31))=FALSE),VLOOKUP(LEFT(A31,FIND("" "",A31))&amp;""carcass ""&amp;RIGHT(A31,LEN(A31)-len(regexextract(A31,"".* ""))),KitchensData,13,0),IF(ISERROR(FIND(""bins"",A31))=FALSE,0.95,IF"&amp;"(ISERROR(FIND(""Cutlery insert 600"",A31))=FALSE,1.3,IF(ISERROR(FIND(""Cutlery insert 1200"",A31))=FALSE,2,IF(ISERROR(FIND(""Pan/tray rack 600"",A31))=FALSE,3.25,IF(ISERROR(FIND(""Pan/tray rack 1200"",A31))=FALSE,5.9,IF(ISERROR(FIND(""split"",A31))=FALSE,"&amp;"(((C31/1000)*0.022)*2)+VLOOKUP(SUBSTITUTE(A31,"" split"",""""),KitchensData,13,0),IF(AND(ISERROR(FIND(""drawer front"",A31))=FALSE,KitchenDoorStyle=""Flat""),(((B31/1000)*(C31/1000))*2)+((((B31+C31)/1000)*2)*0.022),IF(AND(ISERROR(FIND(""drawer front"",A31"&amp;"))=FALSE,LEFT(KitchenDoorStyle,5)=""Panel""),(((B31/1000)*(C31/1000))*2)+((((B31+C31)/1000)*2)*0.022)+((((C31/1000)-0.16)*0.013)*2)+((((D31/1000)-0.16)*0.013)*2),IF(AND(ISERROR(FIND(""drawer front"",A31))=FALSE,KitchenDoorStyle=""In-frame flat""),((((B31-"&amp;"76)/1000)*((C31-38)/1000))*2)+(MID(KitchenDoorMaterial,FIND(""("",KitchenDoorMaterial)+1,2)/1000)*((((B31-76)+(C31-38))/1000)*2)+(((B31/1000)*0.032)*2)+((((B31-76)/1000)*0.032)*2)+(((B31/1000)*0.019)*4)+(((C31/1000)*0.032)*2)+((((C31-38)/1000)*0.032)*2)+("&amp;"((C31/1000)*0.038)*4),IF(AND(ISERROR(FIND(""drawer front"",A31))=FALSE,LEFT(KitchenDoorStyle,14)=""In-frame panel""),((((B31-76)/1000)*((C31-38)/1000))*2)+((MID(KitchenDoorMaterial,FIND(""("",KitchenDoorMaterial)+1,2)/1000)*((((B31-76)+(C31-38))/1000)*2))"&amp;"+((((B31-236)/1000)+((C31-198)/1000)*2)*0.013)+(((B31/1000)*0.032)*2)+((((B31-76)/1000)*0.032)*2)+(((B31/1000)*0.019)*4)+(((C31/1000)*0.032)*2)+((((C31-38)/1000)*0.032)*2)+(((C31/1000)*0.038)*4),IF(ISERROR(FIND(""drawer box"",A31))=FALSE,((((B31/1000)*(D3"&amp;"1/1000))+((B31/1000)*(C31/1000)))*4)+((((D31/1000)+(C31/1000))*0.016)*4)+(((C31/1000)*(D31/1000))*2),IF(OR(ISERROR(FIND(""shelf"",A31))=FALSE,ISERROR(FIND(""spacer"",A31))=FALSE,,ISERROR(FIND(""filler panel"",A31))=FALSE),(((C31/1000)*(D31/1000))*2)+((((C"&amp;"31+D31)*2)/1000)*0.022),IF(ISERROR(FIND(""lost corner"",A31))=FALSE,(((B31/1000)*(C31/1000))*2)+((B31/1000)*(C31/1000))+((B31/1000)*((C31/2)/1000))+((((B31/1000)*0.025)+((C31/1000)*0.025))*2),IF(ISERROR(FIND(""carcass"",A31))=FALSE,(((C31/1000)*(D31/1000)"&amp;")*2)+(((B31/1000)*(D31/1000))*2)+((B31/1000)*(C31/1000))+((((B31/1000)*0.025)+((C31/1000)*0.025))*2),IF(AND(ISERROR(FIND(""door"",A31))=FALSE,KitchenDoorStyle=""Flat""),(((B31/1000)*(C31/1000))*2)+(MID(KitchenDoorMaterial,FIND(""("",KitchenDoorMaterial)+1"&amp;",2)/1000)*(((B31+C31)/1000)*2),IF(AND(ISERROR(FIND(""door"",A31))=FALSE,LEFT(KitchenDoorStyle,5)=""Panel""),(((B31/1000)*(C31/1000))*2)+((MID(KitchenDoorMaterial,FIND(""("",KitchenDoorMaterial)+1,2)/1000)*(((B31+C31)/1000)*2))+(((((B31-160)+(C31-160))*2)/"&amp;"1000)*(0.013)),IF(AND(ISERROR(FIND(""door"",A31))=FALSE,KitchenDoorStyle=""In-frame flat""),((((B31-76)/1000)*((C31-38)/1000))*2)+(MID(KitchenDoorMaterial,FIND(""("",KitchenDoorMaterial)+1,2)/1000)*((((B31-76)+(C31-38))/1000)*2)+(((B31/1000)*0.032)*2)+((("&amp;"(B31-76)/1000)*0.032)*2)+(((B31/1000)*0.019)*4)+(((C31/1000)*0.032)*2)+((((C31-38)/1000)*0.032)*2)+(((C31/1000)*0.038)*4),IF(AND(ISERROR(FIND(""door"",A31))=FALSE,LEFT(KitchenDoorStyle,14)=""In-frame panel""),((((B31-76)/1000)*((C31-38)/1000))*2)+((MID(Ki"&amp;"tchenDoorMaterial,FIND(""("",KitchenDoorMaterial)+1,2)/1000)*((((B31-76)+(C31-38))/1000)*2))+((((B31-236)/1000)+((C31-198)/1000)*2)*0.013)+(((B31/1000)*0.032)*2)+((((B31-76)/1000)*0.032)*2)+(((B31/1000)*0.019)*4)+(((C31/1000)*0.032)*2)+((((C31-38)/1000)*0"&amp;".032)*2)+(((C31/1000)*0.038)*4),IF(ISERROR(FIND(""Plinth"",A31))=FALSE,((B31/1000)*(C31/1000))+(((C31/1000)*0.018)*2)+(((B31/1000)*0.018)*2),IF(ISERROR(FIND(""Cornice"",A31))=FALSE,(((C31/1000)*0.1)*2)+(((C31/1000)*0.044)*2)+(((B31/1000)*0.08)*2),IF(ISERR"&amp;"OR(FIND(""Base end panel"",A31))=FALSE,((B31/1000)*(C31/1000))+(0.022*((B31/1000)+((C31/1000)*2)))+((B31/1000)*0.05),IF(ISERROR(FIND(""Wall end panel"",A31))=FALSE,((B31/1000)*(C31/1000))+(0.022*((B31/1000)+((C31/1000)*2)))+((B31/1000)*0.05),IF(ISERROR(FI"&amp;"ND(""Tower end panel"",A31))=FALSE,((B31/1000)*(C31/1000))+(0.022*((B31/1000)+((C31/1000)*2)))+((B31/1000)*0.05),IF(ISERROR(FIND(""Fillers"",A31))=FALSE,((C31/1000)*0.06)+((C31/1000)*0.069)+((0.06*0.018)*2)+((0.06*0.009)*2)+((C31/1000)*0.009)+((C31/1000)*"&amp;"0.018),IF(ISERROR(FIND(""corner post"",A31))=FALSE,(((B31/1000*0.05)*2)+((B31/1000)*0.022)*2)+((B31/1000)*0.072)+((B31/1000)*0.05)+((0.072*0.022)*2)+((0.05*0.022)*2),IF(ISERROR(FIND(""Pelmet"",A31))=FALSE,((C31/1000)*0.05)+((C31/1000)*0.068)+((0.05*0.018)"&amp;"*4)+(((C31/1000)*0.018))*2))))))))))))))))))))))))))))"),0.6928000000000001)</f>
        <v>0.6928</v>
      </c>
      <c r="N31" s="152">
        <f>IF(M31="","",IF(AND(ISERROR(FIND("carcass",A31))=TRUE,ISERROR(FIND("unit",A31))=TRUE,ISERROR(FIND("insert",A31))=TRUE,ISERROR(FIND("rack",A31))=TRUE,ISERROR(FIND("box",A31))=TRUE,ISERROR(FIND("shelf",#REF!))=TRUE),VLOOKUP(KitchenDoorFinish,Finishing!$A$2:$K$10,9,0)*M31,VLOOKUP(KitchenCarcassFinish,Finishing!$A$2:$K$40,9,0)*M31))</f>
        <v>5.196</v>
      </c>
      <c r="O31" s="155">
        <v>1.0</v>
      </c>
      <c r="P31" s="155">
        <v>1.0</v>
      </c>
      <c r="Q31" s="152">
        <f>IF(OR(O31="",P31=""),"",((O31*X31)*(VLOOKUP("Workshop",Labour!$A$3:$E$20,4,0)/8))+((P31*AE31)*(VLOOKUP("Finishing",Labour!$A$3:$E$20,4,0)/8)))</f>
        <v>155.75</v>
      </c>
      <c r="R31" s="152">
        <f t="shared" si="4"/>
        <v>177.2630142</v>
      </c>
      <c r="S31" s="156">
        <f>IF(OR(O31="",P31=""),"",IF(OR(ISERROR(FIND("carcass",$A31))=FALSE,ISERROR(FIND("unit",$A31))=FALSE),VLOOKUP(KitchenCarcassMaterial,FixedListsCarcassMaterial,2,0),0))</f>
        <v>0</v>
      </c>
      <c r="T31" s="156">
        <f>IF(OR(O31="",P31=""),"",IF(ISERROR(FIND("door",$A31))=FALSE,VLOOKUP(KitchenDoorStyle,FixedListsDoorStyle,2,0),0))</f>
        <v>1</v>
      </c>
      <c r="U31" s="156">
        <f>IF(OR(O31="",P31=""),"",IF(ISERROR(FIND("door",$A31))=FALSE,VLOOKUP(KitchenDoorMaterial,FixedListsDoorMaterial,2,0),0))</f>
        <v>1</v>
      </c>
      <c r="V31" s="156">
        <f>IF(OR(O31="",P31=""),"",IF(ISERROR(FIND("drawer",$A31))=FALSE,VLOOKUP(KitchenDrawerType,FixedListsDrawerType,2,0),0))</f>
        <v>0</v>
      </c>
      <c r="W31" s="156">
        <f>IF(OR(O31="",P31=""),"",IF(OR(S31&gt;0, T31&gt;0,V31&gt;0),VLOOKUP(KitchenHandleType,FixedListsHandleType,2,FALSE)*IF(KitchenHandleType="Simple",0,IF(S31&gt;0,VLOOKUP(KitchenHandleType,FixedListsHandleType,4,FALSE),IF(OR(T31&gt;0,V31&gt;0),1-VLOOKUP(KitchenHandleType,FixedListsHandleType,4,FALSE),"Error"))),0))</f>
        <v>0</v>
      </c>
      <c r="X31" s="156">
        <f t="shared" si="5"/>
        <v>1</v>
      </c>
      <c r="Y31" s="156">
        <f>IF(OR(O31="",P31=""),"",IF(OR(ISERROR(FIND("carcass",$A31))=FALSE,ISERROR(FIND("unit",$A31))=FALSE),VLOOKUP(KitchenCarcassMaterial,FixedListsCarcassMaterial,3,0),0))</f>
        <v>0</v>
      </c>
      <c r="Z31" s="156">
        <f>IF(OR(O31="",P31=""),"",IF(ISERROR(FIND("door",$A31))=FALSE,VLOOKUP(KitchenDoorStyle,FixedListsDoorStyle,3,0),0))</f>
        <v>1</v>
      </c>
      <c r="AA31" s="156">
        <f>IF(OR(O31="",P31=""),"",IF(ISERROR(FIND("door",$A31))=FALSE,VLOOKUP(KitchenDoorMaterial,FixedListsDoorMaterial,3,0),0))</f>
        <v>2</v>
      </c>
      <c r="AB31" s="156">
        <f>IF(OR(O31="",P31=""),"",IF(ISERROR(FIND("drawer",$A31))=FALSE,VLOOKUP(KitchenDrawerType,FixedListsDrawerType,3,0),0))</f>
        <v>0</v>
      </c>
      <c r="AC31" s="156">
        <f>IF(OR(O31="",P31=""),"",IF(OR(Y31&gt;0,Z31&gt;0,AB31&gt;0),VLOOKUP(KitchenHandleType,FixedListsHandleType,3,FALSE),0))</f>
        <v>1</v>
      </c>
      <c r="AD31" s="156">
        <f>IF(OR(O31="",P31=""),"",IF(OR(ISERROR(FIND("carcass",$A31))=FALSE,ISERROR(FIND("unit",$A31))=FALSE),VLOOKUP(KitchenCarcassFinish,FixedListsFinishes,3,0),IF(OR(ISERROR(FIND("door",$A31))=FALSE,ISERROR(FIND("Plinth",$A31))=FALSE,ISERROR(FIND("Cornice",$A31))=FALSE,ISERROR(FIND("Fillers",$A31))=FALSE,ISERROR(FIND("Pelmet",$A31))=FALSE,ISERROR(FIND("panel",$A31))=FALSE,ISERROR(FIND("post",$A31))=FALSE),VLOOKUP(KitchenDoorFinish,FixedListsFinishes,3,0),IF(OR(ISERROR(FIND("drawer",$A31))=FALSE,ISERROR(FIND("insert",$A31))=FALSE,ISERROR(FIND("rck",$A31))=FALSE),VLOOKUP(KitchenCarcassFinish,FixedListsFinishes,3,0),0))))</f>
        <v>2</v>
      </c>
      <c r="AE31" s="156">
        <f t="shared" si="6"/>
        <v>4</v>
      </c>
      <c r="AF31" s="157" t="str">
        <f>IF(AND(KitchenHandleType="Channel",OR(ISERROR(FIND("arcass",$A31))=FALSE,ISERROR(FIND("unit",$A31))=FALSE)),IF(ISERROR(FIND("Tower",$A31))=TRUE,IF(KitchenHandleFinish="Match carcass",IF(ISERROR(FIND("Walnut",KitchenCarcassMaterial))=FALSE,(0.035*0.075*($C31/1000))*VLOOKUP("Walnut (solid m3)",SolidData,4,FALSE),IF(ISERROR(FIND("Oak",KitchenCarcassMaterial))=FALSE,(0.035*0.075*($C31/1000))*VLOOKUP("Oak (solid m3)",SolidData,4,FALSE),IF(ISERROR(FIND("ply",KitchenCarcassMaterial))=FALSE,(0.1*($C31/1000))*VLOOKUP("Birch ply (24mm)",SheetsData,7,FALSE),IF(ISERROR(FIND("H/F",KitchenCarcassMaterial))=FALSE,(0.1*($C31/1000))*VLOOKUP("H/F (22mm)",SheetsData,7,FALSE),"Carcass - not tower - new material")))),IF(KitchenHandleFinish="Match door",IF(ISERROR(FIND("Walnut",KitchenDoorMaterial))=FALSE,(0.035*0.075*($C31/1000))*VLOOKUP("Walnut (solid m3)",SolidData,4,FALSE),IF(ISERROR(FIND("Oak",KitchenDoorMaterial))=FALSE,(0.035*0.075*($C31/1000))*VLOOKUP("Oak (solid m3)",SolidData,4,FALSE),IF(ISERROR(FIND("ply",KitchenDoorMaterial))=FALSE,(0.1*($C31/1000))*VLOOKUP("Birch ply (24mm)",SheetsData,7,FALSE),IF(ISERROR(FIND("H/F",KitchenCarcassMaterial))=FALSE,(0.1*($C31/1000))*VLOOKUP("H/F (22mm)",SheetsData,7,FALSE),"Door - not tower - new material")))),"Channel - not tower - handle set to other")),IF(ISERROR(FIND("Tower",$A31))=FALSE,IF(KitchenHandleFinish="Match carcass",IF(ISERROR(FIND("Walnut",KitchenCarcassMaterial))=FALSE,(0.035*0.075*($B31/1000))*VLOOKUP("Walnut (solid m3)",SolidData,4,FALSE),IF(ISERROR(FIND("Oak",KitchenCarcassMaterial))=FALSE,(0.035*0.075*($B31/1000))*VLOOKUP("Oak (solid m3)",SolidData,4,FALSE),IF(ISERROR(FIND("ply",KitchenCarcassMaterial))=FALSE,(0.1*($B31/1000))*VLOOKUP("Birch ply (24mm)",SheetsData,7,FALSE),IF(ISERROR(FIND("H/F",KitchenCarcassMaterial))=FALSE,(0.1*($C31/1000))*VLOOKUP("H/F (22mm)",SheetsData,7,FALSE),"Carcass - tower - new material")))),IF(KitchenHandleFinish="Match door",IF(ISERROR(FIND("Walnut",KitchenDoorMaterial))=FALSE,(0.035*0.075*($B31/1000))*VLOOKUP("Walnut (solid m3)",SolidData,4,FALSE),IF(ISERROR(FIND("Oak",KitchenDoorMaterial))=FALSE,(0.035*0.075*($B31/1000))*VLOOKUP("Oak (solid m3)",SolidData,4,FALSE),IF(ISERROR(FIND("ply",KitchenDoorMaterial))=FALSE,(0.1*($B31/1000))*VLOOKUP("Birch ply (24mm)",SheetData,7,FALSE),IF(ISERROR(FIND("H/F",KitchenCarcassMaterial))=FALSE,(0.1*($C31/1000))*VLOOKUP("H/F (22mm)",SheetsData,7,FALSE),"Door - tower - new material")))),"Channel - tower - handle set to other")))),"")</f>
        <v/>
      </c>
    </row>
    <row r="32">
      <c r="A32" s="115" t="s">
        <v>140</v>
      </c>
      <c r="B32" s="115">
        <f t="shared" si="1"/>
        <v>800</v>
      </c>
      <c r="C32" s="115" t="str">
        <f>IFERROR(__xludf.DUMMYFUNCTION("IF(A32="""","""",IF(OR(RIGHT(A32,LEN(A32)-len(regexextract(A32,"".* "")))=""1200"",RIGHT(A32,LEN(A32)-len(regexextract(A32,"".* "")))=""600"",RIGHT(A32,LEN(A32)-len(regexextract(A32,"".* "")))=""400"",RIGHT(A32,LEN(A32)-len(regexextract(A32,"".* "")))=""3"&amp;"00"",RIGHT(A32,LEN(A32)-len(regexextract(A32,"".* "")))=""700"",RIGHT(A32,LEN(A32)-len(regexextract(A32,"".* "")))=""2400"",RIGHT(A32,LEN(A32)-len(regexextract(A32,"".* "")))=""650"",RIGHT(A32,LEN(A32)-len(regexextract(A32,"".* "")))=""350"",RIGHT(A32,LEN"&amp;"(A32)-len(regexextract(A32,"".* "")))=""50""),RIGHT(A32,LEN(A32)-len(regexextract(A32,"".* ""))),IF(OR(ISERROR(FIND(""spacer"",A32))=FALSE,ISERROR(FIND(""filler panel"",A32))=FALSE),""1000"",""Unexpected size in description"")))"),"300")</f>
        <v>300</v>
      </c>
      <c r="D32" s="151" t="str">
        <f t="shared" si="2"/>
        <v/>
      </c>
      <c r="E32" s="152">
        <f>IFERROR(__xludf.DUMMYFUNCTION("IF(OR(A32="""",AND(ISERROR(FIND(""drawer box"",A32))=FALSE,KitchenDrawerType="""")),"""",IF(OR(ISERROR(FIND(""larder"",A32))=FALSE,ISERROR(FIND(""fridge/freezer"",A32))=FALSE,ISERROR(FIND(""double oven"",A32))=FALSE,ISERROR(FIND(""single oven"",A32))=FALS"&amp;"E),VLOOKUP(LEFT(A32,FIND("" "",A32))&amp;""carcass ""&amp;RIGHT(A32,LEN(A32)-(LEN(A32)-3)),KitchensData,5,0),IF(ISERROR(FIND(""sink"",A32))=FALSE,VLOOKUP(LEFT(A32,FIND("" "",A32))&amp;""carcass ""&amp;VALUE(REGEXREPLACE(A32,""[^[:digit:]]"", """")),KitchensData,5,0)+(((C"&amp;"32/1000)*(300/1000))*VLOOKUP(KitchenCarcassMaterial,SheetsData,8,0)),IF(ISERROR(FIND(""bins"",A32))=FALSE,IF(ISERROR(FIND(""veneer"",KitchenCarcassMaterial))=FALSE,VLOOKUP(""Base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600"",A32))=FALSE,IF(ISERROR(FIND(""veneer"""&amp;",KitchenCarcassMaterial))=FALSE,0.54*(VLOOKUP(LEFT(KitchenCarcassMaterial,FIND(""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1200"",A32))=FALSE,"&amp;"IF(ISERROR(FIND(""veneer"",KitchenCarcassMaterial))=FALSE,0.84*(VLOOKUP(LEFT(KitchenCarcassMaterial,FIND(""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600"",A32))=FALSE,IF(ISERROR(FIND(""veneer"",KitchenCarcassMaterial))=FALSE,1.44*(VLOOKUP(LEFT(KitchenCarcassMaterial,FIND(""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1200"",A32))=FALSE,IF(ISERROR(FIND(""veneer"",KitchenCarcassMaterial))=FALSE,2.7*(VLOOKUP(LEFT(KitchenCarcassMaterial,FIND(""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front"",A32))=FALSE,((B32/1000)*(C32/1000))*VLOOKUP(KitchenDoorMaterial,SheetsData,8,0),IF(AND(KitchenDrawerType=""Match carcass"",ISERROR(FIND(""drawer box"",A32))=FALSE),(((((B32/1000)*(C32/1000))+((B32/1000"&amp;")*(D32/1000)))*2)*VLOOKUP(KitchenCarcassMaterial,SheetsData,8,0))+(((C32/1000)*(D32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box"",A32))=FALSE),(((((B32/1000)*(C32/1000))+((B32/1000)*(D32/1000)))*2)*(16/1000)*VLOOKUP(LEFT(KitchenCarcassMaterial,FIND("" "&amp;""",KitchenCarcassMaterial))&amp;""(solid m3)"",SolidData,5,0))+(((C32/1000)*(D32/1000))*VLOOKUP(LEFT(KitchenCarcassMaterial,FIND(""("",KitchenCarcassMaterial)-1)&amp;IF(OR(ISERROR(FIND(""ply"",KitchenCarcassMaterial))=FALSE,ISERROR(FIND(""H/F"",KitchenCarcassMate"&amp;"rial))=FALSE),""(9mm)"",""(10mm)""),SheetsData,8,0)),IF(ISERROR(FIND(""spacer"",A32))=FALSE,((D32/1000)*(C32/1000))*VLOOKUP(""Poplar ply (18mm)"",SheetsData,8,0),IF(ISERROR(FIND(""filler panel"",A32))=FALSE,((B32/1000)*(C32/1000))*VLOOKUP(KitchenDoorMater"&amp;"ial,SheetsData,8,0),IF(ISERROR(FIND(""shelf"",A32))=FALSE,((D32/1000)*(C32/1000))*VLOOKUP(KitchenCarcassMaterial,SheetsData,8,0),IF(ISERROR(FIND(""lost corner"",A32))=FALSE,VLOOKUP(LEFT(A32,FIND("" "",A32))&amp;""carcass ""&amp;VALUE(REGEXREPLACE(A32,""[^[:digit:"&amp;"]]"", """")),KitchensData,5,0)+((((B32/1000)*(C32/1000))+((B32/1000)*(60/1000)))*VLOOKUP(KitchenCarcassMaterial,SheetsData,8,0)),IF(ISERROR(FIND(""carcass"",A32))=FALSE,(((((B32/1000)*2)*(D32/1000))+(((C32/1000)*2)*(D32/1000)))*VLOOKUP(KitchenCarcassMater"&amp;"ial,SheetsData,8,0))+((B32/1000)*(C32/1000))*VLOOKUP(LEFT(KitchenCarcassMaterial,FIND(""("",KitchenCarcassMaterial)-1)&amp;IF(OR(ISERROR(FIND(""ply"",KitchenCarcassMaterial))=FALSE,ISERROR(FIND(""H/F"",KitchenCarcassMaterial))=FALSE),""(9mm)"",""(10mm)""),She"&amp;"etsData,8,0),IF(OR(ISERROR(FIND(""Plinth"",A32))=FALSE,ISERROR(FIND(""Cornice (flat)"",A32))=FALSE),((B32/1000)*(C32/1000))*VLOOKUP(""H/F (18mm)"",SheetsData,8,0),IF(ISERROR(FIND(""Cornice (stacked)"",A32))=FALSE,((0.08*(C32/1000))*2)*VLOOKUP(""H/F (22mm)"&amp;""",SheetsData,8,0),IF(ISERROR(FIND(""Base end panel"",A32))=FALSE,VLOOKUP(KitchenDoorMaterial,SheetsData,5,0)/3,IF(ISERROR(FIND(""Wall end panel"",A32))=FALSE,VLOOKUP(KitchenDoorMaterial,SheetsData,5,0)/9,IF(ISERROR(FIND(""Tower end panel"",A32))=FALSE,VL"&amp;"OOKUP(KitchenDoorMaterial,SheetsData,5,0),IF(ISERROR(FIND(""Fillers"",A32))=FALSE,(((0.06*(C32/1000))*2)*VLOOKUP(""H/F (18mm)"",SheetsData,8,0))+(((0.06*(C32/1000))*2)*VLOOKUP(""H/F (9mm)"",SheetsData,8,0)),IF(ISERROR(FIND(""corner post"",A32))=FALSE,(((B"&amp;"32/1000)*0.05)*2)*VLOOKUP(KitchenDoorMaterial,SheetsData,8,0),IF(ISERROR(FIND(""Pelmet"",A32))=FALSE,((((B32/1000)*(C32/1000))*2)*VLOOKUP(""H/F (18mm)"",SheetsData,8,0)),IF(ISERROR(FIND(""door"",A32))=TRUE,""Check description"",IF(KitchenDoorStyle=""Flat"&amp;""",((B32/1000)*(C32/1000))*VLOOKUP(KitchenDoorMaterial,SheetsData,8,0),IF(LEFT(KitchenDoorStyle,5)=""Panel"",(((((B32/1000)*2)*0.08)+((((C32/1000)-0.16)*2)*0.08))*VLOOKUP(""H/F (22mm)"",SheetsData,8,0))+(((B32/1000)-0.14)*((C32/1000)-0.14)*VLOOKUP(""H/F ("&amp;"9mm)"",SheetsData,8,0)),IF(KitchenDoorStyle=""In-frame flat"",((((((B32/1000)*0.019)*0.038)+((((C32-38)/1000)*0.038)*0.038))*2)*VLOOKUP(""Tulip (solid m3)"",SolidData,5,0))+(((B32-76)/1000)*((C32-38)/1000))*VLOOKUP(""H/F (22mm)"",SheetsData,8,0),IF(LEFT(K"&amp;"itchenDoorStyle,14)=""In-frame panel"",(((((((B32/1000)*0.019)*0.038)+((((C32-38)/1000)*0.038)*0.038))*2)*VLOOKUP(""Tulip (solid m3)"",SolidData,5,0))+(((((((B32-76)/1000)*2)*0.08)+(((((C32-198)/1000)*2)*0.08)))*VLOOKUP(""H/F (22mm)"",SheetsData,8,0))+((("&amp;"B32-216)/1000)*((C32-178)/1000)*VLOOKUP(""H/F (9mm)"",SheetsData,8,0)))))))))))))))))))))))))))))))))"),4.430260682612201)</f>
        <v>4.430260683</v>
      </c>
      <c r="F32" s="152" t="str">
        <f>IFERROR(__xludf.DUMMYFUNCTION("IF(OR(A32="""",AND(ISERROR(FIND(""drawer box"",A32))=FALSE,KitchenDrawerType=""Solid dovetail"")),"""",IF(ISERROR(FIND(""bins"",A32))=FALSE,VLOOKUP(""Base carcass 600"",KitchensData,6,0),IF(OR(ISERROR(FIND(""larder"",A32))=FALSE,ISERROR(FIND(""unit"",A32)"&amp;")=FALSE),VLOOKUP(LEFT(A32,FIND("" "",A32))&amp;""carcass ""&amp;RIGHT(A32,LEN(A32)-len(regexextract(A32,"".* ""))),KitchensData,6,0),IF(ISERROR(FIND(""drawer front"",A32))=FALSE,IF(ISERROR(FIND(""veneer"",KitchenCarcassMaterial))=TRUE,0,(((B32+C32)/1000)*2)*VLOOK"&amp;"UP(""Edge banding (per M)"",SheetsData,5,0)),IF(ISERROR(FIND(""drawer box"",A32))=FALSE,IF(ISERROR(FIND(""veneer"",KitchenCarcassMaterial))=TRUE,0,(((C32+D32)/1000)*2)*VLOOKUP(""Edge banding (per M)"",SheetsData,5,0)),IF(ISERROR(FIND(""shelf"",A32))=FALSE"&amp;",IF(ISERROR(FIND(""veneer"",KitchenCarcassMaterial))=TRUE,0,(C32/1000)*VLOOKUP(""Edge banding (per M)"",SheetsData,5,0)),IF(AND(ISERROR(FIND(""carcass"",A32))=FALSE,ISERROR(FIND(""shelf"",A32))=TRUE),IF(ISERROR(FIND(""veneer"",KitchenCarcassMaterial))=TRU"&amp;"E,0,((2*(B32+C32))/1000)*VLOOKUP(""Edge banding (per M)"",SheetsData,5,0)),IF(ISERROR(FIND(""door"",A32))=TRUE,"""",IF(ISERROR(FIND(""veneer"",KitchenDoorMaterial))=TRUE,"""",((2*(B32+C32))/1000)*VLOOKUP(""Edge banding (per M)"",SheetsData,5,0))))))))))"),"")</f>
        <v/>
      </c>
      <c r="G32" s="153" t="str">
        <f>IF(A32="","",IF(ISERROR(FIND("bins",A32))=FALSE,VLOOKUP("Base carcass 600",KitchensData,7,0),IF(OR(ISERROR(FIND("larder",A32))=FALSE,ISERROR(FIND("fridge/freezer",A32))=FALSE,ISERROR(FIND("double oven",A32))=FALSE,ISERROR(FIND("single oven",A32))=FALSE),VLOOKUP(LEFT(A32,FIND(" ",A32))&amp;"carcass "&amp;RIGHT(A32,LEN(A32)-(LEN(A32)-3)),KitchensData,7,0),IF(AND(ISERROR(FIND("carcass",A32))=FALSE,ISERROR(FIND("shelf",A32))=TRUE),IF(OR(ISERROR(FIND("Base",A32))=FALSE,ISERROR(FIND("Tower",A32))=FALSE),IF(OR(ISERROR(FIND("1200",A32))=FALSE, ISERROR(FIND("lost corner",A32))=FALSE),6*VLOOKUP("Plinth foot (2 Parts 80mm)",FurnitureData,5,0),4*VLOOKUP("Plinth foot (2 Parts 80mm)",FurnitureData,5,0)),""),""))))</f>
        <v/>
      </c>
      <c r="H32" s="153">
        <f>IF(OR(A32="",ISERROR(FIND("door",A32))=TRUE),"",IF(ISERROR(FIND("Wall",A32))=FALSE,VLOOKUP("Hinges &amp; plates (Hettich thick door)",FurnitureData,5,0)*2,IF(ISERROR(FIND("Base",A32))=FALSE,VLOOKUP("Hinges &amp; plates (Hettich thick door)",FurnitureData,5,0)*3,IF(ISERROR(FIND("Boiler",A32))=FALSE,VLOOKUP("Hinges &amp; plates (Hettich thick door)",FurnitureData,5,0)*4,IF(ISERROR(FIND("Tower",A32))=FALSE,VLOOKUP("Hinges &amp; plates (Hettich thick door)",FurnitureData,5,0)*5)))))</f>
        <v>10.41</v>
      </c>
      <c r="I32" s="115" t="str">
        <f>IF(ISERROR(FIND("shelf",A32))=FALSE,(VLOOKUP("Shelf pegs",FurnitureData,5,0)/100)*4,"")</f>
        <v/>
      </c>
      <c r="J32" s="152" t="str">
        <f>IF(OR(ISERROR(FIND("fridge/freezer",A32))=FALSE,ISERROR(FIND("larder",A32))=FALSE,AND(ISERROR(FIND("Base",A32))=FALSE,ISERROR(FIND("bins",A32))=TRUE,ISERROR(FIND("no shelves",A32))=TRUE,OR(ISERROR(FIND("carcass",A32))=FALSE,ISERROR(FIND("unit",A32))=FALSE))),VLOOKUP("Deep shelf "&amp;C32,KitchensData,18,0),IF(AND(ISERROR(FIND("Wall",A32))=FALSE,ISERROR(FIND("carcass",A32))=FALSE),2*VLOOKUP("Shallow shelf "&amp;C32,KitchensData,18,0),IF(AND(ISERROR(FIND("Tower",A32))=FALSE,ISERROR(FIND("oven",A32))=FALSE),4*VLOOKUP("Deep shelf "&amp;C32,KitchensData,18,0),IF(AND(ISERROR(FIND("Tower",A32))=FALSE,ISERROR(FIND("carcass",A32))=FALSE),5*VLOOKUP("Deep shelf "&amp;C32,KitchensData,18,0),""))))</f>
        <v/>
      </c>
      <c r="K32" s="152" t="str">
        <f>IF(ISERROR(FIND("sink",A32))=FALSE,VLOOKUP("Sink liner - Aluminium "&amp;RIGHT(A32,LEN(A32)-22)&amp;"mm",ExceptionalData,5,0),IF(ISERROR(FIND("bins",A32))=FALSE,VLOOKUP("Drawer runners and clip set for bin unit (500) Dynapro",FurnitureData,5,0)+(2*VLOOKUP("Bin (42L Anthracite)",FurnitureData,5,0)),IF(ISERROR(FIND("larder",A32))=FALSE,VLOOKUP("Pull out larder unit 600mm",FurnitureData,5,0),IF(AND(ISERROR(FIND("drawer box",A32))=FALSE,ISERROR(FIND("internal",A32))=TRUE),VLOOKUP("Drawer runners and clip set (550) Dynapro",FurnitureData,5,0),IF(ISERROR(FIND("internal drawer box",A32))=FALSE,VLOOKUP("Drawer runners and clip set (450) Dynapro",FurnitureData,5,0),"")))))</f>
        <v/>
      </c>
      <c r="L32" s="152">
        <f t="shared" si="3"/>
        <v>14.84026068</v>
      </c>
      <c r="M32" s="154">
        <f>IFERROR(__xludf.DUMMYFUNCTION("IF(A32="""","""",IF(OR(ISERROR(FIND(""larder"",A32))=FALSE,ISERROR(FIND(""unit"",A32))=FALSE),VLOOKUP(LEFT(A32,FIND("" "",A32))&amp;""carcass ""&amp;RIGHT(A32,LEN(A32)-len(regexextract(A32,"".* ""))),KitchensData,13,0),IF(ISERROR(FIND(""bins"",A32))=FALSE,0.95,IF"&amp;"(ISERROR(FIND(""Cutlery insert 600"",A32))=FALSE,1.3,IF(ISERROR(FIND(""Cutlery insert 1200"",A32))=FALSE,2,IF(ISERROR(FIND(""Pan/tray rack 600"",A32))=FALSE,3.25,IF(ISERROR(FIND(""Pan/tray rack 1200"",A32))=FALSE,5.9,IF(ISERROR(FIND(""split"",A32))=FALSE,"&amp;"(((C32/1000)*0.022)*2)+VLOOKUP(SUBSTITUTE(A32,"" split"",""""),KitchensData,13,0),IF(AND(ISERROR(FIND(""drawer front"",A32))=FALSE,KitchenDoorStyle=""Flat""),(((B32/1000)*(C32/1000))*2)+((((B32+C32)/1000)*2)*0.022),IF(AND(ISERROR(FIND(""drawer front"",A32"&amp;"))=FALSE,LEFT(KitchenDoorStyle,5)=""Panel""),(((B32/1000)*(C32/1000))*2)+((((B32+C32)/1000)*2)*0.022)+((((C32/1000)-0.16)*0.013)*2)+((((D32/1000)-0.16)*0.013)*2),IF(AND(ISERROR(FIND(""drawer front"",A32))=FALSE,KitchenDoorStyle=""In-frame flat""),((((B32-"&amp;"76)/1000)*((C32-38)/1000))*2)+(MID(KitchenDoorMaterial,FIND(""("",KitchenDoorMaterial)+1,2)/1000)*((((B32-76)+(C32-38))/1000)*2)+(((B32/1000)*0.032)*2)+((((B32-76)/1000)*0.032)*2)+(((B32/1000)*0.019)*4)+(((C32/1000)*0.032)*2)+((((C32-38)/1000)*0.032)*2)+("&amp;"((C32/1000)*0.038)*4),IF(AND(ISERROR(FIND(""drawer front"",A32))=FALSE,LEFT(KitchenDoorStyle,14)=""In-frame panel""),((((B32-76)/1000)*((C32-38)/1000))*2)+((MID(KitchenDoorMaterial,FIND(""("",KitchenDoorMaterial)+1,2)/1000)*((((B32-76)+(C32-38))/1000)*2))"&amp;"+((((B32-236)/1000)+((C32-198)/1000)*2)*0.013)+(((B32/1000)*0.032)*2)+((((B32-76)/1000)*0.032)*2)+(((B32/1000)*0.019)*4)+(((C32/1000)*0.032)*2)+((((C32-38)/1000)*0.032)*2)+(((C32/1000)*0.038)*4),IF(ISERROR(FIND(""drawer box"",A32))=FALSE,((((B32/1000)*(D3"&amp;"2/1000))+((B32/1000)*(C32/1000)))*4)+((((D32/1000)+(C32/1000))*0.016)*4)+(((C32/1000)*(D32/1000))*2),IF(OR(ISERROR(FIND(""shelf"",A32))=FALSE,ISERROR(FIND(""spacer"",A32))=FALSE,,ISERROR(FIND(""filler panel"",A32))=FALSE),(((C32/1000)*(D32/1000))*2)+((((C"&amp;"32+D32)*2)/1000)*0.022),IF(ISERROR(FIND(""lost corner"",A32))=FALSE,(((B32/1000)*(C32/1000))*2)+((B32/1000)*(C32/1000))+((B32/1000)*((C32/2)/1000))+((((B32/1000)*0.025)+((C32/1000)*0.025))*2),IF(ISERROR(FIND(""carcass"",A32))=FALSE,(((C32/1000)*(D32/1000)"&amp;")*2)+(((B32/1000)*(D32/1000))*2)+((B32/1000)*(C32/1000))+((((B32/1000)*0.025)+((C32/1000)*0.025))*2),IF(AND(ISERROR(FIND(""door"",A32))=FALSE,KitchenDoorStyle=""Flat""),(((B32/1000)*(C32/1000))*2)+(MID(KitchenDoorMaterial,FIND(""("",KitchenDoorMaterial)+1"&amp;",2)/1000)*(((B32+C32)/1000)*2),IF(AND(ISERROR(FIND(""door"",A32))=FALSE,LEFT(KitchenDoorStyle,5)=""Panel""),(((B32/1000)*(C32/1000))*2)+((MID(KitchenDoorMaterial,FIND(""("",KitchenDoorMaterial)+1,2)/1000)*(((B32+C32)/1000)*2))+(((((B32-160)+(C32-160))*2)/"&amp;"1000)*(0.013)),IF(AND(ISERROR(FIND(""door"",A32))=FALSE,KitchenDoorStyle=""In-frame flat""),((((B32-76)/1000)*((C32-38)/1000))*2)+(MID(KitchenDoorMaterial,FIND(""("",KitchenDoorMaterial)+1,2)/1000)*((((B32-76)+(C32-38))/1000)*2)+(((B32/1000)*0.032)*2)+((("&amp;"(B32-76)/1000)*0.032)*2)+(((B32/1000)*0.019)*4)+(((C32/1000)*0.032)*2)+((((C32-38)/1000)*0.032)*2)+(((C32/1000)*0.038)*4),IF(AND(ISERROR(FIND(""door"",A32))=FALSE,LEFT(KitchenDoorStyle,14)=""In-frame panel""),((((B32-76)/1000)*((C32-38)/1000))*2)+((MID(Ki"&amp;"tchenDoorMaterial,FIND(""("",KitchenDoorMaterial)+1,2)/1000)*((((B32-76)+(C32-38))/1000)*2))+((((B32-236)/1000)+((C32-198)/1000)*2)*0.013)+(((B32/1000)*0.032)*2)+((((B32-76)/1000)*0.032)*2)+(((B32/1000)*0.019)*4)+(((C32/1000)*0.032)*2)+((((C32-38)/1000)*0"&amp;".032)*2)+(((C32/1000)*0.038)*4),IF(ISERROR(FIND(""Plinth"",A32))=FALSE,((B32/1000)*(C32/1000))+(((C32/1000)*0.018)*2)+(((B32/1000)*0.018)*2),IF(ISERROR(FIND(""Cornice"",A32))=FALSE,(((C32/1000)*0.1)*2)+(((C32/1000)*0.044)*2)+(((B32/1000)*0.08)*2),IF(ISERR"&amp;"OR(FIND(""Base end panel"",A32))=FALSE,((B32/1000)*(C32/1000))+(0.022*((B32/1000)+((C32/1000)*2)))+((B32/1000)*0.05),IF(ISERROR(FIND(""Wall end panel"",A32))=FALSE,((B32/1000)*(C32/1000))+(0.022*((B32/1000)+((C32/1000)*2)))+((B32/1000)*0.05),IF(ISERROR(FI"&amp;"ND(""Tower end panel"",A32))=FALSE,((B32/1000)*(C32/1000))+(0.022*((B32/1000)+((C32/1000)*2)))+((B32/1000)*0.05),IF(ISERROR(FIND(""Fillers"",A32))=FALSE,((C32/1000)*0.06)+((C32/1000)*0.069)+((0.06*0.018)*2)+((0.06*0.009)*2)+((C32/1000)*0.009)+((C32/1000)*"&amp;"0.018),IF(ISERROR(FIND(""corner post"",A32))=FALSE,(((B32/1000*0.05)*2)+((B32/1000)*0.022)*2)+((B32/1000)*0.072)+((B32/1000)*0.05)+((0.072*0.022)*2)+((0.05*0.022)*2),IF(ISERROR(FIND(""Pelmet"",A32))=FALSE,((C32/1000)*0.05)+((C32/1000)*0.068)+((0.05*0.018)"&amp;"*4)+(((C32/1000)*0.018))*2))))))))))))))))))))))))))))"),0.5284)</f>
        <v>0.5284</v>
      </c>
      <c r="N32" s="152">
        <f>IF(M32="","",IF(AND(ISERROR(FIND("carcass",A32))=TRUE,ISERROR(FIND("unit",A32))=TRUE,ISERROR(FIND("insert",A32))=TRUE,ISERROR(FIND("rack",A32))=TRUE,ISERROR(FIND("box",A32))=TRUE,ISERROR(FIND("shelf",#REF!))=TRUE),VLOOKUP(KitchenDoorFinish,Finishing!$A$2:$K$10,9,0)*M32,VLOOKUP(KitchenCarcassFinish,Finishing!$A$2:$K$40,9,0)*M32))</f>
        <v>3.963</v>
      </c>
      <c r="O32" s="155">
        <v>1.0</v>
      </c>
      <c r="P32" s="155">
        <v>1.0</v>
      </c>
      <c r="Q32" s="152">
        <f>IF(OR(O32="",P32=""),"",((O32*X32)*(VLOOKUP("Workshop",Labour!$A$3:$E$20,4,0)/8))+((P32*AE32)*(VLOOKUP("Finishing",Labour!$A$3:$E$20,4,0)/8)))</f>
        <v>155.75</v>
      </c>
      <c r="R32" s="152">
        <f t="shared" si="4"/>
        <v>174.5532607</v>
      </c>
      <c r="S32" s="156">
        <f>IF(OR(O32="",P32=""),"",IF(OR(ISERROR(FIND("carcass",$A32))=FALSE,ISERROR(FIND("unit",$A32))=FALSE),VLOOKUP(KitchenCarcassMaterial,FixedListsCarcassMaterial,2,0),0))</f>
        <v>0</v>
      </c>
      <c r="T32" s="156">
        <f>IF(OR(O32="",P32=""),"",IF(ISERROR(FIND("door",$A32))=FALSE,VLOOKUP(KitchenDoorStyle,FixedListsDoorStyle,2,0),0))</f>
        <v>1</v>
      </c>
      <c r="U32" s="156">
        <f>IF(OR(O32="",P32=""),"",IF(ISERROR(FIND("door",$A32))=FALSE,VLOOKUP(KitchenDoorMaterial,FixedListsDoorMaterial,2,0),0))</f>
        <v>1</v>
      </c>
      <c r="V32" s="156">
        <f>IF(OR(O32="",P32=""),"",IF(ISERROR(FIND("drawer",$A32))=FALSE,VLOOKUP(KitchenDrawerType,FixedListsDrawerType,2,0),0))</f>
        <v>0</v>
      </c>
      <c r="W32" s="156">
        <f>IF(OR(O32="",P32=""),"",IF(OR(S32&gt;0, T32&gt;0,V32&gt;0),VLOOKUP(KitchenHandleType,FixedListsHandleType,2,FALSE)*IF(KitchenHandleType="Simple",0,IF(S32&gt;0,VLOOKUP(KitchenHandleType,FixedListsHandleType,4,FALSE),IF(OR(T32&gt;0,V32&gt;0),1-VLOOKUP(KitchenHandleType,FixedListsHandleType,4,FALSE),"Error"))),0))</f>
        <v>0</v>
      </c>
      <c r="X32" s="156">
        <f t="shared" si="5"/>
        <v>1</v>
      </c>
      <c r="Y32" s="156">
        <f>IF(OR(O32="",P32=""),"",IF(OR(ISERROR(FIND("carcass",$A32))=FALSE,ISERROR(FIND("unit",$A32))=FALSE),VLOOKUP(KitchenCarcassMaterial,FixedListsCarcassMaterial,3,0),0))</f>
        <v>0</v>
      </c>
      <c r="Z32" s="156">
        <f>IF(OR(O32="",P32=""),"",IF(ISERROR(FIND("door",$A32))=FALSE,VLOOKUP(KitchenDoorStyle,FixedListsDoorStyle,3,0),0))</f>
        <v>1</v>
      </c>
      <c r="AA32" s="156">
        <f>IF(OR(O32="",P32=""),"",IF(ISERROR(FIND("door",$A32))=FALSE,VLOOKUP(KitchenDoorMaterial,FixedListsDoorMaterial,3,0),0))</f>
        <v>2</v>
      </c>
      <c r="AB32" s="156">
        <f>IF(OR(O32="",P32=""),"",IF(ISERROR(FIND("drawer",$A32))=FALSE,VLOOKUP(KitchenDrawerType,FixedListsDrawerType,3,0),0))</f>
        <v>0</v>
      </c>
      <c r="AC32" s="156">
        <f>IF(OR(O32="",P32=""),"",IF(OR(Y32&gt;0,Z32&gt;0,AB32&gt;0),VLOOKUP(KitchenHandleType,FixedListsHandleType,3,FALSE),0))</f>
        <v>1</v>
      </c>
      <c r="AD32" s="156">
        <f>IF(OR(O32="",P32=""),"",IF(OR(ISERROR(FIND("carcass",$A32))=FALSE,ISERROR(FIND("unit",$A32))=FALSE),VLOOKUP(KitchenCarcassFinish,FixedListsFinishes,3,0),IF(OR(ISERROR(FIND("door",$A32))=FALSE,ISERROR(FIND("Plinth",$A32))=FALSE,ISERROR(FIND("Cornice",$A32))=FALSE,ISERROR(FIND("Fillers",$A32))=FALSE,ISERROR(FIND("Pelmet",$A32))=FALSE,ISERROR(FIND("panel",$A32))=FALSE,ISERROR(FIND("post",$A32))=FALSE),VLOOKUP(KitchenDoorFinish,FixedListsFinishes,3,0),IF(OR(ISERROR(FIND("drawer",$A32))=FALSE,ISERROR(FIND("insert",$A32))=FALSE,ISERROR(FIND("rck",$A32))=FALSE),VLOOKUP(KitchenCarcassFinish,FixedListsFinishes,3,0),0))))</f>
        <v>2</v>
      </c>
      <c r="AE32" s="156">
        <f t="shared" si="6"/>
        <v>4</v>
      </c>
      <c r="AF32" s="157" t="str">
        <f>IF(AND(KitchenHandleType="Channel",OR(ISERROR(FIND("arcass",$A32))=FALSE,ISERROR(FIND("unit",$A32))=FALSE)),IF(ISERROR(FIND("Tower",$A32))=TRUE,IF(KitchenHandleFinish="Match carcass",IF(ISERROR(FIND("Walnut",KitchenCarcassMaterial))=FALSE,(0.035*0.075*($C32/1000))*VLOOKUP("Walnut (solid m3)",SolidData,4,FALSE),IF(ISERROR(FIND("Oak",KitchenCarcassMaterial))=FALSE,(0.035*0.075*($C32/1000))*VLOOKUP("Oak (solid m3)",SolidData,4,FALSE),IF(ISERROR(FIND("ply",KitchenCarcassMaterial))=FALSE,(0.1*($C32/1000))*VLOOKUP("Birch ply (24mm)",SheetsData,7,FALSE),IF(ISERROR(FIND("H/F",KitchenCarcassMaterial))=FALSE,(0.1*($C32/1000))*VLOOKUP("H/F (22mm)",SheetsData,7,FALSE),"Carcass - not tower - new material")))),IF(KitchenHandleFinish="Match door",IF(ISERROR(FIND("Walnut",KitchenDoorMaterial))=FALSE,(0.035*0.075*($C32/1000))*VLOOKUP("Walnut (solid m3)",SolidData,4,FALSE),IF(ISERROR(FIND("Oak",KitchenDoorMaterial))=FALSE,(0.035*0.075*($C32/1000))*VLOOKUP("Oak (solid m3)",SolidData,4,FALSE),IF(ISERROR(FIND("ply",KitchenDoorMaterial))=FALSE,(0.1*($C32/1000))*VLOOKUP("Birch ply (24mm)",SheetsData,7,FALSE),IF(ISERROR(FIND("H/F",KitchenCarcassMaterial))=FALSE,(0.1*($C32/1000))*VLOOKUP("H/F (22mm)",SheetsData,7,FALSE),"Door - not tower - new material")))),"Channel - not tower - handle set to other")),IF(ISERROR(FIND("Tower",$A32))=FALSE,IF(KitchenHandleFinish="Match carcass",IF(ISERROR(FIND("Walnut",KitchenCarcassMaterial))=FALSE,(0.035*0.075*($B32/1000))*VLOOKUP("Walnut (solid m3)",SolidData,4,FALSE),IF(ISERROR(FIND("Oak",KitchenCarcassMaterial))=FALSE,(0.035*0.075*($B32/1000))*VLOOKUP("Oak (solid m3)",SolidData,4,FALSE),IF(ISERROR(FIND("ply",KitchenCarcassMaterial))=FALSE,(0.1*($B32/1000))*VLOOKUP("Birch ply (24mm)",SheetsData,7,FALSE),IF(ISERROR(FIND("H/F",KitchenCarcassMaterial))=FALSE,(0.1*($C32/1000))*VLOOKUP("H/F (22mm)",SheetsData,7,FALSE),"Carcass - tower - new material")))),IF(KitchenHandleFinish="Match door",IF(ISERROR(FIND("Walnut",KitchenDoorMaterial))=FALSE,(0.035*0.075*($B32/1000))*VLOOKUP("Walnut (solid m3)",SolidData,4,FALSE),IF(ISERROR(FIND("Oak",KitchenDoorMaterial))=FALSE,(0.035*0.075*($B32/1000))*VLOOKUP("Oak (solid m3)",SolidData,4,FALSE),IF(ISERROR(FIND("ply",KitchenDoorMaterial))=FALSE,(0.1*($B32/1000))*VLOOKUP("Birch ply (24mm)",SheetData,7,FALSE),IF(ISERROR(FIND("H/F",KitchenCarcassMaterial))=FALSE,(0.1*($C32/1000))*VLOOKUP("H/F (22mm)",SheetsData,7,FALSE),"Door - tower - new material")))),"Channel - tower - handle set to other")))),"")</f>
        <v/>
      </c>
    </row>
    <row r="33">
      <c r="A33" s="115" t="s">
        <v>141</v>
      </c>
      <c r="B33" s="115">
        <f t="shared" si="1"/>
        <v>2200</v>
      </c>
      <c r="C33" s="115" t="str">
        <f>IFERROR(__xludf.DUMMYFUNCTION("IF(A33="""","""",IF(OR(RIGHT(A33,LEN(A33)-len(regexextract(A33,"".* "")))=""1200"",RIGHT(A33,LEN(A33)-len(regexextract(A33,"".* "")))=""600"",RIGHT(A33,LEN(A33)-len(regexextract(A33,"".* "")))=""400"",RIGHT(A33,LEN(A33)-len(regexextract(A33,"".* "")))=""3"&amp;"00"",RIGHT(A33,LEN(A33)-len(regexextract(A33,"".* "")))=""700"",RIGHT(A33,LEN(A33)-len(regexextract(A33,"".* "")))=""2400"",RIGHT(A33,LEN(A33)-len(regexextract(A33,"".* "")))=""650"",RIGHT(A33,LEN(A33)-len(regexextract(A33,"".* "")))=""350"",RIGHT(A33,LEN"&amp;"(A33)-len(regexextract(A33,"".* "")))=""50""),RIGHT(A33,LEN(A33)-len(regexextract(A33,"".* ""))),IF(OR(ISERROR(FIND(""spacer"",A33))=FALSE,ISERROR(FIND(""filler panel"",A33))=FALSE),""1000"",""Unexpected size in description"")))"),"600")</f>
        <v>600</v>
      </c>
      <c r="D33" s="151" t="str">
        <f t="shared" si="2"/>
        <v/>
      </c>
      <c r="E33" s="152">
        <f>IFERROR(__xludf.DUMMYFUNCTION("IF(OR(A33="""",AND(ISERROR(FIND(""drawer box"",A33))=FALSE,KitchenDrawerType="""")),"""",IF(OR(ISERROR(FIND(""larder"",A33))=FALSE,ISERROR(FIND(""fridge/freezer"",A33))=FALSE,ISERROR(FIND(""double oven"",A33))=FALSE,ISERROR(FIND(""single oven"",A33))=FALS"&amp;"E),VLOOKUP(LEFT(A33,FIND("" "",A33))&amp;""carcass ""&amp;RIGHT(A33,LEN(A33)-(LEN(A33)-3)),KitchensData,5,0),IF(ISERROR(FIND(""sink"",A33))=FALSE,VLOOKUP(LEFT(A33,FIND("" "",A33))&amp;""carcass ""&amp;VALUE(REGEXREPLACE(A33,""[^[:digit:]]"", """")),KitchensData,5,0)+(((C"&amp;"33/1000)*(300/1000))*VLOOKUP(KitchenCarcassMaterial,SheetsData,8,0)),IF(ISERROR(FIND(""bins"",A33))=FALSE,IF(ISERROR(FIND(""veneer"",KitchenCarcassMaterial))=FALSE,VLOOKUP(""Base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600"",A33))=FALSE,IF(ISERROR(FIND(""veneer"""&amp;",KitchenCarcassMaterial))=FALSE,0.54*(VLOOKUP(LEFT(KitchenCarcassMaterial,FIND(""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1200"",A33))=FALSE,"&amp;"IF(ISERROR(FIND(""veneer"",KitchenCarcassMaterial))=FALSE,0.84*(VLOOKUP(LEFT(KitchenCarcassMaterial,FIND(""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600"",A33))=FALSE,IF(ISERROR(FIND(""veneer"",KitchenCarcassMaterial))=FALSE,1.44*(VLOOKUP(LEFT(KitchenCarcassMaterial,FIND(""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1200"",A33))=FALSE,IF(ISERROR(FIND(""veneer"",KitchenCarcassMaterial))=FALSE,2.7*(VLOOKUP(LEFT(KitchenCarcassMaterial,FIND(""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front"",A33))=FALSE,((B33/1000)*(C33/1000))*VLOOKUP(KitchenDoorMaterial,SheetsData,8,0),IF(AND(KitchenDrawerType=""Match carcass"",ISERROR(FIND(""drawer box"",A33))=FALSE),(((((B33/1000)*(C33/1000))+((B33/1000"&amp;")*(D33/1000)))*2)*VLOOKUP(KitchenCarcassMaterial,SheetsData,8,0))+(((C33/1000)*(D33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box"",A33))=FALSE),(((((B33/1000)*(C33/1000))+((B33/1000)*(D33/1000)))*2)*(16/1000)*VLOOKUP(LEFT(KitchenCarcassMaterial,FIND("" "&amp;""",KitchenCarcassMaterial))&amp;""(solid m3)"",SolidData,5,0))+(((C33/1000)*(D33/1000))*VLOOKUP(LEFT(KitchenCarcassMaterial,FIND(""("",KitchenCarcassMaterial)-1)&amp;IF(OR(ISERROR(FIND(""ply"",KitchenCarcassMaterial))=FALSE,ISERROR(FIND(""H/F"",KitchenCarcassMate"&amp;"rial))=FALSE),""(9mm)"",""(10mm)""),SheetsData,8,0)),IF(ISERROR(FIND(""spacer"",A33))=FALSE,((D33/1000)*(C33/1000))*VLOOKUP(""Poplar ply (18mm)"",SheetsData,8,0),IF(ISERROR(FIND(""filler panel"",A33))=FALSE,((B33/1000)*(C33/1000))*VLOOKUP(KitchenDoorMater"&amp;"ial,SheetsData,8,0),IF(ISERROR(FIND(""shelf"",A33))=FALSE,((D33/1000)*(C33/1000))*VLOOKUP(KitchenCarcassMaterial,SheetsData,8,0),IF(ISERROR(FIND(""lost corner"",A33))=FALSE,VLOOKUP(LEFT(A33,FIND("" "",A33))&amp;""carcass ""&amp;VALUE(REGEXREPLACE(A33,""[^[:digit:"&amp;"]]"", """")),KitchensData,5,0)+((((B33/1000)*(C33/1000))+((B33/1000)*(60/1000)))*VLOOKUP(KitchenCarcassMaterial,SheetsData,8,0)),IF(ISERROR(FIND(""carcass"",A33))=FALSE,(((((B33/1000)*2)*(D33/1000))+(((C33/1000)*2)*(D33/1000)))*VLOOKUP(KitchenCarcassMater"&amp;"ial,SheetsData,8,0))+((B33/1000)*(C33/1000))*VLOOKUP(LEFT(KitchenCarcassMaterial,FIND(""("",KitchenCarcassMaterial)-1)&amp;IF(OR(ISERROR(FIND(""ply"",KitchenCarcassMaterial))=FALSE,ISERROR(FIND(""H/F"",KitchenCarcassMaterial))=FALSE),""(9mm)"",""(10mm)""),She"&amp;"etsData,8,0),IF(OR(ISERROR(FIND(""Plinth"",A33))=FALSE,ISERROR(FIND(""Cornice (flat)"",A33))=FALSE),((B33/1000)*(C33/1000))*VLOOKUP(""H/F (18mm)"",SheetsData,8,0),IF(ISERROR(FIND(""Cornice (stacked)"",A33))=FALSE,((0.08*(C33/1000))*2)*VLOOKUP(""H/F (22mm)"&amp;""",SheetsData,8,0),IF(ISERROR(FIND(""Base end panel"",A33))=FALSE,VLOOKUP(KitchenDoorMaterial,SheetsData,5,0)/3,IF(ISERROR(FIND(""Wall end panel"",A33))=FALSE,VLOOKUP(KitchenDoorMaterial,SheetsData,5,0)/9,IF(ISERROR(FIND(""Tower end panel"",A33))=FALSE,VL"&amp;"OOKUP(KitchenDoorMaterial,SheetsData,5,0),IF(ISERROR(FIND(""Fillers"",A33))=FALSE,(((0.06*(C33/1000))*2)*VLOOKUP(""H/F (18mm)"",SheetsData,8,0))+(((0.06*(C33/1000))*2)*VLOOKUP(""H/F (9mm)"",SheetsData,8,0)),IF(ISERROR(FIND(""corner post"",A33))=FALSE,(((B"&amp;"33/1000)*0.05)*2)*VLOOKUP(KitchenDoorMaterial,SheetsData,8,0),IF(ISERROR(FIND(""Pelmet"",A33))=FALSE,((((B33/1000)*(C33/1000))*2)*VLOOKUP(""H/F (18mm)"",SheetsData,8,0)),IF(ISERROR(FIND(""door"",A33))=TRUE,""Check description"",IF(KitchenDoorStyle=""Flat"&amp;""",((B33/1000)*(C33/1000))*VLOOKUP(KitchenDoorMaterial,SheetsData,8,0),IF(LEFT(KitchenDoorStyle,5)=""Panel"",(((((B33/1000)*2)*0.08)+((((C33/1000)-0.16)*2)*0.08))*VLOOKUP(""H/F (22mm)"",SheetsData,8,0))+(((B33/1000)-0.14)*((C33/1000)-0.14)*VLOOKUP(""H/F ("&amp;"9mm)"",SheetsData,8,0)),IF(KitchenDoorStyle=""In-frame flat"",((((((B33/1000)*0.019)*0.038)+((((C33-38)/1000)*0.038)*0.038))*2)*VLOOKUP(""Tulip (solid m3)"",SolidData,5,0))+(((B33-76)/1000)*((C33-38)/1000))*VLOOKUP(""H/F (22mm)"",SheetsData,8,0),IF(LEFT(K"&amp;"itchenDoorStyle,14)=""In-frame panel"",(((((((B33/1000)*0.019)*0.038)+((((C33-38)/1000)*0.038)*0.038))*2)*VLOOKUP(""Tulip (solid m3)"",SolidData,5,0))+(((((((B33-76)/1000)*2)*0.08)+(((((C33-198)/1000)*2)*0.08)))*VLOOKUP(""H/F (22mm)"",SheetsData,8,0))+((("&amp;"B33-216)/1000)*((C33-178)/1000)*VLOOKUP(""H/F (9mm)"",SheetsData,8,0)))))))))))))))))))))))))))))))))"),24.366433754367108)</f>
        <v>24.36643375</v>
      </c>
      <c r="F33" s="152" t="str">
        <f>IFERROR(__xludf.DUMMYFUNCTION("IF(OR(A33="""",AND(ISERROR(FIND(""drawer box"",A33))=FALSE,KitchenDrawerType=""Solid dovetail"")),"""",IF(ISERROR(FIND(""bins"",A33))=FALSE,VLOOKUP(""Base carcass 600"",KitchensData,6,0),IF(OR(ISERROR(FIND(""larder"",A33))=FALSE,ISERROR(FIND(""unit"",A33)"&amp;")=FALSE),VLOOKUP(LEFT(A33,FIND("" "",A33))&amp;""carcass ""&amp;RIGHT(A33,LEN(A33)-len(regexextract(A33,"".* ""))),KitchensData,6,0),IF(ISERROR(FIND(""drawer front"",A33))=FALSE,IF(ISERROR(FIND(""veneer"",KitchenCarcassMaterial))=TRUE,0,(((B33+C33)/1000)*2)*VLOOK"&amp;"UP(""Edge banding (per M)"",SheetsData,5,0)),IF(ISERROR(FIND(""drawer box"",A33))=FALSE,IF(ISERROR(FIND(""veneer"",KitchenCarcassMaterial))=TRUE,0,(((C33+D33)/1000)*2)*VLOOKUP(""Edge banding (per M)"",SheetsData,5,0)),IF(ISERROR(FIND(""shelf"",A33))=FALSE"&amp;",IF(ISERROR(FIND(""veneer"",KitchenCarcassMaterial))=TRUE,0,(C33/1000)*VLOOKUP(""Edge banding (per M)"",SheetsData,5,0)),IF(AND(ISERROR(FIND(""carcass"",A33))=FALSE,ISERROR(FIND(""shelf"",A33))=TRUE),IF(ISERROR(FIND(""veneer"",KitchenCarcassMaterial))=TRU"&amp;"E,0,((2*(B33+C33))/1000)*VLOOKUP(""Edge banding (per M)"",SheetsData,5,0)),IF(ISERROR(FIND(""door"",A33))=TRUE,"""",IF(ISERROR(FIND(""veneer"",KitchenDoorMaterial))=TRUE,"""",((2*(B33+C33))/1000)*VLOOKUP(""Edge banding (per M)"",SheetsData,5,0))))))))))"),"")</f>
        <v/>
      </c>
      <c r="G33" s="153" t="str">
        <f>IF(A33="","",IF(ISERROR(FIND("bins",A33))=FALSE,VLOOKUP("Base carcass 600",KitchensData,7,0),IF(OR(ISERROR(FIND("larder",A33))=FALSE,ISERROR(FIND("fridge/freezer",A33))=FALSE,ISERROR(FIND("double oven",A33))=FALSE,ISERROR(FIND("single oven",A33))=FALSE),VLOOKUP(LEFT(A33,FIND(" ",A33))&amp;"carcass "&amp;RIGHT(A33,LEN(A33)-(LEN(A33)-3)),KitchensData,7,0),IF(AND(ISERROR(FIND("carcass",A33))=FALSE,ISERROR(FIND("shelf",A33))=TRUE),IF(OR(ISERROR(FIND("Base",A33))=FALSE,ISERROR(FIND("Tower",A33))=FALSE),IF(OR(ISERROR(FIND("1200",A33))=FALSE, ISERROR(FIND("lost corner",A33))=FALSE),6*VLOOKUP("Plinth foot (2 Parts 80mm)",FurnitureData,5,0),4*VLOOKUP("Plinth foot (2 Parts 80mm)",FurnitureData,5,0)),""),""))))</f>
        <v/>
      </c>
      <c r="H33" s="153">
        <f>IF(OR(A33="",ISERROR(FIND("door",A33))=TRUE),"",IF(ISERROR(FIND("Wall",A33))=FALSE,VLOOKUP("Hinges &amp; plates (Hettich thick door)",FurnitureData,5,0)*2,IF(ISERROR(FIND("Base",A33))=FALSE,VLOOKUP("Hinges &amp; plates (Hettich thick door)",FurnitureData,5,0)*3,IF(ISERROR(FIND("Boiler",A33))=FALSE,VLOOKUP("Hinges &amp; plates (Hettich thick door)",FurnitureData,5,0)*4,IF(ISERROR(FIND("Tower",A33))=FALSE,VLOOKUP("Hinges &amp; plates (Hettich thick door)",FurnitureData,5,0)*5)))))</f>
        <v>17.35</v>
      </c>
      <c r="I33" s="115" t="str">
        <f>IF(ISERROR(FIND("shelf",A33))=FALSE,(VLOOKUP("Shelf pegs",FurnitureData,5,0)/100)*4,"")</f>
        <v/>
      </c>
      <c r="J33" s="152" t="str">
        <f>IF(OR(ISERROR(FIND("fridge/freezer",A33))=FALSE,ISERROR(FIND("larder",A33))=FALSE,AND(ISERROR(FIND("Base",A33))=FALSE,ISERROR(FIND("bins",A33))=TRUE,ISERROR(FIND("no shelves",A33))=TRUE,OR(ISERROR(FIND("carcass",A33))=FALSE,ISERROR(FIND("unit",A33))=FALSE))),VLOOKUP("Deep shelf "&amp;C33,KitchensData,18,0),IF(AND(ISERROR(FIND("Wall",A33))=FALSE,ISERROR(FIND("carcass",A33))=FALSE),2*VLOOKUP("Shallow shelf "&amp;C33,KitchensData,18,0),IF(AND(ISERROR(FIND("Tower",A33))=FALSE,ISERROR(FIND("oven",A33))=FALSE),4*VLOOKUP("Deep shelf "&amp;C33,KitchensData,18,0),IF(AND(ISERROR(FIND("Tower",A33))=FALSE,ISERROR(FIND("carcass",A33))=FALSE),5*VLOOKUP("Deep shelf "&amp;C33,KitchensData,18,0),""))))</f>
        <v/>
      </c>
      <c r="K33" s="152" t="str">
        <f>IF(ISERROR(FIND("sink",A33))=FALSE,VLOOKUP("Sink liner - Aluminium "&amp;RIGHT(A33,LEN(A33)-22)&amp;"mm",ExceptionalData,5,0),IF(ISERROR(FIND("bins",A33))=FALSE,VLOOKUP("Drawer runners and clip set for bin unit (500) Dynapro",FurnitureData,5,0)+(2*VLOOKUP("Bin (42L Anthracite)",FurnitureData,5,0)),IF(ISERROR(FIND("larder",A33))=FALSE,VLOOKUP("Pull out larder unit 600mm",FurnitureData,5,0),IF(AND(ISERROR(FIND("drawer box",A33))=FALSE,ISERROR(FIND("internal",A33))=TRUE),VLOOKUP("Drawer runners and clip set (550) Dynapro",FurnitureData,5,0),IF(ISERROR(FIND("internal drawer box",A33))=FALSE,VLOOKUP("Drawer runners and clip set (450) Dynapro",FurnitureData,5,0),"")))))</f>
        <v/>
      </c>
      <c r="L33" s="152">
        <f t="shared" si="3"/>
        <v>41.71643375</v>
      </c>
      <c r="M33" s="154">
        <f>IFERROR(__xludf.DUMMYFUNCTION("IF(A33="""","""",IF(OR(ISERROR(FIND(""larder"",A33))=FALSE,ISERROR(FIND(""unit"",A33))=FALSE),VLOOKUP(LEFT(A33,FIND("" "",A33))&amp;""carcass ""&amp;RIGHT(A33,LEN(A33)-len(regexextract(A33,"".* ""))),KitchensData,13,0),IF(ISERROR(FIND(""bins"",A33))=FALSE,0.95,IF"&amp;"(ISERROR(FIND(""Cutlery insert 600"",A33))=FALSE,1.3,IF(ISERROR(FIND(""Cutlery insert 1200"",A33))=FALSE,2,IF(ISERROR(FIND(""Pan/tray rack 600"",A33))=FALSE,3.25,IF(ISERROR(FIND(""Pan/tray rack 1200"",A33))=FALSE,5.9,IF(ISERROR(FIND(""split"",A33))=FALSE,"&amp;"(((C33/1000)*0.022)*2)+VLOOKUP(SUBSTITUTE(A33,"" split"",""""),KitchensData,13,0),IF(AND(ISERROR(FIND(""drawer front"",A33))=FALSE,KitchenDoorStyle=""Flat""),(((B33/1000)*(C33/1000))*2)+((((B33+C33)/1000)*2)*0.022),IF(AND(ISERROR(FIND(""drawer front"",A33"&amp;"))=FALSE,LEFT(KitchenDoorStyle,5)=""Panel""),(((B33/1000)*(C33/1000))*2)+((((B33+C33)/1000)*2)*0.022)+((((C33/1000)-0.16)*0.013)*2)+((((D33/1000)-0.16)*0.013)*2),IF(AND(ISERROR(FIND(""drawer front"",A33))=FALSE,KitchenDoorStyle=""In-frame flat""),((((B33-"&amp;"76)/1000)*((C33-38)/1000))*2)+(MID(KitchenDoorMaterial,FIND(""("",KitchenDoorMaterial)+1,2)/1000)*((((B33-76)+(C33-38))/1000)*2)+(((B33/1000)*0.032)*2)+((((B33-76)/1000)*0.032)*2)+(((B33/1000)*0.019)*4)+(((C33/1000)*0.032)*2)+((((C33-38)/1000)*0.032)*2)+("&amp;"((C33/1000)*0.038)*4),IF(AND(ISERROR(FIND(""drawer front"",A33))=FALSE,LEFT(KitchenDoorStyle,14)=""In-frame panel""),((((B33-76)/1000)*((C33-38)/1000))*2)+((MID(KitchenDoorMaterial,FIND(""("",KitchenDoorMaterial)+1,2)/1000)*((((B33-76)+(C33-38))/1000)*2))"&amp;"+((((B33-236)/1000)+((C33-198)/1000)*2)*0.013)+(((B33/1000)*0.032)*2)+((((B33-76)/1000)*0.032)*2)+(((B33/1000)*0.019)*4)+(((C33/1000)*0.032)*2)+((((C33-38)/1000)*0.032)*2)+(((C33/1000)*0.038)*4),IF(ISERROR(FIND(""drawer box"",A33))=FALSE,((((B33/1000)*(D3"&amp;"3/1000))+((B33/1000)*(C33/1000)))*4)+((((D33/1000)+(C33/1000))*0.016)*4)+(((C33/1000)*(D33/1000))*2),IF(OR(ISERROR(FIND(""shelf"",A33))=FALSE,ISERROR(FIND(""spacer"",A33))=FALSE,,ISERROR(FIND(""filler panel"",A33))=FALSE),(((C33/1000)*(D33/1000))*2)+((((C"&amp;"33+D33)*2)/1000)*0.022),IF(ISERROR(FIND(""lost corner"",A33))=FALSE,(((B33/1000)*(C33/1000))*2)+((B33/1000)*(C33/1000))+((B33/1000)*((C33/2)/1000))+((((B33/1000)*0.025)+((C33/1000)*0.025))*2),IF(ISERROR(FIND(""carcass"",A33))=FALSE,(((C33/1000)*(D33/1000)"&amp;")*2)+(((B33/1000)*(D33/1000))*2)+((B33/1000)*(C33/1000))+((((B33/1000)*0.025)+((C33/1000)*0.025))*2),IF(AND(ISERROR(FIND(""door"",A33))=FALSE,KitchenDoorStyle=""Flat""),(((B33/1000)*(C33/1000))*2)+(MID(KitchenDoorMaterial,FIND(""("",KitchenDoorMaterial)+1"&amp;",2)/1000)*(((B33+C33)/1000)*2),IF(AND(ISERROR(FIND(""door"",A33))=FALSE,LEFT(KitchenDoorStyle,5)=""Panel""),(((B33/1000)*(C33/1000))*2)+((MID(KitchenDoorMaterial,FIND(""("",KitchenDoorMaterial)+1,2)/1000)*(((B33+C33)/1000)*2))+(((((B33-160)+(C33-160))*2)/"&amp;"1000)*(0.013)),IF(AND(ISERROR(FIND(""door"",A33))=FALSE,KitchenDoorStyle=""In-frame flat""),((((B33-76)/1000)*((C33-38)/1000))*2)+(MID(KitchenDoorMaterial,FIND(""("",KitchenDoorMaterial)+1,2)/1000)*((((B33-76)+(C33-38))/1000)*2)+(((B33/1000)*0.032)*2)+((("&amp;"(B33-76)/1000)*0.032)*2)+(((B33/1000)*0.019)*4)+(((C33/1000)*0.032)*2)+((((C33-38)/1000)*0.032)*2)+(((C33/1000)*0.038)*4),IF(AND(ISERROR(FIND(""door"",A33))=FALSE,LEFT(KitchenDoorStyle,14)=""In-frame panel""),((((B33-76)/1000)*((C33-38)/1000))*2)+((MID(Ki"&amp;"tchenDoorMaterial,FIND(""("",KitchenDoorMaterial)+1,2)/1000)*((((B33-76)+(C33-38))/1000)*2))+((((B33-236)/1000)+((C33-198)/1000)*2)*0.013)+(((B33/1000)*0.032)*2)+((((B33-76)/1000)*0.032)*2)+(((B33/1000)*0.019)*4)+(((C33/1000)*0.032)*2)+((((C33-38)/1000)*0"&amp;".032)*2)+(((C33/1000)*0.038)*4),IF(ISERROR(FIND(""Plinth"",A33))=FALSE,((B33/1000)*(C33/1000))+(((C33/1000)*0.018)*2)+(((B33/1000)*0.018)*2),IF(ISERROR(FIND(""Cornice"",A33))=FALSE,(((C33/1000)*0.1)*2)+(((C33/1000)*0.044)*2)+(((B33/1000)*0.08)*2),IF(ISERR"&amp;"OR(FIND(""Base end panel"",A33))=FALSE,((B33/1000)*(C33/1000))+(0.022*((B33/1000)+((C33/1000)*2)))+((B33/1000)*0.05),IF(ISERROR(FIND(""Wall end panel"",A33))=FALSE,((B33/1000)*(C33/1000))+(0.022*((B33/1000)+((C33/1000)*2)))+((B33/1000)*0.05),IF(ISERROR(FI"&amp;"ND(""Tower end panel"",A33))=FALSE,((B33/1000)*(C33/1000))+(0.022*((B33/1000)+((C33/1000)*2)))+((B33/1000)*0.05),IF(ISERROR(FIND(""Fillers"",A33))=FALSE,((C33/1000)*0.06)+((C33/1000)*0.069)+((0.06*0.018)*2)+((0.06*0.009)*2)+((C33/1000)*0.009)+((C33/1000)*"&amp;"0.018),IF(ISERROR(FIND(""corner post"",A33))=FALSE,(((B33/1000*0.05)*2)+((B33/1000)*0.022)*2)+((B33/1000)*0.072)+((B33/1000)*0.05)+((0.072*0.022)*2)+((0.05*0.022)*2),IF(ISERROR(FIND(""Pelmet"",A33))=FALSE,((C33/1000)*0.05)+((C33/1000)*0.068)+((0.05*0.018)"&amp;"*4)+(((C33/1000)*0.018))*2))))))))))))))))))))))))))))"),2.7632000000000003)</f>
        <v>2.7632</v>
      </c>
      <c r="N33" s="152">
        <f>IF(M33="","",IF(AND(ISERROR(FIND("carcass",A33))=TRUE,ISERROR(FIND("unit",A33))=TRUE,ISERROR(FIND("insert",A33))=TRUE,ISERROR(FIND("rack",A33))=TRUE,ISERROR(FIND("box",A33))=TRUE,ISERROR(FIND("shelf",#REF!))=TRUE),VLOOKUP(KitchenDoorFinish,Finishing!$A$2:$K$10,9,0)*M33,VLOOKUP(KitchenCarcassFinish,Finishing!$A$2:$K$40,9,0)*M33))</f>
        <v>20.724</v>
      </c>
      <c r="O33" s="155">
        <v>1.0</v>
      </c>
      <c r="P33" s="155">
        <v>1.5</v>
      </c>
      <c r="Q33" s="152">
        <f>IF(OR(O33="",P33=""),"",((O33*X33)*(VLOOKUP("Workshop",Labour!$A$3:$E$20,4,0)/8))+((P33*AE33)*(VLOOKUP("Finishing",Labour!$A$3:$E$20,4,0)/8)))</f>
        <v>211.75</v>
      </c>
      <c r="R33" s="152">
        <f t="shared" si="4"/>
        <v>274.1904338</v>
      </c>
      <c r="S33" s="156">
        <f>IF(OR(O33="",P33=""),"",IF(OR(ISERROR(FIND("carcass",$A33))=FALSE,ISERROR(FIND("unit",$A33))=FALSE),VLOOKUP(KitchenCarcassMaterial,FixedListsCarcassMaterial,2,0),0))</f>
        <v>0</v>
      </c>
      <c r="T33" s="156">
        <f>IF(OR(O33="",P33=""),"",IF(ISERROR(FIND("door",$A33))=FALSE,VLOOKUP(KitchenDoorStyle,FixedListsDoorStyle,2,0),0))</f>
        <v>1</v>
      </c>
      <c r="U33" s="156">
        <f>IF(OR(O33="",P33=""),"",IF(ISERROR(FIND("door",$A33))=FALSE,VLOOKUP(KitchenDoorMaterial,FixedListsDoorMaterial,2,0),0))</f>
        <v>1</v>
      </c>
      <c r="V33" s="156">
        <f>IF(OR(O33="",P33=""),"",IF(ISERROR(FIND("drawer",$A33))=FALSE,VLOOKUP(KitchenDrawerType,FixedListsDrawerType,2,0),0))</f>
        <v>0</v>
      </c>
      <c r="W33" s="156">
        <f>IF(OR(O33="",P33=""),"",IF(OR(S33&gt;0, T33&gt;0,V33&gt;0),VLOOKUP(KitchenHandleType,FixedListsHandleType,2,FALSE)*IF(KitchenHandleType="Simple",0,IF(S33&gt;0,VLOOKUP(KitchenHandleType,FixedListsHandleType,4,FALSE),IF(OR(T33&gt;0,V33&gt;0),1-VLOOKUP(KitchenHandleType,FixedListsHandleType,4,FALSE),"Error"))),0))</f>
        <v>0</v>
      </c>
      <c r="X33" s="156">
        <f t="shared" si="5"/>
        <v>1</v>
      </c>
      <c r="Y33" s="156">
        <f>IF(OR(O33="",P33=""),"",IF(OR(ISERROR(FIND("carcass",$A33))=FALSE,ISERROR(FIND("unit",$A33))=FALSE),VLOOKUP(KitchenCarcassMaterial,FixedListsCarcassMaterial,3,0),0))</f>
        <v>0</v>
      </c>
      <c r="Z33" s="156">
        <f>IF(OR(O33="",P33=""),"",IF(ISERROR(FIND("door",$A33))=FALSE,VLOOKUP(KitchenDoorStyle,FixedListsDoorStyle,3,0),0))</f>
        <v>1</v>
      </c>
      <c r="AA33" s="156">
        <f>IF(OR(O33="",P33=""),"",IF(ISERROR(FIND("door",$A33))=FALSE,VLOOKUP(KitchenDoorMaterial,FixedListsDoorMaterial,3,0),0))</f>
        <v>2</v>
      </c>
      <c r="AB33" s="156">
        <f>IF(OR(O33="",P33=""),"",IF(ISERROR(FIND("drawer",$A33))=FALSE,VLOOKUP(KitchenDrawerType,FixedListsDrawerType,3,0),0))</f>
        <v>0</v>
      </c>
      <c r="AC33" s="156">
        <f>IF(OR(O33="",P33=""),"",IF(OR(Y33&gt;0,Z33&gt;0,AB33&gt;0),VLOOKUP(KitchenHandleType,FixedListsHandleType,3,FALSE),0))</f>
        <v>1</v>
      </c>
      <c r="AD33" s="156">
        <f>IF(OR(O33="",P33=""),"",IF(OR(ISERROR(FIND("carcass",$A33))=FALSE,ISERROR(FIND("unit",$A33))=FALSE),VLOOKUP(KitchenCarcassFinish,FixedListsFinishes,3,0),IF(OR(ISERROR(FIND("door",$A33))=FALSE,ISERROR(FIND("Plinth",$A33))=FALSE,ISERROR(FIND("Cornice",$A33))=FALSE,ISERROR(FIND("Fillers",$A33))=FALSE,ISERROR(FIND("Pelmet",$A33))=FALSE,ISERROR(FIND("panel",$A33))=FALSE,ISERROR(FIND("post",$A33))=FALSE),VLOOKUP(KitchenDoorFinish,FixedListsFinishes,3,0),IF(OR(ISERROR(FIND("drawer",$A33))=FALSE,ISERROR(FIND("insert",$A33))=FALSE,ISERROR(FIND("rck",$A33))=FALSE),VLOOKUP(KitchenCarcassFinish,FixedListsFinishes,3,0),0))))</f>
        <v>2</v>
      </c>
      <c r="AE33" s="156">
        <f t="shared" si="6"/>
        <v>4</v>
      </c>
      <c r="AF33" s="157" t="str">
        <f>IF(AND(KitchenHandleType="Channel",OR(ISERROR(FIND("arcass",$A33))=FALSE,ISERROR(FIND("unit",$A33))=FALSE)),IF(ISERROR(FIND("Tower",$A33))=TRUE,IF(KitchenHandleFinish="Match carcass",IF(ISERROR(FIND("Walnut",KitchenCarcassMaterial))=FALSE,(0.035*0.075*($C33/1000))*VLOOKUP("Walnut (solid m3)",SolidData,4,FALSE),IF(ISERROR(FIND("Oak",KitchenCarcassMaterial))=FALSE,(0.035*0.075*($C33/1000))*VLOOKUP("Oak (solid m3)",SolidData,4,FALSE),IF(ISERROR(FIND("ply",KitchenCarcassMaterial))=FALSE,(0.1*($C33/1000))*VLOOKUP("Birch ply (24mm)",SheetsData,7,FALSE),IF(ISERROR(FIND("H/F",KitchenCarcassMaterial))=FALSE,(0.1*($C33/1000))*VLOOKUP("H/F (22mm)",SheetsData,7,FALSE),"Carcass - not tower - new material")))),IF(KitchenHandleFinish="Match door",IF(ISERROR(FIND("Walnut",KitchenDoorMaterial))=FALSE,(0.035*0.075*($C33/1000))*VLOOKUP("Walnut (solid m3)",SolidData,4,FALSE),IF(ISERROR(FIND("Oak",KitchenDoorMaterial))=FALSE,(0.035*0.075*($C33/1000))*VLOOKUP("Oak (solid m3)",SolidData,4,FALSE),IF(ISERROR(FIND("ply",KitchenDoorMaterial))=FALSE,(0.1*($C33/1000))*VLOOKUP("Birch ply (24mm)",SheetsData,7,FALSE),IF(ISERROR(FIND("H/F",KitchenCarcassMaterial))=FALSE,(0.1*($C33/1000))*VLOOKUP("H/F (22mm)",SheetsData,7,FALSE),"Door - not tower - new material")))),"Channel - not tower - handle set to other")),IF(ISERROR(FIND("Tower",$A33))=FALSE,IF(KitchenHandleFinish="Match carcass",IF(ISERROR(FIND("Walnut",KitchenCarcassMaterial))=FALSE,(0.035*0.075*($B33/1000))*VLOOKUP("Walnut (solid m3)",SolidData,4,FALSE),IF(ISERROR(FIND("Oak",KitchenCarcassMaterial))=FALSE,(0.035*0.075*($B33/1000))*VLOOKUP("Oak (solid m3)",SolidData,4,FALSE),IF(ISERROR(FIND("ply",KitchenCarcassMaterial))=FALSE,(0.1*($B33/1000))*VLOOKUP("Birch ply (24mm)",SheetsData,7,FALSE),IF(ISERROR(FIND("H/F",KitchenCarcassMaterial))=FALSE,(0.1*($C33/1000))*VLOOKUP("H/F (22mm)",SheetsData,7,FALSE),"Carcass - tower - new material")))),IF(KitchenHandleFinish="Match door",IF(ISERROR(FIND("Walnut",KitchenDoorMaterial))=FALSE,(0.035*0.075*($B33/1000))*VLOOKUP("Walnut (solid m3)",SolidData,4,FALSE),IF(ISERROR(FIND("Oak",KitchenDoorMaterial))=FALSE,(0.035*0.075*($B33/1000))*VLOOKUP("Oak (solid m3)",SolidData,4,FALSE),IF(ISERROR(FIND("ply",KitchenDoorMaterial))=FALSE,(0.1*($B33/1000))*VLOOKUP("Birch ply (24mm)",SheetData,7,FALSE),IF(ISERROR(FIND("H/F",KitchenCarcassMaterial))=FALSE,(0.1*($C33/1000))*VLOOKUP("H/F (22mm)",SheetsData,7,FALSE),"Door - tower - new material")))),"Channel - tower - handle set to other")))),"")</f>
        <v/>
      </c>
    </row>
    <row r="34">
      <c r="A34" s="151" t="s">
        <v>142</v>
      </c>
      <c r="B34" s="115">
        <f t="shared" si="1"/>
        <v>2200</v>
      </c>
      <c r="C34" s="115" t="str">
        <f>IFERROR(__xludf.DUMMYFUNCTION("IF(A34="""","""",IF(OR(RIGHT(A34,LEN(A34)-len(regexextract(A34,"".* "")))=""1200"",RIGHT(A34,LEN(A34)-len(regexextract(A34,"".* "")))=""600"",RIGHT(A34,LEN(A34)-len(regexextract(A34,"".* "")))=""400"",RIGHT(A34,LEN(A34)-len(regexextract(A34,"".* "")))=""3"&amp;"00"",RIGHT(A34,LEN(A34)-len(regexextract(A34,"".* "")))=""700"",RIGHT(A34,LEN(A34)-len(regexextract(A34,"".* "")))=""2400"",RIGHT(A34,LEN(A34)-len(regexextract(A34,"".* "")))=""650"",RIGHT(A34,LEN(A34)-len(regexextract(A34,"".* "")))=""350"",RIGHT(A34,LEN"&amp;"(A34)-len(regexextract(A34,"".* "")))=""50""),RIGHT(A34,LEN(A34)-len(regexextract(A34,"".* ""))),IF(OR(ISERROR(FIND(""spacer"",A34))=FALSE,ISERROR(FIND(""filler panel"",A34))=FALSE),""1000"",""Unexpected size in description"")))"),"400")</f>
        <v>400</v>
      </c>
      <c r="D34" s="151" t="str">
        <f t="shared" si="2"/>
        <v/>
      </c>
      <c r="E34" s="152">
        <f>IFERROR(__xludf.DUMMYFUNCTION("IF(OR(A34="""",AND(ISERROR(FIND(""drawer box"",A34))=FALSE,KitchenDrawerType="""")),"""",IF(OR(ISERROR(FIND(""larder"",A34))=FALSE,ISERROR(FIND(""fridge/freezer"",A34))=FALSE,ISERROR(FIND(""double oven"",A34))=FALSE,ISERROR(FIND(""single oven"",A34))=FALS"&amp;"E),VLOOKUP(LEFT(A34,FIND("" "",A34))&amp;""carcass ""&amp;RIGHT(A34,LEN(A34)-(LEN(A34)-3)),KitchensData,5,0),IF(ISERROR(FIND(""sink"",A34))=FALSE,VLOOKUP(LEFT(A34,FIND("" "",A34))&amp;""carcass ""&amp;VALUE(REGEXREPLACE(A34,""[^[:digit:]]"", """")),KitchensData,5,0)+(((C"&amp;"34/1000)*(300/1000))*VLOOKUP(KitchenCarcassMaterial,SheetsData,8,0)),IF(ISERROR(FIND(""bins"",A34))=FALSE,IF(ISERROR(FIND(""veneer"",KitchenCarcassMaterial))=FALSE,VLOOKUP(""Base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600"",A34))=FALSE,IF(ISERROR(FIND(""veneer"""&amp;",KitchenCarcassMaterial))=FALSE,0.54*(VLOOKUP(LEFT(KitchenCarcassMaterial,FIND(""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1200"",A34))=FALSE,"&amp;"IF(ISERROR(FIND(""veneer"",KitchenCarcassMaterial))=FALSE,0.84*(VLOOKUP(LEFT(KitchenCarcassMaterial,FIND(""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600"",A34))=FALSE,IF(ISERROR(FIND(""veneer"",KitchenCarcassMaterial))=FALSE,1.44*(VLOOKUP(LEFT(KitchenCarcassMaterial,FIND(""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1200"",A34))=FALSE,IF(ISERROR(FIND(""veneer"",KitchenCarcassMaterial))=FALSE,2.7*(VLOOKUP(LEFT(KitchenCarcassMaterial,FIND(""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front"",A34))=FALSE,((B34/1000)*(C34/1000))*VLOOKUP(KitchenDoorMaterial,SheetsData,8,0),IF(AND(KitchenDrawerType=""Match carcass"",ISERROR(FIND(""drawer box"",A34))=FALSE),(((((B34/1000)*(C34/1000))+((B34/1000"&amp;")*(D34/1000)))*2)*VLOOKUP(KitchenCarcassMaterial,SheetsData,8,0))+(((C34/1000)*(D34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box"",A34))=FALSE),(((((B34/1000)*(C34/1000))+((B34/1000)*(D34/1000)))*2)*(16/1000)*VLOOKUP(LEFT(KitchenCarcassMaterial,FIND("" "&amp;""",KitchenCarcassMaterial))&amp;""(solid m3)"",SolidData,5,0))+(((C34/1000)*(D34/1000))*VLOOKUP(LEFT(KitchenCarcassMaterial,FIND(""("",KitchenCarcassMaterial)-1)&amp;IF(OR(ISERROR(FIND(""ply"",KitchenCarcassMaterial))=FALSE,ISERROR(FIND(""H/F"",KitchenCarcassMate"&amp;"rial))=FALSE),""(9mm)"",""(10mm)""),SheetsData,8,0)),IF(ISERROR(FIND(""spacer"",A34))=FALSE,((D34/1000)*(C34/1000))*VLOOKUP(""Poplar ply (18mm)"",SheetsData,8,0),IF(ISERROR(FIND(""filler panel"",A34))=FALSE,((B34/1000)*(C34/1000))*VLOOKUP(KitchenDoorMater"&amp;"ial,SheetsData,8,0),IF(ISERROR(FIND(""shelf"",A34))=FALSE,((D34/1000)*(C34/1000))*VLOOKUP(KitchenCarcassMaterial,SheetsData,8,0),IF(ISERROR(FIND(""lost corner"",A34))=FALSE,VLOOKUP(LEFT(A34,FIND("" "",A34))&amp;""carcass ""&amp;VALUE(REGEXREPLACE(A34,""[^[:digit:"&amp;"]]"", """")),KitchensData,5,0)+((((B34/1000)*(C34/1000))+((B34/1000)*(60/1000)))*VLOOKUP(KitchenCarcassMaterial,SheetsData,8,0)),IF(ISERROR(FIND(""carcass"",A34))=FALSE,(((((B34/1000)*2)*(D34/1000))+(((C34/1000)*2)*(D34/1000)))*VLOOKUP(KitchenCarcassMater"&amp;"ial,SheetsData,8,0))+((B34/1000)*(C34/1000))*VLOOKUP(LEFT(KitchenCarcassMaterial,FIND(""("",KitchenCarcassMaterial)-1)&amp;IF(OR(ISERROR(FIND(""ply"",KitchenCarcassMaterial))=FALSE,ISERROR(FIND(""H/F"",KitchenCarcassMaterial))=FALSE),""(9mm)"",""(10mm)""),She"&amp;"etsData,8,0),IF(OR(ISERROR(FIND(""Plinth"",A34))=FALSE,ISERROR(FIND(""Cornice (flat)"",A34))=FALSE),((B34/1000)*(C34/1000))*VLOOKUP(""H/F (18mm)"",SheetsData,8,0),IF(ISERROR(FIND(""Cornice (stacked)"",A34))=FALSE,((0.08*(C34/1000))*2)*VLOOKUP(""H/F (22mm)"&amp;""",SheetsData,8,0),IF(ISERROR(FIND(""Base end panel"",A34))=FALSE,VLOOKUP(KitchenDoorMaterial,SheetsData,5,0)/3,IF(ISERROR(FIND(""Wall end panel"",A34))=FALSE,VLOOKUP(KitchenDoorMaterial,SheetsData,5,0)/9,IF(ISERROR(FIND(""Tower end panel"",A34))=FALSE,VL"&amp;"OOKUP(KitchenDoorMaterial,SheetsData,5,0),IF(ISERROR(FIND(""Fillers"",A34))=FALSE,(((0.06*(C34/1000))*2)*VLOOKUP(""H/F (18mm)"",SheetsData,8,0))+(((0.06*(C34/1000))*2)*VLOOKUP(""H/F (9mm)"",SheetsData,8,0)),IF(ISERROR(FIND(""corner post"",A34))=FALSE,(((B"&amp;"34/1000)*0.05)*2)*VLOOKUP(KitchenDoorMaterial,SheetsData,8,0),IF(ISERROR(FIND(""Pelmet"",A34))=FALSE,((((B34/1000)*(C34/1000))*2)*VLOOKUP(""H/F (18mm)"",SheetsData,8,0)),IF(ISERROR(FIND(""door"",A34))=TRUE,""Check description"",IF(KitchenDoorStyle=""Flat"&amp;""",((B34/1000)*(C34/1000))*VLOOKUP(KitchenDoorMaterial,SheetsData,8,0),IF(LEFT(KitchenDoorStyle,5)=""Panel"",(((((B34/1000)*2)*0.08)+((((C34/1000)-0.16)*2)*0.08))*VLOOKUP(""H/F (22mm)"",SheetsData,8,0))+(((B34/1000)-0.14)*((C34/1000)-0.14)*VLOOKUP(""H/F ("&amp;"9mm)"",SheetsData,8,0)),IF(KitchenDoorStyle=""In-frame flat"",((((((B34/1000)*0.019)*0.038)+((((C34-38)/1000)*0.038)*0.038))*2)*VLOOKUP(""Tulip (solid m3)"",SolidData,5,0))+(((B34-76)/1000)*((C34-38)/1000))*VLOOKUP(""H/F (22mm)"",SheetsData,8,0),IF(LEFT(K"&amp;"itchenDoorStyle,14)=""In-frame panel"",(((((((B34/1000)*0.019)*0.038)+((((C34-38)/1000)*0.038)*0.038))*2)*VLOOKUP(""Tulip (solid m3)"",SolidData,5,0))+(((((((B34-76)/1000)*2)*0.08)+(((((C34-198)/1000)*2)*0.08)))*VLOOKUP(""H/F (22mm)"",SheetsData,8,0))+((("&amp;"B34-216)/1000)*((C34-178)/1000)*VLOOKUP(""H/F (9mm)"",SheetsData,8,0)))))))))))))))))))))))))))))))))"),16.24428916957807)</f>
        <v>16.24428917</v>
      </c>
      <c r="F34" s="152" t="str">
        <f>IFERROR(__xludf.DUMMYFUNCTION("IF(OR(A34="""",AND(ISERROR(FIND(""drawer box"",A34))=FALSE,KitchenDrawerType=""Solid dovetail"")),"""",IF(ISERROR(FIND(""bins"",A34))=FALSE,VLOOKUP(""Base carcass 600"",KitchensData,6,0),IF(OR(ISERROR(FIND(""larder"",A34))=FALSE,ISERROR(FIND(""unit"",A34)"&amp;")=FALSE),VLOOKUP(LEFT(A34,FIND("" "",A34))&amp;""carcass ""&amp;RIGHT(A34,LEN(A34)-len(regexextract(A34,"".* ""))),KitchensData,6,0),IF(ISERROR(FIND(""drawer front"",A34))=FALSE,IF(ISERROR(FIND(""veneer"",KitchenCarcassMaterial))=TRUE,0,(((B34+C34)/1000)*2)*VLOOK"&amp;"UP(""Edge banding (per M)"",SheetsData,5,0)),IF(ISERROR(FIND(""drawer box"",A34))=FALSE,IF(ISERROR(FIND(""veneer"",KitchenCarcassMaterial))=TRUE,0,(((C34+D34)/1000)*2)*VLOOKUP(""Edge banding (per M)"",SheetsData,5,0)),IF(ISERROR(FIND(""shelf"",A34))=FALSE"&amp;",IF(ISERROR(FIND(""veneer"",KitchenCarcassMaterial))=TRUE,0,(C34/1000)*VLOOKUP(""Edge banding (per M)"",SheetsData,5,0)),IF(AND(ISERROR(FIND(""carcass"",A34))=FALSE,ISERROR(FIND(""shelf"",A34))=TRUE),IF(ISERROR(FIND(""veneer"",KitchenCarcassMaterial))=TRU"&amp;"E,0,((2*(B34+C34))/1000)*VLOOKUP(""Edge banding (per M)"",SheetsData,5,0)),IF(ISERROR(FIND(""door"",A34))=TRUE,"""",IF(ISERROR(FIND(""veneer"",KitchenDoorMaterial))=TRUE,"""",((2*(B34+C34))/1000)*VLOOKUP(""Edge banding (per M)"",SheetsData,5,0))))))))))"),"")</f>
        <v/>
      </c>
      <c r="G34" s="153" t="str">
        <f>IF(A34="","",IF(ISERROR(FIND("bins",A34))=FALSE,VLOOKUP("Base carcass 600",KitchensData,7,0),IF(OR(ISERROR(FIND("larder",A34))=FALSE,ISERROR(FIND("fridge/freezer",A34))=FALSE,ISERROR(FIND("double oven",A34))=FALSE,ISERROR(FIND("single oven",A34))=FALSE),VLOOKUP(LEFT(A34,FIND(" ",A34))&amp;"carcass "&amp;RIGHT(A34,LEN(A34)-(LEN(A34)-3)),KitchensData,7,0),IF(AND(ISERROR(FIND("carcass",A34))=FALSE,ISERROR(FIND("shelf",A34))=TRUE),IF(OR(ISERROR(FIND("Base",A34))=FALSE,ISERROR(FIND("Tower",A34))=FALSE),IF(OR(ISERROR(FIND("1200",A34))=FALSE, ISERROR(FIND("lost corner",A34))=FALSE),6*VLOOKUP("Plinth foot (2 Parts 80mm)",FurnitureData,5,0),4*VLOOKUP("Plinth foot (2 Parts 80mm)",FurnitureData,5,0)),""),""))))</f>
        <v/>
      </c>
      <c r="H34" s="153">
        <f>IF(OR(A34="",ISERROR(FIND("door",A34))=TRUE),"",IF(ISERROR(FIND("Wall",A34))=FALSE,VLOOKUP("Hinges &amp; plates (Hettich thick door)",FurnitureData,5,0)*2,IF(ISERROR(FIND("Base",A34))=FALSE,VLOOKUP("Hinges &amp; plates (Hettich thick door)",FurnitureData,5,0)*3,IF(ISERROR(FIND("Boiler",A34))=FALSE,VLOOKUP("Hinges &amp; plates (Hettich thick door)",FurnitureData,5,0)*4,IF(ISERROR(FIND("Tower",A34))=FALSE,VLOOKUP("Hinges &amp; plates (Hettich thick door)",FurnitureData,5,0)*5)))))</f>
        <v>17.35</v>
      </c>
      <c r="I34" s="115" t="str">
        <f>IF(ISERROR(FIND("shelf",A34))=FALSE,(VLOOKUP("Shelf pegs",FurnitureData,5,0)/100)*4,"")</f>
        <v/>
      </c>
      <c r="J34" s="152" t="str">
        <f>IF(OR(ISERROR(FIND("fridge/freezer",A34))=FALSE,ISERROR(FIND("larder",A34))=FALSE,AND(ISERROR(FIND("Base",A34))=FALSE,ISERROR(FIND("bins",A34))=TRUE,ISERROR(FIND("no shelves",A34))=TRUE,OR(ISERROR(FIND("carcass",A34))=FALSE,ISERROR(FIND("unit",A34))=FALSE))),VLOOKUP("Deep shelf "&amp;C34,KitchensData,18,0),IF(AND(ISERROR(FIND("Wall",A34))=FALSE,ISERROR(FIND("carcass",A34))=FALSE),2*VLOOKUP("Shallow shelf "&amp;C34,KitchensData,18,0),IF(AND(ISERROR(FIND("Tower",A34))=FALSE,ISERROR(FIND("oven",A34))=FALSE),4*VLOOKUP("Deep shelf "&amp;C34,KitchensData,18,0),IF(AND(ISERROR(FIND("Tower",A34))=FALSE,ISERROR(FIND("carcass",A34))=FALSE),5*VLOOKUP("Deep shelf "&amp;C34,KitchensData,18,0),""))))</f>
        <v/>
      </c>
      <c r="K34" s="152" t="str">
        <f>IF(ISERROR(FIND("sink",A34))=FALSE,VLOOKUP("Sink liner - Aluminium "&amp;RIGHT(A34,LEN(A34)-22)&amp;"mm",ExceptionalData,5,0),IF(ISERROR(FIND("bins",A34))=FALSE,VLOOKUP("Drawer runners and clip set for bin unit (500) Dynapro",FurnitureData,5,0)+(2*VLOOKUP("Bin (42L Anthracite)",FurnitureData,5,0)),IF(ISERROR(FIND("larder",A34))=FALSE,VLOOKUP("Pull out larder unit 600mm",FurnitureData,5,0),IF(AND(ISERROR(FIND("drawer box",A34))=FALSE,ISERROR(FIND("internal",A34))=TRUE),VLOOKUP("Drawer runners and clip set (550) Dynapro",FurnitureData,5,0),IF(ISERROR(FIND("internal drawer box",A34))=FALSE,VLOOKUP("Drawer runners and clip set (450) Dynapro",FurnitureData,5,0),"")))))</f>
        <v/>
      </c>
      <c r="L34" s="152">
        <f t="shared" si="3"/>
        <v>33.59428917</v>
      </c>
      <c r="M34" s="154">
        <f>IFERROR(__xludf.DUMMYFUNCTION("IF(A34="""","""",IF(OR(ISERROR(FIND(""larder"",A34))=FALSE,ISERROR(FIND(""unit"",A34))=FALSE),VLOOKUP(LEFT(A34,FIND("" "",A34))&amp;""carcass ""&amp;RIGHT(A34,LEN(A34)-len(regexextract(A34,"".* ""))),KitchensData,13,0),IF(ISERROR(FIND(""bins"",A34))=FALSE,0.95,IF"&amp;"(ISERROR(FIND(""Cutlery insert 600"",A34))=FALSE,1.3,IF(ISERROR(FIND(""Cutlery insert 1200"",A34))=FALSE,2,IF(ISERROR(FIND(""Pan/tray rack 600"",A34))=FALSE,3.25,IF(ISERROR(FIND(""Pan/tray rack 1200"",A34))=FALSE,5.9,IF(ISERROR(FIND(""split"",A34))=FALSE,"&amp;"(((C34/1000)*0.022)*2)+VLOOKUP(SUBSTITUTE(A34,"" split"",""""),KitchensData,13,0),IF(AND(ISERROR(FIND(""drawer front"",A34))=FALSE,KitchenDoorStyle=""Flat""),(((B34/1000)*(C34/1000))*2)+((((B34+C34)/1000)*2)*0.022),IF(AND(ISERROR(FIND(""drawer front"",A34"&amp;"))=FALSE,LEFT(KitchenDoorStyle,5)=""Panel""),(((B34/1000)*(C34/1000))*2)+((((B34+C34)/1000)*2)*0.022)+((((C34/1000)-0.16)*0.013)*2)+((((D34/1000)-0.16)*0.013)*2),IF(AND(ISERROR(FIND(""drawer front"",A34))=FALSE,KitchenDoorStyle=""In-frame flat""),((((B34-"&amp;"76)/1000)*((C34-38)/1000))*2)+(MID(KitchenDoorMaterial,FIND(""("",KitchenDoorMaterial)+1,2)/1000)*((((B34-76)+(C34-38))/1000)*2)+(((B34/1000)*0.032)*2)+((((B34-76)/1000)*0.032)*2)+(((B34/1000)*0.019)*4)+(((C34/1000)*0.032)*2)+((((C34-38)/1000)*0.032)*2)+("&amp;"((C34/1000)*0.038)*4),IF(AND(ISERROR(FIND(""drawer front"",A34))=FALSE,LEFT(KitchenDoorStyle,14)=""In-frame panel""),((((B34-76)/1000)*((C34-38)/1000))*2)+((MID(KitchenDoorMaterial,FIND(""("",KitchenDoorMaterial)+1,2)/1000)*((((B34-76)+(C34-38))/1000)*2))"&amp;"+((((B34-236)/1000)+((C34-198)/1000)*2)*0.013)+(((B34/1000)*0.032)*2)+((((B34-76)/1000)*0.032)*2)+(((B34/1000)*0.019)*4)+(((C34/1000)*0.032)*2)+((((C34-38)/1000)*0.032)*2)+(((C34/1000)*0.038)*4),IF(ISERROR(FIND(""drawer box"",A34))=FALSE,((((B34/1000)*(D3"&amp;"4/1000))+((B34/1000)*(C34/1000)))*4)+((((D34/1000)+(C34/1000))*0.016)*4)+(((C34/1000)*(D34/1000))*2),IF(OR(ISERROR(FIND(""shelf"",A34))=FALSE,ISERROR(FIND(""spacer"",A34))=FALSE,,ISERROR(FIND(""filler panel"",A34))=FALSE),(((C34/1000)*(D34/1000))*2)+((((C"&amp;"34+D34)*2)/1000)*0.022),IF(ISERROR(FIND(""lost corner"",A34))=FALSE,(((B34/1000)*(C34/1000))*2)+((B34/1000)*(C34/1000))+((B34/1000)*((C34/2)/1000))+((((B34/1000)*0.025)+((C34/1000)*0.025))*2),IF(ISERROR(FIND(""carcass"",A34))=FALSE,(((C34/1000)*(D34/1000)"&amp;")*2)+(((B34/1000)*(D34/1000))*2)+((B34/1000)*(C34/1000))+((((B34/1000)*0.025)+((C34/1000)*0.025))*2),IF(AND(ISERROR(FIND(""door"",A34))=FALSE,KitchenDoorStyle=""Flat""),(((B34/1000)*(C34/1000))*2)+(MID(KitchenDoorMaterial,FIND(""("",KitchenDoorMaterial)+1"&amp;",2)/1000)*(((B34+C34)/1000)*2),IF(AND(ISERROR(FIND(""door"",A34))=FALSE,LEFT(KitchenDoorStyle,5)=""Panel""),(((B34/1000)*(C34/1000))*2)+((MID(KitchenDoorMaterial,FIND(""("",KitchenDoorMaterial)+1,2)/1000)*(((B34+C34)/1000)*2))+(((((B34-160)+(C34-160))*2)/"&amp;"1000)*(0.013)),IF(AND(ISERROR(FIND(""door"",A34))=FALSE,KitchenDoorStyle=""In-frame flat""),((((B34-76)/1000)*((C34-38)/1000))*2)+(MID(KitchenDoorMaterial,FIND(""("",KitchenDoorMaterial)+1,2)/1000)*((((B34-76)+(C34-38))/1000)*2)+(((B34/1000)*0.032)*2)+((("&amp;"(B34-76)/1000)*0.032)*2)+(((B34/1000)*0.019)*4)+(((C34/1000)*0.032)*2)+((((C34-38)/1000)*0.032)*2)+(((C34/1000)*0.038)*4),IF(AND(ISERROR(FIND(""door"",A34))=FALSE,LEFT(KitchenDoorStyle,14)=""In-frame panel""),((((B34-76)/1000)*((C34-38)/1000))*2)+((MID(Ki"&amp;"tchenDoorMaterial,FIND(""("",KitchenDoorMaterial)+1,2)/1000)*((((B34-76)+(C34-38))/1000)*2))+((((B34-236)/1000)+((C34-198)/1000)*2)*0.013)+(((B34/1000)*0.032)*2)+((((B34-76)/1000)*0.032)*2)+(((B34/1000)*0.019)*4)+(((C34/1000)*0.032)*2)+((((C34-38)/1000)*0"&amp;".032)*2)+(((C34/1000)*0.038)*4),IF(ISERROR(FIND(""Plinth"",A34))=FALSE,((B34/1000)*(C34/1000))+(((C34/1000)*0.018)*2)+(((B34/1000)*0.018)*2),IF(ISERROR(FIND(""Cornice"",A34))=FALSE,(((C34/1000)*0.1)*2)+(((C34/1000)*0.044)*2)+(((B34/1000)*0.08)*2),IF(ISERR"&amp;"OR(FIND(""Base end panel"",A34))=FALSE,((B34/1000)*(C34/1000))+(0.022*((B34/1000)+((C34/1000)*2)))+((B34/1000)*0.05),IF(ISERROR(FIND(""Wall end panel"",A34))=FALSE,((B34/1000)*(C34/1000))+(0.022*((B34/1000)+((C34/1000)*2)))+((B34/1000)*0.05),IF(ISERROR(FI"&amp;"ND(""Tower end panel"",A34))=FALSE,((B34/1000)*(C34/1000))+(0.022*((B34/1000)+((C34/1000)*2)))+((B34/1000)*0.05),IF(ISERROR(FIND(""Fillers"",A34))=FALSE,((C34/1000)*0.06)+((C34/1000)*0.069)+((0.06*0.018)*2)+((0.06*0.009)*2)+((C34/1000)*0.009)+((C34/1000)*"&amp;"0.018),IF(ISERROR(FIND(""corner post"",A34))=FALSE,(((B34/1000*0.05)*2)+((B34/1000)*0.022)*2)+((B34/1000)*0.072)+((B34/1000)*0.05)+((0.072*0.022)*2)+((0.05*0.022)*2),IF(ISERROR(FIND(""Pelmet"",A34))=FALSE,((C34/1000)*0.05)+((C34/1000)*0.068)+((0.05*0.018)"&amp;"*4)+(((C34/1000)*0.018))*2))))))))))))))))))))))))))))"),1.8744000000000003)</f>
        <v>1.8744</v>
      </c>
      <c r="N34" s="152">
        <f>IF(M34="","",IF(AND(ISERROR(FIND("carcass",A34))=TRUE,ISERROR(FIND("unit",A34))=TRUE,ISERROR(FIND("insert",A34))=TRUE,ISERROR(FIND("rack",A34))=TRUE,ISERROR(FIND("box",A34))=TRUE,ISERROR(FIND("shelf",#REF!))=TRUE),VLOOKUP(KitchenDoorFinish,Finishing!$A$2:$K$10,9,0)*M34,VLOOKUP(KitchenCarcassFinish,Finishing!$A$2:$K$40,9,0)*M34))</f>
        <v>14.058</v>
      </c>
      <c r="O34" s="155">
        <v>1.0</v>
      </c>
      <c r="P34" s="155">
        <v>1.5</v>
      </c>
      <c r="Q34" s="152">
        <f>IF(OR(O34="",P34=""),"",((O34*X34)*(VLOOKUP("Workshop",Labour!$A$3:$E$20,4,0)/8))+((P34*AE34)*(VLOOKUP("Finishing",Labour!$A$3:$E$20,4,0)/8)))</f>
        <v>211.75</v>
      </c>
      <c r="R34" s="152">
        <f t="shared" si="4"/>
        <v>259.4022892</v>
      </c>
      <c r="S34" s="156">
        <f>IF(OR(O34="",P34=""),"",IF(OR(ISERROR(FIND("carcass",$A34))=FALSE,ISERROR(FIND("unit",$A34))=FALSE),VLOOKUP(KitchenCarcassMaterial,FixedListsCarcassMaterial,2,0),0))</f>
        <v>0</v>
      </c>
      <c r="T34" s="156">
        <f>IF(OR(O34="",P34=""),"",IF(ISERROR(FIND("door",$A34))=FALSE,VLOOKUP(KitchenDoorStyle,FixedListsDoorStyle,2,0),0))</f>
        <v>1</v>
      </c>
      <c r="U34" s="156">
        <f>IF(OR(O34="",P34=""),"",IF(ISERROR(FIND("door",$A34))=FALSE,VLOOKUP(KitchenDoorMaterial,FixedListsDoorMaterial,2,0),0))</f>
        <v>1</v>
      </c>
      <c r="V34" s="156">
        <f>IF(OR(O34="",P34=""),"",IF(ISERROR(FIND("drawer",$A34))=FALSE,VLOOKUP(KitchenDrawerType,FixedListsDrawerType,2,0),0))</f>
        <v>0</v>
      </c>
      <c r="W34" s="156">
        <f>IF(OR(O34="",P34=""),"",IF(OR(S34&gt;0, T34&gt;0,V34&gt;0),VLOOKUP(KitchenHandleType,FixedListsHandleType,2,FALSE)*IF(KitchenHandleType="Simple",0,IF(S34&gt;0,VLOOKUP(KitchenHandleType,FixedListsHandleType,4,FALSE),IF(OR(T34&gt;0,V34&gt;0),1-VLOOKUP(KitchenHandleType,FixedListsHandleType,4,FALSE),"Error"))),0))</f>
        <v>0</v>
      </c>
      <c r="X34" s="156">
        <f t="shared" si="5"/>
        <v>1</v>
      </c>
      <c r="Y34" s="156">
        <f>IF(OR(O34="",P34=""),"",IF(OR(ISERROR(FIND("carcass",$A34))=FALSE,ISERROR(FIND("unit",$A34))=FALSE),VLOOKUP(KitchenCarcassMaterial,FixedListsCarcassMaterial,3,0),0))</f>
        <v>0</v>
      </c>
      <c r="Z34" s="156">
        <f>IF(OR(O34="",P34=""),"",IF(ISERROR(FIND("door",$A34))=FALSE,VLOOKUP(KitchenDoorStyle,FixedListsDoorStyle,3,0),0))</f>
        <v>1</v>
      </c>
      <c r="AA34" s="156">
        <f>IF(OR(O34="",P34=""),"",IF(ISERROR(FIND("door",$A34))=FALSE,VLOOKUP(KitchenDoorMaterial,FixedListsDoorMaterial,3,0),0))</f>
        <v>2</v>
      </c>
      <c r="AB34" s="156">
        <f>IF(OR(O34="",P34=""),"",IF(ISERROR(FIND("drawer",$A34))=FALSE,VLOOKUP(KitchenDrawerType,FixedListsDrawerType,3,0),0))</f>
        <v>0</v>
      </c>
      <c r="AC34" s="156">
        <f>IF(OR(O34="",P34=""),"",IF(OR(Y34&gt;0,Z34&gt;0,AB34&gt;0),VLOOKUP(KitchenHandleType,FixedListsHandleType,3,FALSE),0))</f>
        <v>1</v>
      </c>
      <c r="AD34" s="156">
        <f>IF(OR(O34="",P34=""),"",IF(OR(ISERROR(FIND("carcass",$A34))=FALSE,ISERROR(FIND("unit",$A34))=FALSE),VLOOKUP(KitchenCarcassFinish,FixedListsFinishes,3,0),IF(OR(ISERROR(FIND("door",$A34))=FALSE,ISERROR(FIND("Plinth",$A34))=FALSE,ISERROR(FIND("Cornice",$A34))=FALSE,ISERROR(FIND("Fillers",$A34))=FALSE,ISERROR(FIND("Pelmet",$A34))=FALSE,ISERROR(FIND("panel",$A34))=FALSE,ISERROR(FIND("post",$A34))=FALSE),VLOOKUP(KitchenDoorFinish,FixedListsFinishes,3,0),IF(OR(ISERROR(FIND("drawer",$A34))=FALSE,ISERROR(FIND("insert",$A34))=FALSE,ISERROR(FIND("rck",$A34))=FALSE),VLOOKUP(KitchenCarcassFinish,FixedListsFinishes,3,0),0))))</f>
        <v>2</v>
      </c>
      <c r="AE34" s="156">
        <f t="shared" si="6"/>
        <v>4</v>
      </c>
      <c r="AF34" s="157" t="str">
        <f>IF(AND(KitchenHandleType="Channel",OR(ISERROR(FIND("arcass",$A34))=FALSE,ISERROR(FIND("unit",$A34))=FALSE)),IF(ISERROR(FIND("Tower",$A34))=TRUE,IF(KitchenHandleFinish="Match carcass",IF(ISERROR(FIND("Walnut",KitchenCarcassMaterial))=FALSE,(0.035*0.075*($C34/1000))*VLOOKUP("Walnut (solid m3)",SolidData,4,FALSE),IF(ISERROR(FIND("Oak",KitchenCarcassMaterial))=FALSE,(0.035*0.075*($C34/1000))*VLOOKUP("Oak (solid m3)",SolidData,4,FALSE),IF(ISERROR(FIND("ply",KitchenCarcassMaterial))=FALSE,(0.1*($C34/1000))*VLOOKUP("Birch ply (24mm)",SheetsData,7,FALSE),IF(ISERROR(FIND("H/F",KitchenCarcassMaterial))=FALSE,(0.1*($C34/1000))*VLOOKUP("H/F (22mm)",SheetsData,7,FALSE),"Carcass - not tower - new material")))),IF(KitchenHandleFinish="Match door",IF(ISERROR(FIND("Walnut",KitchenDoorMaterial))=FALSE,(0.035*0.075*($C34/1000))*VLOOKUP("Walnut (solid m3)",SolidData,4,FALSE),IF(ISERROR(FIND("Oak",KitchenDoorMaterial))=FALSE,(0.035*0.075*($C34/1000))*VLOOKUP("Oak (solid m3)",SolidData,4,FALSE),IF(ISERROR(FIND("ply",KitchenDoorMaterial))=FALSE,(0.1*($C34/1000))*VLOOKUP("Birch ply (24mm)",SheetsData,7,FALSE),IF(ISERROR(FIND("H/F",KitchenCarcassMaterial))=FALSE,(0.1*($C34/1000))*VLOOKUP("H/F (22mm)",SheetsData,7,FALSE),"Door - not tower - new material")))),"Channel - not tower - handle set to other")),IF(ISERROR(FIND("Tower",$A34))=FALSE,IF(KitchenHandleFinish="Match carcass",IF(ISERROR(FIND("Walnut",KitchenCarcassMaterial))=FALSE,(0.035*0.075*($B34/1000))*VLOOKUP("Walnut (solid m3)",SolidData,4,FALSE),IF(ISERROR(FIND("Oak",KitchenCarcassMaterial))=FALSE,(0.035*0.075*($B34/1000))*VLOOKUP("Oak (solid m3)",SolidData,4,FALSE),IF(ISERROR(FIND("ply",KitchenCarcassMaterial))=FALSE,(0.1*($B34/1000))*VLOOKUP("Birch ply (24mm)",SheetsData,7,FALSE),IF(ISERROR(FIND("H/F",KitchenCarcassMaterial))=FALSE,(0.1*($C34/1000))*VLOOKUP("H/F (22mm)",SheetsData,7,FALSE),"Carcass - tower - new material")))),IF(KitchenHandleFinish="Match door",IF(ISERROR(FIND("Walnut",KitchenDoorMaterial))=FALSE,(0.035*0.075*($B34/1000))*VLOOKUP("Walnut (solid m3)",SolidData,4,FALSE),IF(ISERROR(FIND("Oak",KitchenDoorMaterial))=FALSE,(0.035*0.075*($B34/1000))*VLOOKUP("Oak (solid m3)",SolidData,4,FALSE),IF(ISERROR(FIND("ply",KitchenDoorMaterial))=FALSE,(0.1*($B34/1000))*VLOOKUP("Birch ply (24mm)",SheetData,7,FALSE),IF(ISERROR(FIND("H/F",KitchenCarcassMaterial))=FALSE,(0.1*($C34/1000))*VLOOKUP("H/F (22mm)",SheetsData,7,FALSE),"Door - tower - new material")))),"Channel - tower - handle set to other")))),"")</f>
        <v/>
      </c>
    </row>
    <row r="35">
      <c r="A35" s="115" t="s">
        <v>143</v>
      </c>
      <c r="B35" s="115">
        <f t="shared" si="1"/>
        <v>2200</v>
      </c>
      <c r="C35" s="115" t="str">
        <f>IFERROR(__xludf.DUMMYFUNCTION("IF(A35="""","""",IF(OR(RIGHT(A35,LEN(A35)-len(regexextract(A35,"".* "")))=""1200"",RIGHT(A35,LEN(A35)-len(regexextract(A35,"".* "")))=""600"",RIGHT(A35,LEN(A35)-len(regexextract(A35,"".* "")))=""400"",RIGHT(A35,LEN(A35)-len(regexextract(A35,"".* "")))=""3"&amp;"00"",RIGHT(A35,LEN(A35)-len(regexextract(A35,"".* "")))=""700"",RIGHT(A35,LEN(A35)-len(regexextract(A35,"".* "")))=""2400"",RIGHT(A35,LEN(A35)-len(regexextract(A35,"".* "")))=""650"",RIGHT(A35,LEN(A35)-len(regexextract(A35,"".* "")))=""350"",RIGHT(A35,LEN"&amp;"(A35)-len(regexextract(A35,"".* "")))=""50""),RIGHT(A35,LEN(A35)-len(regexextract(A35,"".* ""))),IF(OR(ISERROR(FIND(""spacer"",A35))=FALSE,ISERROR(FIND(""filler panel"",A35))=FALSE),""1000"",""Unexpected size in description"")))"),"300")</f>
        <v>300</v>
      </c>
      <c r="D35" s="151" t="str">
        <f t="shared" si="2"/>
        <v/>
      </c>
      <c r="E35" s="152">
        <f>IFERROR(__xludf.DUMMYFUNCTION("IF(OR(A35="""",AND(ISERROR(FIND(""drawer box"",A35))=FALSE,KitchenDrawerType="""")),"""",IF(OR(ISERROR(FIND(""larder"",A35))=FALSE,ISERROR(FIND(""fridge/freezer"",A35))=FALSE,ISERROR(FIND(""double oven"",A35))=FALSE,ISERROR(FIND(""single oven"",A35))=FALS"&amp;"E),VLOOKUP(LEFT(A35,FIND("" "",A35))&amp;""carcass ""&amp;RIGHT(A35,LEN(A35)-(LEN(A35)-3)),KitchensData,5,0),IF(ISERROR(FIND(""sink"",A35))=FALSE,VLOOKUP(LEFT(A35,FIND("" "",A35))&amp;""carcass ""&amp;VALUE(REGEXREPLACE(A35,""[^[:digit:]]"", """")),KitchensData,5,0)+(((C"&amp;"35/1000)*(300/1000))*VLOOKUP(KitchenCarcassMaterial,SheetsData,8,0)),IF(ISERROR(FIND(""bins"",A35))=FALSE,IF(ISERROR(FIND(""veneer"",KitchenCarcassMaterial))=FALSE,VLOOKUP(""Base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600"",A35))=FALSE,IF(ISERROR(FIND(""veneer"""&amp;",KitchenCarcassMaterial))=FALSE,0.54*(VLOOKUP(LEFT(KitchenCarcassMaterial,FIND(""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1200"",A35))=FALSE,"&amp;"IF(ISERROR(FIND(""veneer"",KitchenCarcassMaterial))=FALSE,0.84*(VLOOKUP(LEFT(KitchenCarcassMaterial,FIND(""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600"",A35))=FALSE,IF(ISERROR(FIND(""veneer"",KitchenCarcassMaterial))=FALSE,1.44*(VLOOKUP(LEFT(KitchenCarcassMaterial,FIND(""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1200"",A35))=FALSE,IF(ISERROR(FIND(""veneer"",KitchenCarcassMaterial))=FALSE,2.7*(VLOOKUP(LEFT(KitchenCarcassMaterial,FIND(""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front"",A35))=FALSE,((B35/1000)*(C35/1000))*VLOOKUP(KitchenDoorMaterial,SheetsData,8,0),IF(AND(KitchenDrawerType=""Match carcass"",ISERROR(FIND(""drawer box"",A35))=FALSE),(((((B35/1000)*(C35/1000))+((B35/1000"&amp;")*(D35/1000)))*2)*VLOOKUP(KitchenCarcassMaterial,SheetsData,8,0))+(((C35/1000)*(D35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box"",A35))=FALSE),(((((B35/1000)*(C35/1000))+((B35/1000)*(D35/1000)))*2)*(16/1000)*VLOOKUP(LEFT(KitchenCarcassMaterial,FIND("" "&amp;""",KitchenCarcassMaterial))&amp;""(solid m3)"",SolidData,5,0))+(((C35/1000)*(D35/1000))*VLOOKUP(LEFT(KitchenCarcassMaterial,FIND(""("",KitchenCarcassMaterial)-1)&amp;IF(OR(ISERROR(FIND(""ply"",KitchenCarcassMaterial))=FALSE,ISERROR(FIND(""H/F"",KitchenCarcassMate"&amp;"rial))=FALSE),""(9mm)"",""(10mm)""),SheetsData,8,0)),IF(ISERROR(FIND(""spacer"",A35))=FALSE,((D35/1000)*(C35/1000))*VLOOKUP(""Poplar ply (18mm)"",SheetsData,8,0),IF(ISERROR(FIND(""filler panel"",A35))=FALSE,((B35/1000)*(C35/1000))*VLOOKUP(KitchenDoorMater"&amp;"ial,SheetsData,8,0),IF(ISERROR(FIND(""shelf"",A35))=FALSE,((D35/1000)*(C35/1000))*VLOOKUP(KitchenCarcassMaterial,SheetsData,8,0),IF(ISERROR(FIND(""lost corner"",A35))=FALSE,VLOOKUP(LEFT(A35,FIND("" "",A35))&amp;""carcass ""&amp;VALUE(REGEXREPLACE(A35,""[^[:digit:"&amp;"]]"", """")),KitchensData,5,0)+((((B35/1000)*(C35/1000))+((B35/1000)*(60/1000)))*VLOOKUP(KitchenCarcassMaterial,SheetsData,8,0)),IF(ISERROR(FIND(""carcass"",A35))=FALSE,(((((B35/1000)*2)*(D35/1000))+(((C35/1000)*2)*(D35/1000)))*VLOOKUP(KitchenCarcassMater"&amp;"ial,SheetsData,8,0))+((B35/1000)*(C35/1000))*VLOOKUP(LEFT(KitchenCarcassMaterial,FIND(""("",KitchenCarcassMaterial)-1)&amp;IF(OR(ISERROR(FIND(""ply"",KitchenCarcassMaterial))=FALSE,ISERROR(FIND(""H/F"",KitchenCarcassMaterial))=FALSE),""(9mm)"",""(10mm)""),She"&amp;"etsData,8,0),IF(OR(ISERROR(FIND(""Plinth"",A35))=FALSE,ISERROR(FIND(""Cornice (flat)"",A35))=FALSE),((B35/1000)*(C35/1000))*VLOOKUP(""H/F (18mm)"",SheetsData,8,0),IF(ISERROR(FIND(""Cornice (stacked)"",A35))=FALSE,((0.08*(C35/1000))*2)*VLOOKUP(""H/F (22mm)"&amp;""",SheetsData,8,0),IF(ISERROR(FIND(""Base end panel"",A35))=FALSE,VLOOKUP(KitchenDoorMaterial,SheetsData,5,0)/3,IF(ISERROR(FIND(""Wall end panel"",A35))=FALSE,VLOOKUP(KitchenDoorMaterial,SheetsData,5,0)/9,IF(ISERROR(FIND(""Tower end panel"",A35))=FALSE,VL"&amp;"OOKUP(KitchenDoorMaterial,SheetsData,5,0),IF(ISERROR(FIND(""Fillers"",A35))=FALSE,(((0.06*(C35/1000))*2)*VLOOKUP(""H/F (18mm)"",SheetsData,8,0))+(((0.06*(C35/1000))*2)*VLOOKUP(""H/F (9mm)"",SheetsData,8,0)),IF(ISERROR(FIND(""corner post"",A35))=FALSE,(((B"&amp;"35/1000)*0.05)*2)*VLOOKUP(KitchenDoorMaterial,SheetsData,8,0),IF(ISERROR(FIND(""Pelmet"",A35))=FALSE,((((B35/1000)*(C35/1000))*2)*VLOOKUP(""H/F (18mm)"",SheetsData,8,0)),IF(ISERROR(FIND(""door"",A35))=TRUE,""Check description"",IF(KitchenDoorStyle=""Flat"&amp;""",((B35/1000)*(C35/1000))*VLOOKUP(KitchenDoorMaterial,SheetsData,8,0),IF(LEFT(KitchenDoorStyle,5)=""Panel"",(((((B35/1000)*2)*0.08)+((((C35/1000)-0.16)*2)*0.08))*VLOOKUP(""H/F (22mm)"",SheetsData,8,0))+(((B35/1000)-0.14)*((C35/1000)-0.14)*VLOOKUP(""H/F ("&amp;"9mm)"",SheetsData,8,0)),IF(KitchenDoorStyle=""In-frame flat"",((((((B35/1000)*0.019)*0.038)+((((C35-38)/1000)*0.038)*0.038))*2)*VLOOKUP(""Tulip (solid m3)"",SolidData,5,0))+(((B35-76)/1000)*((C35-38)/1000))*VLOOKUP(""H/F (22mm)"",SheetsData,8,0),IF(LEFT(K"&amp;"itchenDoorStyle,14)=""In-frame panel"",(((((((B35/1000)*0.019)*0.038)+((((C35-38)/1000)*0.038)*0.038))*2)*VLOOKUP(""Tulip (solid m3)"",SolidData,5,0))+(((((((B35-76)/1000)*2)*0.08)+(((((C35-198)/1000)*2)*0.08)))*VLOOKUP(""H/F (22mm)"",SheetsData,8,0))+((("&amp;"B35-216)/1000)*((C35-178)/1000)*VLOOKUP(""H/F (9mm)"",SheetsData,8,0)))))))))))))))))))))))))))))))))"),12.183216877183554)</f>
        <v>12.18321688</v>
      </c>
      <c r="F35" s="152" t="str">
        <f>IFERROR(__xludf.DUMMYFUNCTION("IF(OR(A35="""",AND(ISERROR(FIND(""drawer box"",A35))=FALSE,KitchenDrawerType=""Solid dovetail"")),"""",IF(ISERROR(FIND(""bins"",A35))=FALSE,VLOOKUP(""Base carcass 600"",KitchensData,6,0),IF(OR(ISERROR(FIND(""larder"",A35))=FALSE,ISERROR(FIND(""unit"",A35)"&amp;")=FALSE),VLOOKUP(LEFT(A35,FIND("" "",A35))&amp;""carcass ""&amp;RIGHT(A35,LEN(A35)-len(regexextract(A35,"".* ""))),KitchensData,6,0),IF(ISERROR(FIND(""drawer front"",A35))=FALSE,IF(ISERROR(FIND(""veneer"",KitchenCarcassMaterial))=TRUE,0,(((B35+C35)/1000)*2)*VLOOK"&amp;"UP(""Edge banding (per M)"",SheetsData,5,0)),IF(ISERROR(FIND(""drawer box"",A35))=FALSE,IF(ISERROR(FIND(""veneer"",KitchenCarcassMaterial))=TRUE,0,(((C35+D35)/1000)*2)*VLOOKUP(""Edge banding (per M)"",SheetsData,5,0)),IF(ISERROR(FIND(""shelf"",A35))=FALSE"&amp;",IF(ISERROR(FIND(""veneer"",KitchenCarcassMaterial))=TRUE,0,(C35/1000)*VLOOKUP(""Edge banding (per M)"",SheetsData,5,0)),IF(AND(ISERROR(FIND(""carcass"",A35))=FALSE,ISERROR(FIND(""shelf"",A35))=TRUE),IF(ISERROR(FIND(""veneer"",KitchenCarcassMaterial))=TRU"&amp;"E,0,((2*(B35+C35))/1000)*VLOOKUP(""Edge banding (per M)"",SheetsData,5,0)),IF(ISERROR(FIND(""door"",A35))=TRUE,"""",IF(ISERROR(FIND(""veneer"",KitchenDoorMaterial))=TRUE,"""",((2*(B35+C35))/1000)*VLOOKUP(""Edge banding (per M)"",SheetsData,5,0))))))))))"),"")</f>
        <v/>
      </c>
      <c r="G35" s="153" t="str">
        <f>IF(A35="","",IF(ISERROR(FIND("bins",A35))=FALSE,VLOOKUP("Base carcass 600",KitchensData,7,0),IF(OR(ISERROR(FIND("larder",A35))=FALSE,ISERROR(FIND("fridge/freezer",A35))=FALSE,ISERROR(FIND("double oven",A35))=FALSE,ISERROR(FIND("single oven",A35))=FALSE),VLOOKUP(LEFT(A35,FIND(" ",A35))&amp;"carcass "&amp;RIGHT(A35,LEN(A35)-(LEN(A35)-3)),KitchensData,7,0),IF(AND(ISERROR(FIND("carcass",A35))=FALSE,ISERROR(FIND("shelf",A35))=TRUE),IF(OR(ISERROR(FIND("Base",A35))=FALSE,ISERROR(FIND("Tower",A35))=FALSE),IF(OR(ISERROR(FIND("1200",A35))=FALSE, ISERROR(FIND("lost corner",A35))=FALSE),6*VLOOKUP("Plinth foot (2 Parts 80mm)",FurnitureData,5,0),4*VLOOKUP("Plinth foot (2 Parts 80mm)",FurnitureData,5,0)),""),""))))</f>
        <v/>
      </c>
      <c r="H35" s="153">
        <f>IF(OR(A35="",ISERROR(FIND("door",A35))=TRUE),"",IF(ISERROR(FIND("Wall",A35))=FALSE,VLOOKUP("Hinges &amp; plates (Hettich thick door)",FurnitureData,5,0)*2,IF(ISERROR(FIND("Base",A35))=FALSE,VLOOKUP("Hinges &amp; plates (Hettich thick door)",FurnitureData,5,0)*3,IF(ISERROR(FIND("Boiler",A35))=FALSE,VLOOKUP("Hinges &amp; plates (Hettich thick door)",FurnitureData,5,0)*4,IF(ISERROR(FIND("Tower",A35))=FALSE,VLOOKUP("Hinges &amp; plates (Hettich thick door)",FurnitureData,5,0)*5)))))</f>
        <v>17.35</v>
      </c>
      <c r="I35" s="115" t="str">
        <f>IF(ISERROR(FIND("shelf",A35))=FALSE,(VLOOKUP("Shelf pegs",FurnitureData,5,0)/100)*4,"")</f>
        <v/>
      </c>
      <c r="J35" s="152" t="str">
        <f>IF(OR(ISERROR(FIND("fridge/freezer",A35))=FALSE,ISERROR(FIND("larder",A35))=FALSE,AND(ISERROR(FIND("Base",A35))=FALSE,ISERROR(FIND("bins",A35))=TRUE,ISERROR(FIND("no shelves",A35))=TRUE,OR(ISERROR(FIND("carcass",A35))=FALSE,ISERROR(FIND("unit",A35))=FALSE))),VLOOKUP("Deep shelf "&amp;C35,KitchensData,18,0),IF(AND(ISERROR(FIND("Wall",A35))=FALSE,ISERROR(FIND("carcass",A35))=FALSE),2*VLOOKUP("Shallow shelf "&amp;C35,KitchensData,18,0),IF(AND(ISERROR(FIND("Tower",A35))=FALSE,ISERROR(FIND("oven",A35))=FALSE),4*VLOOKUP("Deep shelf "&amp;C35,KitchensData,18,0),IF(AND(ISERROR(FIND("Tower",A35))=FALSE,ISERROR(FIND("carcass",A35))=FALSE),5*VLOOKUP("Deep shelf "&amp;C35,KitchensData,18,0),""))))</f>
        <v/>
      </c>
      <c r="K35" s="152" t="str">
        <f>IF(ISERROR(FIND("sink",A35))=FALSE,VLOOKUP("Sink liner - Aluminium "&amp;RIGHT(A35,LEN(A35)-22)&amp;"mm",ExceptionalData,5,0),IF(ISERROR(FIND("bins",A35))=FALSE,VLOOKUP("Drawer runners and clip set for bin unit (500) Dynapro",FurnitureData,5,0)+(2*VLOOKUP("Bin (42L Anthracite)",FurnitureData,5,0)),IF(ISERROR(FIND("larder",A35))=FALSE,VLOOKUP("Pull out larder unit 600mm",FurnitureData,5,0),IF(AND(ISERROR(FIND("drawer box",A35))=FALSE,ISERROR(FIND("internal",A35))=TRUE),VLOOKUP("Drawer runners and clip set (550) Dynapro",FurnitureData,5,0),IF(ISERROR(FIND("internal drawer box",A35))=FALSE,VLOOKUP("Drawer runners and clip set (450) Dynapro",FurnitureData,5,0),"")))))</f>
        <v/>
      </c>
      <c r="L35" s="152">
        <f t="shared" si="3"/>
        <v>29.53321688</v>
      </c>
      <c r="M35" s="154">
        <f>IFERROR(__xludf.DUMMYFUNCTION("IF(A35="""","""",IF(OR(ISERROR(FIND(""larder"",A35))=FALSE,ISERROR(FIND(""unit"",A35))=FALSE),VLOOKUP(LEFT(A35,FIND("" "",A35))&amp;""carcass ""&amp;RIGHT(A35,LEN(A35)-len(regexextract(A35,"".* ""))),KitchensData,13,0),IF(ISERROR(FIND(""bins"",A35))=FALSE,0.95,IF"&amp;"(ISERROR(FIND(""Cutlery insert 600"",A35))=FALSE,1.3,IF(ISERROR(FIND(""Cutlery insert 1200"",A35))=FALSE,2,IF(ISERROR(FIND(""Pan/tray rack 600"",A35))=FALSE,3.25,IF(ISERROR(FIND(""Pan/tray rack 1200"",A35))=FALSE,5.9,IF(ISERROR(FIND(""split"",A35))=FALSE,"&amp;"(((C35/1000)*0.022)*2)+VLOOKUP(SUBSTITUTE(A35,"" split"",""""),KitchensData,13,0),IF(AND(ISERROR(FIND(""drawer front"",A35))=FALSE,KitchenDoorStyle=""Flat""),(((B35/1000)*(C35/1000))*2)+((((B35+C35)/1000)*2)*0.022),IF(AND(ISERROR(FIND(""drawer front"",A35"&amp;"))=FALSE,LEFT(KitchenDoorStyle,5)=""Panel""),(((B35/1000)*(C35/1000))*2)+((((B35+C35)/1000)*2)*0.022)+((((C35/1000)-0.16)*0.013)*2)+((((D35/1000)-0.16)*0.013)*2),IF(AND(ISERROR(FIND(""drawer front"",A35))=FALSE,KitchenDoorStyle=""In-frame flat""),((((B35-"&amp;"76)/1000)*((C35-38)/1000))*2)+(MID(KitchenDoorMaterial,FIND(""("",KitchenDoorMaterial)+1,2)/1000)*((((B35-76)+(C35-38))/1000)*2)+(((B35/1000)*0.032)*2)+((((B35-76)/1000)*0.032)*2)+(((B35/1000)*0.019)*4)+(((C35/1000)*0.032)*2)+((((C35-38)/1000)*0.032)*2)+("&amp;"((C35/1000)*0.038)*4),IF(AND(ISERROR(FIND(""drawer front"",A35))=FALSE,LEFT(KitchenDoorStyle,14)=""In-frame panel""),((((B35-76)/1000)*((C35-38)/1000))*2)+((MID(KitchenDoorMaterial,FIND(""("",KitchenDoorMaterial)+1,2)/1000)*((((B35-76)+(C35-38))/1000)*2))"&amp;"+((((B35-236)/1000)+((C35-198)/1000)*2)*0.013)+(((B35/1000)*0.032)*2)+((((B35-76)/1000)*0.032)*2)+(((B35/1000)*0.019)*4)+(((C35/1000)*0.032)*2)+((((C35-38)/1000)*0.032)*2)+(((C35/1000)*0.038)*4),IF(ISERROR(FIND(""drawer box"",A35))=FALSE,((((B35/1000)*(D3"&amp;"5/1000))+((B35/1000)*(C35/1000)))*4)+((((D35/1000)+(C35/1000))*0.016)*4)+(((C35/1000)*(D35/1000))*2),IF(OR(ISERROR(FIND(""shelf"",A35))=FALSE,ISERROR(FIND(""spacer"",A35))=FALSE,,ISERROR(FIND(""filler panel"",A35))=FALSE),(((C35/1000)*(D35/1000))*2)+((((C"&amp;"35+D35)*2)/1000)*0.022),IF(ISERROR(FIND(""lost corner"",A35))=FALSE,(((B35/1000)*(C35/1000))*2)+((B35/1000)*(C35/1000))+((B35/1000)*((C35/2)/1000))+((((B35/1000)*0.025)+((C35/1000)*0.025))*2),IF(ISERROR(FIND(""carcass"",A35))=FALSE,(((C35/1000)*(D35/1000)"&amp;")*2)+(((B35/1000)*(D35/1000))*2)+((B35/1000)*(C35/1000))+((((B35/1000)*0.025)+((C35/1000)*0.025))*2),IF(AND(ISERROR(FIND(""door"",A35))=FALSE,KitchenDoorStyle=""Flat""),(((B35/1000)*(C35/1000))*2)+(MID(KitchenDoorMaterial,FIND(""("",KitchenDoorMaterial)+1"&amp;",2)/1000)*(((B35+C35)/1000)*2),IF(AND(ISERROR(FIND(""door"",A35))=FALSE,LEFT(KitchenDoorStyle,5)=""Panel""),(((B35/1000)*(C35/1000))*2)+((MID(KitchenDoorMaterial,FIND(""("",KitchenDoorMaterial)+1,2)/1000)*(((B35+C35)/1000)*2))+(((((B35-160)+(C35-160))*2)/"&amp;"1000)*(0.013)),IF(AND(ISERROR(FIND(""door"",A35))=FALSE,KitchenDoorStyle=""In-frame flat""),((((B35-76)/1000)*((C35-38)/1000))*2)+(MID(KitchenDoorMaterial,FIND(""("",KitchenDoorMaterial)+1,2)/1000)*((((B35-76)+(C35-38))/1000)*2)+(((B35/1000)*0.032)*2)+((("&amp;"(B35-76)/1000)*0.032)*2)+(((B35/1000)*0.019)*4)+(((C35/1000)*0.032)*2)+((((C35-38)/1000)*0.032)*2)+(((C35/1000)*0.038)*4),IF(AND(ISERROR(FIND(""door"",A35))=FALSE,LEFT(KitchenDoorStyle,14)=""In-frame panel""),((((B35-76)/1000)*((C35-38)/1000))*2)+((MID(Ki"&amp;"tchenDoorMaterial,FIND(""("",KitchenDoorMaterial)+1,2)/1000)*((((B35-76)+(C35-38))/1000)*2))+((((B35-236)/1000)+((C35-198)/1000)*2)*0.013)+(((B35/1000)*0.032)*2)+((((B35-76)/1000)*0.032)*2)+(((B35/1000)*0.019)*4)+(((C35/1000)*0.032)*2)+((((C35-38)/1000)*0"&amp;".032)*2)+(((C35/1000)*0.038)*4),IF(ISERROR(FIND(""Plinth"",A35))=FALSE,((B35/1000)*(C35/1000))+(((C35/1000)*0.018)*2)+(((B35/1000)*0.018)*2),IF(ISERROR(FIND(""Cornice"",A35))=FALSE,(((C35/1000)*0.1)*2)+(((C35/1000)*0.044)*2)+(((B35/1000)*0.08)*2),IF(ISERR"&amp;"OR(FIND(""Base end panel"",A35))=FALSE,((B35/1000)*(C35/1000))+(0.022*((B35/1000)+((C35/1000)*2)))+((B35/1000)*0.05),IF(ISERROR(FIND(""Wall end panel"",A35))=FALSE,((B35/1000)*(C35/1000))+(0.022*((B35/1000)+((C35/1000)*2)))+((B35/1000)*0.05),IF(ISERROR(FI"&amp;"ND(""Tower end panel"",A35))=FALSE,((B35/1000)*(C35/1000))+(0.022*((B35/1000)+((C35/1000)*2)))+((B35/1000)*0.05),IF(ISERROR(FIND(""Fillers"",A35))=FALSE,((C35/1000)*0.06)+((C35/1000)*0.069)+((0.06*0.018)*2)+((0.06*0.009)*2)+((C35/1000)*0.009)+((C35/1000)*"&amp;"0.018),IF(ISERROR(FIND(""corner post"",A35))=FALSE,(((B35/1000*0.05)*2)+((B35/1000)*0.022)*2)+((B35/1000)*0.072)+((B35/1000)*0.05)+((0.072*0.022)*2)+((0.05*0.022)*2),IF(ISERROR(FIND(""Pelmet"",A35))=FALSE,((C35/1000)*0.05)+((C35/1000)*0.068)+((0.05*0.018)"&amp;"*4)+(((C35/1000)*0.018))*2))))))))))))))))))))))))))))"),1.4300000000000002)</f>
        <v>1.43</v>
      </c>
      <c r="N35" s="152">
        <f>IF(M35="","",IF(AND(ISERROR(FIND("carcass",A35))=TRUE,ISERROR(FIND("unit",A35))=TRUE,ISERROR(FIND("insert",A35))=TRUE,ISERROR(FIND("rack",A35))=TRUE,ISERROR(FIND("box",A35))=TRUE,ISERROR(FIND("shelf",#REF!))=TRUE),VLOOKUP(KitchenDoorFinish,Finishing!$A$2:$K$10,9,0)*M35,VLOOKUP(KitchenCarcassFinish,Finishing!$A$2:$K$40,9,0)*M35))</f>
        <v>10.725</v>
      </c>
      <c r="O35" s="155">
        <v>1.0</v>
      </c>
      <c r="P35" s="155">
        <v>1.5</v>
      </c>
      <c r="Q35" s="152">
        <f>IF(OR(O35="",P35=""),"",((O35*X35)*(VLOOKUP("Workshop",Labour!$A$3:$E$20,4,0)/8))+((P35*AE35)*(VLOOKUP("Finishing",Labour!$A$3:$E$20,4,0)/8)))</f>
        <v>211.75</v>
      </c>
      <c r="R35" s="152">
        <f t="shared" si="4"/>
        <v>252.0082169</v>
      </c>
      <c r="S35" s="156">
        <f>IF(OR(O35="",P35=""),"",IF(OR(ISERROR(FIND("carcass",$A35))=FALSE,ISERROR(FIND("unit",$A35))=FALSE),VLOOKUP(KitchenCarcassMaterial,FixedListsCarcassMaterial,2,0),0))</f>
        <v>0</v>
      </c>
      <c r="T35" s="156">
        <f>IF(OR(O35="",P35=""),"",IF(ISERROR(FIND("door",$A35))=FALSE,VLOOKUP(KitchenDoorStyle,FixedListsDoorStyle,2,0),0))</f>
        <v>1</v>
      </c>
      <c r="U35" s="156">
        <f>IF(OR(O35="",P35=""),"",IF(ISERROR(FIND("door",$A35))=FALSE,VLOOKUP(KitchenDoorMaterial,FixedListsDoorMaterial,2,0),0))</f>
        <v>1</v>
      </c>
      <c r="V35" s="156">
        <f>IF(OR(O35="",P35=""),"",IF(ISERROR(FIND("drawer",$A35))=FALSE,VLOOKUP(KitchenDrawerType,FixedListsDrawerType,2,0),0))</f>
        <v>0</v>
      </c>
      <c r="W35" s="156">
        <f>IF(OR(O35="",P35=""),"",IF(OR(S35&gt;0, T35&gt;0,V35&gt;0),VLOOKUP(KitchenHandleType,FixedListsHandleType,2,FALSE)*IF(KitchenHandleType="Simple",0,IF(S35&gt;0,VLOOKUP(KitchenHandleType,FixedListsHandleType,4,FALSE),IF(OR(T35&gt;0,V35&gt;0),1-VLOOKUP(KitchenHandleType,FixedListsHandleType,4,FALSE),"Error"))),0))</f>
        <v>0</v>
      </c>
      <c r="X35" s="156">
        <f t="shared" si="5"/>
        <v>1</v>
      </c>
      <c r="Y35" s="156">
        <f>IF(OR(O35="",P35=""),"",IF(OR(ISERROR(FIND("carcass",$A35))=FALSE,ISERROR(FIND("unit",$A35))=FALSE),VLOOKUP(KitchenCarcassMaterial,FixedListsCarcassMaterial,3,0),0))</f>
        <v>0</v>
      </c>
      <c r="Z35" s="156">
        <f>IF(OR(O35="",P35=""),"",IF(ISERROR(FIND("door",$A35))=FALSE,VLOOKUP(KitchenDoorStyle,FixedListsDoorStyle,3,0),0))</f>
        <v>1</v>
      </c>
      <c r="AA35" s="156">
        <f>IF(OR(O35="",P35=""),"",IF(ISERROR(FIND("door",$A35))=FALSE,VLOOKUP(KitchenDoorMaterial,FixedListsDoorMaterial,3,0),0))</f>
        <v>2</v>
      </c>
      <c r="AB35" s="156">
        <f>IF(OR(O35="",P35=""),"",IF(ISERROR(FIND("drawer",$A35))=FALSE,VLOOKUP(KitchenDrawerType,FixedListsDrawerType,3,0),0))</f>
        <v>0</v>
      </c>
      <c r="AC35" s="156">
        <f>IF(OR(O35="",P35=""),"",IF(OR(Y35&gt;0,Z35&gt;0,AB35&gt;0),VLOOKUP(KitchenHandleType,FixedListsHandleType,3,FALSE),0))</f>
        <v>1</v>
      </c>
      <c r="AD35" s="156">
        <f>IF(OR(O35="",P35=""),"",IF(OR(ISERROR(FIND("carcass",$A35))=FALSE,ISERROR(FIND("unit",$A35))=FALSE),VLOOKUP(KitchenCarcassFinish,FixedListsFinishes,3,0),IF(OR(ISERROR(FIND("door",$A35))=FALSE,ISERROR(FIND("Plinth",$A35))=FALSE,ISERROR(FIND("Cornice",$A35))=FALSE,ISERROR(FIND("Fillers",$A35))=FALSE,ISERROR(FIND("Pelmet",$A35))=FALSE,ISERROR(FIND("panel",$A35))=FALSE,ISERROR(FIND("post",$A35))=FALSE),VLOOKUP(KitchenDoorFinish,FixedListsFinishes,3,0),IF(OR(ISERROR(FIND("drawer",$A35))=FALSE,ISERROR(FIND("insert",$A35))=FALSE,ISERROR(FIND("rck",$A35))=FALSE),VLOOKUP(KitchenCarcassFinish,FixedListsFinishes,3,0),0))))</f>
        <v>2</v>
      </c>
      <c r="AE35" s="156">
        <f t="shared" si="6"/>
        <v>4</v>
      </c>
      <c r="AF35" s="157" t="str">
        <f>IF(AND(KitchenHandleType="Channel",OR(ISERROR(FIND("arcass",$A35))=FALSE,ISERROR(FIND("unit",$A35))=FALSE)),IF(ISERROR(FIND("Tower",$A35))=TRUE,IF(KitchenHandleFinish="Match carcass",IF(ISERROR(FIND("Walnut",KitchenCarcassMaterial))=FALSE,(0.035*0.075*($C35/1000))*VLOOKUP("Walnut (solid m3)",SolidData,4,FALSE),IF(ISERROR(FIND("Oak",KitchenCarcassMaterial))=FALSE,(0.035*0.075*($C35/1000))*VLOOKUP("Oak (solid m3)",SolidData,4,FALSE),IF(ISERROR(FIND("ply",KitchenCarcassMaterial))=FALSE,(0.1*($C35/1000))*VLOOKUP("Birch ply (24mm)",SheetsData,7,FALSE),IF(ISERROR(FIND("H/F",KitchenCarcassMaterial))=FALSE,(0.1*($C35/1000))*VLOOKUP("H/F (22mm)",SheetsData,7,FALSE),"Carcass - not tower - new material")))),IF(KitchenHandleFinish="Match door",IF(ISERROR(FIND("Walnut",KitchenDoorMaterial))=FALSE,(0.035*0.075*($C35/1000))*VLOOKUP("Walnut (solid m3)",SolidData,4,FALSE),IF(ISERROR(FIND("Oak",KitchenDoorMaterial))=FALSE,(0.035*0.075*($C35/1000))*VLOOKUP("Oak (solid m3)",SolidData,4,FALSE),IF(ISERROR(FIND("ply",KitchenDoorMaterial))=FALSE,(0.1*($C35/1000))*VLOOKUP("Birch ply (24mm)",SheetsData,7,FALSE),IF(ISERROR(FIND("H/F",KitchenCarcassMaterial))=FALSE,(0.1*($C35/1000))*VLOOKUP("H/F (22mm)",SheetsData,7,FALSE),"Door - not tower - new material")))),"Channel - not tower - handle set to other")),IF(ISERROR(FIND("Tower",$A35))=FALSE,IF(KitchenHandleFinish="Match carcass",IF(ISERROR(FIND("Walnut",KitchenCarcassMaterial))=FALSE,(0.035*0.075*($B35/1000))*VLOOKUP("Walnut (solid m3)",SolidData,4,FALSE),IF(ISERROR(FIND("Oak",KitchenCarcassMaterial))=FALSE,(0.035*0.075*($B35/1000))*VLOOKUP("Oak (solid m3)",SolidData,4,FALSE),IF(ISERROR(FIND("ply",KitchenCarcassMaterial))=FALSE,(0.1*($B35/1000))*VLOOKUP("Birch ply (24mm)",SheetsData,7,FALSE),IF(ISERROR(FIND("H/F",KitchenCarcassMaterial))=FALSE,(0.1*($C35/1000))*VLOOKUP("H/F (22mm)",SheetsData,7,FALSE),"Carcass - tower - new material")))),IF(KitchenHandleFinish="Match door",IF(ISERROR(FIND("Walnut",KitchenDoorMaterial))=FALSE,(0.035*0.075*($B35/1000))*VLOOKUP("Walnut (solid m3)",SolidData,4,FALSE),IF(ISERROR(FIND("Oak",KitchenDoorMaterial))=FALSE,(0.035*0.075*($B35/1000))*VLOOKUP("Oak (solid m3)",SolidData,4,FALSE),IF(ISERROR(FIND("ply",KitchenDoorMaterial))=FALSE,(0.1*($B35/1000))*VLOOKUP("Birch ply (24mm)",SheetData,7,FALSE),IF(ISERROR(FIND("H/F",KitchenCarcassMaterial))=FALSE,(0.1*($C35/1000))*VLOOKUP("H/F (22mm)",SheetsData,7,FALSE),"Door - tower - new material")))),"Channel - tower - handle set to other")))),"")</f>
        <v/>
      </c>
    </row>
    <row r="36">
      <c r="A36" s="150" t="s">
        <v>144</v>
      </c>
      <c r="B36" s="115">
        <f t="shared" si="1"/>
        <v>2200</v>
      </c>
      <c r="C36" s="115" t="str">
        <f>IFERROR(__xludf.DUMMYFUNCTION("IF(A36="""","""",IF(OR(RIGHT(A36,LEN(A36)-len(regexextract(A36,"".* "")))=""1200"",RIGHT(A36,LEN(A36)-len(regexextract(A36,"".* "")))=""600"",RIGHT(A36,LEN(A36)-len(regexextract(A36,"".* "")))=""400"",RIGHT(A36,LEN(A36)-len(regexextract(A36,"".* "")))=""3"&amp;"00"",RIGHT(A36,LEN(A36)-len(regexextract(A36,"".* "")))=""700"",RIGHT(A36,LEN(A36)-len(regexextract(A36,"".* "")))=""2400"",RIGHT(A36,LEN(A36)-len(regexextract(A36,"".* "")))=""650"",RIGHT(A36,LEN(A36)-len(regexextract(A36,"".* "")))=""350"",RIGHT(A36,LEN"&amp;"(A36)-len(regexextract(A36,"".* "")))=""50""),RIGHT(A36,LEN(A36)-len(regexextract(A36,"".* ""))),IF(OR(ISERROR(FIND(""spacer"",A36))=FALSE,ISERROR(FIND(""filler panel"",A36))=FALSE),""1000"",""Unexpected size in description"")))"),"600")</f>
        <v>600</v>
      </c>
      <c r="D36" s="151" t="str">
        <f t="shared" si="2"/>
        <v/>
      </c>
      <c r="E36" s="152">
        <f>IFERROR(__xludf.DUMMYFUNCTION("IF(OR(A36="""",AND(ISERROR(FIND(""drawer box"",A36))=FALSE,KitchenDrawerType="""")),"""",IF(OR(ISERROR(FIND(""larder"",A36))=FALSE,ISERROR(FIND(""fridge/freezer"",A36))=FALSE,ISERROR(FIND(""double oven"",A36))=FALSE,ISERROR(FIND(""single oven"",A36))=FALS"&amp;"E),VLOOKUP(LEFT(A36,FIND("" "",A36))&amp;""carcass ""&amp;RIGHT(A36,LEN(A36)-(LEN(A36)-3)),KitchensData,5,0),IF(ISERROR(FIND(""sink"",A36))=FALSE,VLOOKUP(LEFT(A36,FIND("" "",A36))&amp;""carcass ""&amp;VALUE(REGEXREPLACE(A36,""[^[:digit:]]"", """")),KitchensData,5,0)+(((C"&amp;"36/1000)*(300/1000))*VLOOKUP(KitchenCarcassMaterial,SheetsData,8,0)),IF(ISERROR(FIND(""bins"",A36))=FALSE,IF(ISERROR(FIND(""veneer"",KitchenCarcassMaterial))=FALSE,VLOOKUP(""Base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600"",A36))=FALSE,IF(ISERROR(FIND(""veneer"""&amp;",KitchenCarcassMaterial))=FALSE,0.54*(VLOOKUP(LEFT(KitchenCarcassMaterial,FIND(""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1200"",A36))=FALSE,"&amp;"IF(ISERROR(FIND(""veneer"",KitchenCarcassMaterial))=FALSE,0.84*(VLOOKUP(LEFT(KitchenCarcassMaterial,FIND(""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600"",A36))=FALSE,IF(ISERROR(FIND(""veneer"",KitchenCarcassMaterial))=FALSE,1.44*(VLOOKUP(LEFT(KitchenCarcassMaterial,FIND(""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1200"",A36))=FALSE,IF(ISERROR(FIND(""veneer"",KitchenCarcassMaterial))=FALSE,2.7*(VLOOKUP(LEFT(KitchenCarcassMaterial,FIND(""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front"",A36))=FALSE,((B36/1000)*(C36/1000))*VLOOKUP(KitchenDoorMaterial,SheetsData,8,0),IF(AND(KitchenDrawerType=""Match carcass"",ISERROR(FIND(""drawer box"",A36))=FALSE),(((((B36/1000)*(C36/1000))+((B36/1000"&amp;")*(D36/1000)))*2)*VLOOKUP(KitchenCarcassMaterial,SheetsData,8,0))+(((C36/1000)*(D36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box"",A36))=FALSE),(((((B36/1000)*(C36/1000))+((B36/1000)*(D36/1000)))*2)*(16/1000)*VLOOKUP(LEFT(KitchenCarcassMaterial,FIND("" "&amp;""",KitchenCarcassMaterial))&amp;""(solid m3)"",SolidData,5,0))+(((C36/1000)*(D36/1000))*VLOOKUP(LEFT(KitchenCarcassMaterial,FIND(""("",KitchenCarcassMaterial)-1)&amp;IF(OR(ISERROR(FIND(""ply"",KitchenCarcassMaterial))=FALSE,ISERROR(FIND(""H/F"",KitchenCarcassMate"&amp;"rial))=FALSE),""(9mm)"",""(10mm)""),SheetsData,8,0)),IF(ISERROR(FIND(""spacer"",A36))=FALSE,((D36/1000)*(C36/1000))*VLOOKUP(""Poplar ply (18mm)"",SheetsData,8,0),IF(ISERROR(FIND(""filler panel"",A36))=FALSE,((B36/1000)*(C36/1000))*VLOOKUP(KitchenDoorMater"&amp;"ial,SheetsData,8,0),IF(ISERROR(FIND(""shelf"",A36))=FALSE,((D36/1000)*(C36/1000))*VLOOKUP(KitchenCarcassMaterial,SheetsData,8,0),IF(ISERROR(FIND(""lost corner"",A36))=FALSE,VLOOKUP(LEFT(A36,FIND("" "",A36))&amp;""carcass ""&amp;VALUE(REGEXREPLACE(A36,""[^[:digit:"&amp;"]]"", """")),KitchensData,5,0)+((((B36/1000)*(C36/1000))+((B36/1000)*(60/1000)))*VLOOKUP(KitchenCarcassMaterial,SheetsData,8,0)),IF(ISERROR(FIND(""carcass"",A36))=FALSE,(((((B36/1000)*2)*(D36/1000))+(((C36/1000)*2)*(D36/1000)))*VLOOKUP(KitchenCarcassMater"&amp;"ial,SheetsData,8,0))+((B36/1000)*(C36/1000))*VLOOKUP(LEFT(KitchenCarcassMaterial,FIND(""("",KitchenCarcassMaterial)-1)&amp;IF(OR(ISERROR(FIND(""ply"",KitchenCarcassMaterial))=FALSE,ISERROR(FIND(""H/F"",KitchenCarcassMaterial))=FALSE),""(9mm)"",""(10mm)""),She"&amp;"etsData,8,0),IF(OR(ISERROR(FIND(""Plinth"",A36))=FALSE,ISERROR(FIND(""Cornice (flat)"",A36))=FALSE),((B36/1000)*(C36/1000))*VLOOKUP(""H/F (18mm)"",SheetsData,8,0),IF(ISERROR(FIND(""Cornice (stacked)"",A36))=FALSE,((0.08*(C36/1000))*2)*VLOOKUP(""H/F (22mm)"&amp;""",SheetsData,8,0),IF(ISERROR(FIND(""Base end panel"",A36))=FALSE,VLOOKUP(KitchenDoorMaterial,SheetsData,5,0)/3,IF(ISERROR(FIND(""Wall end panel"",A36))=FALSE,VLOOKUP(KitchenDoorMaterial,SheetsData,5,0)/9,IF(ISERROR(FIND(""Tower end panel"",A36))=FALSE,VL"&amp;"OOKUP(KitchenDoorMaterial,SheetsData,5,0),IF(ISERROR(FIND(""Fillers"",A36))=FALSE,(((0.06*(C36/1000))*2)*VLOOKUP(""H/F (18mm)"",SheetsData,8,0))+(((0.06*(C36/1000))*2)*VLOOKUP(""H/F (9mm)"",SheetsData,8,0)),IF(ISERROR(FIND(""corner post"",A36))=FALSE,(((B"&amp;"36/1000)*0.05)*2)*VLOOKUP(KitchenDoorMaterial,SheetsData,8,0),IF(ISERROR(FIND(""Pelmet"",A36))=FALSE,((((B36/1000)*(C36/1000))*2)*VLOOKUP(""H/F (18mm)"",SheetsData,8,0)),IF(ISERROR(FIND(""door"",A36))=TRUE,""Check description"",IF(KitchenDoorStyle=""Flat"&amp;""",((B36/1000)*(C36/1000))*VLOOKUP(KitchenDoorMaterial,SheetsData,8,0),IF(LEFT(KitchenDoorStyle,5)=""Panel"",(((((B36/1000)*2)*0.08)+((((C36/1000)-0.16)*2)*0.08))*VLOOKUP(""H/F (22mm)"",SheetsData,8,0))+(((B36/1000)-0.14)*((C36/1000)-0.14)*VLOOKUP(""H/F ("&amp;"9mm)"",SheetsData,8,0)),IF(KitchenDoorStyle=""In-frame flat"",((((((B36/1000)*0.019)*0.038)+((((C36-38)/1000)*0.038)*0.038))*2)*VLOOKUP(""Tulip (solid m3)"",SolidData,5,0))+(((B36-76)/1000)*((C36-38)/1000))*VLOOKUP(""H/F (22mm)"",SheetsData,8,0),IF(LEFT(K"&amp;"itchenDoorStyle,14)=""In-frame panel"",(((((((B36/1000)*0.019)*0.038)+((((C36-38)/1000)*0.038)*0.038))*2)*VLOOKUP(""Tulip (solid m3)"",SolidData,5,0))+(((((((B36-76)/1000)*2)*0.08)+(((((C36-198)/1000)*2)*0.08)))*VLOOKUP(""H/F (22mm)"",SheetsData,8,0))+((("&amp;"B36-216)/1000)*((C36-178)/1000)*VLOOKUP(""H/F (9mm)"",SheetsData,8,0)))))))))))))))))))))))))))))))))"),24.366433754367108)</f>
        <v>24.36643375</v>
      </c>
      <c r="F36" s="152" t="str">
        <f>IFERROR(__xludf.DUMMYFUNCTION("IF(OR(A36="""",AND(ISERROR(FIND(""drawer box"",A36))=FALSE,KitchenDrawerType=""Solid dovetail"")),"""",IF(ISERROR(FIND(""bins"",A36))=FALSE,VLOOKUP(""Base carcass 600"",KitchensData,6,0),IF(OR(ISERROR(FIND(""larder"",A36))=FALSE,ISERROR(FIND(""unit"",A36)"&amp;")=FALSE),VLOOKUP(LEFT(A36,FIND("" "",A36))&amp;""carcass ""&amp;RIGHT(A36,LEN(A36)-len(regexextract(A36,"".* ""))),KitchensData,6,0),IF(ISERROR(FIND(""drawer front"",A36))=FALSE,IF(ISERROR(FIND(""veneer"",KitchenCarcassMaterial))=TRUE,0,(((B36+C36)/1000)*2)*VLOOK"&amp;"UP(""Edge banding (per M)"",SheetsData,5,0)),IF(ISERROR(FIND(""drawer box"",A36))=FALSE,IF(ISERROR(FIND(""veneer"",KitchenCarcassMaterial))=TRUE,0,(((C36+D36)/1000)*2)*VLOOKUP(""Edge banding (per M)"",SheetsData,5,0)),IF(ISERROR(FIND(""shelf"",A36))=FALSE"&amp;",IF(ISERROR(FIND(""veneer"",KitchenCarcassMaterial))=TRUE,0,(C36/1000)*VLOOKUP(""Edge banding (per M)"",SheetsData,5,0)),IF(AND(ISERROR(FIND(""carcass"",A36))=FALSE,ISERROR(FIND(""shelf"",A36))=TRUE),IF(ISERROR(FIND(""veneer"",KitchenCarcassMaterial))=TRU"&amp;"E,0,((2*(B36+C36))/1000)*VLOOKUP(""Edge banding (per M)"",SheetsData,5,0)),IF(ISERROR(FIND(""door"",A36))=TRUE,"""",IF(ISERROR(FIND(""veneer"",KitchenDoorMaterial))=TRUE,"""",((2*(B36+C36))/1000)*VLOOKUP(""Edge banding (per M)"",SheetsData,5,0))))))))))"),"")</f>
        <v/>
      </c>
      <c r="G36" s="153" t="str">
        <f>IF(A36="","",IF(ISERROR(FIND("bins",A36))=FALSE,VLOOKUP("Base carcass 600",KitchensData,7,0),IF(OR(ISERROR(FIND("larder",A36))=FALSE,ISERROR(FIND("fridge/freezer",A36))=FALSE,ISERROR(FIND("double oven",A36))=FALSE,ISERROR(FIND("single oven",A36))=FALSE),VLOOKUP(LEFT(A36,FIND(" ",A36))&amp;"carcass "&amp;RIGHT(A36,LEN(A36)-(LEN(A36)-3)),KitchensData,7,0),IF(AND(ISERROR(FIND("carcass",A36))=FALSE,ISERROR(FIND("shelf",A36))=TRUE),IF(OR(ISERROR(FIND("Base",A36))=FALSE,ISERROR(FIND("Tower",A36))=FALSE),IF(OR(ISERROR(FIND("1200",A36))=FALSE, ISERROR(FIND("lost corner",A36))=FALSE),6*VLOOKUP("Plinth foot (2 Parts 80mm)",FurnitureData,5,0),4*VLOOKUP("Plinth foot (2 Parts 80mm)",FurnitureData,5,0)),""),""))))</f>
        <v/>
      </c>
      <c r="H36" s="153">
        <f>IF(OR(A36="",ISERROR(FIND("door",A36))=TRUE),"",IF(ISERROR(FIND("Wall",A36))=FALSE,VLOOKUP("Hinges &amp; plates (Hettich thick door)",FurnitureData,5,0)*2,IF(ISERROR(FIND("Base",A36))=FALSE,VLOOKUP("Hinges &amp; plates (Hettich thick door)",FurnitureData,5,0)*3,IF(ISERROR(FIND("Boiler",A36))=FALSE,VLOOKUP("Hinges &amp; plates (Hettich thick door)",FurnitureData,5,0)*4,IF(ISERROR(FIND("Tower",A36))=FALSE,VLOOKUP("Hinges &amp; plates (Hettich thick door)",FurnitureData,5,0)*5)))))</f>
        <v>17.35</v>
      </c>
      <c r="I36" s="115" t="str">
        <f>IF(ISERROR(FIND("shelf",A36))=FALSE,(VLOOKUP("Shelf pegs",FurnitureData,5,0)/100)*4,"")</f>
        <v/>
      </c>
      <c r="J36" s="152" t="str">
        <f>IF(OR(ISERROR(FIND("fridge/freezer",A36))=FALSE,ISERROR(FIND("larder",A36))=FALSE,AND(ISERROR(FIND("Base",A36))=FALSE,ISERROR(FIND("bins",A36))=TRUE,ISERROR(FIND("no shelves",A36))=TRUE,OR(ISERROR(FIND("carcass",A36))=FALSE,ISERROR(FIND("unit",A36))=FALSE))),VLOOKUP("Deep shelf "&amp;C36,KitchensData,18,0),IF(AND(ISERROR(FIND("Wall",A36))=FALSE,ISERROR(FIND("carcass",A36))=FALSE),2*VLOOKUP("Shallow shelf "&amp;C36,KitchensData,18,0),IF(AND(ISERROR(FIND("Tower",A36))=FALSE,ISERROR(FIND("oven",A36))=FALSE),4*VLOOKUP("Deep shelf "&amp;C36,KitchensData,18,0),IF(AND(ISERROR(FIND("Tower",A36))=FALSE,ISERROR(FIND("carcass",A36))=FALSE),5*VLOOKUP("Deep shelf "&amp;C36,KitchensData,18,0),""))))</f>
        <v/>
      </c>
      <c r="K36" s="152" t="str">
        <f>IF(ISERROR(FIND("sink",A36))=FALSE,VLOOKUP("Sink liner - Aluminium "&amp;RIGHT(A36,LEN(A36)-22)&amp;"mm",ExceptionalData,5,0),IF(ISERROR(FIND("bins",A36))=FALSE,VLOOKUP("Drawer runners and clip set for bin unit (500) Dynapro",FurnitureData,5,0)+(2*VLOOKUP("Bin (42L Anthracite)",FurnitureData,5,0)),IF(ISERROR(FIND("larder",A36))=FALSE,VLOOKUP("Pull out larder unit 600mm",FurnitureData,5,0),IF(AND(ISERROR(FIND("drawer box",A36))=FALSE,ISERROR(FIND("internal",A36))=TRUE),VLOOKUP("Drawer runners and clip set (550) Dynapro",FurnitureData,5,0),IF(ISERROR(FIND("internal drawer box",A36))=FALSE,VLOOKUP("Drawer runners and clip set (450) Dynapro",FurnitureData,5,0),"")))))</f>
        <v/>
      </c>
      <c r="L36" s="152">
        <f t="shared" si="3"/>
        <v>41.71643375</v>
      </c>
      <c r="M36" s="154">
        <f>IFERROR(__xludf.DUMMYFUNCTION("IF(A36="""","""",IF(OR(ISERROR(FIND(""larder"",A36))=FALSE,ISERROR(FIND(""unit"",A36))=FALSE),VLOOKUP(LEFT(A36,FIND("" "",A36))&amp;""carcass ""&amp;RIGHT(A36,LEN(A36)-len(regexextract(A36,"".* ""))),KitchensData,13,0),IF(ISERROR(FIND(""bins"",A36))=FALSE,0.95,IF"&amp;"(ISERROR(FIND(""Cutlery insert 600"",A36))=FALSE,1.3,IF(ISERROR(FIND(""Cutlery insert 1200"",A36))=FALSE,2,IF(ISERROR(FIND(""Pan/tray rack 600"",A36))=FALSE,3.25,IF(ISERROR(FIND(""Pan/tray rack 1200"",A36))=FALSE,5.9,IF(ISERROR(FIND(""split"",A36))=FALSE,"&amp;"(((C36/1000)*0.022)*2)+VLOOKUP(SUBSTITUTE(A36,"" split"",""""),KitchensData,13,0),IF(AND(ISERROR(FIND(""drawer front"",A36))=FALSE,KitchenDoorStyle=""Flat""),(((B36/1000)*(C36/1000))*2)+((((B36+C36)/1000)*2)*0.022),IF(AND(ISERROR(FIND(""drawer front"",A36"&amp;"))=FALSE,LEFT(KitchenDoorStyle,5)=""Panel""),(((B36/1000)*(C36/1000))*2)+((((B36+C36)/1000)*2)*0.022)+((((C36/1000)-0.16)*0.013)*2)+((((D36/1000)-0.16)*0.013)*2),IF(AND(ISERROR(FIND(""drawer front"",A36))=FALSE,KitchenDoorStyle=""In-frame flat""),((((B36-"&amp;"76)/1000)*((C36-38)/1000))*2)+(MID(KitchenDoorMaterial,FIND(""("",KitchenDoorMaterial)+1,2)/1000)*((((B36-76)+(C36-38))/1000)*2)+(((B36/1000)*0.032)*2)+((((B36-76)/1000)*0.032)*2)+(((B36/1000)*0.019)*4)+(((C36/1000)*0.032)*2)+((((C36-38)/1000)*0.032)*2)+("&amp;"((C36/1000)*0.038)*4),IF(AND(ISERROR(FIND(""drawer front"",A36))=FALSE,LEFT(KitchenDoorStyle,14)=""In-frame panel""),((((B36-76)/1000)*((C36-38)/1000))*2)+((MID(KitchenDoorMaterial,FIND(""("",KitchenDoorMaterial)+1,2)/1000)*((((B36-76)+(C36-38))/1000)*2))"&amp;"+((((B36-236)/1000)+((C36-198)/1000)*2)*0.013)+(((B36/1000)*0.032)*2)+((((B36-76)/1000)*0.032)*2)+(((B36/1000)*0.019)*4)+(((C36/1000)*0.032)*2)+((((C36-38)/1000)*0.032)*2)+(((C36/1000)*0.038)*4),IF(ISERROR(FIND(""drawer box"",A36))=FALSE,((((B36/1000)*(D3"&amp;"6/1000))+((B36/1000)*(C36/1000)))*4)+((((D36/1000)+(C36/1000))*0.016)*4)+(((C36/1000)*(D36/1000))*2),IF(OR(ISERROR(FIND(""shelf"",A36))=FALSE,ISERROR(FIND(""spacer"",A36))=FALSE,,ISERROR(FIND(""filler panel"",A36))=FALSE),(((C36/1000)*(D36/1000))*2)+((((C"&amp;"36+D36)*2)/1000)*0.022),IF(ISERROR(FIND(""lost corner"",A36))=FALSE,(((B36/1000)*(C36/1000))*2)+((B36/1000)*(C36/1000))+((B36/1000)*((C36/2)/1000))+((((B36/1000)*0.025)+((C36/1000)*0.025))*2),IF(ISERROR(FIND(""carcass"",A36))=FALSE,(((C36/1000)*(D36/1000)"&amp;")*2)+(((B36/1000)*(D36/1000))*2)+((B36/1000)*(C36/1000))+((((B36/1000)*0.025)+((C36/1000)*0.025))*2),IF(AND(ISERROR(FIND(""door"",A36))=FALSE,KitchenDoorStyle=""Flat""),(((B36/1000)*(C36/1000))*2)+(MID(KitchenDoorMaterial,FIND(""("",KitchenDoorMaterial)+1"&amp;",2)/1000)*(((B36+C36)/1000)*2),IF(AND(ISERROR(FIND(""door"",A36))=FALSE,LEFT(KitchenDoorStyle,5)=""Panel""),(((B36/1000)*(C36/1000))*2)+((MID(KitchenDoorMaterial,FIND(""("",KitchenDoorMaterial)+1,2)/1000)*(((B36+C36)/1000)*2))+(((((B36-160)+(C36-160))*2)/"&amp;"1000)*(0.013)),IF(AND(ISERROR(FIND(""door"",A36))=FALSE,KitchenDoorStyle=""In-frame flat""),((((B36-76)/1000)*((C36-38)/1000))*2)+(MID(KitchenDoorMaterial,FIND(""("",KitchenDoorMaterial)+1,2)/1000)*((((B36-76)+(C36-38))/1000)*2)+(((B36/1000)*0.032)*2)+((("&amp;"(B36-76)/1000)*0.032)*2)+(((B36/1000)*0.019)*4)+(((C36/1000)*0.032)*2)+((((C36-38)/1000)*0.032)*2)+(((C36/1000)*0.038)*4),IF(AND(ISERROR(FIND(""door"",A36))=FALSE,LEFT(KitchenDoorStyle,14)=""In-frame panel""),((((B36-76)/1000)*((C36-38)/1000))*2)+((MID(Ki"&amp;"tchenDoorMaterial,FIND(""("",KitchenDoorMaterial)+1,2)/1000)*((((B36-76)+(C36-38))/1000)*2))+((((B36-236)/1000)+((C36-198)/1000)*2)*0.013)+(((B36/1000)*0.032)*2)+((((B36-76)/1000)*0.032)*2)+(((B36/1000)*0.019)*4)+(((C36/1000)*0.032)*2)+((((C36-38)/1000)*0"&amp;".032)*2)+(((C36/1000)*0.038)*4),IF(ISERROR(FIND(""Plinth"",A36))=FALSE,((B36/1000)*(C36/1000))+(((C36/1000)*0.018)*2)+(((B36/1000)*0.018)*2),IF(ISERROR(FIND(""Cornice"",A36))=FALSE,(((C36/1000)*0.1)*2)+(((C36/1000)*0.044)*2)+(((B36/1000)*0.08)*2),IF(ISERR"&amp;"OR(FIND(""Base end panel"",A36))=FALSE,((B36/1000)*(C36/1000))+(0.022*((B36/1000)+((C36/1000)*2)))+((B36/1000)*0.05),IF(ISERROR(FIND(""Wall end panel"",A36))=FALSE,((B36/1000)*(C36/1000))+(0.022*((B36/1000)+((C36/1000)*2)))+((B36/1000)*0.05),IF(ISERROR(FI"&amp;"ND(""Tower end panel"",A36))=FALSE,((B36/1000)*(C36/1000))+(0.022*((B36/1000)+((C36/1000)*2)))+((B36/1000)*0.05),IF(ISERROR(FIND(""Fillers"",A36))=FALSE,((C36/1000)*0.06)+((C36/1000)*0.069)+((0.06*0.018)*2)+((0.06*0.009)*2)+((C36/1000)*0.009)+((C36/1000)*"&amp;"0.018),IF(ISERROR(FIND(""corner post"",A36))=FALSE,(((B36/1000*0.05)*2)+((B36/1000)*0.022)*2)+((B36/1000)*0.072)+((B36/1000)*0.05)+((0.072*0.022)*2)+((0.05*0.022)*2),IF(ISERROR(FIND(""Pelmet"",A36))=FALSE,((C36/1000)*0.05)+((C36/1000)*0.068)+((0.05*0.018)"&amp;"*4)+(((C36/1000)*0.018))*2))))))))))))))))))))))))))))"),2.7896000000000005)</f>
        <v>2.7896</v>
      </c>
      <c r="N36" s="152">
        <f>IF(M36="","",IF(AND(ISERROR(FIND("carcass",A36))=TRUE,ISERROR(FIND("unit",A36))=TRUE,ISERROR(FIND("insert",A36))=TRUE,ISERROR(FIND("rack",A36))=TRUE,ISERROR(FIND("box",A36))=TRUE,ISERROR(FIND("shelf",#REF!))=TRUE),VLOOKUP(KitchenDoorFinish,Finishing!$A$2:$K$10,9,0)*M36,VLOOKUP(KitchenCarcassFinish,Finishing!$A$2:$K$40,9,0)*M36))</f>
        <v>20.922</v>
      </c>
      <c r="O36" s="155">
        <v>1.0</v>
      </c>
      <c r="P36" s="155">
        <v>2.0</v>
      </c>
      <c r="Q36" s="152">
        <f>IF(OR(O36="",P36=""),"",((O36*X36)*(VLOOKUP("Workshop",Labour!$A$3:$E$20,4,0)/8))+((P36*AE36)*(VLOOKUP("Finishing",Labour!$A$3:$E$20,4,0)/8)))</f>
        <v>267.75</v>
      </c>
      <c r="R36" s="152">
        <f t="shared" si="4"/>
        <v>330.3884338</v>
      </c>
      <c r="S36" s="156">
        <f>IF(OR(O36="",P36=""),"",IF(OR(ISERROR(FIND("carcass",$A36))=FALSE,ISERROR(FIND("unit",$A36))=FALSE),VLOOKUP(KitchenCarcassMaterial,FixedListsCarcassMaterial,2,0),0))</f>
        <v>0</v>
      </c>
      <c r="T36" s="156">
        <f>IF(OR(O36="",P36=""),"",IF(ISERROR(FIND("door",$A36))=FALSE,VLOOKUP(KitchenDoorStyle,FixedListsDoorStyle,2,0),0))</f>
        <v>1</v>
      </c>
      <c r="U36" s="156">
        <f>IF(OR(O36="",P36=""),"",IF(ISERROR(FIND("door",$A36))=FALSE,VLOOKUP(KitchenDoorMaterial,FixedListsDoorMaterial,2,0),0))</f>
        <v>1</v>
      </c>
      <c r="V36" s="156">
        <f>IF(OR(O36="",P36=""),"",IF(ISERROR(FIND("drawer",$A36))=FALSE,VLOOKUP(KitchenDrawerType,FixedListsDrawerType,2,0),0))</f>
        <v>0</v>
      </c>
      <c r="W36" s="156">
        <f>IF(OR(O36="",P36=""),"",IF(OR(S36&gt;0, T36&gt;0,V36&gt;0),VLOOKUP(KitchenHandleType,FixedListsHandleType,2,FALSE)*IF(KitchenHandleType="Simple",0,IF(S36&gt;0,VLOOKUP(KitchenHandleType,FixedListsHandleType,4,FALSE),IF(OR(T36&gt;0,V36&gt;0),1-VLOOKUP(KitchenHandleType,FixedListsHandleType,4,FALSE),"Error"))),0))</f>
        <v>0</v>
      </c>
      <c r="X36" s="156">
        <f t="shared" si="5"/>
        <v>1</v>
      </c>
      <c r="Y36" s="156">
        <f>IF(OR(O36="",P36=""),"",IF(OR(ISERROR(FIND("carcass",$A36))=FALSE,ISERROR(FIND("unit",$A36))=FALSE),VLOOKUP(KitchenCarcassMaterial,FixedListsCarcassMaterial,3,0),0))</f>
        <v>0</v>
      </c>
      <c r="Z36" s="156">
        <f>IF(OR(O36="",P36=""),"",IF(ISERROR(FIND("door",$A36))=FALSE,VLOOKUP(KitchenDoorStyle,FixedListsDoorStyle,3,0),0))</f>
        <v>1</v>
      </c>
      <c r="AA36" s="156">
        <f>IF(OR(O36="",P36=""),"",IF(ISERROR(FIND("door",$A36))=FALSE,VLOOKUP(KitchenDoorMaterial,FixedListsDoorMaterial,3,0),0))</f>
        <v>2</v>
      </c>
      <c r="AB36" s="156">
        <f>IF(OR(O36="",P36=""),"",IF(ISERROR(FIND("drawer",$A36))=FALSE,VLOOKUP(KitchenDrawerType,FixedListsDrawerType,3,0),0))</f>
        <v>0</v>
      </c>
      <c r="AC36" s="156">
        <f>IF(OR(O36="",P36=""),"",IF(OR(Y36&gt;0,Z36&gt;0,AB36&gt;0),VLOOKUP(KitchenHandleType,FixedListsHandleType,3,FALSE),0))</f>
        <v>1</v>
      </c>
      <c r="AD36" s="156">
        <f>IF(OR(O36="",P36=""),"",IF(OR(ISERROR(FIND("carcass",$A36))=FALSE,ISERROR(FIND("unit",$A36))=FALSE),VLOOKUP(KitchenCarcassFinish,FixedListsFinishes,3,0),IF(OR(ISERROR(FIND("door",$A36))=FALSE,ISERROR(FIND("Plinth",$A36))=FALSE,ISERROR(FIND("Cornice",$A36))=FALSE,ISERROR(FIND("Fillers",$A36))=FALSE,ISERROR(FIND("Pelmet",$A36))=FALSE,ISERROR(FIND("panel",$A36))=FALSE,ISERROR(FIND("post",$A36))=FALSE),VLOOKUP(KitchenDoorFinish,FixedListsFinishes,3,0),IF(OR(ISERROR(FIND("drawer",$A36))=FALSE,ISERROR(FIND("insert",$A36))=FALSE,ISERROR(FIND("rck",$A36))=FALSE),VLOOKUP(KitchenCarcassFinish,FixedListsFinishes,3,0),0))))</f>
        <v>2</v>
      </c>
      <c r="AE36" s="156">
        <f t="shared" si="6"/>
        <v>4</v>
      </c>
      <c r="AF36" s="157" t="str">
        <f>IF(AND(KitchenHandleType="Channel",OR(ISERROR(FIND("arcass",$A36))=FALSE,ISERROR(FIND("unit",$A36))=FALSE)),IF(ISERROR(FIND("Tower",$A36))=TRUE,IF(KitchenHandleFinish="Match carcass",IF(ISERROR(FIND("Walnut",KitchenCarcassMaterial))=FALSE,(0.035*0.075*($C36/1000))*VLOOKUP("Walnut (solid m3)",SolidData,4,FALSE),IF(ISERROR(FIND("Oak",KitchenCarcassMaterial))=FALSE,(0.035*0.075*($C36/1000))*VLOOKUP("Oak (solid m3)",SolidData,4,FALSE),IF(ISERROR(FIND("ply",KitchenCarcassMaterial))=FALSE,(0.1*($C36/1000))*VLOOKUP("Birch ply (24mm)",SheetsData,7,FALSE),IF(ISERROR(FIND("H/F",KitchenCarcassMaterial))=FALSE,(0.1*($C36/1000))*VLOOKUP("H/F (22mm)",SheetsData,7,FALSE),"Carcass - not tower - new material")))),IF(KitchenHandleFinish="Match door",IF(ISERROR(FIND("Walnut",KitchenDoorMaterial))=FALSE,(0.035*0.075*($C36/1000))*VLOOKUP("Walnut (solid m3)",SolidData,4,FALSE),IF(ISERROR(FIND("Oak",KitchenDoorMaterial))=FALSE,(0.035*0.075*($C36/1000))*VLOOKUP("Oak (solid m3)",SolidData,4,FALSE),IF(ISERROR(FIND("ply",KitchenDoorMaterial))=FALSE,(0.1*($C36/1000))*VLOOKUP("Birch ply (24mm)",SheetsData,7,FALSE),IF(ISERROR(FIND("H/F",KitchenCarcassMaterial))=FALSE,(0.1*($C36/1000))*VLOOKUP("H/F (22mm)",SheetsData,7,FALSE),"Door - not tower - new material")))),"Channel - not tower - handle set to other")),IF(ISERROR(FIND("Tower",$A36))=FALSE,IF(KitchenHandleFinish="Match carcass",IF(ISERROR(FIND("Walnut",KitchenCarcassMaterial))=FALSE,(0.035*0.075*($B36/1000))*VLOOKUP("Walnut (solid m3)",SolidData,4,FALSE),IF(ISERROR(FIND("Oak",KitchenCarcassMaterial))=FALSE,(0.035*0.075*($B36/1000))*VLOOKUP("Oak (solid m3)",SolidData,4,FALSE),IF(ISERROR(FIND("ply",KitchenCarcassMaterial))=FALSE,(0.1*($B36/1000))*VLOOKUP("Birch ply (24mm)",SheetsData,7,FALSE),IF(ISERROR(FIND("H/F",KitchenCarcassMaterial))=FALSE,(0.1*($C36/1000))*VLOOKUP("H/F (22mm)",SheetsData,7,FALSE),"Carcass - tower - new material")))),IF(KitchenHandleFinish="Match door",IF(ISERROR(FIND("Walnut",KitchenDoorMaterial))=FALSE,(0.035*0.075*($B36/1000))*VLOOKUP("Walnut (solid m3)",SolidData,4,FALSE),IF(ISERROR(FIND("Oak",KitchenDoorMaterial))=FALSE,(0.035*0.075*($B36/1000))*VLOOKUP("Oak (solid m3)",SolidData,4,FALSE),IF(ISERROR(FIND("ply",KitchenDoorMaterial))=FALSE,(0.1*($B36/1000))*VLOOKUP("Birch ply (24mm)",SheetData,7,FALSE),IF(ISERROR(FIND("H/F",KitchenCarcassMaterial))=FALSE,(0.1*($C36/1000))*VLOOKUP("H/F (22mm)",SheetsData,7,FALSE),"Door - tower - new material")))),"Channel - tower - handle set to other")))),"")</f>
        <v/>
      </c>
    </row>
    <row r="37">
      <c r="A37" s="150" t="s">
        <v>145</v>
      </c>
      <c r="B37" s="115">
        <f t="shared" si="1"/>
        <v>2200</v>
      </c>
      <c r="C37" s="115" t="str">
        <f>IFERROR(__xludf.DUMMYFUNCTION("IF(A37="""","""",IF(OR(RIGHT(A37,LEN(A37)-len(regexextract(A37,"".* "")))=""1200"",RIGHT(A37,LEN(A37)-len(regexextract(A37,"".* "")))=""600"",RIGHT(A37,LEN(A37)-len(regexextract(A37,"".* "")))=""400"",RIGHT(A37,LEN(A37)-len(regexextract(A37,"".* "")))=""3"&amp;"00"",RIGHT(A37,LEN(A37)-len(regexextract(A37,"".* "")))=""700"",RIGHT(A37,LEN(A37)-len(regexextract(A37,"".* "")))=""2400"",RIGHT(A37,LEN(A37)-len(regexextract(A37,"".* "")))=""650"",RIGHT(A37,LEN(A37)-len(regexextract(A37,"".* "")))=""350"",RIGHT(A37,LEN"&amp;"(A37)-len(regexextract(A37,"".* "")))=""50""),RIGHT(A37,LEN(A37)-len(regexextract(A37,"".* ""))),IF(OR(ISERROR(FIND(""spacer"",A37))=FALSE,ISERROR(FIND(""filler panel"",A37))=FALSE),""1000"",""Unexpected size in description"")))"),"400")</f>
        <v>400</v>
      </c>
      <c r="D37" s="151" t="str">
        <f t="shared" si="2"/>
        <v/>
      </c>
      <c r="E37" s="152">
        <f>IFERROR(__xludf.DUMMYFUNCTION("IF(OR(A37="""",AND(ISERROR(FIND(""drawer box"",A37))=FALSE,KitchenDrawerType="""")),"""",IF(OR(ISERROR(FIND(""larder"",A37))=FALSE,ISERROR(FIND(""fridge/freezer"",A37))=FALSE,ISERROR(FIND(""double oven"",A37))=FALSE,ISERROR(FIND(""single oven"",A37))=FALS"&amp;"E),VLOOKUP(LEFT(A37,FIND("" "",A37))&amp;""carcass ""&amp;RIGHT(A37,LEN(A37)-(LEN(A37)-3)),KitchensData,5,0),IF(ISERROR(FIND(""sink"",A37))=FALSE,VLOOKUP(LEFT(A37,FIND("" "",A37))&amp;""carcass ""&amp;VALUE(REGEXREPLACE(A37,""[^[:digit:]]"", """")),KitchensData,5,0)+(((C"&amp;"37/1000)*(300/1000))*VLOOKUP(KitchenCarcassMaterial,SheetsData,8,0)),IF(ISERROR(FIND(""bins"",A37))=FALSE,IF(ISERROR(FIND(""veneer"",KitchenCarcassMaterial))=FALSE,VLOOKUP(""Base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600"",A37))=FALSE,IF(ISERROR(FIND(""veneer"""&amp;",KitchenCarcassMaterial))=FALSE,0.54*(VLOOKUP(LEFT(KitchenCarcassMaterial,FIND(""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1200"",A37))=FALSE,"&amp;"IF(ISERROR(FIND(""veneer"",KitchenCarcassMaterial))=FALSE,0.84*(VLOOKUP(LEFT(KitchenCarcassMaterial,FIND(""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600"",A37))=FALSE,IF(ISERROR(FIND(""veneer"",KitchenCarcassMaterial))=FALSE,1.44*(VLOOKUP(LEFT(KitchenCarcassMaterial,FIND(""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1200"",A37))=FALSE,IF(ISERROR(FIND(""veneer"",KitchenCarcassMaterial))=FALSE,2.7*(VLOOKUP(LEFT(KitchenCarcassMaterial,FIND(""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front"",A37))=FALSE,((B37/1000)*(C37/1000))*VLOOKUP(KitchenDoorMaterial,SheetsData,8,0),IF(AND(KitchenDrawerType=""Match carcass"",ISERROR(FIND(""drawer box"",A37))=FALSE),(((((B37/1000)*(C37/1000))+((B37/1000"&amp;")*(D37/1000)))*2)*VLOOKUP(KitchenCarcassMaterial,SheetsData,8,0))+(((C37/1000)*(D37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box"",A37))=FALSE),(((((B37/1000)*(C37/1000))+((B37/1000)*(D37/1000)))*2)*(16/1000)*VLOOKUP(LEFT(KitchenCarcassMaterial,FIND("" "&amp;""",KitchenCarcassMaterial))&amp;""(solid m3)"",SolidData,5,0))+(((C37/1000)*(D37/1000))*VLOOKUP(LEFT(KitchenCarcassMaterial,FIND(""("",KitchenCarcassMaterial)-1)&amp;IF(OR(ISERROR(FIND(""ply"",KitchenCarcassMaterial))=FALSE,ISERROR(FIND(""H/F"",KitchenCarcassMate"&amp;"rial))=FALSE),""(9mm)"",""(10mm)""),SheetsData,8,0)),IF(ISERROR(FIND(""spacer"",A37))=FALSE,((D37/1000)*(C37/1000))*VLOOKUP(""Poplar ply (18mm)"",SheetsData,8,0),IF(ISERROR(FIND(""filler panel"",A37))=FALSE,((B37/1000)*(C37/1000))*VLOOKUP(KitchenDoorMater"&amp;"ial,SheetsData,8,0),IF(ISERROR(FIND(""shelf"",A37))=FALSE,((D37/1000)*(C37/1000))*VLOOKUP(KitchenCarcassMaterial,SheetsData,8,0),IF(ISERROR(FIND(""lost corner"",A37))=FALSE,VLOOKUP(LEFT(A37,FIND("" "",A37))&amp;""carcass ""&amp;VALUE(REGEXREPLACE(A37,""[^[:digit:"&amp;"]]"", """")),KitchensData,5,0)+((((B37/1000)*(C37/1000))+((B37/1000)*(60/1000)))*VLOOKUP(KitchenCarcassMaterial,SheetsData,8,0)),IF(ISERROR(FIND(""carcass"",A37))=FALSE,(((((B37/1000)*2)*(D37/1000))+(((C37/1000)*2)*(D37/1000)))*VLOOKUP(KitchenCarcassMater"&amp;"ial,SheetsData,8,0))+((B37/1000)*(C37/1000))*VLOOKUP(LEFT(KitchenCarcassMaterial,FIND(""("",KitchenCarcassMaterial)-1)&amp;IF(OR(ISERROR(FIND(""ply"",KitchenCarcassMaterial))=FALSE,ISERROR(FIND(""H/F"",KitchenCarcassMaterial))=FALSE),""(9mm)"",""(10mm)""),She"&amp;"etsData,8,0),IF(OR(ISERROR(FIND(""Plinth"",A37))=FALSE,ISERROR(FIND(""Cornice (flat)"",A37))=FALSE),((B37/1000)*(C37/1000))*VLOOKUP(""H/F (18mm)"",SheetsData,8,0),IF(ISERROR(FIND(""Cornice (stacked)"",A37))=FALSE,((0.08*(C37/1000))*2)*VLOOKUP(""H/F (22mm)"&amp;""",SheetsData,8,0),IF(ISERROR(FIND(""Base end panel"",A37))=FALSE,VLOOKUP(KitchenDoorMaterial,SheetsData,5,0)/3,IF(ISERROR(FIND(""Wall end panel"",A37))=FALSE,VLOOKUP(KitchenDoorMaterial,SheetsData,5,0)/9,IF(ISERROR(FIND(""Tower end panel"",A37))=FALSE,VL"&amp;"OOKUP(KitchenDoorMaterial,SheetsData,5,0),IF(ISERROR(FIND(""Fillers"",A37))=FALSE,(((0.06*(C37/1000))*2)*VLOOKUP(""H/F (18mm)"",SheetsData,8,0))+(((0.06*(C37/1000))*2)*VLOOKUP(""H/F (9mm)"",SheetsData,8,0)),IF(ISERROR(FIND(""corner post"",A37))=FALSE,(((B"&amp;"37/1000)*0.05)*2)*VLOOKUP(KitchenDoorMaterial,SheetsData,8,0),IF(ISERROR(FIND(""Pelmet"",A37))=FALSE,((((B37/1000)*(C37/1000))*2)*VLOOKUP(""H/F (18mm)"",SheetsData,8,0)),IF(ISERROR(FIND(""door"",A37))=TRUE,""Check description"",IF(KitchenDoorStyle=""Flat"&amp;""",((B37/1000)*(C37/1000))*VLOOKUP(KitchenDoorMaterial,SheetsData,8,0),IF(LEFT(KitchenDoorStyle,5)=""Panel"",(((((B37/1000)*2)*0.08)+((((C37/1000)-0.16)*2)*0.08))*VLOOKUP(""H/F (22mm)"",SheetsData,8,0))+(((B37/1000)-0.14)*((C37/1000)-0.14)*VLOOKUP(""H/F ("&amp;"9mm)"",SheetsData,8,0)),IF(KitchenDoorStyle=""In-frame flat"",((((((B37/1000)*0.019)*0.038)+((((C37-38)/1000)*0.038)*0.038))*2)*VLOOKUP(""Tulip (solid m3)"",SolidData,5,0))+(((B37-76)/1000)*((C37-38)/1000))*VLOOKUP(""H/F (22mm)"",SheetsData,8,0),IF(LEFT(K"&amp;"itchenDoorStyle,14)=""In-frame panel"",(((((((B37/1000)*0.019)*0.038)+((((C37-38)/1000)*0.038)*0.038))*2)*VLOOKUP(""Tulip (solid m3)"",SolidData,5,0))+(((((((B37-76)/1000)*2)*0.08)+(((((C37-198)/1000)*2)*0.08)))*VLOOKUP(""H/F (22mm)"",SheetsData,8,0))+((("&amp;"B37-216)/1000)*((C37-178)/1000)*VLOOKUP(""H/F (9mm)"",SheetsData,8,0)))))))))))))))))))))))))))))))))"),16.24428916957807)</f>
        <v>16.24428917</v>
      </c>
      <c r="F37" s="152" t="str">
        <f>IFERROR(__xludf.DUMMYFUNCTION("IF(OR(A37="""",AND(ISERROR(FIND(""drawer box"",A37))=FALSE,KitchenDrawerType=""Solid dovetail"")),"""",IF(ISERROR(FIND(""bins"",A37))=FALSE,VLOOKUP(""Base carcass 600"",KitchensData,6,0),IF(OR(ISERROR(FIND(""larder"",A37))=FALSE,ISERROR(FIND(""unit"",A37)"&amp;")=FALSE),VLOOKUP(LEFT(A37,FIND("" "",A37))&amp;""carcass ""&amp;RIGHT(A37,LEN(A37)-len(regexextract(A37,"".* ""))),KitchensData,6,0),IF(ISERROR(FIND(""drawer front"",A37))=FALSE,IF(ISERROR(FIND(""veneer"",KitchenCarcassMaterial))=TRUE,0,(((B37+C37)/1000)*2)*VLOOK"&amp;"UP(""Edge banding (per M)"",SheetsData,5,0)),IF(ISERROR(FIND(""drawer box"",A37))=FALSE,IF(ISERROR(FIND(""veneer"",KitchenCarcassMaterial))=TRUE,0,(((C37+D37)/1000)*2)*VLOOKUP(""Edge banding (per M)"",SheetsData,5,0)),IF(ISERROR(FIND(""shelf"",A37))=FALSE"&amp;",IF(ISERROR(FIND(""veneer"",KitchenCarcassMaterial))=TRUE,0,(C37/1000)*VLOOKUP(""Edge banding (per M)"",SheetsData,5,0)),IF(AND(ISERROR(FIND(""carcass"",A37))=FALSE,ISERROR(FIND(""shelf"",A37))=TRUE),IF(ISERROR(FIND(""veneer"",KitchenCarcassMaterial))=TRU"&amp;"E,0,((2*(B37+C37))/1000)*VLOOKUP(""Edge banding (per M)"",SheetsData,5,0)),IF(ISERROR(FIND(""door"",A37))=TRUE,"""",IF(ISERROR(FIND(""veneer"",KitchenDoorMaterial))=TRUE,"""",((2*(B37+C37))/1000)*VLOOKUP(""Edge banding (per M)"",SheetsData,5,0))))))))))"),"")</f>
        <v/>
      </c>
      <c r="G37" s="153" t="str">
        <f>IF(A37="","",IF(ISERROR(FIND("bins",A37))=FALSE,VLOOKUP("Base carcass 600",KitchensData,7,0),IF(OR(ISERROR(FIND("larder",A37))=FALSE,ISERROR(FIND("fridge/freezer",A37))=FALSE,ISERROR(FIND("double oven",A37))=FALSE,ISERROR(FIND("single oven",A37))=FALSE),VLOOKUP(LEFT(A37,FIND(" ",A37))&amp;"carcass "&amp;RIGHT(A37,LEN(A37)-(LEN(A37)-3)),KitchensData,7,0),IF(AND(ISERROR(FIND("carcass",A37))=FALSE,ISERROR(FIND("shelf",A37))=TRUE),IF(OR(ISERROR(FIND("Base",A37))=FALSE,ISERROR(FIND("Tower",A37))=FALSE),IF(OR(ISERROR(FIND("1200",A37))=FALSE, ISERROR(FIND("lost corner",A37))=FALSE),6*VLOOKUP("Plinth foot (2 Parts 80mm)",FurnitureData,5,0),4*VLOOKUP("Plinth foot (2 Parts 80mm)",FurnitureData,5,0)),""),""))))</f>
        <v/>
      </c>
      <c r="H37" s="153">
        <f>IF(OR(A37="",ISERROR(FIND("door",A37))=TRUE),"",IF(ISERROR(FIND("Wall",A37))=FALSE,VLOOKUP("Hinges &amp; plates (Hettich thick door)",FurnitureData,5,0)*2,IF(ISERROR(FIND("Base",A37))=FALSE,VLOOKUP("Hinges &amp; plates (Hettich thick door)",FurnitureData,5,0)*3,IF(ISERROR(FIND("Boiler",A37))=FALSE,VLOOKUP("Hinges &amp; plates (Hettich thick door)",FurnitureData,5,0)*4,IF(ISERROR(FIND("Tower",A37))=FALSE,VLOOKUP("Hinges &amp; plates (Hettich thick door)",FurnitureData,5,0)*5)))))</f>
        <v>17.35</v>
      </c>
      <c r="I37" s="115" t="str">
        <f>IF(ISERROR(FIND("shelf",A37))=FALSE,(VLOOKUP("Shelf pegs",FurnitureData,5,0)/100)*4,"")</f>
        <v/>
      </c>
      <c r="J37" s="152" t="str">
        <f>IF(OR(ISERROR(FIND("fridge/freezer",A37))=FALSE,ISERROR(FIND("larder",A37))=FALSE,AND(ISERROR(FIND("Base",A37))=FALSE,ISERROR(FIND("bins",A37))=TRUE,ISERROR(FIND("no shelves",A37))=TRUE,OR(ISERROR(FIND("carcass",A37))=FALSE,ISERROR(FIND("unit",A37))=FALSE))),VLOOKUP("Deep shelf "&amp;C37,KitchensData,18,0),IF(AND(ISERROR(FIND("Wall",A37))=FALSE,ISERROR(FIND("carcass",A37))=FALSE),2*VLOOKUP("Shallow shelf "&amp;C37,KitchensData,18,0),IF(AND(ISERROR(FIND("Tower",A37))=FALSE,ISERROR(FIND("oven",A37))=FALSE),4*VLOOKUP("Deep shelf "&amp;C37,KitchensData,18,0),IF(AND(ISERROR(FIND("Tower",A37))=FALSE,ISERROR(FIND("carcass",A37))=FALSE),5*VLOOKUP("Deep shelf "&amp;C37,KitchensData,18,0),""))))</f>
        <v/>
      </c>
      <c r="K37" s="152" t="str">
        <f>IF(ISERROR(FIND("sink",A37))=FALSE,VLOOKUP("Sink liner - Aluminium "&amp;RIGHT(A37,LEN(A37)-22)&amp;"mm",ExceptionalData,5,0),IF(ISERROR(FIND("bins",A37))=FALSE,VLOOKUP("Drawer runners and clip set for bin unit (500) Dynapro",FurnitureData,5,0)+(2*VLOOKUP("Bin (42L Anthracite)",FurnitureData,5,0)),IF(ISERROR(FIND("larder",A37))=FALSE,VLOOKUP("Pull out larder unit 600mm",FurnitureData,5,0),IF(AND(ISERROR(FIND("drawer box",A37))=FALSE,ISERROR(FIND("internal",A37))=TRUE),VLOOKUP("Drawer runners and clip set (550) Dynapro",FurnitureData,5,0),IF(ISERROR(FIND("internal drawer box",A37))=FALSE,VLOOKUP("Drawer runners and clip set (450) Dynapro",FurnitureData,5,0),"")))))</f>
        <v/>
      </c>
      <c r="L37" s="152">
        <f t="shared" si="3"/>
        <v>33.59428917</v>
      </c>
      <c r="M37" s="154">
        <f>IFERROR(__xludf.DUMMYFUNCTION("IF(A37="""","""",IF(OR(ISERROR(FIND(""larder"",A37))=FALSE,ISERROR(FIND(""unit"",A37))=FALSE),VLOOKUP(LEFT(A37,FIND("" "",A37))&amp;""carcass ""&amp;RIGHT(A37,LEN(A37)-len(regexextract(A37,"".* ""))),KitchensData,13,0),IF(ISERROR(FIND(""bins"",A37))=FALSE,0.95,IF"&amp;"(ISERROR(FIND(""Cutlery insert 600"",A37))=FALSE,1.3,IF(ISERROR(FIND(""Cutlery insert 1200"",A37))=FALSE,2,IF(ISERROR(FIND(""Pan/tray rack 600"",A37))=FALSE,3.25,IF(ISERROR(FIND(""Pan/tray rack 1200"",A37))=FALSE,5.9,IF(ISERROR(FIND(""split"",A37))=FALSE,"&amp;"(((C37/1000)*0.022)*2)+VLOOKUP(SUBSTITUTE(A37,"" split"",""""),KitchensData,13,0),IF(AND(ISERROR(FIND(""drawer front"",A37))=FALSE,KitchenDoorStyle=""Flat""),(((B37/1000)*(C37/1000))*2)+((((B37+C37)/1000)*2)*0.022),IF(AND(ISERROR(FIND(""drawer front"",A37"&amp;"))=FALSE,LEFT(KitchenDoorStyle,5)=""Panel""),(((B37/1000)*(C37/1000))*2)+((((B37+C37)/1000)*2)*0.022)+((((C37/1000)-0.16)*0.013)*2)+((((D37/1000)-0.16)*0.013)*2),IF(AND(ISERROR(FIND(""drawer front"",A37))=FALSE,KitchenDoorStyle=""In-frame flat""),((((B37-"&amp;"76)/1000)*((C37-38)/1000))*2)+(MID(KitchenDoorMaterial,FIND(""("",KitchenDoorMaterial)+1,2)/1000)*((((B37-76)+(C37-38))/1000)*2)+(((B37/1000)*0.032)*2)+((((B37-76)/1000)*0.032)*2)+(((B37/1000)*0.019)*4)+(((C37/1000)*0.032)*2)+((((C37-38)/1000)*0.032)*2)+("&amp;"((C37/1000)*0.038)*4),IF(AND(ISERROR(FIND(""drawer front"",A37))=FALSE,LEFT(KitchenDoorStyle,14)=""In-frame panel""),((((B37-76)/1000)*((C37-38)/1000))*2)+((MID(KitchenDoorMaterial,FIND(""("",KitchenDoorMaterial)+1,2)/1000)*((((B37-76)+(C37-38))/1000)*2))"&amp;"+((((B37-236)/1000)+((C37-198)/1000)*2)*0.013)+(((B37/1000)*0.032)*2)+((((B37-76)/1000)*0.032)*2)+(((B37/1000)*0.019)*4)+(((C37/1000)*0.032)*2)+((((C37-38)/1000)*0.032)*2)+(((C37/1000)*0.038)*4),IF(ISERROR(FIND(""drawer box"",A37))=FALSE,((((B37/1000)*(D3"&amp;"7/1000))+((B37/1000)*(C37/1000)))*4)+((((D37/1000)+(C37/1000))*0.016)*4)+(((C37/1000)*(D37/1000))*2),IF(OR(ISERROR(FIND(""shelf"",A37))=FALSE,ISERROR(FIND(""spacer"",A37))=FALSE,,ISERROR(FIND(""filler panel"",A37))=FALSE),(((C37/1000)*(D37/1000))*2)+((((C"&amp;"37+D37)*2)/1000)*0.022),IF(ISERROR(FIND(""lost corner"",A37))=FALSE,(((B37/1000)*(C37/1000))*2)+((B37/1000)*(C37/1000))+((B37/1000)*((C37/2)/1000))+((((B37/1000)*0.025)+((C37/1000)*0.025))*2),IF(ISERROR(FIND(""carcass"",A37))=FALSE,(((C37/1000)*(D37/1000)"&amp;")*2)+(((B37/1000)*(D37/1000))*2)+((B37/1000)*(C37/1000))+((((B37/1000)*0.025)+((C37/1000)*0.025))*2),IF(AND(ISERROR(FIND(""door"",A37))=FALSE,KitchenDoorStyle=""Flat""),(((B37/1000)*(C37/1000))*2)+(MID(KitchenDoorMaterial,FIND(""("",KitchenDoorMaterial)+1"&amp;",2)/1000)*(((B37+C37)/1000)*2),IF(AND(ISERROR(FIND(""door"",A37))=FALSE,LEFT(KitchenDoorStyle,5)=""Panel""),(((B37/1000)*(C37/1000))*2)+((MID(KitchenDoorMaterial,FIND(""("",KitchenDoorMaterial)+1,2)/1000)*(((B37+C37)/1000)*2))+(((((B37-160)+(C37-160))*2)/"&amp;"1000)*(0.013)),IF(AND(ISERROR(FIND(""door"",A37))=FALSE,KitchenDoorStyle=""In-frame flat""),((((B37-76)/1000)*((C37-38)/1000))*2)+(MID(KitchenDoorMaterial,FIND(""("",KitchenDoorMaterial)+1,2)/1000)*((((B37-76)+(C37-38))/1000)*2)+(((B37/1000)*0.032)*2)+((("&amp;"(B37-76)/1000)*0.032)*2)+(((B37/1000)*0.019)*4)+(((C37/1000)*0.032)*2)+((((C37-38)/1000)*0.032)*2)+(((C37/1000)*0.038)*4),IF(AND(ISERROR(FIND(""door"",A37))=FALSE,LEFT(KitchenDoorStyle,14)=""In-frame panel""),((((B37-76)/1000)*((C37-38)/1000))*2)+((MID(Ki"&amp;"tchenDoorMaterial,FIND(""("",KitchenDoorMaterial)+1,2)/1000)*((((B37-76)+(C37-38))/1000)*2))+((((B37-236)/1000)+((C37-198)/1000)*2)*0.013)+(((B37/1000)*0.032)*2)+((((B37-76)/1000)*0.032)*2)+(((B37/1000)*0.019)*4)+(((C37/1000)*0.032)*2)+((((C37-38)/1000)*0"&amp;".032)*2)+(((C37/1000)*0.038)*4),IF(ISERROR(FIND(""Plinth"",A37))=FALSE,((B37/1000)*(C37/1000))+(((C37/1000)*0.018)*2)+(((B37/1000)*0.018)*2),IF(ISERROR(FIND(""Cornice"",A37))=FALSE,(((C37/1000)*0.1)*2)+(((C37/1000)*0.044)*2)+(((B37/1000)*0.08)*2),IF(ISERR"&amp;"OR(FIND(""Base end panel"",A37))=FALSE,((B37/1000)*(C37/1000))+(0.022*((B37/1000)+((C37/1000)*2)))+((B37/1000)*0.05),IF(ISERROR(FIND(""Wall end panel"",A37))=FALSE,((B37/1000)*(C37/1000))+(0.022*((B37/1000)+((C37/1000)*2)))+((B37/1000)*0.05),IF(ISERROR(FI"&amp;"ND(""Tower end panel"",A37))=FALSE,((B37/1000)*(C37/1000))+(0.022*((B37/1000)+((C37/1000)*2)))+((B37/1000)*0.05),IF(ISERROR(FIND(""Fillers"",A37))=FALSE,((C37/1000)*0.06)+((C37/1000)*0.069)+((0.06*0.018)*2)+((0.06*0.009)*2)+((C37/1000)*0.009)+((C37/1000)*"&amp;"0.018),IF(ISERROR(FIND(""corner post"",A37))=FALSE,(((B37/1000*0.05)*2)+((B37/1000)*0.022)*2)+((B37/1000)*0.072)+((B37/1000)*0.05)+((0.072*0.022)*2)+((0.05*0.022)*2),IF(ISERROR(FIND(""Pelmet"",A37))=FALSE,((C37/1000)*0.05)+((C37/1000)*0.068)+((0.05*0.018)"&amp;"*4)+(((C37/1000)*0.018))*2))))))))))))))))))))))))))))"),1.8920000000000003)</f>
        <v>1.892</v>
      </c>
      <c r="N37" s="152">
        <f>IF(M37="","",IF(AND(ISERROR(FIND("carcass",A37))=TRUE,ISERROR(FIND("unit",A37))=TRUE,ISERROR(FIND("insert",A37))=TRUE,ISERROR(FIND("rack",A37))=TRUE,ISERROR(FIND("box",A37))=TRUE,ISERROR(FIND("shelf",#REF!))=TRUE),VLOOKUP(KitchenDoorFinish,Finishing!$A$2:$K$10,9,0)*M37,VLOOKUP(KitchenCarcassFinish,Finishing!$A$2:$K$40,9,0)*M37))</f>
        <v>14.19</v>
      </c>
      <c r="O37" s="155">
        <v>1.0</v>
      </c>
      <c r="P37" s="155">
        <v>2.0</v>
      </c>
      <c r="Q37" s="152">
        <f>IF(OR(O37="",P37=""),"",((O37*X37)*(VLOOKUP("Workshop",Labour!$A$3:$E$20,4,0)/8))+((P37*AE37)*(VLOOKUP("Finishing",Labour!$A$3:$E$20,4,0)/8)))</f>
        <v>267.75</v>
      </c>
      <c r="R37" s="152">
        <f t="shared" si="4"/>
        <v>315.5342892</v>
      </c>
      <c r="S37" s="156">
        <f>IF(OR(O37="",P37=""),"",IF(OR(ISERROR(FIND("carcass",$A37))=FALSE,ISERROR(FIND("unit",$A37))=FALSE),VLOOKUP(KitchenCarcassMaterial,FixedListsCarcassMaterial,2,0),0))</f>
        <v>0</v>
      </c>
      <c r="T37" s="156">
        <f>IF(OR(O37="",P37=""),"",IF(ISERROR(FIND("door",$A37))=FALSE,VLOOKUP(KitchenDoorStyle,FixedListsDoorStyle,2,0),0))</f>
        <v>1</v>
      </c>
      <c r="U37" s="156">
        <f>IF(OR(O37="",P37=""),"",IF(ISERROR(FIND("door",$A37))=FALSE,VLOOKUP(KitchenDoorMaterial,FixedListsDoorMaterial,2,0),0))</f>
        <v>1</v>
      </c>
      <c r="V37" s="156">
        <f>IF(OR(O37="",P37=""),"",IF(ISERROR(FIND("drawer",$A37))=FALSE,VLOOKUP(KitchenDrawerType,FixedListsDrawerType,2,0),0))</f>
        <v>0</v>
      </c>
      <c r="W37" s="156">
        <f>IF(OR(O37="",P37=""),"",IF(OR(S37&gt;0, T37&gt;0,V37&gt;0),VLOOKUP(KitchenHandleType,FixedListsHandleType,2,FALSE)*IF(KitchenHandleType="Simple",0,IF(S37&gt;0,VLOOKUP(KitchenHandleType,FixedListsHandleType,4,FALSE),IF(OR(T37&gt;0,V37&gt;0),1-VLOOKUP(KitchenHandleType,FixedListsHandleType,4,FALSE),"Error"))),0))</f>
        <v>0</v>
      </c>
      <c r="X37" s="156">
        <f t="shared" si="5"/>
        <v>1</v>
      </c>
      <c r="Y37" s="156">
        <f>IF(OR(O37="",P37=""),"",IF(OR(ISERROR(FIND("carcass",$A37))=FALSE,ISERROR(FIND("unit",$A37))=FALSE),VLOOKUP(KitchenCarcassMaterial,FixedListsCarcassMaterial,3,0),0))</f>
        <v>0</v>
      </c>
      <c r="Z37" s="156">
        <f>IF(OR(O37="",P37=""),"",IF(ISERROR(FIND("door",$A37))=FALSE,VLOOKUP(KitchenDoorStyle,FixedListsDoorStyle,3,0),0))</f>
        <v>1</v>
      </c>
      <c r="AA37" s="156">
        <f>IF(OR(O37="",P37=""),"",IF(ISERROR(FIND("door",$A37))=FALSE,VLOOKUP(KitchenDoorMaterial,FixedListsDoorMaterial,3,0),0))</f>
        <v>2</v>
      </c>
      <c r="AB37" s="156">
        <f>IF(OR(O37="",P37=""),"",IF(ISERROR(FIND("drawer",$A37))=FALSE,VLOOKUP(KitchenDrawerType,FixedListsDrawerType,3,0),0))</f>
        <v>0</v>
      </c>
      <c r="AC37" s="156">
        <f>IF(OR(O37="",P37=""),"",IF(OR(Y37&gt;0,Z37&gt;0,AB37&gt;0),VLOOKUP(KitchenHandleType,FixedListsHandleType,3,FALSE),0))</f>
        <v>1</v>
      </c>
      <c r="AD37" s="156">
        <f>IF(OR(O37="",P37=""),"",IF(OR(ISERROR(FIND("carcass",$A37))=FALSE,ISERROR(FIND("unit",$A37))=FALSE),VLOOKUP(KitchenCarcassFinish,FixedListsFinishes,3,0),IF(OR(ISERROR(FIND("door",$A37))=FALSE,ISERROR(FIND("Plinth",$A37))=FALSE,ISERROR(FIND("Cornice",$A37))=FALSE,ISERROR(FIND("Fillers",$A37))=FALSE,ISERROR(FIND("Pelmet",$A37))=FALSE,ISERROR(FIND("panel",$A37))=FALSE,ISERROR(FIND("post",$A37))=FALSE),VLOOKUP(KitchenDoorFinish,FixedListsFinishes,3,0),IF(OR(ISERROR(FIND("drawer",$A37))=FALSE,ISERROR(FIND("insert",$A37))=FALSE,ISERROR(FIND("rck",$A37))=FALSE),VLOOKUP(KitchenCarcassFinish,FixedListsFinishes,3,0),0))))</f>
        <v>2</v>
      </c>
      <c r="AE37" s="156">
        <f t="shared" si="6"/>
        <v>4</v>
      </c>
      <c r="AF37" s="157" t="str">
        <f>IF(AND(KitchenHandleType="Channel",OR(ISERROR(FIND("arcass",$A37))=FALSE,ISERROR(FIND("unit",$A37))=FALSE)),IF(ISERROR(FIND("Tower",$A37))=TRUE,IF(KitchenHandleFinish="Match carcass",IF(ISERROR(FIND("Walnut",KitchenCarcassMaterial))=FALSE,(0.035*0.075*($C37/1000))*VLOOKUP("Walnut (solid m3)",SolidData,4,FALSE),IF(ISERROR(FIND("Oak",KitchenCarcassMaterial))=FALSE,(0.035*0.075*($C37/1000))*VLOOKUP("Oak (solid m3)",SolidData,4,FALSE),IF(ISERROR(FIND("ply",KitchenCarcassMaterial))=FALSE,(0.1*($C37/1000))*VLOOKUP("Birch ply (24mm)",SheetsData,7,FALSE),IF(ISERROR(FIND("H/F",KitchenCarcassMaterial))=FALSE,(0.1*($C37/1000))*VLOOKUP("H/F (22mm)",SheetsData,7,FALSE),"Carcass - not tower - new material")))),IF(KitchenHandleFinish="Match door",IF(ISERROR(FIND("Walnut",KitchenDoorMaterial))=FALSE,(0.035*0.075*($C37/1000))*VLOOKUP("Walnut (solid m3)",SolidData,4,FALSE),IF(ISERROR(FIND("Oak",KitchenDoorMaterial))=FALSE,(0.035*0.075*($C37/1000))*VLOOKUP("Oak (solid m3)",SolidData,4,FALSE),IF(ISERROR(FIND("ply",KitchenDoorMaterial))=FALSE,(0.1*($C37/1000))*VLOOKUP("Birch ply (24mm)",SheetsData,7,FALSE),IF(ISERROR(FIND("H/F",KitchenCarcassMaterial))=FALSE,(0.1*($C37/1000))*VLOOKUP("H/F (22mm)",SheetsData,7,FALSE),"Door - not tower - new material")))),"Channel - not tower - handle set to other")),IF(ISERROR(FIND("Tower",$A37))=FALSE,IF(KitchenHandleFinish="Match carcass",IF(ISERROR(FIND("Walnut",KitchenCarcassMaterial))=FALSE,(0.035*0.075*($B37/1000))*VLOOKUP("Walnut (solid m3)",SolidData,4,FALSE),IF(ISERROR(FIND("Oak",KitchenCarcassMaterial))=FALSE,(0.035*0.075*($B37/1000))*VLOOKUP("Oak (solid m3)",SolidData,4,FALSE),IF(ISERROR(FIND("ply",KitchenCarcassMaterial))=FALSE,(0.1*($B37/1000))*VLOOKUP("Birch ply (24mm)",SheetsData,7,FALSE),IF(ISERROR(FIND("H/F",KitchenCarcassMaterial))=FALSE,(0.1*($C37/1000))*VLOOKUP("H/F (22mm)",SheetsData,7,FALSE),"Carcass - tower - new material")))),IF(KitchenHandleFinish="Match door",IF(ISERROR(FIND("Walnut",KitchenDoorMaterial))=FALSE,(0.035*0.075*($B37/1000))*VLOOKUP("Walnut (solid m3)",SolidData,4,FALSE),IF(ISERROR(FIND("Oak",KitchenDoorMaterial))=FALSE,(0.035*0.075*($B37/1000))*VLOOKUP("Oak (solid m3)",SolidData,4,FALSE),IF(ISERROR(FIND("ply",KitchenDoorMaterial))=FALSE,(0.1*($B37/1000))*VLOOKUP("Birch ply (24mm)",SheetData,7,FALSE),IF(ISERROR(FIND("H/F",KitchenCarcassMaterial))=FALSE,(0.1*($C37/1000))*VLOOKUP("H/F (22mm)",SheetsData,7,FALSE),"Door - tower - new material")))),"Channel - tower - handle set to other")))),"")</f>
        <v/>
      </c>
    </row>
    <row r="38">
      <c r="A38" s="150" t="s">
        <v>146</v>
      </c>
      <c r="B38" s="115">
        <f t="shared" si="1"/>
        <v>2200</v>
      </c>
      <c r="C38" s="115" t="str">
        <f>IFERROR(__xludf.DUMMYFUNCTION("IF(A38="""","""",IF(OR(RIGHT(A38,LEN(A38)-len(regexextract(A38,"".* "")))=""1200"",RIGHT(A38,LEN(A38)-len(regexextract(A38,"".* "")))=""600"",RIGHT(A38,LEN(A38)-len(regexextract(A38,"".* "")))=""400"",RIGHT(A38,LEN(A38)-len(regexextract(A38,"".* "")))=""3"&amp;"00"",RIGHT(A38,LEN(A38)-len(regexextract(A38,"".* "")))=""700"",RIGHT(A38,LEN(A38)-len(regexextract(A38,"".* "")))=""2400"",RIGHT(A38,LEN(A38)-len(regexextract(A38,"".* "")))=""650"",RIGHT(A38,LEN(A38)-len(regexextract(A38,"".* "")))=""350"",RIGHT(A38,LEN"&amp;"(A38)-len(regexextract(A38,"".* "")))=""50""),RIGHT(A38,LEN(A38)-len(regexextract(A38,"".* ""))),IF(OR(ISERROR(FIND(""spacer"",A38))=FALSE,ISERROR(FIND(""filler panel"",A38))=FALSE),""1000"",""Unexpected size in description"")))"),"300")</f>
        <v>300</v>
      </c>
      <c r="D38" s="151" t="str">
        <f t="shared" si="2"/>
        <v/>
      </c>
      <c r="E38" s="152">
        <f>IFERROR(__xludf.DUMMYFUNCTION("IF(OR(A38="""",AND(ISERROR(FIND(""drawer box"",A38))=FALSE,KitchenDrawerType="""")),"""",IF(OR(ISERROR(FIND(""larder"",A38))=FALSE,ISERROR(FIND(""fridge/freezer"",A38))=FALSE,ISERROR(FIND(""double oven"",A38))=FALSE,ISERROR(FIND(""single oven"",A38))=FALS"&amp;"E),VLOOKUP(LEFT(A38,FIND("" "",A38))&amp;""carcass ""&amp;RIGHT(A38,LEN(A38)-(LEN(A38)-3)),KitchensData,5,0),IF(ISERROR(FIND(""sink"",A38))=FALSE,VLOOKUP(LEFT(A38,FIND("" "",A38))&amp;""carcass ""&amp;VALUE(REGEXREPLACE(A38,""[^[:digit:]]"", """")),KitchensData,5,0)+(((C"&amp;"38/1000)*(300/1000))*VLOOKUP(KitchenCarcassMaterial,SheetsData,8,0)),IF(ISERROR(FIND(""bins"",A38))=FALSE,IF(ISERROR(FIND(""veneer"",KitchenCarcassMaterial))=FALSE,VLOOKUP(""Base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600"",A38))=FALSE,IF(ISERROR(FIND(""veneer"""&amp;",KitchenCarcassMaterial))=FALSE,0.54*(VLOOKUP(LEFT(KitchenCarcassMaterial,FIND(""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1200"",A38))=FALSE,"&amp;"IF(ISERROR(FIND(""veneer"",KitchenCarcassMaterial))=FALSE,0.84*(VLOOKUP(LEFT(KitchenCarcassMaterial,FIND(""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600"",A38))=FALSE,IF(ISERROR(FIND(""veneer"",KitchenCarcassMaterial))=FALSE,1.44*(VLOOKUP(LEFT(KitchenCarcassMaterial,FIND(""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1200"",A38))=FALSE,IF(ISERROR(FIND(""veneer"",KitchenCarcassMaterial))=FALSE,2.7*(VLOOKUP(LEFT(KitchenCarcassMaterial,FIND(""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front"",A38))=FALSE,((B38/1000)*(C38/1000))*VLOOKUP(KitchenDoorMaterial,SheetsData,8,0),IF(AND(KitchenDrawerType=""Match carcass"",ISERROR(FIND(""drawer box"",A38))=FALSE),(((((B38/1000)*(C38/1000))+((B38/1000"&amp;")*(D38/1000)))*2)*VLOOKUP(KitchenCarcassMaterial,SheetsData,8,0))+(((C38/1000)*(D38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box"",A38))=FALSE),(((((B38/1000)*(C38/1000))+((B38/1000)*(D38/1000)))*2)*(16/1000)*VLOOKUP(LEFT(KitchenCarcassMaterial,FIND("" "&amp;""",KitchenCarcassMaterial))&amp;""(solid m3)"",SolidData,5,0))+(((C38/1000)*(D38/1000))*VLOOKUP(LEFT(KitchenCarcassMaterial,FIND(""("",KitchenCarcassMaterial)-1)&amp;IF(OR(ISERROR(FIND(""ply"",KitchenCarcassMaterial))=FALSE,ISERROR(FIND(""H/F"",KitchenCarcassMate"&amp;"rial))=FALSE),""(9mm)"",""(10mm)""),SheetsData,8,0)),IF(ISERROR(FIND(""spacer"",A38))=FALSE,((D38/1000)*(C38/1000))*VLOOKUP(""Poplar ply (18mm)"",SheetsData,8,0),IF(ISERROR(FIND(""filler panel"",A38))=FALSE,((B38/1000)*(C38/1000))*VLOOKUP(KitchenDoorMater"&amp;"ial,SheetsData,8,0),IF(ISERROR(FIND(""shelf"",A38))=FALSE,((D38/1000)*(C38/1000))*VLOOKUP(KitchenCarcassMaterial,SheetsData,8,0),IF(ISERROR(FIND(""lost corner"",A38))=FALSE,VLOOKUP(LEFT(A38,FIND("" "",A38))&amp;""carcass ""&amp;VALUE(REGEXREPLACE(A38,""[^[:digit:"&amp;"]]"", """")),KitchensData,5,0)+((((B38/1000)*(C38/1000))+((B38/1000)*(60/1000)))*VLOOKUP(KitchenCarcassMaterial,SheetsData,8,0)),IF(ISERROR(FIND(""carcass"",A38))=FALSE,(((((B38/1000)*2)*(D38/1000))+(((C38/1000)*2)*(D38/1000)))*VLOOKUP(KitchenCarcassMater"&amp;"ial,SheetsData,8,0))+((B38/1000)*(C38/1000))*VLOOKUP(LEFT(KitchenCarcassMaterial,FIND(""("",KitchenCarcassMaterial)-1)&amp;IF(OR(ISERROR(FIND(""ply"",KitchenCarcassMaterial))=FALSE,ISERROR(FIND(""H/F"",KitchenCarcassMaterial))=FALSE),""(9mm)"",""(10mm)""),She"&amp;"etsData,8,0),IF(OR(ISERROR(FIND(""Plinth"",A38))=FALSE,ISERROR(FIND(""Cornice (flat)"",A38))=FALSE),((B38/1000)*(C38/1000))*VLOOKUP(""H/F (18mm)"",SheetsData,8,0),IF(ISERROR(FIND(""Cornice (stacked)"",A38))=FALSE,((0.08*(C38/1000))*2)*VLOOKUP(""H/F (22mm)"&amp;""",SheetsData,8,0),IF(ISERROR(FIND(""Base end panel"",A38))=FALSE,VLOOKUP(KitchenDoorMaterial,SheetsData,5,0)/3,IF(ISERROR(FIND(""Wall end panel"",A38))=FALSE,VLOOKUP(KitchenDoorMaterial,SheetsData,5,0)/9,IF(ISERROR(FIND(""Tower end panel"",A38))=FALSE,VL"&amp;"OOKUP(KitchenDoorMaterial,SheetsData,5,0),IF(ISERROR(FIND(""Fillers"",A38))=FALSE,(((0.06*(C38/1000))*2)*VLOOKUP(""H/F (18mm)"",SheetsData,8,0))+(((0.06*(C38/1000))*2)*VLOOKUP(""H/F (9mm)"",SheetsData,8,0)),IF(ISERROR(FIND(""corner post"",A38))=FALSE,(((B"&amp;"38/1000)*0.05)*2)*VLOOKUP(KitchenDoorMaterial,SheetsData,8,0),IF(ISERROR(FIND(""Pelmet"",A38))=FALSE,((((B38/1000)*(C38/1000))*2)*VLOOKUP(""H/F (18mm)"",SheetsData,8,0)),IF(ISERROR(FIND(""door"",A38))=TRUE,""Check description"",IF(KitchenDoorStyle=""Flat"&amp;""",((B38/1000)*(C38/1000))*VLOOKUP(KitchenDoorMaterial,SheetsData,8,0),IF(LEFT(KitchenDoorStyle,5)=""Panel"",(((((B38/1000)*2)*0.08)+((((C38/1000)-0.16)*2)*0.08))*VLOOKUP(""H/F (22mm)"",SheetsData,8,0))+(((B38/1000)-0.14)*((C38/1000)-0.14)*VLOOKUP(""H/F ("&amp;"9mm)"",SheetsData,8,0)),IF(KitchenDoorStyle=""In-frame flat"",((((((B38/1000)*0.019)*0.038)+((((C38-38)/1000)*0.038)*0.038))*2)*VLOOKUP(""Tulip (solid m3)"",SolidData,5,0))+(((B38-76)/1000)*((C38-38)/1000))*VLOOKUP(""H/F (22mm)"",SheetsData,8,0),IF(LEFT(K"&amp;"itchenDoorStyle,14)=""In-frame panel"",(((((((B38/1000)*0.019)*0.038)+((((C38-38)/1000)*0.038)*0.038))*2)*VLOOKUP(""Tulip (solid m3)"",SolidData,5,0))+(((((((B38-76)/1000)*2)*0.08)+(((((C38-198)/1000)*2)*0.08)))*VLOOKUP(""H/F (22mm)"",SheetsData,8,0))+((("&amp;"B38-216)/1000)*((C38-178)/1000)*VLOOKUP(""H/F (9mm)"",SheetsData,8,0)))))))))))))))))))))))))))))))))"),12.183216877183554)</f>
        <v>12.18321688</v>
      </c>
      <c r="F38" s="152" t="str">
        <f>IFERROR(__xludf.DUMMYFUNCTION("IF(OR(A38="""",AND(ISERROR(FIND(""drawer box"",A38))=FALSE,KitchenDrawerType=""Solid dovetail"")),"""",IF(ISERROR(FIND(""bins"",A38))=FALSE,VLOOKUP(""Base carcass 600"",KitchensData,6,0),IF(OR(ISERROR(FIND(""larder"",A38))=FALSE,ISERROR(FIND(""unit"",A38)"&amp;")=FALSE),VLOOKUP(LEFT(A38,FIND("" "",A38))&amp;""carcass ""&amp;RIGHT(A38,LEN(A38)-len(regexextract(A38,"".* ""))),KitchensData,6,0),IF(ISERROR(FIND(""drawer front"",A38))=FALSE,IF(ISERROR(FIND(""veneer"",KitchenCarcassMaterial))=TRUE,0,(((B38+C38)/1000)*2)*VLOOK"&amp;"UP(""Edge banding (per M)"",SheetsData,5,0)),IF(ISERROR(FIND(""drawer box"",A38))=FALSE,IF(ISERROR(FIND(""veneer"",KitchenCarcassMaterial))=TRUE,0,(((C38+D38)/1000)*2)*VLOOKUP(""Edge banding (per M)"",SheetsData,5,0)),IF(ISERROR(FIND(""shelf"",A38))=FALSE"&amp;",IF(ISERROR(FIND(""veneer"",KitchenCarcassMaterial))=TRUE,0,(C38/1000)*VLOOKUP(""Edge banding (per M)"",SheetsData,5,0)),IF(AND(ISERROR(FIND(""carcass"",A38))=FALSE,ISERROR(FIND(""shelf"",A38))=TRUE),IF(ISERROR(FIND(""veneer"",KitchenCarcassMaterial))=TRU"&amp;"E,0,((2*(B38+C38))/1000)*VLOOKUP(""Edge banding (per M)"",SheetsData,5,0)),IF(ISERROR(FIND(""door"",A38))=TRUE,"""",IF(ISERROR(FIND(""veneer"",KitchenDoorMaterial))=TRUE,"""",((2*(B38+C38))/1000)*VLOOKUP(""Edge banding (per M)"",SheetsData,5,0))))))))))"),"")</f>
        <v/>
      </c>
      <c r="G38" s="153" t="str">
        <f>IF(A38="","",IF(ISERROR(FIND("bins",A38))=FALSE,VLOOKUP("Base carcass 600",KitchensData,7,0),IF(OR(ISERROR(FIND("larder",A38))=FALSE,ISERROR(FIND("fridge/freezer",A38))=FALSE,ISERROR(FIND("double oven",A38))=FALSE,ISERROR(FIND("single oven",A38))=FALSE),VLOOKUP(LEFT(A38,FIND(" ",A38))&amp;"carcass "&amp;RIGHT(A38,LEN(A38)-(LEN(A38)-3)),KitchensData,7,0),IF(AND(ISERROR(FIND("carcass",A38))=FALSE,ISERROR(FIND("shelf",A38))=TRUE),IF(OR(ISERROR(FIND("Base",A38))=FALSE,ISERROR(FIND("Tower",A38))=FALSE),IF(OR(ISERROR(FIND("1200",A38))=FALSE, ISERROR(FIND("lost corner",A38))=FALSE),6*VLOOKUP("Plinth foot (2 Parts 80mm)",FurnitureData,5,0),4*VLOOKUP("Plinth foot (2 Parts 80mm)",FurnitureData,5,0)),""),""))))</f>
        <v/>
      </c>
      <c r="H38" s="153">
        <f>IF(OR(A38="",ISERROR(FIND("door",A38))=TRUE),"",IF(ISERROR(FIND("Wall",A38))=FALSE,VLOOKUP("Hinges &amp; plates (Hettich thick door)",FurnitureData,5,0)*2,IF(ISERROR(FIND("Base",A38))=FALSE,VLOOKUP("Hinges &amp; plates (Hettich thick door)",FurnitureData,5,0)*3,IF(ISERROR(FIND("Boiler",A38))=FALSE,VLOOKUP("Hinges &amp; plates (Hettich thick door)",FurnitureData,5,0)*4,IF(ISERROR(FIND("Tower",A38))=FALSE,VLOOKUP("Hinges &amp; plates (Hettich thick door)",FurnitureData,5,0)*5)))))</f>
        <v>17.35</v>
      </c>
      <c r="I38" s="115" t="str">
        <f>IF(ISERROR(FIND("shelf",A38))=FALSE,(VLOOKUP("Shelf pegs",FurnitureData,5,0)/100)*4,"")</f>
        <v/>
      </c>
      <c r="J38" s="152" t="str">
        <f>IF(OR(ISERROR(FIND("fridge/freezer",A38))=FALSE,ISERROR(FIND("larder",A38))=FALSE,AND(ISERROR(FIND("Base",A38))=FALSE,ISERROR(FIND("bins",A38))=TRUE,ISERROR(FIND("no shelves",A38))=TRUE,OR(ISERROR(FIND("carcass",A38))=FALSE,ISERROR(FIND("unit",A38))=FALSE))),VLOOKUP("Deep shelf "&amp;C38,KitchensData,18,0),IF(AND(ISERROR(FIND("Wall",A38))=FALSE,ISERROR(FIND("carcass",A38))=FALSE),2*VLOOKUP("Shallow shelf "&amp;C38,KitchensData,18,0),IF(AND(ISERROR(FIND("Tower",A38))=FALSE,ISERROR(FIND("oven",A38))=FALSE),4*VLOOKUP("Deep shelf "&amp;C38,KitchensData,18,0),IF(AND(ISERROR(FIND("Tower",A38))=FALSE,ISERROR(FIND("carcass",A38))=FALSE),5*VLOOKUP("Deep shelf "&amp;C38,KitchensData,18,0),""))))</f>
        <v/>
      </c>
      <c r="K38" s="152" t="str">
        <f>IF(ISERROR(FIND("sink",A38))=FALSE,VLOOKUP("Sink liner - Aluminium "&amp;RIGHT(A38,LEN(A38)-22)&amp;"mm",ExceptionalData,5,0),IF(ISERROR(FIND("bins",A38))=FALSE,VLOOKUP("Drawer runners and clip set for bin unit (500) Dynapro",FurnitureData,5,0)+(2*VLOOKUP("Bin (42L Anthracite)",FurnitureData,5,0)),IF(ISERROR(FIND("larder",A38))=FALSE,VLOOKUP("Pull out larder unit 600mm",FurnitureData,5,0),IF(AND(ISERROR(FIND("drawer box",A38))=FALSE,ISERROR(FIND("internal",A38))=TRUE),VLOOKUP("Drawer runners and clip set (550) Dynapro",FurnitureData,5,0),IF(ISERROR(FIND("internal drawer box",A38))=FALSE,VLOOKUP("Drawer runners and clip set (450) Dynapro",FurnitureData,5,0),"")))))</f>
        <v/>
      </c>
      <c r="L38" s="152">
        <f t="shared" si="3"/>
        <v>29.53321688</v>
      </c>
      <c r="M38" s="154">
        <f>IFERROR(__xludf.DUMMYFUNCTION("IF(A38="""","""",IF(OR(ISERROR(FIND(""larder"",A38))=FALSE,ISERROR(FIND(""unit"",A38))=FALSE),VLOOKUP(LEFT(A38,FIND("" "",A38))&amp;""carcass ""&amp;RIGHT(A38,LEN(A38)-len(regexextract(A38,"".* ""))),KitchensData,13,0),IF(ISERROR(FIND(""bins"",A38))=FALSE,0.95,IF"&amp;"(ISERROR(FIND(""Cutlery insert 600"",A38))=FALSE,1.3,IF(ISERROR(FIND(""Cutlery insert 1200"",A38))=FALSE,2,IF(ISERROR(FIND(""Pan/tray rack 600"",A38))=FALSE,3.25,IF(ISERROR(FIND(""Pan/tray rack 1200"",A38))=FALSE,5.9,IF(ISERROR(FIND(""split"",A38))=FALSE,"&amp;"(((C38/1000)*0.022)*2)+VLOOKUP(SUBSTITUTE(A38,"" split"",""""),KitchensData,13,0),IF(AND(ISERROR(FIND(""drawer front"",A38))=FALSE,KitchenDoorStyle=""Flat""),(((B38/1000)*(C38/1000))*2)+((((B38+C38)/1000)*2)*0.022),IF(AND(ISERROR(FIND(""drawer front"",A38"&amp;"))=FALSE,LEFT(KitchenDoorStyle,5)=""Panel""),(((B38/1000)*(C38/1000))*2)+((((B38+C38)/1000)*2)*0.022)+((((C38/1000)-0.16)*0.013)*2)+((((D38/1000)-0.16)*0.013)*2),IF(AND(ISERROR(FIND(""drawer front"",A38))=FALSE,KitchenDoorStyle=""In-frame flat""),((((B38-"&amp;"76)/1000)*((C38-38)/1000))*2)+(MID(KitchenDoorMaterial,FIND(""("",KitchenDoorMaterial)+1,2)/1000)*((((B38-76)+(C38-38))/1000)*2)+(((B38/1000)*0.032)*2)+((((B38-76)/1000)*0.032)*2)+(((B38/1000)*0.019)*4)+(((C38/1000)*0.032)*2)+((((C38-38)/1000)*0.032)*2)+("&amp;"((C38/1000)*0.038)*4),IF(AND(ISERROR(FIND(""drawer front"",A38))=FALSE,LEFT(KitchenDoorStyle,14)=""In-frame panel""),((((B38-76)/1000)*((C38-38)/1000))*2)+((MID(KitchenDoorMaterial,FIND(""("",KitchenDoorMaterial)+1,2)/1000)*((((B38-76)+(C38-38))/1000)*2))"&amp;"+((((B38-236)/1000)+((C38-198)/1000)*2)*0.013)+(((B38/1000)*0.032)*2)+((((B38-76)/1000)*0.032)*2)+(((B38/1000)*0.019)*4)+(((C38/1000)*0.032)*2)+((((C38-38)/1000)*0.032)*2)+(((C38/1000)*0.038)*4),IF(ISERROR(FIND(""drawer box"",A38))=FALSE,((((B38/1000)*(D3"&amp;"8/1000))+((B38/1000)*(C38/1000)))*4)+((((D38/1000)+(C38/1000))*0.016)*4)+(((C38/1000)*(D38/1000))*2),IF(OR(ISERROR(FIND(""shelf"",A38))=FALSE,ISERROR(FIND(""spacer"",A38))=FALSE,,ISERROR(FIND(""filler panel"",A38))=FALSE),(((C38/1000)*(D38/1000))*2)+((((C"&amp;"38+D38)*2)/1000)*0.022),IF(ISERROR(FIND(""lost corner"",A38))=FALSE,(((B38/1000)*(C38/1000))*2)+((B38/1000)*(C38/1000))+((B38/1000)*((C38/2)/1000))+((((B38/1000)*0.025)+((C38/1000)*0.025))*2),IF(ISERROR(FIND(""carcass"",A38))=FALSE,(((C38/1000)*(D38/1000)"&amp;")*2)+(((B38/1000)*(D38/1000))*2)+((B38/1000)*(C38/1000))+((((B38/1000)*0.025)+((C38/1000)*0.025))*2),IF(AND(ISERROR(FIND(""door"",A38))=FALSE,KitchenDoorStyle=""Flat""),(((B38/1000)*(C38/1000))*2)+(MID(KitchenDoorMaterial,FIND(""("",KitchenDoorMaterial)+1"&amp;",2)/1000)*(((B38+C38)/1000)*2),IF(AND(ISERROR(FIND(""door"",A38))=FALSE,LEFT(KitchenDoorStyle,5)=""Panel""),(((B38/1000)*(C38/1000))*2)+((MID(KitchenDoorMaterial,FIND(""("",KitchenDoorMaterial)+1,2)/1000)*(((B38+C38)/1000)*2))+(((((B38-160)+(C38-160))*2)/"&amp;"1000)*(0.013)),IF(AND(ISERROR(FIND(""door"",A38))=FALSE,KitchenDoorStyle=""In-frame flat""),((((B38-76)/1000)*((C38-38)/1000))*2)+(MID(KitchenDoorMaterial,FIND(""("",KitchenDoorMaterial)+1,2)/1000)*((((B38-76)+(C38-38))/1000)*2)+(((B38/1000)*0.032)*2)+((("&amp;"(B38-76)/1000)*0.032)*2)+(((B38/1000)*0.019)*4)+(((C38/1000)*0.032)*2)+((((C38-38)/1000)*0.032)*2)+(((C38/1000)*0.038)*4),IF(AND(ISERROR(FIND(""door"",A38))=FALSE,LEFT(KitchenDoorStyle,14)=""In-frame panel""),((((B38-76)/1000)*((C38-38)/1000))*2)+((MID(Ki"&amp;"tchenDoorMaterial,FIND(""("",KitchenDoorMaterial)+1,2)/1000)*((((B38-76)+(C38-38))/1000)*2))+((((B38-236)/1000)+((C38-198)/1000)*2)*0.013)+(((B38/1000)*0.032)*2)+((((B38-76)/1000)*0.032)*2)+(((B38/1000)*0.019)*4)+(((C38/1000)*0.032)*2)+((((C38-38)/1000)*0"&amp;".032)*2)+(((C38/1000)*0.038)*4),IF(ISERROR(FIND(""Plinth"",A38))=FALSE,((B38/1000)*(C38/1000))+(((C38/1000)*0.018)*2)+(((B38/1000)*0.018)*2),IF(ISERROR(FIND(""Cornice"",A38))=FALSE,(((C38/1000)*0.1)*2)+(((C38/1000)*0.044)*2)+(((B38/1000)*0.08)*2),IF(ISERR"&amp;"OR(FIND(""Base end panel"",A38))=FALSE,((B38/1000)*(C38/1000))+(0.022*((B38/1000)+((C38/1000)*2)))+((B38/1000)*0.05),IF(ISERROR(FIND(""Wall end panel"",A38))=FALSE,((B38/1000)*(C38/1000))+(0.022*((B38/1000)+((C38/1000)*2)))+((B38/1000)*0.05),IF(ISERROR(FI"&amp;"ND(""Tower end panel"",A38))=FALSE,((B38/1000)*(C38/1000))+(0.022*((B38/1000)+((C38/1000)*2)))+((B38/1000)*0.05),IF(ISERROR(FIND(""Fillers"",A38))=FALSE,((C38/1000)*0.06)+((C38/1000)*0.069)+((0.06*0.018)*2)+((0.06*0.009)*2)+((C38/1000)*0.009)+((C38/1000)*"&amp;"0.018),IF(ISERROR(FIND(""corner post"",A38))=FALSE,(((B38/1000*0.05)*2)+((B38/1000)*0.022)*2)+((B38/1000)*0.072)+((B38/1000)*0.05)+((0.072*0.022)*2)+((0.05*0.022)*2),IF(ISERROR(FIND(""Pelmet"",A38))=FALSE,((C38/1000)*0.05)+((C38/1000)*0.068)+((0.05*0.018)"&amp;"*4)+(((C38/1000)*0.018))*2))))))))))))))))))))))))))))"),1.4432000000000003)</f>
        <v>1.4432</v>
      </c>
      <c r="N38" s="152">
        <f>IF(M38="","",IF(AND(ISERROR(FIND("carcass",A38))=TRUE,ISERROR(FIND("unit",A38))=TRUE,ISERROR(FIND("insert",A38))=TRUE,ISERROR(FIND("rack",A38))=TRUE,ISERROR(FIND("box",A38))=TRUE,ISERROR(FIND("shelf",#REF!))=TRUE),VLOOKUP(KitchenDoorFinish,Finishing!$A$2:$K$10,9,0)*M38,VLOOKUP(KitchenCarcassFinish,Finishing!$A$2:$K$40,9,0)*M38))</f>
        <v>10.824</v>
      </c>
      <c r="O38" s="155">
        <v>1.0</v>
      </c>
      <c r="P38" s="155">
        <v>2.0</v>
      </c>
      <c r="Q38" s="152">
        <f>IF(OR(O38="",P38=""),"",((O38*X38)*(VLOOKUP("Workshop",Labour!$A$3:$E$20,4,0)/8))+((P38*AE38)*(VLOOKUP("Finishing",Labour!$A$3:$E$20,4,0)/8)))</f>
        <v>267.75</v>
      </c>
      <c r="R38" s="152">
        <f t="shared" si="4"/>
        <v>308.1072169</v>
      </c>
      <c r="S38" s="156">
        <f>IF(OR(O38="",P38=""),"",IF(OR(ISERROR(FIND("carcass",$A38))=FALSE,ISERROR(FIND("unit",$A38))=FALSE),VLOOKUP(KitchenCarcassMaterial,FixedListsCarcassMaterial,2,0),0))</f>
        <v>0</v>
      </c>
      <c r="T38" s="156">
        <f>IF(OR(O38="",P38=""),"",IF(ISERROR(FIND("door",$A38))=FALSE,VLOOKUP(KitchenDoorStyle,FixedListsDoorStyle,2,0),0))</f>
        <v>1</v>
      </c>
      <c r="U38" s="156">
        <f>IF(OR(O38="",P38=""),"",IF(ISERROR(FIND("door",$A38))=FALSE,VLOOKUP(KitchenDoorMaterial,FixedListsDoorMaterial,2,0),0))</f>
        <v>1</v>
      </c>
      <c r="V38" s="156">
        <f>IF(OR(O38="",P38=""),"",IF(ISERROR(FIND("drawer",$A38))=FALSE,VLOOKUP(KitchenDrawerType,FixedListsDrawerType,2,0),0))</f>
        <v>0</v>
      </c>
      <c r="W38" s="156">
        <f>IF(OR(O38="",P38=""),"",IF(OR(S38&gt;0, T38&gt;0,V38&gt;0),VLOOKUP(KitchenHandleType,FixedListsHandleType,2,FALSE)*IF(KitchenHandleType="Simple",0,IF(S38&gt;0,VLOOKUP(KitchenHandleType,FixedListsHandleType,4,FALSE),IF(OR(T38&gt;0,V38&gt;0),1-VLOOKUP(KitchenHandleType,FixedListsHandleType,4,FALSE),"Error"))),0))</f>
        <v>0</v>
      </c>
      <c r="X38" s="156">
        <f t="shared" si="5"/>
        <v>1</v>
      </c>
      <c r="Y38" s="156">
        <f>IF(OR(O38="",P38=""),"",IF(OR(ISERROR(FIND("carcass",$A38))=FALSE,ISERROR(FIND("unit",$A38))=FALSE),VLOOKUP(KitchenCarcassMaterial,FixedListsCarcassMaterial,3,0),0))</f>
        <v>0</v>
      </c>
      <c r="Z38" s="156">
        <f>IF(OR(O38="",P38=""),"",IF(ISERROR(FIND("door",$A38))=FALSE,VLOOKUP(KitchenDoorStyle,FixedListsDoorStyle,3,0),0))</f>
        <v>1</v>
      </c>
      <c r="AA38" s="156">
        <f>IF(OR(O38="",P38=""),"",IF(ISERROR(FIND("door",$A38))=FALSE,VLOOKUP(KitchenDoorMaterial,FixedListsDoorMaterial,3,0),0))</f>
        <v>2</v>
      </c>
      <c r="AB38" s="156">
        <f>IF(OR(O38="",P38=""),"",IF(ISERROR(FIND("drawer",$A38))=FALSE,VLOOKUP(KitchenDrawerType,FixedListsDrawerType,3,0),0))</f>
        <v>0</v>
      </c>
      <c r="AC38" s="156">
        <f>IF(OR(O38="",P38=""),"",IF(OR(Y38&gt;0,Z38&gt;0,AB38&gt;0),VLOOKUP(KitchenHandleType,FixedListsHandleType,3,FALSE),0))</f>
        <v>1</v>
      </c>
      <c r="AD38" s="156">
        <f>IF(OR(O38="",P38=""),"",IF(OR(ISERROR(FIND("carcass",$A38))=FALSE,ISERROR(FIND("unit",$A38))=FALSE),VLOOKUP(KitchenCarcassFinish,FixedListsFinishes,3,0),IF(OR(ISERROR(FIND("door",$A38))=FALSE,ISERROR(FIND("Plinth",$A38))=FALSE,ISERROR(FIND("Cornice",$A38))=FALSE,ISERROR(FIND("Fillers",$A38))=FALSE,ISERROR(FIND("Pelmet",$A38))=FALSE,ISERROR(FIND("panel",$A38))=FALSE,ISERROR(FIND("post",$A38))=FALSE),VLOOKUP(KitchenDoorFinish,FixedListsFinishes,3,0),IF(OR(ISERROR(FIND("drawer",$A38))=FALSE,ISERROR(FIND("insert",$A38))=FALSE,ISERROR(FIND("rck",$A38))=FALSE),VLOOKUP(KitchenCarcassFinish,FixedListsFinishes,3,0),0))))</f>
        <v>2</v>
      </c>
      <c r="AE38" s="156">
        <f t="shared" si="6"/>
        <v>4</v>
      </c>
      <c r="AF38" s="157" t="str">
        <f>IF(AND(KitchenHandleType="Channel",OR(ISERROR(FIND("arcass",$A38))=FALSE,ISERROR(FIND("unit",$A38))=FALSE)),IF(ISERROR(FIND("Tower",$A38))=TRUE,IF(KitchenHandleFinish="Match carcass",IF(ISERROR(FIND("Walnut",KitchenCarcassMaterial))=FALSE,(0.035*0.075*($C38/1000))*VLOOKUP("Walnut (solid m3)",SolidData,4,FALSE),IF(ISERROR(FIND("Oak",KitchenCarcassMaterial))=FALSE,(0.035*0.075*($C38/1000))*VLOOKUP("Oak (solid m3)",SolidData,4,FALSE),IF(ISERROR(FIND("ply",KitchenCarcassMaterial))=FALSE,(0.1*($C38/1000))*VLOOKUP("Birch ply (24mm)",SheetsData,7,FALSE),IF(ISERROR(FIND("H/F",KitchenCarcassMaterial))=FALSE,(0.1*($C38/1000))*VLOOKUP("H/F (22mm)",SheetsData,7,FALSE),"Carcass - not tower - new material")))),IF(KitchenHandleFinish="Match door",IF(ISERROR(FIND("Walnut",KitchenDoorMaterial))=FALSE,(0.035*0.075*($C38/1000))*VLOOKUP("Walnut (solid m3)",SolidData,4,FALSE),IF(ISERROR(FIND("Oak",KitchenDoorMaterial))=FALSE,(0.035*0.075*($C38/1000))*VLOOKUP("Oak (solid m3)",SolidData,4,FALSE),IF(ISERROR(FIND("ply",KitchenDoorMaterial))=FALSE,(0.1*($C38/1000))*VLOOKUP("Birch ply (24mm)",SheetsData,7,FALSE),IF(ISERROR(FIND("H/F",KitchenCarcassMaterial))=FALSE,(0.1*($C38/1000))*VLOOKUP("H/F (22mm)",SheetsData,7,FALSE),"Door - not tower - new material")))),"Channel - not tower - handle set to other")),IF(ISERROR(FIND("Tower",$A38))=FALSE,IF(KitchenHandleFinish="Match carcass",IF(ISERROR(FIND("Walnut",KitchenCarcassMaterial))=FALSE,(0.035*0.075*($B38/1000))*VLOOKUP("Walnut (solid m3)",SolidData,4,FALSE),IF(ISERROR(FIND("Oak",KitchenCarcassMaterial))=FALSE,(0.035*0.075*($B38/1000))*VLOOKUP("Oak (solid m3)",SolidData,4,FALSE),IF(ISERROR(FIND("ply",KitchenCarcassMaterial))=FALSE,(0.1*($B38/1000))*VLOOKUP("Birch ply (24mm)",SheetsData,7,FALSE),IF(ISERROR(FIND("H/F",KitchenCarcassMaterial))=FALSE,(0.1*($C38/1000))*VLOOKUP("H/F (22mm)",SheetsData,7,FALSE),"Carcass - tower - new material")))),IF(KitchenHandleFinish="Match door",IF(ISERROR(FIND("Walnut",KitchenDoorMaterial))=FALSE,(0.035*0.075*($B38/1000))*VLOOKUP("Walnut (solid m3)",SolidData,4,FALSE),IF(ISERROR(FIND("Oak",KitchenDoorMaterial))=FALSE,(0.035*0.075*($B38/1000))*VLOOKUP("Oak (solid m3)",SolidData,4,FALSE),IF(ISERROR(FIND("ply",KitchenDoorMaterial))=FALSE,(0.1*($B38/1000))*VLOOKUP("Birch ply (24mm)",SheetData,7,FALSE),IF(ISERROR(FIND("H/F",KitchenCarcassMaterial))=FALSE,(0.1*($C38/1000))*VLOOKUP("H/F (22mm)",SheetsData,7,FALSE),"Door - tower - new material")))),"Channel - tower - handle set to other")))),"")</f>
        <v/>
      </c>
    </row>
    <row r="39">
      <c r="A39" s="115" t="s">
        <v>147</v>
      </c>
      <c r="B39" s="115">
        <f t="shared" si="1"/>
        <v>700</v>
      </c>
      <c r="C39" s="115" t="str">
        <f>IFERROR(__xludf.DUMMYFUNCTION("IF(A39="""","""",IF(OR(RIGHT(A39,LEN(A39)-len(regexextract(A39,"".* "")))=""1200"",RIGHT(A39,LEN(A39)-len(regexextract(A39,"".* "")))=""600"",RIGHT(A39,LEN(A39)-len(regexextract(A39,"".* "")))=""400"",RIGHT(A39,LEN(A39)-len(regexextract(A39,"".* "")))=""3"&amp;"00"",RIGHT(A39,LEN(A39)-len(regexextract(A39,"".* "")))=""700"",RIGHT(A39,LEN(A39)-len(regexextract(A39,"".* "")))=""2400"",RIGHT(A39,LEN(A39)-len(regexextract(A39,"".* "")))=""650"",RIGHT(A39,LEN(A39)-len(regexextract(A39,"".* "")))=""350"",RIGHT(A39,LEN"&amp;"(A39)-len(regexextract(A39,"".* "")))=""50""),RIGHT(A39,LEN(A39)-len(regexextract(A39,"".* ""))),IF(OR(ISERROR(FIND(""spacer"",A39))=FALSE,ISERROR(FIND(""filler panel"",A39))=FALSE),""1000"",""Unexpected size in description"")))"),"600")</f>
        <v>600</v>
      </c>
      <c r="D39" s="151" t="str">
        <f t="shared" si="2"/>
        <v/>
      </c>
      <c r="E39" s="152">
        <f>IFERROR(__xludf.DUMMYFUNCTION("IF(OR(A39="""",AND(ISERROR(FIND(""drawer box"",A39))=FALSE,KitchenDrawerType="""")),"""",IF(OR(ISERROR(FIND(""larder"",A39))=FALSE,ISERROR(FIND(""fridge/freezer"",A39))=FALSE,ISERROR(FIND(""double oven"",A39))=FALSE,ISERROR(FIND(""single oven"",A39))=FALS"&amp;"E),VLOOKUP(LEFT(A39,FIND("" "",A39))&amp;""carcass ""&amp;RIGHT(A39,LEN(A39)-(LEN(A39)-3)),KitchensData,5,0),IF(ISERROR(FIND(""sink"",A39))=FALSE,VLOOKUP(LEFT(A39,FIND("" "",A39))&amp;""carcass ""&amp;VALUE(REGEXREPLACE(A39,""[^[:digit:]]"", """")),KitchensData,5,0)+(((C"&amp;"39/1000)*(300/1000))*VLOOKUP(KitchenCarcassMaterial,SheetsData,8,0)),IF(ISERROR(FIND(""bins"",A39))=FALSE,IF(ISERROR(FIND(""veneer"",KitchenCarcassMaterial))=FALSE,VLOOKUP(""Base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600"",A39))=FALSE,IF(ISERROR(FIND(""veneer"""&amp;",KitchenCarcassMaterial))=FALSE,0.54*(VLOOKUP(LEFT(KitchenCarcassMaterial,FIND(""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1200"",A39))=FALSE,"&amp;"IF(ISERROR(FIND(""veneer"",KitchenCarcassMaterial))=FALSE,0.84*(VLOOKUP(LEFT(KitchenCarcassMaterial,FIND(""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600"",A39))=FALSE,IF(ISERROR(FIND(""veneer"",KitchenCarcassMaterial))=FALSE,1.44*(VLOOKUP(LEFT(KitchenCarcassMaterial,FIND(""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1200"",A39))=FALSE,IF(ISERROR(FIND(""veneer"",KitchenCarcassMaterial))=FALSE,2.7*(VLOOKUP(LEFT(KitchenCarcassMaterial,FIND(""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front"",A39))=FALSE,((B39/1000)*(C39/1000))*VLOOKUP(KitchenDoorMaterial,SheetsData,8,0),IF(AND(KitchenDrawerType=""Match carcass"",ISERROR(FIND(""drawer box"",A39))=FALSE),(((((B39/1000)*(C39/1000))+((B39/1000"&amp;")*(D39/1000)))*2)*VLOOKUP(KitchenCarcassMaterial,SheetsData,8,0))+(((C39/1000)*(D39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box"",A39))=FALSE),(((((B39/1000)*(C39/1000))+((B39/1000)*(D39/1000)))*2)*(16/1000)*VLOOKUP(LEFT(KitchenCarcassMaterial,FIND("" "&amp;""",KitchenCarcassMaterial))&amp;""(solid m3)"",SolidData,5,0))+(((C39/1000)*(D39/1000))*VLOOKUP(LEFT(KitchenCarcassMaterial,FIND(""("",KitchenCarcassMaterial)-1)&amp;IF(OR(ISERROR(FIND(""ply"",KitchenCarcassMaterial))=FALSE,ISERROR(FIND(""H/F"",KitchenCarcassMate"&amp;"rial))=FALSE),""(9mm)"",""(10mm)""),SheetsData,8,0)),IF(ISERROR(FIND(""spacer"",A39))=FALSE,((D39/1000)*(C39/1000))*VLOOKUP(""Poplar ply (18mm)"",SheetsData,8,0),IF(ISERROR(FIND(""filler panel"",A39))=FALSE,((B39/1000)*(C39/1000))*VLOOKUP(KitchenDoorMater"&amp;"ial,SheetsData,8,0),IF(ISERROR(FIND(""shelf"",A39))=FALSE,((D39/1000)*(C39/1000))*VLOOKUP(KitchenCarcassMaterial,SheetsData,8,0),IF(ISERROR(FIND(""lost corner"",A39))=FALSE,VLOOKUP(LEFT(A39,FIND("" "",A39))&amp;""carcass ""&amp;VALUE(REGEXREPLACE(A39,""[^[:digit:"&amp;"]]"", """")),KitchensData,5,0)+((((B39/1000)*(C39/1000))+((B39/1000)*(60/1000)))*VLOOKUP(KitchenCarcassMaterial,SheetsData,8,0)),IF(ISERROR(FIND(""carcass"",A39))=FALSE,(((((B39/1000)*2)*(D39/1000))+(((C39/1000)*2)*(D39/1000)))*VLOOKUP(KitchenCarcassMater"&amp;"ial,SheetsData,8,0))+((B39/1000)*(C39/1000))*VLOOKUP(LEFT(KitchenCarcassMaterial,FIND(""("",KitchenCarcassMaterial)-1)&amp;IF(OR(ISERROR(FIND(""ply"",KitchenCarcassMaterial))=FALSE,ISERROR(FIND(""H/F"",KitchenCarcassMaterial))=FALSE),""(9mm)"",""(10mm)""),She"&amp;"etsData,8,0),IF(OR(ISERROR(FIND(""Plinth"",A39))=FALSE,ISERROR(FIND(""Cornice (flat)"",A39))=FALSE),((B39/1000)*(C39/1000))*VLOOKUP(""H/F (18mm)"",SheetsData,8,0),IF(ISERROR(FIND(""Cornice (stacked)"",A39))=FALSE,((0.08*(C39/1000))*2)*VLOOKUP(""H/F (22mm)"&amp;""",SheetsData,8,0),IF(ISERROR(FIND(""Base end panel"",A39))=FALSE,VLOOKUP(KitchenDoorMaterial,SheetsData,5,0)/3,IF(ISERROR(FIND(""Wall end panel"",A39))=FALSE,VLOOKUP(KitchenDoorMaterial,SheetsData,5,0)/9,IF(ISERROR(FIND(""Tower end panel"",A39))=FALSE,VL"&amp;"OOKUP(KitchenDoorMaterial,SheetsData,5,0),IF(ISERROR(FIND(""Fillers"",A39))=FALSE,(((0.06*(C39/1000))*2)*VLOOKUP(""H/F (18mm)"",SheetsData,8,0))+(((0.06*(C39/1000))*2)*VLOOKUP(""H/F (9mm)"",SheetsData,8,0)),IF(ISERROR(FIND(""corner post"",A39))=FALSE,(((B"&amp;"39/1000)*0.05)*2)*VLOOKUP(KitchenDoorMaterial,SheetsData,8,0),IF(ISERROR(FIND(""Pelmet"",A39))=FALSE,((((B39/1000)*(C39/1000))*2)*VLOOKUP(""H/F (18mm)"",SheetsData,8,0)),IF(ISERROR(FIND(""door"",A39))=TRUE,""Check description"",IF(KitchenDoorStyle=""Flat"&amp;""",((B39/1000)*(C39/1000))*VLOOKUP(KitchenDoorMaterial,SheetsData,8,0),IF(LEFT(KitchenDoorStyle,5)=""Panel"",(((((B39/1000)*2)*0.08)+((((C39/1000)-0.16)*2)*0.08))*VLOOKUP(""H/F (22mm)"",SheetsData,8,0))+(((B39/1000)-0.14)*((C39/1000)-0.14)*VLOOKUP(""H/F ("&amp;"9mm)"",SheetsData,8,0)),IF(KitchenDoorStyle=""In-frame flat"",((((((B39/1000)*0.019)*0.038)+((((C39-38)/1000)*0.038)*0.038))*2)*VLOOKUP(""Tulip (solid m3)"",SolidData,5,0))+(((B39-76)/1000)*((C39-38)/1000))*VLOOKUP(""H/F (22mm)"",SheetsData,8,0),IF(LEFT(K"&amp;"itchenDoorStyle,14)=""In-frame panel"",(((((((B39/1000)*0.019)*0.038)+((((C39-38)/1000)*0.038)*0.038))*2)*VLOOKUP(""Tulip (solid m3)"",SolidData,5,0))+(((((((B39-76)/1000)*2)*0.08)+(((((C39-198)/1000)*2)*0.08)))*VLOOKUP(""H/F (22mm)"",SheetsData,8,0))+((("&amp;"B39-216)/1000)*((C39-178)/1000)*VLOOKUP(""H/F (9mm)"",SheetsData,8,0)))))))))))))))))))))))))))))))))"),7.752956194571351)</f>
        <v>7.752956195</v>
      </c>
      <c r="F39" s="152" t="str">
        <f>IFERROR(__xludf.DUMMYFUNCTION("IF(OR(A39="""",AND(ISERROR(FIND(""drawer box"",A39))=FALSE,KitchenDrawerType=""Solid dovetail"")),"""",IF(ISERROR(FIND(""bins"",A39))=FALSE,VLOOKUP(""Base carcass 600"",KitchensData,6,0),IF(OR(ISERROR(FIND(""larder"",A39))=FALSE,ISERROR(FIND(""unit"",A39)"&amp;")=FALSE),VLOOKUP(LEFT(A39,FIND("" "",A39))&amp;""carcass ""&amp;RIGHT(A39,LEN(A39)-len(regexextract(A39,"".* ""))),KitchensData,6,0),IF(ISERROR(FIND(""drawer front"",A39))=FALSE,IF(ISERROR(FIND(""veneer"",KitchenCarcassMaterial))=TRUE,0,(((B39+C39)/1000)*2)*VLOOK"&amp;"UP(""Edge banding (per M)"",SheetsData,5,0)),IF(ISERROR(FIND(""drawer box"",A39))=FALSE,IF(ISERROR(FIND(""veneer"",KitchenCarcassMaterial))=TRUE,0,(((C39+D39)/1000)*2)*VLOOKUP(""Edge banding (per M)"",SheetsData,5,0)),IF(ISERROR(FIND(""shelf"",A39))=FALSE"&amp;",IF(ISERROR(FIND(""veneer"",KitchenCarcassMaterial))=TRUE,0,(C39/1000)*VLOOKUP(""Edge banding (per M)"",SheetsData,5,0)),IF(AND(ISERROR(FIND(""carcass"",A39))=FALSE,ISERROR(FIND(""shelf"",A39))=TRUE),IF(ISERROR(FIND(""veneer"",KitchenCarcassMaterial))=TRU"&amp;"E,0,((2*(B39+C39))/1000)*VLOOKUP(""Edge banding (per M)"",SheetsData,5,0)),IF(ISERROR(FIND(""door"",A39))=TRUE,"""",IF(ISERROR(FIND(""veneer"",KitchenDoorMaterial))=TRUE,"""",((2*(B39+C39))/1000)*VLOOKUP(""Edge banding (per M)"",SheetsData,5,0))))))))))"),"")</f>
        <v/>
      </c>
      <c r="G39" s="153" t="str">
        <f>IF(A39="","",IF(ISERROR(FIND("bins",A39))=FALSE,VLOOKUP("Base carcass 600",KitchensData,7,0),IF(OR(ISERROR(FIND("larder",A39))=FALSE,ISERROR(FIND("fridge/freezer",A39))=FALSE,ISERROR(FIND("double oven",A39))=FALSE,ISERROR(FIND("single oven",A39))=FALSE),VLOOKUP(LEFT(A39,FIND(" ",A39))&amp;"carcass "&amp;RIGHT(A39,LEN(A39)-(LEN(A39)-3)),KitchensData,7,0),IF(AND(ISERROR(FIND("carcass",A39))=FALSE,ISERROR(FIND("shelf",A39))=TRUE),IF(OR(ISERROR(FIND("Base",A39))=FALSE,ISERROR(FIND("Tower",A39))=FALSE),IF(OR(ISERROR(FIND("1200",A39))=FALSE, ISERROR(FIND("lost corner",A39))=FALSE),6*VLOOKUP("Plinth foot (2 Parts 80mm)",FurnitureData,5,0),4*VLOOKUP("Plinth foot (2 Parts 80mm)",FurnitureData,5,0)),""),""))))</f>
        <v/>
      </c>
      <c r="H39" s="153">
        <f>IF(OR(A39="",ISERROR(FIND("door",A39))=TRUE),"",IF(ISERROR(FIND("Wall",A39))=FALSE,VLOOKUP("Hinges &amp; plates (Hettich thick door)",FurnitureData,5,0)*2,IF(ISERROR(FIND("Base",A39))=FALSE,VLOOKUP("Hinges &amp; plates (Hettich thick door)",FurnitureData,5,0)*3,IF(ISERROR(FIND("Boiler",A39))=FALSE,VLOOKUP("Hinges &amp; plates (Hettich thick door)",FurnitureData,5,0)*4,IF(ISERROR(FIND("Tower",A39))=FALSE,VLOOKUP("Hinges &amp; plates (Hettich thick door)",FurnitureData,5,0)*5)))))</f>
        <v>6.94</v>
      </c>
      <c r="I39" s="115" t="str">
        <f>IF(ISERROR(FIND("shelf",A39))=FALSE,(VLOOKUP("Shelf pegs",FurnitureData,5,0)/100)*4,"")</f>
        <v/>
      </c>
      <c r="J39" s="152" t="str">
        <f>IF(OR(ISERROR(FIND("fridge/freezer",A39))=FALSE,ISERROR(FIND("larder",A39))=FALSE,AND(ISERROR(FIND("Base",A39))=FALSE,ISERROR(FIND("bins",A39))=TRUE,ISERROR(FIND("no shelves",A39))=TRUE,OR(ISERROR(FIND("carcass",A39))=FALSE,ISERROR(FIND("unit",A39))=FALSE))),VLOOKUP("Deep shelf "&amp;C39,KitchensData,18,0),IF(AND(ISERROR(FIND("Wall",A39))=FALSE,ISERROR(FIND("carcass",A39))=FALSE),2*VLOOKUP("Shallow shelf "&amp;C39,KitchensData,18,0),IF(AND(ISERROR(FIND("Tower",A39))=FALSE,ISERROR(FIND("oven",A39))=FALSE),4*VLOOKUP("Deep shelf "&amp;C39,KitchensData,18,0),IF(AND(ISERROR(FIND("Tower",A39))=FALSE,ISERROR(FIND("carcass",A39))=FALSE),5*VLOOKUP("Deep shelf "&amp;C39,KitchensData,18,0),""))))</f>
        <v/>
      </c>
      <c r="K39" s="152" t="str">
        <f>IF(ISERROR(FIND("sink",A39))=FALSE,VLOOKUP("Sink liner - Aluminium "&amp;RIGHT(A39,LEN(A39)-22)&amp;"mm",ExceptionalData,5,0),IF(ISERROR(FIND("bins",A39))=FALSE,VLOOKUP("Drawer runners and clip set for bin unit (500) Dynapro",FurnitureData,5,0)+(2*VLOOKUP("Bin (42L Anthracite)",FurnitureData,5,0)),IF(ISERROR(FIND("larder",A39))=FALSE,VLOOKUP("Pull out larder unit 600mm",FurnitureData,5,0),IF(AND(ISERROR(FIND("drawer box",A39))=FALSE,ISERROR(FIND("internal",A39))=TRUE),VLOOKUP("Drawer runners and clip set (550) Dynapro",FurnitureData,5,0),IF(ISERROR(FIND("internal drawer box",A39))=FALSE,VLOOKUP("Drawer runners and clip set (450) Dynapro",FurnitureData,5,0),"")))))</f>
        <v/>
      </c>
      <c r="L39" s="152">
        <f t="shared" si="3"/>
        <v>14.69295619</v>
      </c>
      <c r="M39" s="154">
        <f>IFERROR(__xludf.DUMMYFUNCTION("IF(A39="""","""",IF(OR(ISERROR(FIND(""larder"",A39))=FALSE,ISERROR(FIND(""unit"",A39))=FALSE),VLOOKUP(LEFT(A39,FIND("" "",A39))&amp;""carcass ""&amp;RIGHT(A39,LEN(A39)-len(regexextract(A39,"".* ""))),KitchensData,13,0),IF(ISERROR(FIND(""bins"",A39))=FALSE,0.95,IF"&amp;"(ISERROR(FIND(""Cutlery insert 600"",A39))=FALSE,1.3,IF(ISERROR(FIND(""Cutlery insert 1200"",A39))=FALSE,2,IF(ISERROR(FIND(""Pan/tray rack 600"",A39))=FALSE,3.25,IF(ISERROR(FIND(""Pan/tray rack 1200"",A39))=FALSE,5.9,IF(ISERROR(FIND(""split"",A39))=FALSE,"&amp;"(((C39/1000)*0.022)*2)+VLOOKUP(SUBSTITUTE(A39,"" split"",""""),KitchensData,13,0),IF(AND(ISERROR(FIND(""drawer front"",A39))=FALSE,KitchenDoorStyle=""Flat""),(((B39/1000)*(C39/1000))*2)+((((B39+C39)/1000)*2)*0.022),IF(AND(ISERROR(FIND(""drawer front"",A39"&amp;"))=FALSE,LEFT(KitchenDoorStyle,5)=""Panel""),(((B39/1000)*(C39/1000))*2)+((((B39+C39)/1000)*2)*0.022)+((((C39/1000)-0.16)*0.013)*2)+((((D39/1000)-0.16)*0.013)*2),IF(AND(ISERROR(FIND(""drawer front"",A39))=FALSE,KitchenDoorStyle=""In-frame flat""),((((B39-"&amp;"76)/1000)*((C39-38)/1000))*2)+(MID(KitchenDoorMaterial,FIND(""("",KitchenDoorMaterial)+1,2)/1000)*((((B39-76)+(C39-38))/1000)*2)+(((B39/1000)*0.032)*2)+((((B39-76)/1000)*0.032)*2)+(((B39/1000)*0.019)*4)+(((C39/1000)*0.032)*2)+((((C39-38)/1000)*0.032)*2)+("&amp;"((C39/1000)*0.038)*4),IF(AND(ISERROR(FIND(""drawer front"",A39))=FALSE,LEFT(KitchenDoorStyle,14)=""In-frame panel""),((((B39-76)/1000)*((C39-38)/1000))*2)+((MID(KitchenDoorMaterial,FIND(""("",KitchenDoorMaterial)+1,2)/1000)*((((B39-76)+(C39-38))/1000)*2))"&amp;"+((((B39-236)/1000)+((C39-198)/1000)*2)*0.013)+(((B39/1000)*0.032)*2)+((((B39-76)/1000)*0.032)*2)+(((B39/1000)*0.019)*4)+(((C39/1000)*0.032)*2)+((((C39-38)/1000)*0.032)*2)+(((C39/1000)*0.038)*4),IF(ISERROR(FIND(""drawer box"",A39))=FALSE,((((B39/1000)*(D3"&amp;"9/1000))+((B39/1000)*(C39/1000)))*4)+((((D39/1000)+(C39/1000))*0.016)*4)+(((C39/1000)*(D39/1000))*2),IF(OR(ISERROR(FIND(""shelf"",A39))=FALSE,ISERROR(FIND(""spacer"",A39))=FALSE,,ISERROR(FIND(""filler panel"",A39))=FALSE),(((C39/1000)*(D39/1000))*2)+((((C"&amp;"39+D39)*2)/1000)*0.022),IF(ISERROR(FIND(""lost corner"",A39))=FALSE,(((B39/1000)*(C39/1000))*2)+((B39/1000)*(C39/1000))+((B39/1000)*((C39/2)/1000))+((((B39/1000)*0.025)+((C39/1000)*0.025))*2),IF(ISERROR(FIND(""carcass"",A39))=FALSE,(((C39/1000)*(D39/1000)"&amp;")*2)+(((B39/1000)*(D39/1000))*2)+((B39/1000)*(C39/1000))+((((B39/1000)*0.025)+((C39/1000)*0.025))*2),IF(AND(ISERROR(FIND(""door"",A39))=FALSE,KitchenDoorStyle=""Flat""),(((B39/1000)*(C39/1000))*2)+(MID(KitchenDoorMaterial,FIND(""("",KitchenDoorMaterial)+1"&amp;",2)/1000)*(((B39+C39)/1000)*2),IF(AND(ISERROR(FIND(""door"",A39))=FALSE,LEFT(KitchenDoorStyle,5)=""Panel""),(((B39/1000)*(C39/1000))*2)+((MID(KitchenDoorMaterial,FIND(""("",KitchenDoorMaterial)+1,2)/1000)*(((B39+C39)/1000)*2))+(((((B39-160)+(C39-160))*2)/"&amp;"1000)*(0.013)),IF(AND(ISERROR(FIND(""door"",A39))=FALSE,KitchenDoorStyle=""In-frame flat""),((((B39-76)/1000)*((C39-38)/1000))*2)+(MID(KitchenDoorMaterial,FIND(""("",KitchenDoorMaterial)+1,2)/1000)*((((B39-76)+(C39-38))/1000)*2)+(((B39/1000)*0.032)*2)+((("&amp;"(B39-76)/1000)*0.032)*2)+(((B39/1000)*0.019)*4)+(((C39/1000)*0.032)*2)+((((C39-38)/1000)*0.032)*2)+(((C39/1000)*0.038)*4),IF(AND(ISERROR(FIND(""door"",A39))=FALSE,LEFT(KitchenDoorStyle,14)=""In-frame panel""),((((B39-76)/1000)*((C39-38)/1000))*2)+((MID(Ki"&amp;"tchenDoorMaterial,FIND(""("",KitchenDoorMaterial)+1,2)/1000)*((((B39-76)+(C39-38))/1000)*2))+((((B39-236)/1000)+((C39-198)/1000)*2)*0.013)+(((B39/1000)*0.032)*2)+((((B39-76)/1000)*0.032)*2)+(((B39/1000)*0.019)*4)+(((C39/1000)*0.032)*2)+((((C39-38)/1000)*0"&amp;".032)*2)+(((C39/1000)*0.038)*4),IF(ISERROR(FIND(""Plinth"",A39))=FALSE,((B39/1000)*(C39/1000))+(((C39/1000)*0.018)*2)+(((B39/1000)*0.018)*2),IF(ISERROR(FIND(""Cornice"",A39))=FALSE,(((C39/1000)*0.1)*2)+(((C39/1000)*0.044)*2)+(((B39/1000)*0.08)*2),IF(ISERR"&amp;"OR(FIND(""Base end panel"",A39))=FALSE,((B39/1000)*(C39/1000))+(0.022*((B39/1000)+((C39/1000)*2)))+((B39/1000)*0.05),IF(ISERROR(FIND(""Wall end panel"",A39))=FALSE,((B39/1000)*(C39/1000))+(0.022*((B39/1000)+((C39/1000)*2)))+((B39/1000)*0.05),IF(ISERROR(FI"&amp;"ND(""Tower end panel"",A39))=FALSE,((B39/1000)*(C39/1000))+(0.022*((B39/1000)+((C39/1000)*2)))+((B39/1000)*0.05),IF(ISERROR(FIND(""Fillers"",A39))=FALSE,((C39/1000)*0.06)+((C39/1000)*0.069)+((0.06*0.018)*2)+((0.06*0.009)*2)+((C39/1000)*0.009)+((C39/1000)*"&amp;"0.018),IF(ISERROR(FIND(""corner post"",A39))=FALSE,(((B39/1000*0.05)*2)+((B39/1000)*0.022)*2)+((B39/1000)*0.072)+((B39/1000)*0.05)+((0.072*0.022)*2)+((0.05*0.022)*2),IF(ISERROR(FIND(""Pelmet"",A39))=FALSE,((C39/1000)*0.05)+((C39/1000)*0.068)+((0.05*0.018)"&amp;"*4)+(((C39/1000)*0.018))*2))))))))))))))))))))))))))))"),0.8972)</f>
        <v>0.8972</v>
      </c>
      <c r="N39" s="152">
        <f>IF(M39="","",IF(AND(ISERROR(FIND("carcass",A39))=TRUE,ISERROR(FIND("unit",A39))=TRUE,ISERROR(FIND("insert",A39))=TRUE,ISERROR(FIND("rack",A39))=TRUE,ISERROR(FIND("box",A39))=TRUE,ISERROR(FIND("shelf",#REF!))=TRUE),VLOOKUP(KitchenDoorFinish,Finishing!$A$2:$K$10,9,0)*M39,VLOOKUP(KitchenCarcassFinish,Finishing!$A$2:$K$40,9,0)*M39))</f>
        <v>6.729</v>
      </c>
      <c r="O39" s="155">
        <v>1.0</v>
      </c>
      <c r="P39" s="155">
        <v>1.0</v>
      </c>
      <c r="Q39" s="152">
        <f>IF(OR(O39="",P39=""),"",((O39*X39)*(VLOOKUP("Workshop",Labour!$A$3:$E$20,4,0)/8))+((P39*AE39)*(VLOOKUP("Finishing",Labour!$A$3:$E$20,4,0)/8)))</f>
        <v>155.75</v>
      </c>
      <c r="R39" s="152">
        <f t="shared" si="4"/>
        <v>177.1719562</v>
      </c>
      <c r="S39" s="156">
        <f>IF(OR(O39="",P39=""),"",IF(OR(ISERROR(FIND("carcass",$A39))=FALSE,ISERROR(FIND("unit",$A39))=FALSE),VLOOKUP(KitchenCarcassMaterial,FixedListsCarcassMaterial,2,0),0))</f>
        <v>0</v>
      </c>
      <c r="T39" s="156">
        <f>IF(OR(O39="",P39=""),"",IF(ISERROR(FIND("door",$A39))=FALSE,VLOOKUP(KitchenDoorStyle,FixedListsDoorStyle,2,0),0))</f>
        <v>1</v>
      </c>
      <c r="U39" s="156">
        <f>IF(OR(O39="",P39=""),"",IF(ISERROR(FIND("door",$A39))=FALSE,VLOOKUP(KitchenDoorMaterial,FixedListsDoorMaterial,2,0),0))</f>
        <v>1</v>
      </c>
      <c r="V39" s="156">
        <f>IF(OR(O39="",P39=""),"",IF(ISERROR(FIND("drawer",$A39))=FALSE,VLOOKUP(KitchenDrawerType,FixedListsDrawerType,2,0),0))</f>
        <v>0</v>
      </c>
      <c r="W39" s="156">
        <f>IF(OR(O39="",P39=""),"",IF(OR(S39&gt;0, T39&gt;0,V39&gt;0),VLOOKUP(KitchenHandleType,FixedListsHandleType,2,FALSE)*IF(KitchenHandleType="Simple",0,IF(S39&gt;0,VLOOKUP(KitchenHandleType,FixedListsHandleType,4,FALSE),IF(OR(T39&gt;0,V39&gt;0),1-VLOOKUP(KitchenHandleType,FixedListsHandleType,4,FALSE),"Error"))),0))</f>
        <v>0</v>
      </c>
      <c r="X39" s="156">
        <f t="shared" si="5"/>
        <v>1</v>
      </c>
      <c r="Y39" s="156">
        <f>IF(OR(O39="",P39=""),"",IF(OR(ISERROR(FIND("carcass",$A39))=FALSE,ISERROR(FIND("unit",$A39))=FALSE),VLOOKUP(KitchenCarcassMaterial,FixedListsCarcassMaterial,3,0),0))</f>
        <v>0</v>
      </c>
      <c r="Z39" s="156">
        <f>IF(OR(O39="",P39=""),"",IF(ISERROR(FIND("door",$A39))=FALSE,VLOOKUP(KitchenDoorStyle,FixedListsDoorStyle,3,0),0))</f>
        <v>1</v>
      </c>
      <c r="AA39" s="156">
        <f>IF(OR(O39="",P39=""),"",IF(ISERROR(FIND("door",$A39))=FALSE,VLOOKUP(KitchenDoorMaterial,FixedListsDoorMaterial,3,0),0))</f>
        <v>2</v>
      </c>
      <c r="AB39" s="156">
        <f>IF(OR(O39="",P39=""),"",IF(ISERROR(FIND("drawer",$A39))=FALSE,VLOOKUP(KitchenDrawerType,FixedListsDrawerType,3,0),0))</f>
        <v>0</v>
      </c>
      <c r="AC39" s="156">
        <f>IF(OR(O39="",P39=""),"",IF(OR(Y39&gt;0,Z39&gt;0,AB39&gt;0),VLOOKUP(KitchenHandleType,FixedListsHandleType,3,FALSE),0))</f>
        <v>1</v>
      </c>
      <c r="AD39" s="156">
        <f>IF(OR(O39="",P39=""),"",IF(OR(ISERROR(FIND("carcass",$A39))=FALSE,ISERROR(FIND("unit",$A39))=FALSE),VLOOKUP(KitchenCarcassFinish,FixedListsFinishes,3,0),IF(OR(ISERROR(FIND("door",$A39))=FALSE,ISERROR(FIND("Plinth",$A39))=FALSE,ISERROR(FIND("Cornice",$A39))=FALSE,ISERROR(FIND("Fillers",$A39))=FALSE,ISERROR(FIND("Pelmet",$A39))=FALSE,ISERROR(FIND("panel",$A39))=FALSE,ISERROR(FIND("post",$A39))=FALSE),VLOOKUP(KitchenDoorFinish,FixedListsFinishes,3,0),IF(OR(ISERROR(FIND("drawer",$A39))=FALSE,ISERROR(FIND("insert",$A39))=FALSE,ISERROR(FIND("rck",$A39))=FALSE),VLOOKUP(KitchenCarcassFinish,FixedListsFinishes,3,0),0))))</f>
        <v>2</v>
      </c>
      <c r="AE39" s="156">
        <f t="shared" si="6"/>
        <v>4</v>
      </c>
      <c r="AF39" s="157" t="str">
        <f>IF(AND(KitchenHandleType="Channel",OR(ISERROR(FIND("arcass",$A39))=FALSE,ISERROR(FIND("unit",$A39))=FALSE)),IF(ISERROR(FIND("Tower",$A39))=TRUE,IF(KitchenHandleFinish="Match carcass",IF(ISERROR(FIND("Walnut",KitchenCarcassMaterial))=FALSE,(0.035*0.075*($C39/1000))*VLOOKUP("Walnut (solid m3)",SolidData,4,FALSE),IF(ISERROR(FIND("Oak",KitchenCarcassMaterial))=FALSE,(0.035*0.075*($C39/1000))*VLOOKUP("Oak (solid m3)",SolidData,4,FALSE),IF(ISERROR(FIND("ply",KitchenCarcassMaterial))=FALSE,(0.1*($C39/1000))*VLOOKUP("Birch ply (24mm)",SheetsData,7,FALSE),IF(ISERROR(FIND("H/F",KitchenCarcassMaterial))=FALSE,(0.1*($C39/1000))*VLOOKUP("H/F (22mm)",SheetsData,7,FALSE),"Carcass - not tower - new material")))),IF(KitchenHandleFinish="Match door",IF(ISERROR(FIND("Walnut",KitchenDoorMaterial))=FALSE,(0.035*0.075*($C39/1000))*VLOOKUP("Walnut (solid m3)",SolidData,4,FALSE),IF(ISERROR(FIND("Oak",KitchenDoorMaterial))=FALSE,(0.035*0.075*($C39/1000))*VLOOKUP("Oak (solid m3)",SolidData,4,FALSE),IF(ISERROR(FIND("ply",KitchenDoorMaterial))=FALSE,(0.1*($C39/1000))*VLOOKUP("Birch ply (24mm)",SheetsData,7,FALSE),IF(ISERROR(FIND("H/F",KitchenCarcassMaterial))=FALSE,(0.1*($C39/1000))*VLOOKUP("H/F (22mm)",SheetsData,7,FALSE),"Door - not tower - new material")))),"Channel - not tower - handle set to other")),IF(ISERROR(FIND("Tower",$A39))=FALSE,IF(KitchenHandleFinish="Match carcass",IF(ISERROR(FIND("Walnut",KitchenCarcassMaterial))=FALSE,(0.035*0.075*($B39/1000))*VLOOKUP("Walnut (solid m3)",SolidData,4,FALSE),IF(ISERROR(FIND("Oak",KitchenCarcassMaterial))=FALSE,(0.035*0.075*($B39/1000))*VLOOKUP("Oak (solid m3)",SolidData,4,FALSE),IF(ISERROR(FIND("ply",KitchenCarcassMaterial))=FALSE,(0.1*($B39/1000))*VLOOKUP("Birch ply (24mm)",SheetsData,7,FALSE),IF(ISERROR(FIND("H/F",KitchenCarcassMaterial))=FALSE,(0.1*($C39/1000))*VLOOKUP("H/F (22mm)",SheetsData,7,FALSE),"Carcass - tower - new material")))),IF(KitchenHandleFinish="Match door",IF(ISERROR(FIND("Walnut",KitchenDoorMaterial))=FALSE,(0.035*0.075*($B39/1000))*VLOOKUP("Walnut (solid m3)",SolidData,4,FALSE),IF(ISERROR(FIND("Oak",KitchenDoorMaterial))=FALSE,(0.035*0.075*($B39/1000))*VLOOKUP("Oak (solid m3)",SolidData,4,FALSE),IF(ISERROR(FIND("ply",KitchenDoorMaterial))=FALSE,(0.1*($B39/1000))*VLOOKUP("Birch ply (24mm)",SheetData,7,FALSE),IF(ISERROR(FIND("H/F",KitchenCarcassMaterial))=FALSE,(0.1*($C39/1000))*VLOOKUP("H/F (22mm)",SheetsData,7,FALSE),"Door - tower - new material")))),"Channel - tower - handle set to other")))),"")</f>
        <v/>
      </c>
    </row>
    <row r="40">
      <c r="A40" s="151" t="s">
        <v>148</v>
      </c>
      <c r="B40" s="115">
        <f t="shared" si="1"/>
        <v>700</v>
      </c>
      <c r="C40" s="115" t="str">
        <f>IFERROR(__xludf.DUMMYFUNCTION("IF(A40="""","""",IF(OR(RIGHT(A40,LEN(A40)-len(regexextract(A40,"".* "")))=""1200"",RIGHT(A40,LEN(A40)-len(regexextract(A40,"".* "")))=""600"",RIGHT(A40,LEN(A40)-len(regexextract(A40,"".* "")))=""400"",RIGHT(A40,LEN(A40)-len(regexextract(A40,"".* "")))=""3"&amp;"00"",RIGHT(A40,LEN(A40)-len(regexextract(A40,"".* "")))=""700"",RIGHT(A40,LEN(A40)-len(regexextract(A40,"".* "")))=""2400"",RIGHT(A40,LEN(A40)-len(regexextract(A40,"".* "")))=""650"",RIGHT(A40,LEN(A40)-len(regexextract(A40,"".* "")))=""350"",RIGHT(A40,LEN"&amp;"(A40)-len(regexextract(A40,"".* "")))=""50""),RIGHT(A40,LEN(A40)-len(regexextract(A40,"".* ""))),IF(OR(ISERROR(FIND(""spacer"",A40))=FALSE,ISERROR(FIND(""filler panel"",A40))=FALSE),""1000"",""Unexpected size in description"")))"),"400")</f>
        <v>400</v>
      </c>
      <c r="D40" s="151" t="str">
        <f t="shared" si="2"/>
        <v/>
      </c>
      <c r="E40" s="152">
        <f>IFERROR(__xludf.DUMMYFUNCTION("IF(OR(A40="""",AND(ISERROR(FIND(""drawer box"",A40))=FALSE,KitchenDrawerType="""")),"""",IF(OR(ISERROR(FIND(""larder"",A40))=FALSE,ISERROR(FIND(""fridge/freezer"",A40))=FALSE,ISERROR(FIND(""double oven"",A40))=FALSE,ISERROR(FIND(""single oven"",A40))=FALS"&amp;"E),VLOOKUP(LEFT(A40,FIND("" "",A40))&amp;""carcass ""&amp;RIGHT(A40,LEN(A40)-(LEN(A40)-3)),KitchensData,5,0),IF(ISERROR(FIND(""sink"",A40))=FALSE,VLOOKUP(LEFT(A40,FIND("" "",A40))&amp;""carcass ""&amp;VALUE(REGEXREPLACE(A40,""[^[:digit:]]"", """")),KitchensData,5,0)+(((C"&amp;"40/1000)*(300/1000))*VLOOKUP(KitchenCarcassMaterial,SheetsData,8,0)),IF(ISERROR(FIND(""bins"",A40))=FALSE,IF(ISERROR(FIND(""veneer"",KitchenCarcassMaterial))=FALSE,VLOOKUP(""Base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600"",A40))=FALSE,IF(ISERROR(FIND(""veneer"""&amp;",KitchenCarcassMaterial))=FALSE,0.54*(VLOOKUP(LEFT(KitchenCarcassMaterial,FIND(""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1200"",A40))=FALSE,"&amp;"IF(ISERROR(FIND(""veneer"",KitchenCarcassMaterial))=FALSE,0.84*(VLOOKUP(LEFT(KitchenCarcassMaterial,FIND(""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600"",A40))=FALSE,IF(ISERROR(FIND(""veneer"",KitchenCarcassMaterial))=FALSE,1.44*(VLOOKUP(LEFT(KitchenCarcassMaterial,FIND(""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1200"",A40))=FALSE,IF(ISERROR(FIND(""veneer"",KitchenCarcassMaterial))=FALSE,2.7*(VLOOKUP(LEFT(KitchenCarcassMaterial,FIND(""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front"",A40))=FALSE,((B40/1000)*(C40/1000))*VLOOKUP(KitchenDoorMaterial,SheetsData,8,0),IF(AND(KitchenDrawerType=""Match carcass"",ISERROR(FIND(""drawer box"",A40))=FALSE),(((((B40/1000)*(C40/1000))+((B40/1000"&amp;")*(D40/1000)))*2)*VLOOKUP(KitchenCarcassMaterial,SheetsData,8,0))+(((C40/1000)*(D40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box"",A40))=FALSE),(((((B40/1000)*(C40/1000))+((B40/1000)*(D40/1000)))*2)*(16/1000)*VLOOKUP(LEFT(KitchenCarcassMaterial,FIND("" "&amp;""",KitchenCarcassMaterial))&amp;""(solid m3)"",SolidData,5,0))+(((C40/1000)*(D40/1000))*VLOOKUP(LEFT(KitchenCarcassMaterial,FIND(""("",KitchenCarcassMaterial)-1)&amp;IF(OR(ISERROR(FIND(""ply"",KitchenCarcassMaterial))=FALSE,ISERROR(FIND(""H/F"",KitchenCarcassMate"&amp;"rial))=FALSE),""(9mm)"",""(10mm)""),SheetsData,8,0)),IF(ISERROR(FIND(""spacer"",A40))=FALSE,((D40/1000)*(C40/1000))*VLOOKUP(""Poplar ply (18mm)"",SheetsData,8,0),IF(ISERROR(FIND(""filler panel"",A40))=FALSE,((B40/1000)*(C40/1000))*VLOOKUP(KitchenDoorMater"&amp;"ial,SheetsData,8,0),IF(ISERROR(FIND(""shelf"",A40))=FALSE,((D40/1000)*(C40/1000))*VLOOKUP(KitchenCarcassMaterial,SheetsData,8,0),IF(ISERROR(FIND(""lost corner"",A40))=FALSE,VLOOKUP(LEFT(A40,FIND("" "",A40))&amp;""carcass ""&amp;VALUE(REGEXREPLACE(A40,""[^[:digit:"&amp;"]]"", """")),KitchensData,5,0)+((((B40/1000)*(C40/1000))+((B40/1000)*(60/1000)))*VLOOKUP(KitchenCarcassMaterial,SheetsData,8,0)),IF(ISERROR(FIND(""carcass"",A40))=FALSE,(((((B40/1000)*2)*(D40/1000))+(((C40/1000)*2)*(D40/1000)))*VLOOKUP(KitchenCarcassMater"&amp;"ial,SheetsData,8,0))+((B40/1000)*(C40/1000))*VLOOKUP(LEFT(KitchenCarcassMaterial,FIND(""("",KitchenCarcassMaterial)-1)&amp;IF(OR(ISERROR(FIND(""ply"",KitchenCarcassMaterial))=FALSE,ISERROR(FIND(""H/F"",KitchenCarcassMaterial))=FALSE),""(9mm)"",""(10mm)""),She"&amp;"etsData,8,0),IF(OR(ISERROR(FIND(""Plinth"",A40))=FALSE,ISERROR(FIND(""Cornice (flat)"",A40))=FALSE),((B40/1000)*(C40/1000))*VLOOKUP(""H/F (18mm)"",SheetsData,8,0),IF(ISERROR(FIND(""Cornice (stacked)"",A40))=FALSE,((0.08*(C40/1000))*2)*VLOOKUP(""H/F (22mm)"&amp;""",SheetsData,8,0),IF(ISERROR(FIND(""Base end panel"",A40))=FALSE,VLOOKUP(KitchenDoorMaterial,SheetsData,5,0)/3,IF(ISERROR(FIND(""Wall end panel"",A40))=FALSE,VLOOKUP(KitchenDoorMaterial,SheetsData,5,0)/9,IF(ISERROR(FIND(""Tower end panel"",A40))=FALSE,VL"&amp;"OOKUP(KitchenDoorMaterial,SheetsData,5,0),IF(ISERROR(FIND(""Fillers"",A40))=FALSE,(((0.06*(C40/1000))*2)*VLOOKUP(""H/F (18mm)"",SheetsData,8,0))+(((0.06*(C40/1000))*2)*VLOOKUP(""H/F (9mm)"",SheetsData,8,0)),IF(ISERROR(FIND(""corner post"",A40))=FALSE,(((B"&amp;"40/1000)*0.05)*2)*VLOOKUP(KitchenDoorMaterial,SheetsData,8,0),IF(ISERROR(FIND(""Pelmet"",A40))=FALSE,((((B40/1000)*(C40/1000))*2)*VLOOKUP(""H/F (18mm)"",SheetsData,8,0)),IF(ISERROR(FIND(""door"",A40))=TRUE,""Check description"",IF(KitchenDoorStyle=""Flat"&amp;""",((B40/1000)*(C40/1000))*VLOOKUP(KitchenDoorMaterial,SheetsData,8,0),IF(LEFT(KitchenDoorStyle,5)=""Panel"",(((((B40/1000)*2)*0.08)+((((C40/1000)-0.16)*2)*0.08))*VLOOKUP(""H/F (22mm)"",SheetsData,8,0))+(((B40/1000)-0.14)*((C40/1000)-0.14)*VLOOKUP(""H/F ("&amp;"9mm)"",SheetsData,8,0)),IF(KitchenDoorStyle=""In-frame flat"",((((((B40/1000)*0.019)*0.038)+((((C40-38)/1000)*0.038)*0.038))*2)*VLOOKUP(""Tulip (solid m3)"",SolidData,5,0))+(((B40-76)/1000)*((C40-38)/1000))*VLOOKUP(""H/F (22mm)"",SheetsData,8,0),IF(LEFT(K"&amp;"itchenDoorStyle,14)=""In-frame panel"",(((((((B40/1000)*0.019)*0.038)+((((C40-38)/1000)*0.038)*0.038))*2)*VLOOKUP(""Tulip (solid m3)"",SolidData,5,0))+(((((((B40-76)/1000)*2)*0.08)+(((((C40-198)/1000)*2)*0.08)))*VLOOKUP(""H/F (22mm)"",SheetsData,8,0))+((("&amp;"B40-216)/1000)*((C40-178)/1000)*VLOOKUP(""H/F (9mm)"",SheetsData,8,0)))))))))))))))))))))))))))))))))"),5.168637463047568)</f>
        <v>5.168637463</v>
      </c>
      <c r="F40" s="152" t="str">
        <f>IFERROR(__xludf.DUMMYFUNCTION("IF(OR(A40="""",AND(ISERROR(FIND(""drawer box"",A40))=FALSE,KitchenDrawerType=""Solid dovetail"")),"""",IF(ISERROR(FIND(""bins"",A40))=FALSE,VLOOKUP(""Base carcass 600"",KitchensData,6,0),IF(OR(ISERROR(FIND(""larder"",A40))=FALSE,ISERROR(FIND(""unit"",A40)"&amp;")=FALSE),VLOOKUP(LEFT(A40,FIND("" "",A40))&amp;""carcass ""&amp;RIGHT(A40,LEN(A40)-len(regexextract(A40,"".* ""))),KitchensData,6,0),IF(ISERROR(FIND(""drawer front"",A40))=FALSE,IF(ISERROR(FIND(""veneer"",KitchenCarcassMaterial))=TRUE,0,(((B40+C40)/1000)*2)*VLOOK"&amp;"UP(""Edge banding (per M)"",SheetsData,5,0)),IF(ISERROR(FIND(""drawer box"",A40))=FALSE,IF(ISERROR(FIND(""veneer"",KitchenCarcassMaterial))=TRUE,0,(((C40+D40)/1000)*2)*VLOOKUP(""Edge banding (per M)"",SheetsData,5,0)),IF(ISERROR(FIND(""shelf"",A40))=FALSE"&amp;",IF(ISERROR(FIND(""veneer"",KitchenCarcassMaterial))=TRUE,0,(C40/1000)*VLOOKUP(""Edge banding (per M)"",SheetsData,5,0)),IF(AND(ISERROR(FIND(""carcass"",A40))=FALSE,ISERROR(FIND(""shelf"",A40))=TRUE),IF(ISERROR(FIND(""veneer"",KitchenCarcassMaterial))=TRU"&amp;"E,0,((2*(B40+C40))/1000)*VLOOKUP(""Edge banding (per M)"",SheetsData,5,0)),IF(ISERROR(FIND(""door"",A40))=TRUE,"""",IF(ISERROR(FIND(""veneer"",KitchenDoorMaterial))=TRUE,"""",((2*(B40+C40))/1000)*VLOOKUP(""Edge banding (per M)"",SheetsData,5,0))))))))))"),"")</f>
        <v/>
      </c>
      <c r="G40" s="153" t="str">
        <f>IF(A40="","",IF(ISERROR(FIND("bins",A40))=FALSE,VLOOKUP("Base carcass 600",KitchensData,7,0),IF(OR(ISERROR(FIND("larder",A40))=FALSE,ISERROR(FIND("fridge/freezer",A40))=FALSE,ISERROR(FIND("double oven",A40))=FALSE,ISERROR(FIND("single oven",A40))=FALSE),VLOOKUP(LEFT(A40,FIND(" ",A40))&amp;"carcass "&amp;RIGHT(A40,LEN(A40)-(LEN(A40)-3)),KitchensData,7,0),IF(AND(ISERROR(FIND("carcass",A40))=FALSE,ISERROR(FIND("shelf",A40))=TRUE),IF(OR(ISERROR(FIND("Base",A40))=FALSE,ISERROR(FIND("Tower",A40))=FALSE),IF(OR(ISERROR(FIND("1200",A40))=FALSE, ISERROR(FIND("lost corner",A40))=FALSE),6*VLOOKUP("Plinth foot (2 Parts 80mm)",FurnitureData,5,0),4*VLOOKUP("Plinth foot (2 Parts 80mm)",FurnitureData,5,0)),""),""))))</f>
        <v/>
      </c>
      <c r="H40" s="153">
        <f>IF(OR(A40="",ISERROR(FIND("door",A40))=TRUE),"",IF(ISERROR(FIND("Wall",A40))=FALSE,VLOOKUP("Hinges &amp; plates (Hettich thick door)",FurnitureData,5,0)*2,IF(ISERROR(FIND("Base",A40))=FALSE,VLOOKUP("Hinges &amp; plates (Hettich thick door)",FurnitureData,5,0)*3,IF(ISERROR(FIND("Boiler",A40))=FALSE,VLOOKUP("Hinges &amp; plates (Hettich thick door)",FurnitureData,5,0)*4,IF(ISERROR(FIND("Tower",A40))=FALSE,VLOOKUP("Hinges &amp; plates (Hettich thick door)",FurnitureData,5,0)*5)))))</f>
        <v>6.94</v>
      </c>
      <c r="I40" s="115" t="str">
        <f>IF(ISERROR(FIND("shelf",A40))=FALSE,(VLOOKUP("Shelf pegs",FurnitureData,5,0)/100)*4,"")</f>
        <v/>
      </c>
      <c r="J40" s="152" t="str">
        <f>IF(OR(ISERROR(FIND("fridge/freezer",A40))=FALSE,ISERROR(FIND("larder",A40))=FALSE,AND(ISERROR(FIND("Base",A40))=FALSE,ISERROR(FIND("bins",A40))=TRUE,ISERROR(FIND("no shelves",A40))=TRUE,OR(ISERROR(FIND("carcass",A40))=FALSE,ISERROR(FIND("unit",A40))=FALSE))),VLOOKUP("Deep shelf "&amp;C40,KitchensData,18,0),IF(AND(ISERROR(FIND("Wall",A40))=FALSE,ISERROR(FIND("carcass",A40))=FALSE),2*VLOOKUP("Shallow shelf "&amp;C40,KitchensData,18,0),IF(AND(ISERROR(FIND("Tower",A40))=FALSE,ISERROR(FIND("oven",A40))=FALSE),4*VLOOKUP("Deep shelf "&amp;C40,KitchensData,18,0),IF(AND(ISERROR(FIND("Tower",A40))=FALSE,ISERROR(FIND("carcass",A40))=FALSE),5*VLOOKUP("Deep shelf "&amp;C40,KitchensData,18,0),""))))</f>
        <v/>
      </c>
      <c r="K40" s="152" t="str">
        <f>IF(ISERROR(FIND("sink",A40))=FALSE,VLOOKUP("Sink liner - Aluminium "&amp;RIGHT(A40,LEN(A40)-22)&amp;"mm",ExceptionalData,5,0),IF(ISERROR(FIND("bins",A40))=FALSE,VLOOKUP("Drawer runners and clip set for bin unit (500) Dynapro",FurnitureData,5,0)+(2*VLOOKUP("Bin (42L Anthracite)",FurnitureData,5,0)),IF(ISERROR(FIND("larder",A40))=FALSE,VLOOKUP("Pull out larder unit 600mm",FurnitureData,5,0),IF(AND(ISERROR(FIND("drawer box",A40))=FALSE,ISERROR(FIND("internal",A40))=TRUE),VLOOKUP("Drawer runners and clip set (550) Dynapro",FurnitureData,5,0),IF(ISERROR(FIND("internal drawer box",A40))=FALSE,VLOOKUP("Drawer runners and clip set (450) Dynapro",FurnitureData,5,0),"")))))</f>
        <v/>
      </c>
      <c r="L40" s="152">
        <f t="shared" si="3"/>
        <v>12.10863746</v>
      </c>
      <c r="M40" s="154">
        <f>IFERROR(__xludf.DUMMYFUNCTION("IF(A40="""","""",IF(OR(ISERROR(FIND(""larder"",A40))=FALSE,ISERROR(FIND(""unit"",A40))=FALSE),VLOOKUP(LEFT(A40,FIND("" "",A40))&amp;""carcass ""&amp;RIGHT(A40,LEN(A40)-len(regexextract(A40,"".* ""))),KitchensData,13,0),IF(ISERROR(FIND(""bins"",A40))=FALSE,0.95,IF"&amp;"(ISERROR(FIND(""Cutlery insert 600"",A40))=FALSE,1.3,IF(ISERROR(FIND(""Cutlery insert 1200"",A40))=FALSE,2,IF(ISERROR(FIND(""Pan/tray rack 600"",A40))=FALSE,3.25,IF(ISERROR(FIND(""Pan/tray rack 1200"",A40))=FALSE,5.9,IF(ISERROR(FIND(""split"",A40))=FALSE,"&amp;"(((C40/1000)*0.022)*2)+VLOOKUP(SUBSTITUTE(A40,"" split"",""""),KitchensData,13,0),IF(AND(ISERROR(FIND(""drawer front"",A40))=FALSE,KitchenDoorStyle=""Flat""),(((B40/1000)*(C40/1000))*2)+((((B40+C40)/1000)*2)*0.022),IF(AND(ISERROR(FIND(""drawer front"",A40"&amp;"))=FALSE,LEFT(KitchenDoorStyle,5)=""Panel""),(((B40/1000)*(C40/1000))*2)+((((B40+C40)/1000)*2)*0.022)+((((C40/1000)-0.16)*0.013)*2)+((((D40/1000)-0.16)*0.013)*2),IF(AND(ISERROR(FIND(""drawer front"",A40))=FALSE,KitchenDoorStyle=""In-frame flat""),((((B40-"&amp;"76)/1000)*((C40-38)/1000))*2)+(MID(KitchenDoorMaterial,FIND(""("",KitchenDoorMaterial)+1,2)/1000)*((((B40-76)+(C40-38))/1000)*2)+(((B40/1000)*0.032)*2)+((((B40-76)/1000)*0.032)*2)+(((B40/1000)*0.019)*4)+(((C40/1000)*0.032)*2)+((((C40-38)/1000)*0.032)*2)+("&amp;"((C40/1000)*0.038)*4),IF(AND(ISERROR(FIND(""drawer front"",A40))=FALSE,LEFT(KitchenDoorStyle,14)=""In-frame panel""),((((B40-76)/1000)*((C40-38)/1000))*2)+((MID(KitchenDoorMaterial,FIND(""("",KitchenDoorMaterial)+1,2)/1000)*((((B40-76)+(C40-38))/1000)*2))"&amp;"+((((B40-236)/1000)+((C40-198)/1000)*2)*0.013)+(((B40/1000)*0.032)*2)+((((B40-76)/1000)*0.032)*2)+(((B40/1000)*0.019)*4)+(((C40/1000)*0.032)*2)+((((C40-38)/1000)*0.032)*2)+(((C40/1000)*0.038)*4),IF(ISERROR(FIND(""drawer box"",A40))=FALSE,((((B40/1000)*(D4"&amp;"0/1000))+((B40/1000)*(C40/1000)))*4)+((((D40/1000)+(C40/1000))*0.016)*4)+(((C40/1000)*(D40/1000))*2),IF(OR(ISERROR(FIND(""shelf"",A40))=FALSE,ISERROR(FIND(""spacer"",A40))=FALSE,,ISERROR(FIND(""filler panel"",A40))=FALSE),(((C40/1000)*(D40/1000))*2)+((((C"&amp;"40+D40)*2)/1000)*0.022),IF(ISERROR(FIND(""lost corner"",A40))=FALSE,(((B40/1000)*(C40/1000))*2)+((B40/1000)*(C40/1000))+((B40/1000)*((C40/2)/1000))+((((B40/1000)*0.025)+((C40/1000)*0.025))*2),IF(ISERROR(FIND(""carcass"",A40))=FALSE,(((C40/1000)*(D40/1000)"&amp;")*2)+(((B40/1000)*(D40/1000))*2)+((B40/1000)*(C40/1000))+((((B40/1000)*0.025)+((C40/1000)*0.025))*2),IF(AND(ISERROR(FIND(""door"",A40))=FALSE,KitchenDoorStyle=""Flat""),(((B40/1000)*(C40/1000))*2)+(MID(KitchenDoorMaterial,FIND(""("",KitchenDoorMaterial)+1"&amp;",2)/1000)*(((B40+C40)/1000)*2),IF(AND(ISERROR(FIND(""door"",A40))=FALSE,LEFT(KitchenDoorStyle,5)=""Panel""),(((B40/1000)*(C40/1000))*2)+((MID(KitchenDoorMaterial,FIND(""("",KitchenDoorMaterial)+1,2)/1000)*(((B40+C40)/1000)*2))+(((((B40-160)+(C40-160))*2)/"&amp;"1000)*(0.013)),IF(AND(ISERROR(FIND(""door"",A40))=FALSE,KitchenDoorStyle=""In-frame flat""),((((B40-76)/1000)*((C40-38)/1000))*2)+(MID(KitchenDoorMaterial,FIND(""("",KitchenDoorMaterial)+1,2)/1000)*((((B40-76)+(C40-38))/1000)*2)+(((B40/1000)*0.032)*2)+((("&amp;"(B40-76)/1000)*0.032)*2)+(((B40/1000)*0.019)*4)+(((C40/1000)*0.032)*2)+((((C40-38)/1000)*0.032)*2)+(((C40/1000)*0.038)*4),IF(AND(ISERROR(FIND(""door"",A40))=FALSE,LEFT(KitchenDoorStyle,14)=""In-frame panel""),((((B40-76)/1000)*((C40-38)/1000))*2)+((MID(Ki"&amp;"tchenDoorMaterial,FIND(""("",KitchenDoorMaterial)+1,2)/1000)*((((B40-76)+(C40-38))/1000)*2))+((((B40-236)/1000)+((C40-198)/1000)*2)*0.013)+(((B40/1000)*0.032)*2)+((((B40-76)/1000)*0.032)*2)+(((B40/1000)*0.019)*4)+(((C40/1000)*0.032)*2)+((((C40-38)/1000)*0"&amp;".032)*2)+(((C40/1000)*0.038)*4),IF(ISERROR(FIND(""Plinth"",A40))=FALSE,((B40/1000)*(C40/1000))+(((C40/1000)*0.018)*2)+(((B40/1000)*0.018)*2),IF(ISERROR(FIND(""Cornice"",A40))=FALSE,(((C40/1000)*0.1)*2)+(((C40/1000)*0.044)*2)+(((B40/1000)*0.08)*2),IF(ISERR"&amp;"OR(FIND(""Base end panel"",A40))=FALSE,((B40/1000)*(C40/1000))+(0.022*((B40/1000)+((C40/1000)*2)))+((B40/1000)*0.05),IF(ISERROR(FIND(""Wall end panel"",A40))=FALSE,((B40/1000)*(C40/1000))+(0.022*((B40/1000)+((C40/1000)*2)))+((B40/1000)*0.05),IF(ISERROR(FI"&amp;"ND(""Tower end panel"",A40))=FALSE,((B40/1000)*(C40/1000))+(0.022*((B40/1000)+((C40/1000)*2)))+((B40/1000)*0.05),IF(ISERROR(FIND(""Fillers"",A40))=FALSE,((C40/1000)*0.06)+((C40/1000)*0.069)+((0.06*0.018)*2)+((0.06*0.009)*2)+((C40/1000)*0.009)+((C40/1000)*"&amp;"0.018),IF(ISERROR(FIND(""corner post"",A40))=FALSE,(((B40/1000*0.05)*2)+((B40/1000)*0.022)*2)+((B40/1000)*0.072)+((B40/1000)*0.05)+((0.072*0.022)*2)+((0.05*0.022)*2),IF(ISERROR(FIND(""Pelmet"",A40))=FALSE,((C40/1000)*0.05)+((C40/1000)*0.068)+((0.05*0.018)"&amp;"*4)+(((C40/1000)*0.018))*2))))))))))))))))))))))))))))"),0.6083999999999999)</f>
        <v>0.6084</v>
      </c>
      <c r="N40" s="152">
        <f>IF(M40="","",IF(AND(ISERROR(FIND("carcass",A40))=TRUE,ISERROR(FIND("unit",A40))=TRUE,ISERROR(FIND("insert",A40))=TRUE,ISERROR(FIND("rack",A40))=TRUE,ISERROR(FIND("box",A40))=TRUE,ISERROR(FIND("shelf",#REF!))=TRUE),VLOOKUP(KitchenDoorFinish,Finishing!$A$2:$K$10,9,0)*M40,VLOOKUP(KitchenCarcassFinish,Finishing!$A$2:$K$40,9,0)*M40))</f>
        <v>4.563</v>
      </c>
      <c r="O40" s="155">
        <v>1.0</v>
      </c>
      <c r="P40" s="155">
        <v>1.0</v>
      </c>
      <c r="Q40" s="152">
        <f>IF(OR(O40="",P40=""),"",((O40*X40)*(VLOOKUP("Workshop",Labour!$A$3:$E$20,4,0)/8))+((P40*AE40)*(VLOOKUP("Finishing",Labour!$A$3:$E$20,4,0)/8)))</f>
        <v>155.75</v>
      </c>
      <c r="R40" s="152">
        <f t="shared" si="4"/>
        <v>172.4216375</v>
      </c>
      <c r="S40" s="156">
        <f>IF(OR(O40="",P40=""),"",IF(OR(ISERROR(FIND("carcass",$A40))=FALSE,ISERROR(FIND("unit",$A40))=FALSE),VLOOKUP(KitchenCarcassMaterial,FixedListsCarcassMaterial,2,0),0))</f>
        <v>0</v>
      </c>
      <c r="T40" s="156">
        <f>IF(OR(O40="",P40=""),"",IF(ISERROR(FIND("door",$A40))=FALSE,VLOOKUP(KitchenDoorStyle,FixedListsDoorStyle,2,0),0))</f>
        <v>1</v>
      </c>
      <c r="U40" s="156">
        <f>IF(OR(O40="",P40=""),"",IF(ISERROR(FIND("door",$A40))=FALSE,VLOOKUP(KitchenDoorMaterial,FixedListsDoorMaterial,2,0),0))</f>
        <v>1</v>
      </c>
      <c r="V40" s="156">
        <f>IF(OR(O40="",P40=""),"",IF(ISERROR(FIND("drawer",$A40))=FALSE,VLOOKUP(KitchenDrawerType,FixedListsDrawerType,2,0),0))</f>
        <v>0</v>
      </c>
      <c r="W40" s="156">
        <f>IF(OR(O40="",P40=""),"",IF(OR(S40&gt;0, T40&gt;0,V40&gt;0),VLOOKUP(KitchenHandleType,FixedListsHandleType,2,FALSE)*IF(KitchenHandleType="Simple",0,IF(S40&gt;0,VLOOKUP(KitchenHandleType,FixedListsHandleType,4,FALSE),IF(OR(T40&gt;0,V40&gt;0),1-VLOOKUP(KitchenHandleType,FixedListsHandleType,4,FALSE),"Error"))),0))</f>
        <v>0</v>
      </c>
      <c r="X40" s="156">
        <f t="shared" si="5"/>
        <v>1</v>
      </c>
      <c r="Y40" s="156">
        <f>IF(OR(O40="",P40=""),"",IF(OR(ISERROR(FIND("carcass",$A40))=FALSE,ISERROR(FIND("unit",$A40))=FALSE),VLOOKUP(KitchenCarcassMaterial,FixedListsCarcassMaterial,3,0),0))</f>
        <v>0</v>
      </c>
      <c r="Z40" s="156">
        <f>IF(OR(O40="",P40=""),"",IF(ISERROR(FIND("door",$A40))=FALSE,VLOOKUP(KitchenDoorStyle,FixedListsDoorStyle,3,0),0))</f>
        <v>1</v>
      </c>
      <c r="AA40" s="156">
        <f>IF(OR(O40="",P40=""),"",IF(ISERROR(FIND("door",$A40))=FALSE,VLOOKUP(KitchenDoorMaterial,FixedListsDoorMaterial,3,0),0))</f>
        <v>2</v>
      </c>
      <c r="AB40" s="156">
        <f>IF(OR(O40="",P40=""),"",IF(ISERROR(FIND("drawer",$A40))=FALSE,VLOOKUP(KitchenDrawerType,FixedListsDrawerType,3,0),0))</f>
        <v>0</v>
      </c>
      <c r="AC40" s="156">
        <f>IF(OR(O40="",P40=""),"",IF(OR(Y40&gt;0,Z40&gt;0,AB40&gt;0),VLOOKUP(KitchenHandleType,FixedListsHandleType,3,FALSE),0))</f>
        <v>1</v>
      </c>
      <c r="AD40" s="156">
        <f>IF(OR(O40="",P40=""),"",IF(OR(ISERROR(FIND("carcass",$A40))=FALSE,ISERROR(FIND("unit",$A40))=FALSE),VLOOKUP(KitchenCarcassFinish,FixedListsFinishes,3,0),IF(OR(ISERROR(FIND("door",$A40))=FALSE,ISERROR(FIND("Plinth",$A40))=FALSE,ISERROR(FIND("Cornice",$A40))=FALSE,ISERROR(FIND("Fillers",$A40))=FALSE,ISERROR(FIND("Pelmet",$A40))=FALSE,ISERROR(FIND("panel",$A40))=FALSE,ISERROR(FIND("post",$A40))=FALSE),VLOOKUP(KitchenDoorFinish,FixedListsFinishes,3,0),IF(OR(ISERROR(FIND("drawer",$A40))=FALSE,ISERROR(FIND("insert",$A40))=FALSE,ISERROR(FIND("rck",$A40))=FALSE),VLOOKUP(KitchenCarcassFinish,FixedListsFinishes,3,0),0))))</f>
        <v>2</v>
      </c>
      <c r="AE40" s="156">
        <f t="shared" si="6"/>
        <v>4</v>
      </c>
      <c r="AF40" s="157" t="str">
        <f>IF(AND(KitchenHandleType="Channel",OR(ISERROR(FIND("arcass",$A40))=FALSE,ISERROR(FIND("unit",$A40))=FALSE)),IF(ISERROR(FIND("Tower",$A40))=TRUE,IF(KitchenHandleFinish="Match carcass",IF(ISERROR(FIND("Walnut",KitchenCarcassMaterial))=FALSE,(0.035*0.075*($C40/1000))*VLOOKUP("Walnut (solid m3)",SolidData,4,FALSE),IF(ISERROR(FIND("Oak",KitchenCarcassMaterial))=FALSE,(0.035*0.075*($C40/1000))*VLOOKUP("Oak (solid m3)",SolidData,4,FALSE),IF(ISERROR(FIND("ply",KitchenCarcassMaterial))=FALSE,(0.1*($C40/1000))*VLOOKUP("Birch ply (24mm)",SheetsData,7,FALSE),IF(ISERROR(FIND("H/F",KitchenCarcassMaterial))=FALSE,(0.1*($C40/1000))*VLOOKUP("H/F (22mm)",SheetsData,7,FALSE),"Carcass - not tower - new material")))),IF(KitchenHandleFinish="Match door",IF(ISERROR(FIND("Walnut",KitchenDoorMaterial))=FALSE,(0.035*0.075*($C40/1000))*VLOOKUP("Walnut (solid m3)",SolidData,4,FALSE),IF(ISERROR(FIND("Oak",KitchenDoorMaterial))=FALSE,(0.035*0.075*($C40/1000))*VLOOKUP("Oak (solid m3)",SolidData,4,FALSE),IF(ISERROR(FIND("ply",KitchenDoorMaterial))=FALSE,(0.1*($C40/1000))*VLOOKUP("Birch ply (24mm)",SheetsData,7,FALSE),IF(ISERROR(FIND("H/F",KitchenCarcassMaterial))=FALSE,(0.1*($C40/1000))*VLOOKUP("H/F (22mm)",SheetsData,7,FALSE),"Door - not tower - new material")))),"Channel - not tower - handle set to other")),IF(ISERROR(FIND("Tower",$A40))=FALSE,IF(KitchenHandleFinish="Match carcass",IF(ISERROR(FIND("Walnut",KitchenCarcassMaterial))=FALSE,(0.035*0.075*($B40/1000))*VLOOKUP("Walnut (solid m3)",SolidData,4,FALSE),IF(ISERROR(FIND("Oak",KitchenCarcassMaterial))=FALSE,(0.035*0.075*($B40/1000))*VLOOKUP("Oak (solid m3)",SolidData,4,FALSE),IF(ISERROR(FIND("ply",KitchenCarcassMaterial))=FALSE,(0.1*($B40/1000))*VLOOKUP("Birch ply (24mm)",SheetsData,7,FALSE),IF(ISERROR(FIND("H/F",KitchenCarcassMaterial))=FALSE,(0.1*($C40/1000))*VLOOKUP("H/F (22mm)",SheetsData,7,FALSE),"Carcass - tower - new material")))),IF(KitchenHandleFinish="Match door",IF(ISERROR(FIND("Walnut",KitchenDoorMaterial))=FALSE,(0.035*0.075*($B40/1000))*VLOOKUP("Walnut (solid m3)",SolidData,4,FALSE),IF(ISERROR(FIND("Oak",KitchenDoorMaterial))=FALSE,(0.035*0.075*($B40/1000))*VLOOKUP("Oak (solid m3)",SolidData,4,FALSE),IF(ISERROR(FIND("ply",KitchenDoorMaterial))=FALSE,(0.1*($B40/1000))*VLOOKUP("Birch ply (24mm)",SheetData,7,FALSE),IF(ISERROR(FIND("H/F",KitchenCarcassMaterial))=FALSE,(0.1*($C40/1000))*VLOOKUP("H/F (22mm)",SheetsData,7,FALSE),"Door - tower - new material")))),"Channel - tower - handle set to other")))),"")</f>
        <v/>
      </c>
    </row>
    <row r="41">
      <c r="A41" s="115" t="s">
        <v>149</v>
      </c>
      <c r="B41" s="115">
        <f t="shared" si="1"/>
        <v>700</v>
      </c>
      <c r="C41" s="115" t="str">
        <f>IFERROR(__xludf.DUMMYFUNCTION("IF(A41="""","""",IF(OR(RIGHT(A41,LEN(A41)-len(regexextract(A41,"".* "")))=""1200"",RIGHT(A41,LEN(A41)-len(regexextract(A41,"".* "")))=""600"",RIGHT(A41,LEN(A41)-len(regexextract(A41,"".* "")))=""400"",RIGHT(A41,LEN(A41)-len(regexextract(A41,"".* "")))=""3"&amp;"00"",RIGHT(A41,LEN(A41)-len(regexextract(A41,"".* "")))=""700"",RIGHT(A41,LEN(A41)-len(regexextract(A41,"".* "")))=""2400"",RIGHT(A41,LEN(A41)-len(regexextract(A41,"".* "")))=""650"",RIGHT(A41,LEN(A41)-len(regexextract(A41,"".* "")))=""350"",RIGHT(A41,LEN"&amp;"(A41)-len(regexextract(A41,"".* "")))=""50""),RIGHT(A41,LEN(A41)-len(regexextract(A41,"".* ""))),IF(OR(ISERROR(FIND(""spacer"",A41))=FALSE,ISERROR(FIND(""filler panel"",A41))=FALSE),""1000"",""Unexpected size in description"")))"),"300")</f>
        <v>300</v>
      </c>
      <c r="D41" s="151" t="str">
        <f t="shared" si="2"/>
        <v/>
      </c>
      <c r="E41" s="152">
        <f>IFERROR(__xludf.DUMMYFUNCTION("IF(OR(A41="""",AND(ISERROR(FIND(""drawer box"",A41))=FALSE,KitchenDrawerType="""")),"""",IF(OR(ISERROR(FIND(""larder"",A41))=FALSE,ISERROR(FIND(""fridge/freezer"",A41))=FALSE,ISERROR(FIND(""double oven"",A41))=FALSE,ISERROR(FIND(""single oven"",A41))=FALS"&amp;"E),VLOOKUP(LEFT(A41,FIND("" "",A41))&amp;""carcass ""&amp;RIGHT(A41,LEN(A41)-(LEN(A41)-3)),KitchensData,5,0),IF(ISERROR(FIND(""sink"",A41))=FALSE,VLOOKUP(LEFT(A41,FIND("" "",A41))&amp;""carcass ""&amp;VALUE(REGEXREPLACE(A41,""[^[:digit:]]"", """")),KitchensData,5,0)+(((C"&amp;"41/1000)*(300/1000))*VLOOKUP(KitchenCarcassMaterial,SheetsData,8,0)),IF(ISERROR(FIND(""bins"",A41))=FALSE,IF(ISERROR(FIND(""veneer"",KitchenCarcassMaterial))=FALSE,VLOOKUP(""Base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600"",A41))=FALSE,IF(ISERROR(FIND(""veneer"""&amp;",KitchenCarcassMaterial))=FALSE,0.54*(VLOOKUP(LEFT(KitchenCarcassMaterial,FIND(""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1200"",A41))=FALSE,"&amp;"IF(ISERROR(FIND(""veneer"",KitchenCarcassMaterial))=FALSE,0.84*(VLOOKUP(LEFT(KitchenCarcassMaterial,FIND(""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600"",A41))=FALSE,IF(ISERROR(FIND(""veneer"",KitchenCarcassMaterial))=FALSE,1.44*(VLOOKUP(LEFT(KitchenCarcassMaterial,FIND(""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1200"",A41))=FALSE,IF(ISERROR(FIND(""veneer"",KitchenCarcassMaterial))=FALSE,2.7*(VLOOKUP(LEFT(KitchenCarcassMaterial,FIND(""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front"",A41))=FALSE,((B41/1000)*(C41/1000))*VLOOKUP(KitchenDoorMaterial,SheetsData,8,0),IF(AND(KitchenDrawerType=""Match carcass"",ISERROR(FIND(""drawer box"",A41))=FALSE),(((((B41/1000)*(C41/1000))+((B41/1000"&amp;")*(D41/1000)))*2)*VLOOKUP(KitchenCarcassMaterial,SheetsData,8,0))+(((C41/1000)*(D41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box"",A41))=FALSE),(((((B41/1000)*(C41/1000))+((B41/1000)*(D41/1000)))*2)*(16/1000)*VLOOKUP(LEFT(KitchenCarcassMaterial,FIND("" "&amp;""",KitchenCarcassMaterial))&amp;""(solid m3)"",SolidData,5,0))+(((C41/1000)*(D41/1000))*VLOOKUP(LEFT(KitchenCarcassMaterial,FIND(""("",KitchenCarcassMaterial)-1)&amp;IF(OR(ISERROR(FIND(""ply"",KitchenCarcassMaterial))=FALSE,ISERROR(FIND(""H/F"",KitchenCarcassMate"&amp;"rial))=FALSE),""(9mm)"",""(10mm)""),SheetsData,8,0)),IF(ISERROR(FIND(""spacer"",A41))=FALSE,((D41/1000)*(C41/1000))*VLOOKUP(""Poplar ply (18mm)"",SheetsData,8,0),IF(ISERROR(FIND(""filler panel"",A41))=FALSE,((B41/1000)*(C41/1000))*VLOOKUP(KitchenDoorMater"&amp;"ial,SheetsData,8,0),IF(ISERROR(FIND(""shelf"",A41))=FALSE,((D41/1000)*(C41/1000))*VLOOKUP(KitchenCarcassMaterial,SheetsData,8,0),IF(ISERROR(FIND(""lost corner"",A41))=FALSE,VLOOKUP(LEFT(A41,FIND("" "",A41))&amp;""carcass ""&amp;VALUE(REGEXREPLACE(A41,""[^[:digit:"&amp;"]]"", """")),KitchensData,5,0)+((((B41/1000)*(C41/1000))+((B41/1000)*(60/1000)))*VLOOKUP(KitchenCarcassMaterial,SheetsData,8,0)),IF(ISERROR(FIND(""carcass"",A41))=FALSE,(((((B41/1000)*2)*(D41/1000))+(((C41/1000)*2)*(D41/1000)))*VLOOKUP(KitchenCarcassMater"&amp;"ial,SheetsData,8,0))+((B41/1000)*(C41/1000))*VLOOKUP(LEFT(KitchenCarcassMaterial,FIND(""("",KitchenCarcassMaterial)-1)&amp;IF(OR(ISERROR(FIND(""ply"",KitchenCarcassMaterial))=FALSE,ISERROR(FIND(""H/F"",KitchenCarcassMaterial))=FALSE),""(9mm)"",""(10mm)""),She"&amp;"etsData,8,0),IF(OR(ISERROR(FIND(""Plinth"",A41))=FALSE,ISERROR(FIND(""Cornice (flat)"",A41))=FALSE),((B41/1000)*(C41/1000))*VLOOKUP(""H/F (18mm)"",SheetsData,8,0),IF(ISERROR(FIND(""Cornice (stacked)"",A41))=FALSE,((0.08*(C41/1000))*2)*VLOOKUP(""H/F (22mm)"&amp;""",SheetsData,8,0),IF(ISERROR(FIND(""Base end panel"",A41))=FALSE,VLOOKUP(KitchenDoorMaterial,SheetsData,5,0)/3,IF(ISERROR(FIND(""Wall end panel"",A41))=FALSE,VLOOKUP(KitchenDoorMaterial,SheetsData,5,0)/9,IF(ISERROR(FIND(""Tower end panel"",A41))=FALSE,VL"&amp;"OOKUP(KitchenDoorMaterial,SheetsData,5,0),IF(ISERROR(FIND(""Fillers"",A41))=FALSE,(((0.06*(C41/1000))*2)*VLOOKUP(""H/F (18mm)"",SheetsData,8,0))+(((0.06*(C41/1000))*2)*VLOOKUP(""H/F (9mm)"",SheetsData,8,0)),IF(ISERROR(FIND(""corner post"",A41))=FALSE,(((B"&amp;"41/1000)*0.05)*2)*VLOOKUP(KitchenDoorMaterial,SheetsData,8,0),IF(ISERROR(FIND(""Pelmet"",A41))=FALSE,((((B41/1000)*(C41/1000))*2)*VLOOKUP(""H/F (18mm)"",SheetsData,8,0)),IF(ISERROR(FIND(""door"",A41))=TRUE,""Check description"",IF(KitchenDoorStyle=""Flat"&amp;""",((B41/1000)*(C41/1000))*VLOOKUP(KitchenDoorMaterial,SheetsData,8,0),IF(LEFT(KitchenDoorStyle,5)=""Panel"",(((((B41/1000)*2)*0.08)+((((C41/1000)-0.16)*2)*0.08))*VLOOKUP(""H/F (22mm)"",SheetsData,8,0))+(((B41/1000)-0.14)*((C41/1000)-0.14)*VLOOKUP(""H/F ("&amp;"9mm)"",SheetsData,8,0)),IF(KitchenDoorStyle=""In-frame flat"",((((((B41/1000)*0.019)*0.038)+((((C41-38)/1000)*0.038)*0.038))*2)*VLOOKUP(""Tulip (solid m3)"",SolidData,5,0))+(((B41-76)/1000)*((C41-38)/1000))*VLOOKUP(""H/F (22mm)"",SheetsData,8,0),IF(LEFT(K"&amp;"itchenDoorStyle,14)=""In-frame panel"",(((((((B41/1000)*0.019)*0.038)+((((C41-38)/1000)*0.038)*0.038))*2)*VLOOKUP(""Tulip (solid m3)"",SolidData,5,0))+(((((((B41-76)/1000)*2)*0.08)+(((((C41-198)/1000)*2)*0.08)))*VLOOKUP(""H/F (22mm)"",SheetsData,8,0))+((("&amp;"B41-216)/1000)*((C41-178)/1000)*VLOOKUP(""H/F (9mm)"",SheetsData,8,0)))))))))))))))))))))))))))))))))"),3.8764780972856756)</f>
        <v>3.876478097</v>
      </c>
      <c r="F41" s="152" t="str">
        <f>IFERROR(__xludf.DUMMYFUNCTION("IF(OR(A41="""",AND(ISERROR(FIND(""drawer box"",A41))=FALSE,KitchenDrawerType=""Solid dovetail"")),"""",IF(ISERROR(FIND(""bins"",A41))=FALSE,VLOOKUP(""Base carcass 600"",KitchensData,6,0),IF(OR(ISERROR(FIND(""larder"",A41))=FALSE,ISERROR(FIND(""unit"",A41)"&amp;")=FALSE),VLOOKUP(LEFT(A41,FIND("" "",A41))&amp;""carcass ""&amp;RIGHT(A41,LEN(A41)-len(regexextract(A41,"".* ""))),KitchensData,6,0),IF(ISERROR(FIND(""drawer front"",A41))=FALSE,IF(ISERROR(FIND(""veneer"",KitchenCarcassMaterial))=TRUE,0,(((B41+C41)/1000)*2)*VLOOK"&amp;"UP(""Edge banding (per M)"",SheetsData,5,0)),IF(ISERROR(FIND(""drawer box"",A41))=FALSE,IF(ISERROR(FIND(""veneer"",KitchenCarcassMaterial))=TRUE,0,(((C41+D41)/1000)*2)*VLOOKUP(""Edge banding (per M)"",SheetsData,5,0)),IF(ISERROR(FIND(""shelf"",A41))=FALSE"&amp;",IF(ISERROR(FIND(""veneer"",KitchenCarcassMaterial))=TRUE,0,(C41/1000)*VLOOKUP(""Edge banding (per M)"",SheetsData,5,0)),IF(AND(ISERROR(FIND(""carcass"",A41))=FALSE,ISERROR(FIND(""shelf"",A41))=TRUE),IF(ISERROR(FIND(""veneer"",KitchenCarcassMaterial))=TRU"&amp;"E,0,((2*(B41+C41))/1000)*VLOOKUP(""Edge banding (per M)"",SheetsData,5,0)),IF(ISERROR(FIND(""door"",A41))=TRUE,"""",IF(ISERROR(FIND(""veneer"",KitchenDoorMaterial))=TRUE,"""",((2*(B41+C41))/1000)*VLOOKUP(""Edge banding (per M)"",SheetsData,5,0))))))))))"),"")</f>
        <v/>
      </c>
      <c r="G41" s="153" t="str">
        <f>IF(A41="","",IF(ISERROR(FIND("bins",A41))=FALSE,VLOOKUP("Base carcass 600",KitchensData,7,0),IF(OR(ISERROR(FIND("larder",A41))=FALSE,ISERROR(FIND("fridge/freezer",A41))=FALSE,ISERROR(FIND("double oven",A41))=FALSE,ISERROR(FIND("single oven",A41))=FALSE),VLOOKUP(LEFT(A41,FIND(" ",A41))&amp;"carcass "&amp;RIGHT(A41,LEN(A41)-(LEN(A41)-3)),KitchensData,7,0),IF(AND(ISERROR(FIND("carcass",A41))=FALSE,ISERROR(FIND("shelf",A41))=TRUE),IF(OR(ISERROR(FIND("Base",A41))=FALSE,ISERROR(FIND("Tower",A41))=FALSE),IF(OR(ISERROR(FIND("1200",A41))=FALSE, ISERROR(FIND("lost corner",A41))=FALSE),6*VLOOKUP("Plinth foot (2 Parts 80mm)",FurnitureData,5,0),4*VLOOKUP("Plinth foot (2 Parts 80mm)",FurnitureData,5,0)),""),""))))</f>
        <v/>
      </c>
      <c r="H41" s="153">
        <f>IF(OR(A41="",ISERROR(FIND("door",A41))=TRUE),"",IF(ISERROR(FIND("Wall",A41))=FALSE,VLOOKUP("Hinges &amp; plates (Hettich thick door)",FurnitureData,5,0)*2,IF(ISERROR(FIND("Base",A41))=FALSE,VLOOKUP("Hinges &amp; plates (Hettich thick door)",FurnitureData,5,0)*3,IF(ISERROR(FIND("Boiler",A41))=FALSE,VLOOKUP("Hinges &amp; plates (Hettich thick door)",FurnitureData,5,0)*4,IF(ISERROR(FIND("Tower",A41))=FALSE,VLOOKUP("Hinges &amp; plates (Hettich thick door)",FurnitureData,5,0)*5)))))</f>
        <v>6.94</v>
      </c>
      <c r="I41" s="115" t="str">
        <f>IF(ISERROR(FIND("shelf",A41))=FALSE,(VLOOKUP("Shelf pegs",FurnitureData,5,0)/100)*4,"")</f>
        <v/>
      </c>
      <c r="J41" s="152" t="str">
        <f>IF(OR(ISERROR(FIND("fridge/freezer",A41))=FALSE,ISERROR(FIND("larder",A41))=FALSE,AND(ISERROR(FIND("Base",A41))=FALSE,ISERROR(FIND("bins",A41))=TRUE,ISERROR(FIND("no shelves",A41))=TRUE,OR(ISERROR(FIND("carcass",A41))=FALSE,ISERROR(FIND("unit",A41))=FALSE))),VLOOKUP("Deep shelf "&amp;C41,KitchensData,18,0),IF(AND(ISERROR(FIND("Wall",A41))=FALSE,ISERROR(FIND("carcass",A41))=FALSE),2*VLOOKUP("Shallow shelf "&amp;C41,KitchensData,18,0),IF(AND(ISERROR(FIND("Tower",A41))=FALSE,ISERROR(FIND("oven",A41))=FALSE),4*VLOOKUP("Deep shelf "&amp;C41,KitchensData,18,0),IF(AND(ISERROR(FIND("Tower",A41))=FALSE,ISERROR(FIND("carcass",A41))=FALSE),5*VLOOKUP("Deep shelf "&amp;C41,KitchensData,18,0),""))))</f>
        <v/>
      </c>
      <c r="K41" s="152" t="str">
        <f>IF(ISERROR(FIND("sink",A41))=FALSE,VLOOKUP("Sink liner - Aluminium "&amp;RIGHT(A41,LEN(A41)-22)&amp;"mm",ExceptionalData,5,0),IF(ISERROR(FIND("bins",A41))=FALSE,VLOOKUP("Drawer runners and clip set for bin unit (500) Dynapro",FurnitureData,5,0)+(2*VLOOKUP("Bin (42L Anthracite)",FurnitureData,5,0)),IF(ISERROR(FIND("larder",A41))=FALSE,VLOOKUP("Pull out larder unit 600mm",FurnitureData,5,0),IF(AND(ISERROR(FIND("drawer box",A41))=FALSE,ISERROR(FIND("internal",A41))=TRUE),VLOOKUP("Drawer runners and clip set (550) Dynapro",FurnitureData,5,0),IF(ISERROR(FIND("internal drawer box",A41))=FALSE,VLOOKUP("Drawer runners and clip set (450) Dynapro",FurnitureData,5,0),"")))))</f>
        <v/>
      </c>
      <c r="L41" s="152">
        <f t="shared" si="3"/>
        <v>10.8164781</v>
      </c>
      <c r="M41" s="154">
        <f>IFERROR(__xludf.DUMMYFUNCTION("IF(A41="""","""",IF(OR(ISERROR(FIND(""larder"",A41))=FALSE,ISERROR(FIND(""unit"",A41))=FALSE),VLOOKUP(LEFT(A41,FIND("" "",A41))&amp;""carcass ""&amp;RIGHT(A41,LEN(A41)-len(regexextract(A41,"".* ""))),KitchensData,13,0),IF(ISERROR(FIND(""bins"",A41))=FALSE,0.95,IF"&amp;"(ISERROR(FIND(""Cutlery insert 600"",A41))=FALSE,1.3,IF(ISERROR(FIND(""Cutlery insert 1200"",A41))=FALSE,2,IF(ISERROR(FIND(""Pan/tray rack 600"",A41))=FALSE,3.25,IF(ISERROR(FIND(""Pan/tray rack 1200"",A41))=FALSE,5.9,IF(ISERROR(FIND(""split"",A41))=FALSE,"&amp;"(((C41/1000)*0.022)*2)+VLOOKUP(SUBSTITUTE(A41,"" split"",""""),KitchensData,13,0),IF(AND(ISERROR(FIND(""drawer front"",A41))=FALSE,KitchenDoorStyle=""Flat""),(((B41/1000)*(C41/1000))*2)+((((B41+C41)/1000)*2)*0.022),IF(AND(ISERROR(FIND(""drawer front"",A41"&amp;"))=FALSE,LEFT(KitchenDoorStyle,5)=""Panel""),(((B41/1000)*(C41/1000))*2)+((((B41+C41)/1000)*2)*0.022)+((((C41/1000)-0.16)*0.013)*2)+((((D41/1000)-0.16)*0.013)*2),IF(AND(ISERROR(FIND(""drawer front"",A41))=FALSE,KitchenDoorStyle=""In-frame flat""),((((B41-"&amp;"76)/1000)*((C41-38)/1000))*2)+(MID(KitchenDoorMaterial,FIND(""("",KitchenDoorMaterial)+1,2)/1000)*((((B41-76)+(C41-38))/1000)*2)+(((B41/1000)*0.032)*2)+((((B41-76)/1000)*0.032)*2)+(((B41/1000)*0.019)*4)+(((C41/1000)*0.032)*2)+((((C41-38)/1000)*0.032)*2)+("&amp;"((C41/1000)*0.038)*4),IF(AND(ISERROR(FIND(""drawer front"",A41))=FALSE,LEFT(KitchenDoorStyle,14)=""In-frame panel""),((((B41-76)/1000)*((C41-38)/1000))*2)+((MID(KitchenDoorMaterial,FIND(""("",KitchenDoorMaterial)+1,2)/1000)*((((B41-76)+(C41-38))/1000)*2))"&amp;"+((((B41-236)/1000)+((C41-198)/1000)*2)*0.013)+(((B41/1000)*0.032)*2)+((((B41-76)/1000)*0.032)*2)+(((B41/1000)*0.019)*4)+(((C41/1000)*0.032)*2)+((((C41-38)/1000)*0.032)*2)+(((C41/1000)*0.038)*4),IF(ISERROR(FIND(""drawer box"",A41))=FALSE,((((B41/1000)*(D4"&amp;"1/1000))+((B41/1000)*(C41/1000)))*4)+((((D41/1000)+(C41/1000))*0.016)*4)+(((C41/1000)*(D41/1000))*2),IF(OR(ISERROR(FIND(""shelf"",A41))=FALSE,ISERROR(FIND(""spacer"",A41))=FALSE,,ISERROR(FIND(""filler panel"",A41))=FALSE),(((C41/1000)*(D41/1000))*2)+((((C"&amp;"41+D41)*2)/1000)*0.022),IF(ISERROR(FIND(""lost corner"",A41))=FALSE,(((B41/1000)*(C41/1000))*2)+((B41/1000)*(C41/1000))+((B41/1000)*((C41/2)/1000))+((((B41/1000)*0.025)+((C41/1000)*0.025))*2),IF(ISERROR(FIND(""carcass"",A41))=FALSE,(((C41/1000)*(D41/1000)"&amp;")*2)+(((B41/1000)*(D41/1000))*2)+((B41/1000)*(C41/1000))+((((B41/1000)*0.025)+((C41/1000)*0.025))*2),IF(AND(ISERROR(FIND(""door"",A41))=FALSE,KitchenDoorStyle=""Flat""),(((B41/1000)*(C41/1000))*2)+(MID(KitchenDoorMaterial,FIND(""("",KitchenDoorMaterial)+1"&amp;",2)/1000)*(((B41+C41)/1000)*2),IF(AND(ISERROR(FIND(""door"",A41))=FALSE,LEFT(KitchenDoorStyle,5)=""Panel""),(((B41/1000)*(C41/1000))*2)+((MID(KitchenDoorMaterial,FIND(""("",KitchenDoorMaterial)+1,2)/1000)*(((B41+C41)/1000)*2))+(((((B41-160)+(C41-160))*2)/"&amp;"1000)*(0.013)),IF(AND(ISERROR(FIND(""door"",A41))=FALSE,KitchenDoorStyle=""In-frame flat""),((((B41-76)/1000)*((C41-38)/1000))*2)+(MID(KitchenDoorMaterial,FIND(""("",KitchenDoorMaterial)+1,2)/1000)*((((B41-76)+(C41-38))/1000)*2)+(((B41/1000)*0.032)*2)+((("&amp;"(B41-76)/1000)*0.032)*2)+(((B41/1000)*0.019)*4)+(((C41/1000)*0.032)*2)+((((C41-38)/1000)*0.032)*2)+(((C41/1000)*0.038)*4),IF(AND(ISERROR(FIND(""door"",A41))=FALSE,LEFT(KitchenDoorStyle,14)=""In-frame panel""),((((B41-76)/1000)*((C41-38)/1000))*2)+((MID(Ki"&amp;"tchenDoorMaterial,FIND(""("",KitchenDoorMaterial)+1,2)/1000)*((((B41-76)+(C41-38))/1000)*2))+((((B41-236)/1000)+((C41-198)/1000)*2)*0.013)+(((B41/1000)*0.032)*2)+((((B41-76)/1000)*0.032)*2)+(((B41/1000)*0.019)*4)+(((C41/1000)*0.032)*2)+((((C41-38)/1000)*0"&amp;".032)*2)+(((C41/1000)*0.038)*4),IF(ISERROR(FIND(""Plinth"",A41))=FALSE,((B41/1000)*(C41/1000))+(((C41/1000)*0.018)*2)+(((B41/1000)*0.018)*2),IF(ISERROR(FIND(""Cornice"",A41))=FALSE,(((C41/1000)*0.1)*2)+(((C41/1000)*0.044)*2)+(((B41/1000)*0.08)*2),IF(ISERR"&amp;"OR(FIND(""Base end panel"",A41))=FALSE,((B41/1000)*(C41/1000))+(0.022*((B41/1000)+((C41/1000)*2)))+((B41/1000)*0.05),IF(ISERROR(FIND(""Wall end panel"",A41))=FALSE,((B41/1000)*(C41/1000))+(0.022*((B41/1000)+((C41/1000)*2)))+((B41/1000)*0.05),IF(ISERROR(FI"&amp;"ND(""Tower end panel"",A41))=FALSE,((B41/1000)*(C41/1000))+(0.022*((B41/1000)+((C41/1000)*2)))+((B41/1000)*0.05),IF(ISERROR(FIND(""Fillers"",A41))=FALSE,((C41/1000)*0.06)+((C41/1000)*0.069)+((0.06*0.018)*2)+((0.06*0.009)*2)+((C41/1000)*0.009)+((C41/1000)*"&amp;"0.018),IF(ISERROR(FIND(""corner post"",A41))=FALSE,(((B41/1000*0.05)*2)+((B41/1000)*0.022)*2)+((B41/1000)*0.072)+((B41/1000)*0.05)+((0.072*0.022)*2)+((0.05*0.022)*2),IF(ISERROR(FIND(""Pelmet"",A41))=FALSE,((C41/1000)*0.05)+((C41/1000)*0.068)+((0.05*0.018)"&amp;"*4)+(((C41/1000)*0.018))*2))))))))))))))))))))))))))))"),0.46399999999999997)</f>
        <v>0.464</v>
      </c>
      <c r="N41" s="152">
        <f>IF(M41="","",IF(AND(ISERROR(FIND("carcass",A41))=TRUE,ISERROR(FIND("unit",A41))=TRUE,ISERROR(FIND("insert",A41))=TRUE,ISERROR(FIND("rack",A41))=TRUE,ISERROR(FIND("box",A41))=TRUE,ISERROR(FIND("shelf",#REF!))=TRUE),VLOOKUP(KitchenDoorFinish,Finishing!$A$2:$K$10,9,0)*M41,VLOOKUP(KitchenCarcassFinish,Finishing!$A$2:$K$40,9,0)*M41))</f>
        <v>3.48</v>
      </c>
      <c r="O41" s="155">
        <v>1.0</v>
      </c>
      <c r="P41" s="155">
        <v>1.0</v>
      </c>
      <c r="Q41" s="152">
        <f>IF(OR(O41="",P41=""),"",((O41*X41)*(VLOOKUP("Workshop",Labour!$A$3:$E$20,4,0)/8))+((P41*AE41)*(VLOOKUP("Finishing",Labour!$A$3:$E$20,4,0)/8)))</f>
        <v>155.75</v>
      </c>
      <c r="R41" s="152">
        <f t="shared" si="4"/>
        <v>170.0464781</v>
      </c>
      <c r="S41" s="156">
        <f>IF(OR(O41="",P41=""),"",IF(OR(ISERROR(FIND("carcass",$A41))=FALSE,ISERROR(FIND("unit",$A41))=FALSE),VLOOKUP(KitchenCarcassMaterial,FixedListsCarcassMaterial,2,0),0))</f>
        <v>0</v>
      </c>
      <c r="T41" s="156">
        <f>IF(OR(O41="",P41=""),"",IF(ISERROR(FIND("door",$A41))=FALSE,VLOOKUP(KitchenDoorStyle,FixedListsDoorStyle,2,0),0))</f>
        <v>1</v>
      </c>
      <c r="U41" s="156">
        <f>IF(OR(O41="",P41=""),"",IF(ISERROR(FIND("door",$A41))=FALSE,VLOOKUP(KitchenDoorMaterial,FixedListsDoorMaterial,2,0),0))</f>
        <v>1</v>
      </c>
      <c r="V41" s="156">
        <f>IF(OR(O41="",P41=""),"",IF(ISERROR(FIND("drawer",$A41))=FALSE,VLOOKUP(KitchenDrawerType,FixedListsDrawerType,2,0),0))</f>
        <v>0</v>
      </c>
      <c r="W41" s="156">
        <f>IF(OR(O41="",P41=""),"",IF(OR(S41&gt;0, T41&gt;0,V41&gt;0),VLOOKUP(KitchenHandleType,FixedListsHandleType,2,FALSE)*IF(KitchenHandleType="Simple",0,IF(S41&gt;0,VLOOKUP(KitchenHandleType,FixedListsHandleType,4,FALSE),IF(OR(T41&gt;0,V41&gt;0),1-VLOOKUP(KitchenHandleType,FixedListsHandleType,4,FALSE),"Error"))),0))</f>
        <v>0</v>
      </c>
      <c r="X41" s="156">
        <f t="shared" si="5"/>
        <v>1</v>
      </c>
      <c r="Y41" s="156">
        <f>IF(OR(O41="",P41=""),"",IF(OR(ISERROR(FIND("carcass",$A41))=FALSE,ISERROR(FIND("unit",$A41))=FALSE),VLOOKUP(KitchenCarcassMaterial,FixedListsCarcassMaterial,3,0),0))</f>
        <v>0</v>
      </c>
      <c r="Z41" s="156">
        <f>IF(OR(O41="",P41=""),"",IF(ISERROR(FIND("door",$A41))=FALSE,VLOOKUP(KitchenDoorStyle,FixedListsDoorStyle,3,0),0))</f>
        <v>1</v>
      </c>
      <c r="AA41" s="156">
        <f>IF(OR(O41="",P41=""),"",IF(ISERROR(FIND("door",$A41))=FALSE,VLOOKUP(KitchenDoorMaterial,FixedListsDoorMaterial,3,0),0))</f>
        <v>2</v>
      </c>
      <c r="AB41" s="156">
        <f>IF(OR(O41="",P41=""),"",IF(ISERROR(FIND("drawer",$A41))=FALSE,VLOOKUP(KitchenDrawerType,FixedListsDrawerType,3,0),0))</f>
        <v>0</v>
      </c>
      <c r="AC41" s="156">
        <f>IF(OR(O41="",P41=""),"",IF(OR(Y41&gt;0,Z41&gt;0,AB41&gt;0),VLOOKUP(KitchenHandleType,FixedListsHandleType,3,FALSE),0))</f>
        <v>1</v>
      </c>
      <c r="AD41" s="156">
        <f>IF(OR(O41="",P41=""),"",IF(OR(ISERROR(FIND("carcass",$A41))=FALSE,ISERROR(FIND("unit",$A41))=FALSE),VLOOKUP(KitchenCarcassFinish,FixedListsFinishes,3,0),IF(OR(ISERROR(FIND("door",$A41))=FALSE,ISERROR(FIND("Plinth",$A41))=FALSE,ISERROR(FIND("Cornice",$A41))=FALSE,ISERROR(FIND("Fillers",$A41))=FALSE,ISERROR(FIND("Pelmet",$A41))=FALSE,ISERROR(FIND("panel",$A41))=FALSE,ISERROR(FIND("post",$A41))=FALSE),VLOOKUP(KitchenDoorFinish,FixedListsFinishes,3,0),IF(OR(ISERROR(FIND("drawer",$A41))=FALSE,ISERROR(FIND("insert",$A41))=FALSE,ISERROR(FIND("rck",$A41))=FALSE),VLOOKUP(KitchenCarcassFinish,FixedListsFinishes,3,0),0))))</f>
        <v>2</v>
      </c>
      <c r="AE41" s="156">
        <f t="shared" si="6"/>
        <v>4</v>
      </c>
      <c r="AF41" s="157" t="str">
        <f>IF(AND(KitchenHandleType="Channel",OR(ISERROR(FIND("arcass",$A41))=FALSE,ISERROR(FIND("unit",$A41))=FALSE)),IF(ISERROR(FIND("Tower",$A41))=TRUE,IF(KitchenHandleFinish="Match carcass",IF(ISERROR(FIND("Walnut",KitchenCarcassMaterial))=FALSE,(0.035*0.075*($C41/1000))*VLOOKUP("Walnut (solid m3)",SolidData,4,FALSE),IF(ISERROR(FIND("Oak",KitchenCarcassMaterial))=FALSE,(0.035*0.075*($C41/1000))*VLOOKUP("Oak (solid m3)",SolidData,4,FALSE),IF(ISERROR(FIND("ply",KitchenCarcassMaterial))=FALSE,(0.1*($C41/1000))*VLOOKUP("Birch ply (24mm)",SheetsData,7,FALSE),IF(ISERROR(FIND("H/F",KitchenCarcassMaterial))=FALSE,(0.1*($C41/1000))*VLOOKUP("H/F (22mm)",SheetsData,7,FALSE),"Carcass - not tower - new material")))),IF(KitchenHandleFinish="Match door",IF(ISERROR(FIND("Walnut",KitchenDoorMaterial))=FALSE,(0.035*0.075*($C41/1000))*VLOOKUP("Walnut (solid m3)",SolidData,4,FALSE),IF(ISERROR(FIND("Oak",KitchenDoorMaterial))=FALSE,(0.035*0.075*($C41/1000))*VLOOKUP("Oak (solid m3)",SolidData,4,FALSE),IF(ISERROR(FIND("ply",KitchenDoorMaterial))=FALSE,(0.1*($C41/1000))*VLOOKUP("Birch ply (24mm)",SheetsData,7,FALSE),IF(ISERROR(FIND("H/F",KitchenCarcassMaterial))=FALSE,(0.1*($C41/1000))*VLOOKUP("H/F (22mm)",SheetsData,7,FALSE),"Door - not tower - new material")))),"Channel - not tower - handle set to other")),IF(ISERROR(FIND("Tower",$A41))=FALSE,IF(KitchenHandleFinish="Match carcass",IF(ISERROR(FIND("Walnut",KitchenCarcassMaterial))=FALSE,(0.035*0.075*($B41/1000))*VLOOKUP("Walnut (solid m3)",SolidData,4,FALSE),IF(ISERROR(FIND("Oak",KitchenCarcassMaterial))=FALSE,(0.035*0.075*($B41/1000))*VLOOKUP("Oak (solid m3)",SolidData,4,FALSE),IF(ISERROR(FIND("ply",KitchenCarcassMaterial))=FALSE,(0.1*($B41/1000))*VLOOKUP("Birch ply (24mm)",SheetsData,7,FALSE),IF(ISERROR(FIND("H/F",KitchenCarcassMaterial))=FALSE,(0.1*($C41/1000))*VLOOKUP("H/F (22mm)",SheetsData,7,FALSE),"Carcass - tower - new material")))),IF(KitchenHandleFinish="Match door",IF(ISERROR(FIND("Walnut",KitchenDoorMaterial))=FALSE,(0.035*0.075*($B41/1000))*VLOOKUP("Walnut (solid m3)",SolidData,4,FALSE),IF(ISERROR(FIND("Oak",KitchenDoorMaterial))=FALSE,(0.035*0.075*($B41/1000))*VLOOKUP("Oak (solid m3)",SolidData,4,FALSE),IF(ISERROR(FIND("ply",KitchenDoorMaterial))=FALSE,(0.1*($B41/1000))*VLOOKUP("Birch ply (24mm)",SheetData,7,FALSE),IF(ISERROR(FIND("H/F",KitchenCarcassMaterial))=FALSE,(0.1*($C41/1000))*VLOOKUP("H/F (22mm)",SheetsData,7,FALSE),"Door - tower - new material")))),"Channel - tower - handle set to other")))),"")</f>
        <v/>
      </c>
    </row>
    <row r="42">
      <c r="A42" s="151" t="s">
        <v>150</v>
      </c>
      <c r="B42" s="115">
        <f t="shared" si="1"/>
        <v>1100</v>
      </c>
      <c r="C42" s="115" t="str">
        <f>IFERROR(__xludf.DUMMYFUNCTION("IF(A42="""","""",IF(OR(RIGHT(A42,LEN(A42)-len(regexextract(A42,"".* "")))=""1200"",RIGHT(A42,LEN(A42)-len(regexextract(A42,"".* "")))=""600"",RIGHT(A42,LEN(A42)-len(regexextract(A42,"".* "")))=""400"",RIGHT(A42,LEN(A42)-len(regexextract(A42,"".* "")))=""3"&amp;"00"",RIGHT(A42,LEN(A42)-len(regexextract(A42,"".* "")))=""700"",RIGHT(A42,LEN(A42)-len(regexextract(A42,"".* "")))=""2400"",RIGHT(A42,LEN(A42)-len(regexextract(A42,"".* "")))=""650"",RIGHT(A42,LEN(A42)-len(regexextract(A42,"".* "")))=""350"",RIGHT(A42,LEN"&amp;"(A42)-len(regexextract(A42,"".* "")))=""50""),RIGHT(A42,LEN(A42)-len(regexextract(A42,"".* ""))),IF(OR(ISERROR(FIND(""spacer"",A42))=FALSE,ISERROR(FIND(""filler panel"",A42))=FALSE),""1000"",""Unexpected size in description"")))"),"700")</f>
        <v>700</v>
      </c>
      <c r="D42" s="151">
        <f t="shared" si="2"/>
        <v>360</v>
      </c>
      <c r="E42" s="152">
        <f>IFERROR(__xludf.DUMMYFUNCTION("IF(OR(A42="""",AND(ISERROR(FIND(""drawer box"",A42))=FALSE,KitchenDrawerType="""")),"""",IF(OR(ISERROR(FIND(""larder"",A42))=FALSE,ISERROR(FIND(""fridge/freezer"",A42))=FALSE,ISERROR(FIND(""double oven"",A42))=FALSE,ISERROR(FIND(""single oven"",A42))=FALS"&amp;"E),VLOOKUP(LEFT(A42,FIND("" "",A42))&amp;""carcass ""&amp;RIGHT(A42,LEN(A42)-(LEN(A42)-3)),KitchensData,5,0),IF(ISERROR(FIND(""sink"",A42))=FALSE,VLOOKUP(LEFT(A42,FIND("" "",A42))&amp;""carcass ""&amp;VALUE(REGEXREPLACE(A42,""[^[:digit:]]"", """")),KitchensData,5,0)+(((C"&amp;"42/1000)*(300/1000))*VLOOKUP(KitchenCarcassMaterial,SheetsData,8,0)),IF(ISERROR(FIND(""bins"",A42))=FALSE,IF(ISERROR(FIND(""veneer"",KitchenCarcassMaterial))=FALSE,VLOOKUP(""Base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600"",A42))=FALSE,IF(ISERROR(FIND(""veneer"""&amp;",KitchenCarcassMaterial))=FALSE,0.54*(VLOOKUP(LEFT(KitchenCarcassMaterial,FIND(""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1200"",A42))=FALSE,"&amp;"IF(ISERROR(FIND(""veneer"",KitchenCarcassMaterial))=FALSE,0.84*(VLOOKUP(LEFT(KitchenCarcassMaterial,FIND(""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600"",A42))=FALSE,IF(ISERROR(FIND(""veneer"",KitchenCarcassMaterial))=FALSE,1.44*(VLOOKUP(LEFT(KitchenCarcassMaterial,FIND(""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1200"",A42))=FALSE,IF(ISERROR(FIND(""veneer"",KitchenCarcassMaterial))=FALSE,2.7*(VLOOKUP(LEFT(KitchenCarcassMaterial,FIND(""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front"",A42))=FALSE,((B42/1000)*(C42/1000))*VLOOKUP(KitchenDoorMaterial,SheetsData,8,0),IF(AND(KitchenDrawerType=""Match carcass"",ISERROR(FIND(""drawer box"",A42))=FALSE),(((((B42/1000)*(C42/1000))+((B42/1000"&amp;")*(D42/1000)))*2)*VLOOKUP(KitchenCarcassMaterial,SheetsData,8,0))+(((C42/1000)*(D42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box"",A42))=FALSE),(((((B42/1000)*(C42/1000))+((B42/1000)*(D42/1000)))*2)*(16/1000)*VLOOKUP(LEFT(KitchenCarcassMaterial,FIND("" "&amp;""",KitchenCarcassMaterial))&amp;""(solid m3)"",SolidData,5,0))+(((C42/1000)*(D42/1000))*VLOOKUP(LEFT(KitchenCarcassMaterial,FIND(""("",KitchenCarcassMaterial)-1)&amp;IF(OR(ISERROR(FIND(""ply"",KitchenCarcassMaterial))=FALSE,ISERROR(FIND(""H/F"",KitchenCarcassMate"&amp;"rial))=FALSE),""(9mm)"",""(10mm)""),SheetsData,8,0)),IF(ISERROR(FIND(""spacer"",A42))=FALSE,((D42/1000)*(C42/1000))*VLOOKUP(""Poplar ply (18mm)"",SheetsData,8,0),IF(ISERROR(FIND(""filler panel"",A42))=FALSE,((B42/1000)*(C42/1000))*VLOOKUP(KitchenDoorMater"&amp;"ial,SheetsData,8,0),IF(ISERROR(FIND(""shelf"",A42))=FALSE,((D42/1000)*(C42/1000))*VLOOKUP(KitchenCarcassMaterial,SheetsData,8,0),IF(ISERROR(FIND(""lost corner"",A42))=FALSE,VLOOKUP(LEFT(A42,FIND("" "",A42))&amp;""carcass ""&amp;VALUE(REGEXREPLACE(A42,""[^[:digit:"&amp;"]]"", """")),KitchensData,5,0)+((((B42/1000)*(C42/1000))+((B42/1000)*(60/1000)))*VLOOKUP(KitchenCarcassMaterial,SheetsData,8,0)),IF(ISERROR(FIND(""carcass"",A42))=FALSE,(((((B42/1000)*2)*(D42/1000))+(((C42/1000)*2)*(D42/1000)))*VLOOKUP(KitchenCarcassMater"&amp;"ial,SheetsData,8,0))+((B42/1000)*(C42/1000))*VLOOKUP(LEFT(KitchenCarcassMaterial,FIND(""("",KitchenCarcassMaterial)-1)&amp;IF(OR(ISERROR(FIND(""ply"",KitchenCarcassMaterial))=FALSE,ISERROR(FIND(""H/F"",KitchenCarcassMaterial))=FALSE),""(9mm)"",""(10mm)""),She"&amp;"etsData,8,0),IF(OR(ISERROR(FIND(""Plinth"",A42))=FALSE,ISERROR(FIND(""Cornice (flat)"",A42))=FALSE),((B42/1000)*(C42/1000))*VLOOKUP(""H/F (18mm)"",SheetsData,8,0),IF(ISERROR(FIND(""Cornice (stacked)"",A42))=FALSE,((0.08*(C42/1000))*2)*VLOOKUP(""H/F (22mm)"&amp;""",SheetsData,8,0),IF(ISERROR(FIND(""Base end panel"",A42))=FALSE,VLOOKUP(KitchenDoorMaterial,SheetsData,5,0)/3,IF(ISERROR(FIND(""Wall end panel"",A42))=FALSE,VLOOKUP(KitchenDoorMaterial,SheetsData,5,0)/9,IF(ISERROR(FIND(""Tower end panel"",A42))=FALSE,VL"&amp;"OOKUP(KitchenDoorMaterial,SheetsData,5,0),IF(ISERROR(FIND(""Fillers"",A42))=FALSE,(((0.06*(C42/1000))*2)*VLOOKUP(""H/F (18mm)"",SheetsData,8,0))+(((0.06*(C42/1000))*2)*VLOOKUP(""H/F (9mm)"",SheetsData,8,0)),IF(ISERROR(FIND(""corner post"",A42))=FALSE,(((B"&amp;"42/1000)*0.05)*2)*VLOOKUP(KitchenDoorMaterial,SheetsData,8,0),IF(ISERROR(FIND(""Pelmet"",A42))=FALSE,((((B42/1000)*(C42/1000))*2)*VLOOKUP(""H/F (18mm)"",SheetsData,8,0)),IF(ISERROR(FIND(""door"",A42))=TRUE,""Check description"",IF(KitchenDoorStyle=""Flat"&amp;""",((B42/1000)*(C42/1000))*VLOOKUP(KitchenDoorMaterial,SheetsData,8,0),IF(LEFT(KitchenDoorStyle,5)=""Panel"",(((((B42/1000)*2)*0.08)+((((C42/1000)-0.16)*2)*0.08))*VLOOKUP(""H/F (22mm)"",SheetsData,8,0))+(((B42/1000)-0.14)*((C42/1000)-0.14)*VLOOKUP(""H/F ("&amp;"9mm)"",SheetsData,8,0)),IF(KitchenDoorStyle=""In-frame flat"",((((((B42/1000)*0.019)*0.038)+((((C42-38)/1000)*0.038)*0.038))*2)*VLOOKUP(""Tulip (solid m3)"",SolidData,5,0))+(((B42-76)/1000)*((C42-38)/1000))*VLOOKUP(""H/F (22mm)"",SheetsData,8,0),IF(LEFT(K"&amp;"itchenDoorStyle,14)=""In-frame panel"",(((((((B42/1000)*0.019)*0.038)+((((C42-38)/1000)*0.038)*0.038))*2)*VLOOKUP(""Tulip (solid m3)"",SolidData,5,0))+(((((((B42-76)/1000)*2)*0.08)+(((((C42-198)/1000)*2)*0.08)))*VLOOKUP(""H/F (22mm)"",SheetsData,8,0))+((("&amp;"B42-216)/1000)*((C42-178)/1000)*VLOOKUP(""H/F (9mm)"",SheetsData,8,0)))))))))))))))))))))))))))))))))"),59.62130475678582)</f>
        <v>59.62130476</v>
      </c>
      <c r="F42" s="152">
        <f>IFERROR(__xludf.DUMMYFUNCTION("IF(OR(A42="""",AND(ISERROR(FIND(""drawer box"",A42))=FALSE,KitchenDrawerType=""Solid dovetail"")),"""",IF(ISERROR(FIND(""bins"",A42))=FALSE,VLOOKUP(""Base carcass 600"",KitchensData,6,0),IF(OR(ISERROR(FIND(""larder"",A42))=FALSE,ISERROR(FIND(""unit"",A42)"&amp;")=FALSE),VLOOKUP(LEFT(A42,FIND("" "",A42))&amp;""carcass ""&amp;RIGHT(A42,LEN(A42)-len(regexextract(A42,"".* ""))),KitchensData,6,0),IF(ISERROR(FIND(""drawer front"",A42))=FALSE,IF(ISERROR(FIND(""veneer"",KitchenCarcassMaterial))=TRUE,0,(((B42+C42)/1000)*2)*VLOOK"&amp;"UP(""Edge banding (per M)"",SheetsData,5,0)),IF(ISERROR(FIND(""drawer box"",A42))=FALSE,IF(ISERROR(FIND(""veneer"",KitchenCarcassMaterial))=TRUE,0,(((C42+D42)/1000)*2)*VLOOKUP(""Edge banding (per M)"",SheetsData,5,0)),IF(ISERROR(FIND(""shelf"",A42))=FALSE"&amp;",IF(ISERROR(FIND(""veneer"",KitchenCarcassMaterial))=TRUE,0,(C42/1000)*VLOOKUP(""Edge banding (per M)"",SheetsData,5,0)),IF(AND(ISERROR(FIND(""carcass"",A42))=FALSE,ISERROR(FIND(""shelf"",A42))=TRUE),IF(ISERROR(FIND(""veneer"",KitchenCarcassMaterial))=TRU"&amp;"E,0,((2*(B42+C42))/1000)*VLOOKUP(""Edge banding (per M)"",SheetsData,5,0)),IF(ISERROR(FIND(""door"",A42))=TRUE,"""",IF(ISERROR(FIND(""veneer"",KitchenDoorMaterial))=TRUE,"""",((2*(B42+C42))/1000)*VLOOKUP(""Edge banding (per M)"",SheetsData,5,0))))))))))"),0.0)</f>
        <v>0</v>
      </c>
      <c r="G42" s="153" t="str">
        <f>IF(A42="","",IF(ISERROR(FIND("bins",A42))=FALSE,VLOOKUP("Base carcass 600",KitchensData,7,0),IF(OR(ISERROR(FIND("larder",A42))=FALSE,ISERROR(FIND("fridge/freezer",A42))=FALSE,ISERROR(FIND("double oven",A42))=FALSE,ISERROR(FIND("single oven",A42))=FALSE),VLOOKUP(LEFT(A42,FIND(" ",A42))&amp;"carcass "&amp;RIGHT(A42,LEN(A42)-(LEN(A42)-3)),KitchensData,7,0),IF(AND(ISERROR(FIND("carcass",A42))=FALSE,ISERROR(FIND("shelf",A42))=TRUE),IF(OR(ISERROR(FIND("Base",A42))=FALSE,ISERROR(FIND("Tower",A42))=FALSE),IF(OR(ISERROR(FIND("1200",A42))=FALSE, ISERROR(FIND("lost corner",A42))=FALSE),6*VLOOKUP("Plinth foot (2 Parts 80mm)",FurnitureData,5,0),4*VLOOKUP("Plinth foot (2 Parts 80mm)",FurnitureData,5,0)),""),""))))</f>
        <v/>
      </c>
      <c r="H42" s="115" t="str">
        <f>IF(OR(A42="",ISERROR(FIND("door",A42))=TRUE),"",IF(ISERROR(FIND("Wall",A42))=FALSE,VLOOKUP("Hinges &amp; plates (Hettich thick door)",FurnitureData,5,0)*2,IF(ISERROR(FIND("Base",A42))=FALSE,VLOOKUP("Hinges &amp; plates (Hettich thick door)",FurnitureData,5,0)*3,IF(ISERROR(FIND("Boiler",A42))=FALSE,VLOOKUP("Hinges &amp; plates (Hettich thick door)",FurnitureData,5,0)*4,IF(ISERROR(FIND("Tower",A42))=FALSE,VLOOKUP("Hinges &amp; plates (Hettich thick door)",FurnitureData,5,0)*5)))))</f>
        <v/>
      </c>
      <c r="I42" s="115" t="str">
        <f>IF(ISERROR(FIND("shelf",A42))=FALSE,(VLOOKUP("Shelf pegs",FurnitureData,5,0)/100)*4,"")</f>
        <v/>
      </c>
      <c r="J42" s="152" t="str">
        <f>IF(OR(ISERROR(FIND("fridge/freezer",A42))=FALSE,ISERROR(FIND("larder",A42))=FALSE,AND(ISERROR(FIND("Base",A42))=FALSE,ISERROR(FIND("bins",A42))=TRUE,ISERROR(FIND("no shelves",A42))=TRUE,OR(ISERROR(FIND("carcass",A42))=FALSE,ISERROR(FIND("unit",A42))=FALSE))),VLOOKUP("Deep shelf "&amp;C42,KitchensData,18,0),IF(AND(ISERROR(FIND("Wall",A42))=FALSE,ISERROR(FIND("carcass",A42))=FALSE),2*VLOOKUP("Shallow shelf "&amp;C42,KitchensData,18,0),IF(AND(ISERROR(FIND("Tower",A42))=FALSE,ISERROR(FIND("oven",A42))=FALSE),4*VLOOKUP("Deep shelf "&amp;C42,KitchensData,18,0),IF(AND(ISERROR(FIND("Tower",A42))=FALSE,ISERROR(FIND("carcass",A42))=FALSE),5*VLOOKUP("Deep shelf "&amp;C42,KitchensData,18,0),""))))</f>
        <v/>
      </c>
      <c r="K42" s="152" t="str">
        <f>IF(ISERROR(FIND("sink",A42))=FALSE,VLOOKUP("Sink liner - Aluminium "&amp;RIGHT(A42,LEN(A42)-22)&amp;"mm",ExceptionalData,5,0),IF(ISERROR(FIND("bins",A42))=FALSE,VLOOKUP("Drawer runners and clip set for bin unit (500) Dynapro",FurnitureData,5,0)+(2*VLOOKUP("Bin (42L Anthracite)",FurnitureData,5,0)),IF(ISERROR(FIND("larder",A42))=FALSE,VLOOKUP("Pull out larder unit 600mm",FurnitureData,5,0),IF(AND(ISERROR(FIND("drawer box",A42))=FALSE,ISERROR(FIND("internal",A42))=TRUE),VLOOKUP("Drawer runners and clip set (550) Dynapro",FurnitureData,5,0),IF(ISERROR(FIND("internal drawer box",A42))=FALSE,VLOOKUP("Drawer runners and clip set (450) Dynapro",FurnitureData,5,0),"")))))</f>
        <v/>
      </c>
      <c r="L42" s="152">
        <f t="shared" si="3"/>
        <v>59.62130476</v>
      </c>
      <c r="M42" s="154">
        <f>IFERROR(__xludf.DUMMYFUNCTION("IF(A42="""","""",IF(OR(ISERROR(FIND(""larder"",A42))=FALSE,ISERROR(FIND(""unit"",A42))=FALSE),VLOOKUP(LEFT(A42,FIND("" "",A42))&amp;""carcass ""&amp;RIGHT(A42,LEN(A42)-len(regexextract(A42,"".* ""))),KitchensData,13,0),IF(ISERROR(FIND(""bins"",A42))=FALSE,0.95,IF"&amp;"(ISERROR(FIND(""Cutlery insert 600"",A42))=FALSE,1.3,IF(ISERROR(FIND(""Cutlery insert 1200"",A42))=FALSE,2,IF(ISERROR(FIND(""Pan/tray rack 600"",A42))=FALSE,3.25,IF(ISERROR(FIND(""Pan/tray rack 1200"",A42))=FALSE,5.9,IF(ISERROR(FIND(""split"",A42))=FALSE,"&amp;"(((C42/1000)*0.022)*2)+VLOOKUP(SUBSTITUTE(A42,"" split"",""""),KitchensData,13,0),IF(AND(ISERROR(FIND(""drawer front"",A42))=FALSE,KitchenDoorStyle=""Flat""),(((B42/1000)*(C42/1000))*2)+((((B42+C42)/1000)*2)*0.022),IF(AND(ISERROR(FIND(""drawer front"",A42"&amp;"))=FALSE,LEFT(KitchenDoorStyle,5)=""Panel""),(((B42/1000)*(C42/1000))*2)+((((B42+C42)/1000)*2)*0.022)+((((C42/1000)-0.16)*0.013)*2)+((((D42/1000)-0.16)*0.013)*2),IF(AND(ISERROR(FIND(""drawer front"",A42))=FALSE,KitchenDoorStyle=""In-frame flat""),((((B42-"&amp;"76)/1000)*((C42-38)/1000))*2)+(MID(KitchenDoorMaterial,FIND(""("",KitchenDoorMaterial)+1,2)/1000)*((((B42-76)+(C42-38))/1000)*2)+(((B42/1000)*0.032)*2)+((((B42-76)/1000)*0.032)*2)+(((B42/1000)*0.019)*4)+(((C42/1000)*0.032)*2)+((((C42-38)/1000)*0.032)*2)+("&amp;"((C42/1000)*0.038)*4),IF(AND(ISERROR(FIND(""drawer front"",A42))=FALSE,LEFT(KitchenDoorStyle,14)=""In-frame panel""),((((B42-76)/1000)*((C42-38)/1000))*2)+((MID(KitchenDoorMaterial,FIND(""("",KitchenDoorMaterial)+1,2)/1000)*((((B42-76)+(C42-38))/1000)*2))"&amp;"+((((B42-236)/1000)+((C42-198)/1000)*2)*0.013)+(((B42/1000)*0.032)*2)+((((B42-76)/1000)*0.032)*2)+(((B42/1000)*0.019)*4)+(((C42/1000)*0.032)*2)+((((C42-38)/1000)*0.032)*2)+(((C42/1000)*0.038)*4),IF(ISERROR(FIND(""drawer box"",A42))=FALSE,((((B42/1000)*(D4"&amp;"2/1000))+((B42/1000)*(C42/1000)))*4)+((((D42/1000)+(C42/1000))*0.016)*4)+(((C42/1000)*(D42/1000))*2),IF(OR(ISERROR(FIND(""shelf"",A42))=FALSE,ISERROR(FIND(""spacer"",A42))=FALSE,,ISERROR(FIND(""filler panel"",A42))=FALSE),(((C42/1000)*(D42/1000))*2)+((((C"&amp;"42+D42)*2)/1000)*0.022),IF(ISERROR(FIND(""lost corner"",A42))=FALSE,(((B42/1000)*(C42/1000))*2)+((B42/1000)*(C42/1000))+((B42/1000)*((C42/2)/1000))+((((B42/1000)*0.025)+((C42/1000)*0.025))*2),IF(ISERROR(FIND(""carcass"",A42))=FALSE,(((C42/1000)*(D42/1000)"&amp;")*2)+(((B42/1000)*(D42/1000))*2)+((B42/1000)*(C42/1000))+((((B42/1000)*0.025)+((C42/1000)*0.025))*2),IF(AND(ISERROR(FIND(""door"",A42))=FALSE,KitchenDoorStyle=""Flat""),(((B42/1000)*(C42/1000))*2)+(MID(KitchenDoorMaterial,FIND(""("",KitchenDoorMaterial)+1"&amp;",2)/1000)*(((B42+C42)/1000)*2),IF(AND(ISERROR(FIND(""door"",A42))=FALSE,LEFT(KitchenDoorStyle,5)=""Panel""),(((B42/1000)*(C42/1000))*2)+((MID(KitchenDoorMaterial,FIND(""("",KitchenDoorMaterial)+1,2)/1000)*(((B42+C42)/1000)*2))+(((((B42-160)+(C42-160))*2)/"&amp;"1000)*(0.013)),IF(AND(ISERROR(FIND(""door"",A42))=FALSE,KitchenDoorStyle=""In-frame flat""),((((B42-76)/1000)*((C42-38)/1000))*2)+(MID(KitchenDoorMaterial,FIND(""("",KitchenDoorMaterial)+1,2)/1000)*((((B42-76)+(C42-38))/1000)*2)+(((B42/1000)*0.032)*2)+((("&amp;"(B42-76)/1000)*0.032)*2)+(((B42/1000)*0.019)*4)+(((C42/1000)*0.032)*2)+((((C42-38)/1000)*0.032)*2)+(((C42/1000)*0.038)*4),IF(AND(ISERROR(FIND(""door"",A42))=FALSE,LEFT(KitchenDoorStyle,14)=""In-frame panel""),((((B42-76)/1000)*((C42-38)/1000))*2)+((MID(Ki"&amp;"tchenDoorMaterial,FIND(""("",KitchenDoorMaterial)+1,2)/1000)*((((B42-76)+(C42-38))/1000)*2))+((((B42-236)/1000)+((C42-198)/1000)*2)*0.013)+(((B42/1000)*0.032)*2)+((((B42-76)/1000)*0.032)*2)+(((B42/1000)*0.019)*4)+(((C42/1000)*0.032)*2)+((((C42-38)/1000)*0"&amp;".032)*2)+(((C42/1000)*0.038)*4),IF(ISERROR(FIND(""Plinth"",A42))=FALSE,((B42/1000)*(C42/1000))+(((C42/1000)*0.018)*2)+(((B42/1000)*0.018)*2),IF(ISERROR(FIND(""Cornice"",A42))=FALSE,(((C42/1000)*0.1)*2)+(((C42/1000)*0.044)*2)+(((B42/1000)*0.08)*2),IF(ISERR"&amp;"OR(FIND(""Base end panel"",A42))=FALSE,((B42/1000)*(C42/1000))+(0.022*((B42/1000)+((C42/1000)*2)))+((B42/1000)*0.05),IF(ISERROR(FIND(""Wall end panel"",A42))=FALSE,((B42/1000)*(C42/1000))+(0.022*((B42/1000)+((C42/1000)*2)))+((B42/1000)*0.05),IF(ISERROR(FI"&amp;"ND(""Tower end panel"",A42))=FALSE,((B42/1000)*(C42/1000))+(0.022*((B42/1000)+((C42/1000)*2)))+((B42/1000)*0.05),IF(ISERROR(FIND(""Fillers"",A42))=FALSE,((C42/1000)*0.06)+((C42/1000)*0.069)+((0.06*0.018)*2)+((0.06*0.009)*2)+((C42/1000)*0.009)+((C42/1000)*"&amp;"0.018),IF(ISERROR(FIND(""corner post"",A42))=FALSE,(((B42/1000*0.05)*2)+((B42/1000)*0.022)*2)+((B42/1000)*0.072)+((B42/1000)*0.05)+((0.072*0.022)*2)+((0.05*0.022)*2),IF(ISERROR(FIND(""Pelmet"",A42))=FALSE,((C42/1000)*0.05)+((C42/1000)*0.068)+((0.05*0.018)"&amp;"*4)+(((C42/1000)*0.018))*2))))))))))))))))))))))))))))"),2.1559999999999997)</f>
        <v>2.156</v>
      </c>
      <c r="N42" s="152">
        <f>IF(M42="","",IF(AND(ISERROR(FIND("carcass",A42))=TRUE,ISERROR(FIND("unit",A42))=TRUE,ISERROR(FIND("insert",A42))=TRUE,ISERROR(FIND("rack",A42))=TRUE,ISERROR(FIND("box",A42))=TRUE,ISERROR(FIND("shelf",#REF!))=TRUE),VLOOKUP(KitchenDoorFinish,Finishing!$A$2:$K$10,9,0)*M42,VLOOKUP(KitchenCarcassFinish,Finishing!$A$2:$K$40,9,0)*M42))</f>
        <v>8.085</v>
      </c>
      <c r="O42" s="155">
        <v>1.5</v>
      </c>
      <c r="P42" s="155">
        <v>1.0</v>
      </c>
      <c r="Q42" s="152">
        <f>IF(OR(O42="",P42=""),"",((O42*X42)*(VLOOKUP("Workshop",Labour!$A$3:$E$20,4,0)/8))+((P42*AE42)*(VLOOKUP("Finishing",Labour!$A$3:$E$20,4,0)/8)))</f>
        <v>93.625</v>
      </c>
      <c r="R42" s="152">
        <f t="shared" si="4"/>
        <v>161.3313048</v>
      </c>
      <c r="S42" s="156">
        <f>IF(OR(O42="",P42=""),"",IF(OR(ISERROR(FIND("carcass",$A42))=FALSE,ISERROR(FIND("unit",$A42))=FALSE),VLOOKUP(KitchenCarcassMaterial,FixedListsCarcassMaterial,2,0),0))</f>
        <v>1</v>
      </c>
      <c r="T42" s="156">
        <f>IF(OR(O42="",P42=""),"",IF(ISERROR(FIND("door",$A42))=FALSE,VLOOKUP(KitchenDoorStyle,FixedListsDoorStyle,2,0),0))</f>
        <v>0</v>
      </c>
      <c r="U42" s="156">
        <f>IF(OR(O42="",P42=""),"",IF(ISERROR(FIND("door",$A42))=FALSE,VLOOKUP(KitchenDoorMaterial,FixedListsDoorMaterial,2,0),0))</f>
        <v>0</v>
      </c>
      <c r="V42" s="156">
        <f>IF(OR(O42="",P42=""),"",IF(ISERROR(FIND("drawer",$A42))=FALSE,VLOOKUP(KitchenDrawerType,FixedListsDrawerType,2,0),0))</f>
        <v>0</v>
      </c>
      <c r="W42" s="156">
        <f>IF(OR(O42="",P42=""),"",IF(OR(S42&gt;0, T42&gt;0,V42&gt;0),VLOOKUP(KitchenHandleType,FixedListsHandleType,2,FALSE)*IF(KitchenHandleType="Simple",0,IF(S42&gt;0,VLOOKUP(KitchenHandleType,FixedListsHandleType,4,FALSE),IF(OR(T42&gt;0,V42&gt;0),1-VLOOKUP(KitchenHandleType,FixedListsHandleType,4,FALSE),"Error"))),0))</f>
        <v>0</v>
      </c>
      <c r="X42" s="156">
        <f t="shared" si="5"/>
        <v>1</v>
      </c>
      <c r="Y42" s="156">
        <f>IF(OR(O42="",P42=""),"",IF(OR(ISERROR(FIND("carcass",$A42))=FALSE,ISERROR(FIND("unit",$A42))=FALSE),VLOOKUP(KitchenCarcassMaterial,FixedListsCarcassMaterial,3,0),0))</f>
        <v>1</v>
      </c>
      <c r="Z42" s="156">
        <f>IF(OR(O42="",P42=""),"",IF(ISERROR(FIND("door",$A42))=FALSE,VLOOKUP(KitchenDoorStyle,FixedListsDoorStyle,3,0),0))</f>
        <v>0</v>
      </c>
      <c r="AA42" s="156">
        <f>IF(OR(O42="",P42=""),"",IF(ISERROR(FIND("door",$A42))=FALSE,VLOOKUP(KitchenDoorMaterial,FixedListsDoorMaterial,3,0),0))</f>
        <v>0</v>
      </c>
      <c r="AB42" s="156">
        <f>IF(OR(O42="",P42=""),"",IF(ISERROR(FIND("drawer",$A42))=FALSE,VLOOKUP(KitchenDrawerType,FixedListsDrawerType,3,0),0))</f>
        <v>0</v>
      </c>
      <c r="AC42" s="156">
        <f>IF(OR(O42="",P42=""),"",IF(OR(Y42&gt;0,Z42&gt;0,AB42&gt;0),VLOOKUP(KitchenHandleType,FixedListsHandleType,3,FALSE),0))</f>
        <v>1</v>
      </c>
      <c r="AD42" s="156">
        <f>IF(OR(O42="",P42=""),"",IF(OR(ISERROR(FIND("carcass",$A42))=FALSE,ISERROR(FIND("unit",$A42))=FALSE),VLOOKUP(KitchenCarcassFinish,FixedListsFinishes,3,0),IF(OR(ISERROR(FIND("door",$A42))=FALSE,ISERROR(FIND("Plinth",$A42))=FALSE,ISERROR(FIND("Cornice",$A42))=FALSE,ISERROR(FIND("Fillers",$A42))=FALSE,ISERROR(FIND("Pelmet",$A42))=FALSE,ISERROR(FIND("panel",$A42))=FALSE,ISERROR(FIND("post",$A42))=FALSE),VLOOKUP(KitchenDoorFinish,FixedListsFinishes,3,0),IF(OR(ISERROR(FIND("drawer",$A42))=FALSE,ISERROR(FIND("insert",$A42))=FALSE,ISERROR(FIND("rck",$A42))=FALSE),VLOOKUP(KitchenCarcassFinish,FixedListsFinishes,3,0),0))))</f>
        <v>1</v>
      </c>
      <c r="AE42" s="156">
        <f t="shared" si="6"/>
        <v>1</v>
      </c>
      <c r="AF42" s="157" t="str">
        <f>IF(AND(KitchenHandleType="Channel",OR(ISERROR(FIND("arcass",$A42))=FALSE,ISERROR(FIND("unit",$A42))=FALSE)),IF(ISERROR(FIND("Tower",$A42))=TRUE,IF(KitchenHandleFinish="Match carcass",IF(ISERROR(FIND("Walnut",KitchenCarcassMaterial))=FALSE,(0.035*0.075*($C42/1000))*VLOOKUP("Walnut (solid m3)",SolidData,4,FALSE),IF(ISERROR(FIND("Oak",KitchenCarcassMaterial))=FALSE,(0.035*0.075*($C42/1000))*VLOOKUP("Oak (solid m3)",SolidData,4,FALSE),IF(ISERROR(FIND("ply",KitchenCarcassMaterial))=FALSE,(0.1*($C42/1000))*VLOOKUP("Birch ply (24mm)",SheetsData,7,FALSE),IF(ISERROR(FIND("H/F",KitchenCarcassMaterial))=FALSE,(0.1*($C42/1000))*VLOOKUP("H/F (22mm)",SheetsData,7,FALSE),"Carcass - not tower - new material")))),IF(KitchenHandleFinish="Match door",IF(ISERROR(FIND("Walnut",KitchenDoorMaterial))=FALSE,(0.035*0.075*($C42/1000))*VLOOKUP("Walnut (solid m3)",SolidData,4,FALSE),IF(ISERROR(FIND("Oak",KitchenDoorMaterial))=FALSE,(0.035*0.075*($C42/1000))*VLOOKUP("Oak (solid m3)",SolidData,4,FALSE),IF(ISERROR(FIND("ply",KitchenDoorMaterial))=FALSE,(0.1*($C42/1000))*VLOOKUP("Birch ply (24mm)",SheetsData,7,FALSE),IF(ISERROR(FIND("H/F",KitchenCarcassMaterial))=FALSE,(0.1*($C42/1000))*VLOOKUP("H/F (22mm)",SheetsData,7,FALSE),"Door - not tower - new material")))),"Channel - not tower - handle set to other")),IF(ISERROR(FIND("Tower",$A42))=FALSE,IF(KitchenHandleFinish="Match carcass",IF(ISERROR(FIND("Walnut",KitchenCarcassMaterial))=FALSE,(0.035*0.075*($B42/1000))*VLOOKUP("Walnut (solid m3)",SolidData,4,FALSE),IF(ISERROR(FIND("Oak",KitchenCarcassMaterial))=FALSE,(0.035*0.075*($B42/1000))*VLOOKUP("Oak (solid m3)",SolidData,4,FALSE),IF(ISERROR(FIND("ply",KitchenCarcassMaterial))=FALSE,(0.1*($B42/1000))*VLOOKUP("Birch ply (24mm)",SheetsData,7,FALSE),IF(ISERROR(FIND("H/F",KitchenCarcassMaterial))=FALSE,(0.1*($C42/1000))*VLOOKUP("H/F (22mm)",SheetsData,7,FALSE),"Carcass - tower - new material")))),IF(KitchenHandleFinish="Match door",IF(ISERROR(FIND("Walnut",KitchenDoorMaterial))=FALSE,(0.035*0.075*($B42/1000))*VLOOKUP("Walnut (solid m3)",SolidData,4,FALSE),IF(ISERROR(FIND("Oak",KitchenDoorMaterial))=FALSE,(0.035*0.075*($B42/1000))*VLOOKUP("Oak (solid m3)",SolidData,4,FALSE),IF(ISERROR(FIND("ply",KitchenDoorMaterial))=FALSE,(0.1*($B42/1000))*VLOOKUP("Birch ply (24mm)",SheetData,7,FALSE),IF(ISERROR(FIND("H/F",KitchenCarcassMaterial))=FALSE,(0.1*($C42/1000))*VLOOKUP("H/F (22mm)",SheetsData,7,FALSE),"Door - tower - new material")))),"Channel - tower - handle set to other")))),"")</f>
        <v/>
      </c>
    </row>
    <row r="43">
      <c r="A43" s="151" t="s">
        <v>151</v>
      </c>
      <c r="B43" s="115">
        <f t="shared" si="1"/>
        <v>1100</v>
      </c>
      <c r="C43" s="115" t="str">
        <f>IFERROR(__xludf.DUMMYFUNCTION("IF(A43="""","""",IF(OR(RIGHT(A43,LEN(A43)-len(regexextract(A43,"".* "")))=""1200"",RIGHT(A43,LEN(A43)-len(regexextract(A43,"".* "")))=""600"",RIGHT(A43,LEN(A43)-len(regexextract(A43,"".* "")))=""400"",RIGHT(A43,LEN(A43)-len(regexextract(A43,"".* "")))=""3"&amp;"00"",RIGHT(A43,LEN(A43)-len(regexextract(A43,"".* "")))=""700"",RIGHT(A43,LEN(A43)-len(regexextract(A43,"".* "")))=""2400"",RIGHT(A43,LEN(A43)-len(regexextract(A43,"".* "")))=""650"",RIGHT(A43,LEN(A43)-len(regexextract(A43,"".* "")))=""350"",RIGHT(A43,LEN"&amp;"(A43)-len(regexextract(A43,"".* "")))=""50""),RIGHT(A43,LEN(A43)-len(regexextract(A43,"".* ""))),IF(OR(ISERROR(FIND(""spacer"",A43))=FALSE,ISERROR(FIND(""filler panel"",A43))=FALSE),""1000"",""Unexpected size in description"")))"),"700")</f>
        <v>700</v>
      </c>
      <c r="D43" s="151" t="str">
        <f t="shared" si="2"/>
        <v/>
      </c>
      <c r="E43" s="152">
        <f>IFERROR(__xludf.DUMMYFUNCTION("IF(OR(A43="""",AND(ISERROR(FIND(""drawer box"",A43))=FALSE,KitchenDrawerType="""")),"""",IF(OR(ISERROR(FIND(""larder"",A43))=FALSE,ISERROR(FIND(""fridge/freezer"",A43))=FALSE,ISERROR(FIND(""double oven"",A43))=FALSE,ISERROR(FIND(""single oven"",A43))=FALS"&amp;"E),VLOOKUP(LEFT(A43,FIND("" "",A43))&amp;""carcass ""&amp;RIGHT(A43,LEN(A43)-(LEN(A43)-3)),KitchensData,5,0),IF(ISERROR(FIND(""sink"",A43))=FALSE,VLOOKUP(LEFT(A43,FIND("" "",A43))&amp;""carcass ""&amp;VALUE(REGEXREPLACE(A43,""[^[:digit:]]"", """")),KitchensData,5,0)+(((C"&amp;"43/1000)*(300/1000))*VLOOKUP(KitchenCarcassMaterial,SheetsData,8,0)),IF(ISERROR(FIND(""bins"",A43))=FALSE,IF(ISERROR(FIND(""veneer"",KitchenCarcassMaterial))=FALSE,VLOOKUP(""Base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600"",A43))=FALSE,IF(ISERROR(FIND(""veneer"""&amp;",KitchenCarcassMaterial))=FALSE,0.54*(VLOOKUP(LEFT(KitchenCarcassMaterial,FIND(""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1200"",A43))=FALSE,"&amp;"IF(ISERROR(FIND(""veneer"",KitchenCarcassMaterial))=FALSE,0.84*(VLOOKUP(LEFT(KitchenCarcassMaterial,FIND(""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600"",A43))=FALSE,IF(ISERROR(FIND(""veneer"",KitchenCarcassMaterial))=FALSE,1.44*(VLOOKUP(LEFT(KitchenCarcassMaterial,FIND(""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1200"",A43))=FALSE,IF(ISERROR(FIND(""veneer"",KitchenCarcassMaterial))=FALSE,2.7*(VLOOKUP(LEFT(KitchenCarcassMaterial,FIND(""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front"",A43))=FALSE,((B43/1000)*(C43/1000))*VLOOKUP(KitchenDoorMaterial,SheetsData,8,0),IF(AND(KitchenDrawerType=""Match carcass"",ISERROR(FIND(""drawer box"",A43))=FALSE),(((((B43/1000)*(C43/1000))+((B43/1000"&amp;")*(D43/1000)))*2)*VLOOKUP(KitchenCarcassMaterial,SheetsData,8,0))+(((C43/1000)*(D43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box"",A43))=FALSE),(((((B43/1000)*(C43/1000))+((B43/1000)*(D43/1000)))*2)*(16/1000)*VLOOKUP(LEFT(KitchenCarcassMaterial,FIND("" "&amp;""",KitchenCarcassMaterial))&amp;""(solid m3)"",SolidData,5,0))+(((C43/1000)*(D43/1000))*VLOOKUP(LEFT(KitchenCarcassMaterial,FIND(""("",KitchenCarcassMaterial)-1)&amp;IF(OR(ISERROR(FIND(""ply"",KitchenCarcassMaterial))=FALSE,ISERROR(FIND(""H/F"",KitchenCarcassMate"&amp;"rial))=FALSE),""(9mm)"",""(10mm)""),SheetsData,8,0)),IF(ISERROR(FIND(""spacer"",A43))=FALSE,((D43/1000)*(C43/1000))*VLOOKUP(""Poplar ply (18mm)"",SheetsData,8,0),IF(ISERROR(FIND(""filler panel"",A43))=FALSE,((B43/1000)*(C43/1000))*VLOOKUP(KitchenDoorMater"&amp;"ial,SheetsData,8,0),IF(ISERROR(FIND(""shelf"",A43))=FALSE,((D43/1000)*(C43/1000))*VLOOKUP(KitchenCarcassMaterial,SheetsData,8,0),IF(ISERROR(FIND(""lost corner"",A43))=FALSE,VLOOKUP(LEFT(A43,FIND("" "",A43))&amp;""carcass ""&amp;VALUE(REGEXREPLACE(A43,""[^[:digit:"&amp;"]]"", """")),KitchensData,5,0)+((((B43/1000)*(C43/1000))+((B43/1000)*(60/1000)))*VLOOKUP(KitchenCarcassMaterial,SheetsData,8,0)),IF(ISERROR(FIND(""carcass"",A43))=FALSE,(((((B43/1000)*2)*(D43/1000))+(((C43/1000)*2)*(D43/1000)))*VLOOKUP(KitchenCarcassMater"&amp;"ial,SheetsData,8,0))+((B43/1000)*(C43/1000))*VLOOKUP(LEFT(KitchenCarcassMaterial,FIND(""("",KitchenCarcassMaterial)-1)&amp;IF(OR(ISERROR(FIND(""ply"",KitchenCarcassMaterial))=FALSE,ISERROR(FIND(""H/F"",KitchenCarcassMaterial))=FALSE),""(9mm)"",""(10mm)""),She"&amp;"etsData,8,0),IF(OR(ISERROR(FIND(""Plinth"",A43))=FALSE,ISERROR(FIND(""Cornice (flat)"",A43))=FALSE),((B43/1000)*(C43/1000))*VLOOKUP(""H/F (18mm)"",SheetsData,8,0),IF(ISERROR(FIND(""Cornice (stacked)"",A43))=FALSE,((0.08*(C43/1000))*2)*VLOOKUP(""H/F (22mm)"&amp;""",SheetsData,8,0),IF(ISERROR(FIND(""Base end panel"",A43))=FALSE,VLOOKUP(KitchenDoorMaterial,SheetsData,5,0)/3,IF(ISERROR(FIND(""Wall end panel"",A43))=FALSE,VLOOKUP(KitchenDoorMaterial,SheetsData,5,0)/9,IF(ISERROR(FIND(""Tower end panel"",A43))=FALSE,VL"&amp;"OOKUP(KitchenDoorMaterial,SheetsData,5,0),IF(ISERROR(FIND(""Fillers"",A43))=FALSE,(((0.06*(C43/1000))*2)*VLOOKUP(""H/F (18mm)"",SheetsData,8,0))+(((0.06*(C43/1000))*2)*VLOOKUP(""H/F (9mm)"",SheetsData,8,0)),IF(ISERROR(FIND(""corner post"",A43))=FALSE,(((B"&amp;"43/1000)*0.05)*2)*VLOOKUP(KitchenDoorMaterial,SheetsData,8,0),IF(ISERROR(FIND(""Pelmet"",A43))=FALSE,((((B43/1000)*(C43/1000))*2)*VLOOKUP(""H/F (18mm)"",SheetsData,8,0)),IF(ISERROR(FIND(""door"",A43))=TRUE,""Check description"",IF(KitchenDoorStyle=""Flat"&amp;""",((B43/1000)*(C43/1000))*VLOOKUP(KitchenDoorMaterial,SheetsData,8,0),IF(LEFT(KitchenDoorStyle,5)=""Panel"",(((((B43/1000)*2)*0.08)+((((C43/1000)-0.16)*2)*0.08))*VLOOKUP(""H/F (22mm)"",SheetsData,8,0))+(((B43/1000)-0.14)*((C43/1000)-0.14)*VLOOKUP(""H/F ("&amp;"9mm)"",SheetsData,8,0)),IF(KitchenDoorStyle=""In-frame flat"",((((((B43/1000)*0.019)*0.038)+((((C43-38)/1000)*0.038)*0.038))*2)*VLOOKUP(""Tulip (solid m3)"",SolidData,5,0))+(((B43-76)/1000)*((C43-38)/1000))*VLOOKUP(""H/F (22mm)"",SheetsData,8,0),IF(LEFT(K"&amp;"itchenDoorStyle,14)=""In-frame panel"",(((((((B43/1000)*0.019)*0.038)+((((C43-38)/1000)*0.038)*0.038))*2)*VLOOKUP(""Tulip (solid m3)"",SolidData,5,0))+(((((((B43-76)/1000)*2)*0.08)+(((((C43-198)/1000)*2)*0.08)))*VLOOKUP(""H/F (22mm)"",SheetsData,8,0))+((("&amp;"B43-216)/1000)*((C43-178)/1000)*VLOOKUP(""H/F (9mm)"",SheetsData,8,0)))))))))))))))))))))))))))))))))"),14.213753023380812)</f>
        <v>14.21375302</v>
      </c>
      <c r="F43" s="152" t="str">
        <f>IFERROR(__xludf.DUMMYFUNCTION("IF(OR(A43="""",AND(ISERROR(FIND(""drawer box"",A43))=FALSE,KitchenDrawerType=""Solid dovetail"")),"""",IF(ISERROR(FIND(""bins"",A43))=FALSE,VLOOKUP(""Base carcass 600"",KitchensData,6,0),IF(OR(ISERROR(FIND(""larder"",A43))=FALSE,ISERROR(FIND(""unit"",A43)"&amp;")=FALSE),VLOOKUP(LEFT(A43,FIND("" "",A43))&amp;""carcass ""&amp;RIGHT(A43,LEN(A43)-len(regexextract(A43,"".* ""))),KitchensData,6,0),IF(ISERROR(FIND(""drawer front"",A43))=FALSE,IF(ISERROR(FIND(""veneer"",KitchenCarcassMaterial))=TRUE,0,(((B43+C43)/1000)*2)*VLOOK"&amp;"UP(""Edge banding (per M)"",SheetsData,5,0)),IF(ISERROR(FIND(""drawer box"",A43))=FALSE,IF(ISERROR(FIND(""veneer"",KitchenCarcassMaterial))=TRUE,0,(((C43+D43)/1000)*2)*VLOOKUP(""Edge banding (per M)"",SheetsData,5,0)),IF(ISERROR(FIND(""shelf"",A43))=FALSE"&amp;",IF(ISERROR(FIND(""veneer"",KitchenCarcassMaterial))=TRUE,0,(C43/1000)*VLOOKUP(""Edge banding (per M)"",SheetsData,5,0)),IF(AND(ISERROR(FIND(""carcass"",A43))=FALSE,ISERROR(FIND(""shelf"",A43))=TRUE),IF(ISERROR(FIND(""veneer"",KitchenCarcassMaterial))=TRU"&amp;"E,0,((2*(B43+C43))/1000)*VLOOKUP(""Edge banding (per M)"",SheetsData,5,0)),IF(ISERROR(FIND(""door"",A43))=TRUE,"""",IF(ISERROR(FIND(""veneer"",KitchenDoorMaterial))=TRUE,"""",((2*(B43+C43))/1000)*VLOOKUP(""Edge banding (per M)"",SheetsData,5,0))))))))))"),"")</f>
        <v/>
      </c>
      <c r="G43" s="153" t="str">
        <f>IF(A43="","",IF(ISERROR(FIND("bins",A43))=FALSE,VLOOKUP("Base carcass 600",KitchensData,7,0),IF(OR(ISERROR(FIND("larder",A43))=FALSE,ISERROR(FIND("fridge/freezer",A43))=FALSE,ISERROR(FIND("double oven",A43))=FALSE,ISERROR(FIND("single oven",A43))=FALSE),VLOOKUP(LEFT(A43,FIND(" ",A43))&amp;"carcass "&amp;RIGHT(A43,LEN(A43)-(LEN(A43)-3)),KitchensData,7,0),IF(AND(ISERROR(FIND("carcass",A43))=FALSE,ISERROR(FIND("shelf",A43))=TRUE),IF(OR(ISERROR(FIND("Base",A43))=FALSE,ISERROR(FIND("Tower",A43))=FALSE),IF(OR(ISERROR(FIND("1200",A43))=FALSE, ISERROR(FIND("lost corner",A43))=FALSE),6*VLOOKUP("Plinth foot (2 Parts 80mm)",FurnitureData,5,0),4*VLOOKUP("Plinth foot (2 Parts 80mm)",FurnitureData,5,0)),""),""))))</f>
        <v/>
      </c>
      <c r="H43" s="153">
        <f>IF(OR(A43="",ISERROR(FIND("door",A43))=TRUE),"",IF(ISERROR(FIND("Wall",A43))=FALSE,VLOOKUP("Hinges &amp; plates (Hettich thick door)",FurnitureData,5,0)*2,IF(ISERROR(FIND("Base",A43))=FALSE,VLOOKUP("Hinges &amp; plates (Hettich thick door)",FurnitureData,5,0)*3,IF(ISERROR(FIND("Boiler",A43))=FALSE,VLOOKUP("Hinges &amp; plates (Hettich thick door)",FurnitureData,5,0)*4,IF(ISERROR(FIND("Tower",A43))=FALSE,VLOOKUP("Hinges &amp; plates (Hettich thick door)",FurnitureData,5,0)*5)))))</f>
        <v>13.88</v>
      </c>
      <c r="I43" s="115" t="str">
        <f>IF(ISERROR(FIND("shelf",A43))=FALSE,(VLOOKUP("Shelf pegs",FurnitureData,5,0)/100)*4,"")</f>
        <v/>
      </c>
      <c r="J43" s="152" t="str">
        <f>IF(OR(ISERROR(FIND("fridge/freezer",A43))=FALSE,ISERROR(FIND("larder",A43))=FALSE,AND(ISERROR(FIND("Base",A43))=FALSE,ISERROR(FIND("bins",A43))=TRUE,ISERROR(FIND("no shelves",A43))=TRUE,OR(ISERROR(FIND("carcass",A43))=FALSE,ISERROR(FIND("unit",A43))=FALSE))),VLOOKUP("Deep shelf "&amp;C43,KitchensData,18,0),IF(AND(ISERROR(FIND("Wall",A43))=FALSE,ISERROR(FIND("carcass",A43))=FALSE),2*VLOOKUP("Shallow shelf "&amp;C43,KitchensData,18,0),IF(AND(ISERROR(FIND("Tower",A43))=FALSE,ISERROR(FIND("oven",A43))=FALSE),4*VLOOKUP("Deep shelf "&amp;C43,KitchensData,18,0),IF(AND(ISERROR(FIND("Tower",A43))=FALSE,ISERROR(FIND("carcass",A43))=FALSE),5*VLOOKUP("Deep shelf "&amp;C43,KitchensData,18,0),""))))</f>
        <v/>
      </c>
      <c r="K43" s="152" t="str">
        <f>IF(ISERROR(FIND("sink",A43))=FALSE,VLOOKUP("Sink liner - Aluminium "&amp;RIGHT(A43,LEN(A43)-22)&amp;"mm",ExceptionalData,5,0),IF(ISERROR(FIND("bins",A43))=FALSE,VLOOKUP("Drawer runners and clip set for bin unit (500) Dynapro",FurnitureData,5,0)+(2*VLOOKUP("Bin (42L Anthracite)",FurnitureData,5,0)),IF(ISERROR(FIND("larder",A43))=FALSE,VLOOKUP("Pull out larder unit 600mm",FurnitureData,5,0),IF(AND(ISERROR(FIND("drawer box",A43))=FALSE,ISERROR(FIND("internal",A43))=TRUE),VLOOKUP("Drawer runners and clip set (550) Dynapro",FurnitureData,5,0),IF(ISERROR(FIND("internal drawer box",A43))=FALSE,VLOOKUP("Drawer runners and clip set (450) Dynapro",FurnitureData,5,0),"")))))</f>
        <v/>
      </c>
      <c r="L43" s="152">
        <f t="shared" si="3"/>
        <v>28.09375302</v>
      </c>
      <c r="M43" s="154">
        <f>IFERROR(__xludf.DUMMYFUNCTION("IF(A43="""","""",IF(OR(ISERROR(FIND(""larder"",A43))=FALSE,ISERROR(FIND(""unit"",A43))=FALSE),VLOOKUP(LEFT(A43,FIND("" "",A43))&amp;""carcass ""&amp;RIGHT(A43,LEN(A43)-len(regexextract(A43,"".* ""))),KitchensData,13,0),IF(ISERROR(FIND(""bins"",A43))=FALSE,0.95,IF"&amp;"(ISERROR(FIND(""Cutlery insert 600"",A43))=FALSE,1.3,IF(ISERROR(FIND(""Cutlery insert 1200"",A43))=FALSE,2,IF(ISERROR(FIND(""Pan/tray rack 600"",A43))=FALSE,3.25,IF(ISERROR(FIND(""Pan/tray rack 1200"",A43))=FALSE,5.9,IF(ISERROR(FIND(""split"",A43))=FALSE,"&amp;"(((C43/1000)*0.022)*2)+VLOOKUP(SUBSTITUTE(A43,"" split"",""""),KitchensData,13,0),IF(AND(ISERROR(FIND(""drawer front"",A43))=FALSE,KitchenDoorStyle=""Flat""),(((B43/1000)*(C43/1000))*2)+((((B43+C43)/1000)*2)*0.022),IF(AND(ISERROR(FIND(""drawer front"",A43"&amp;"))=FALSE,LEFT(KitchenDoorStyle,5)=""Panel""),(((B43/1000)*(C43/1000))*2)+((((B43+C43)/1000)*2)*0.022)+((((C43/1000)-0.16)*0.013)*2)+((((D43/1000)-0.16)*0.013)*2),IF(AND(ISERROR(FIND(""drawer front"",A43))=FALSE,KitchenDoorStyle=""In-frame flat""),((((B43-"&amp;"76)/1000)*((C43-38)/1000))*2)+(MID(KitchenDoorMaterial,FIND(""("",KitchenDoorMaterial)+1,2)/1000)*((((B43-76)+(C43-38))/1000)*2)+(((B43/1000)*0.032)*2)+((((B43-76)/1000)*0.032)*2)+(((B43/1000)*0.019)*4)+(((C43/1000)*0.032)*2)+((((C43-38)/1000)*0.032)*2)+("&amp;"((C43/1000)*0.038)*4),IF(AND(ISERROR(FIND(""drawer front"",A43))=FALSE,LEFT(KitchenDoorStyle,14)=""In-frame panel""),((((B43-76)/1000)*((C43-38)/1000))*2)+((MID(KitchenDoorMaterial,FIND(""("",KitchenDoorMaterial)+1,2)/1000)*((((B43-76)+(C43-38))/1000)*2))"&amp;"+((((B43-236)/1000)+((C43-198)/1000)*2)*0.013)+(((B43/1000)*0.032)*2)+((((B43-76)/1000)*0.032)*2)+(((B43/1000)*0.019)*4)+(((C43/1000)*0.032)*2)+((((C43-38)/1000)*0.032)*2)+(((C43/1000)*0.038)*4),IF(ISERROR(FIND(""drawer box"",A43))=FALSE,((((B43/1000)*(D4"&amp;"3/1000))+((B43/1000)*(C43/1000)))*4)+((((D43/1000)+(C43/1000))*0.016)*4)+(((C43/1000)*(D43/1000))*2),IF(OR(ISERROR(FIND(""shelf"",A43))=FALSE,ISERROR(FIND(""spacer"",A43))=FALSE,,ISERROR(FIND(""filler panel"",A43))=FALSE),(((C43/1000)*(D43/1000))*2)+((((C"&amp;"43+D43)*2)/1000)*0.022),IF(ISERROR(FIND(""lost corner"",A43))=FALSE,(((B43/1000)*(C43/1000))*2)+((B43/1000)*(C43/1000))+((B43/1000)*((C43/2)/1000))+((((B43/1000)*0.025)+((C43/1000)*0.025))*2),IF(ISERROR(FIND(""carcass"",A43))=FALSE,(((C43/1000)*(D43/1000)"&amp;")*2)+(((B43/1000)*(D43/1000))*2)+((B43/1000)*(C43/1000))+((((B43/1000)*0.025)+((C43/1000)*0.025))*2),IF(AND(ISERROR(FIND(""door"",A43))=FALSE,KitchenDoorStyle=""Flat""),(((B43/1000)*(C43/1000))*2)+(MID(KitchenDoorMaterial,FIND(""("",KitchenDoorMaterial)+1"&amp;",2)/1000)*(((B43+C43)/1000)*2),IF(AND(ISERROR(FIND(""door"",A43))=FALSE,LEFT(KitchenDoorStyle,5)=""Panel""),(((B43/1000)*(C43/1000))*2)+((MID(KitchenDoorMaterial,FIND(""("",KitchenDoorMaterial)+1,2)/1000)*(((B43+C43)/1000)*2))+(((((B43-160)+(C43-160))*2)/"&amp;"1000)*(0.013)),IF(AND(ISERROR(FIND(""door"",A43))=FALSE,KitchenDoorStyle=""In-frame flat""),((((B43-76)/1000)*((C43-38)/1000))*2)+(MID(KitchenDoorMaterial,FIND(""("",KitchenDoorMaterial)+1,2)/1000)*((((B43-76)+(C43-38))/1000)*2)+(((B43/1000)*0.032)*2)+((("&amp;"(B43-76)/1000)*0.032)*2)+(((B43/1000)*0.019)*4)+(((C43/1000)*0.032)*2)+((((C43-38)/1000)*0.032)*2)+(((C43/1000)*0.038)*4),IF(AND(ISERROR(FIND(""door"",A43))=FALSE,LEFT(KitchenDoorStyle,14)=""In-frame panel""),((((B43-76)/1000)*((C43-38)/1000))*2)+((MID(Ki"&amp;"tchenDoorMaterial,FIND(""("",KitchenDoorMaterial)+1,2)/1000)*((((B43-76)+(C43-38))/1000)*2))+((((B43-236)/1000)+((C43-198)/1000)*2)*0.013)+(((B43/1000)*0.032)*2)+((((B43-76)/1000)*0.032)*2)+(((B43/1000)*0.019)*4)+(((C43/1000)*0.032)*2)+((((C43-38)/1000)*0"&amp;".032)*2)+(((C43/1000)*0.038)*4),IF(ISERROR(FIND(""Plinth"",A43))=FALSE,((B43/1000)*(C43/1000))+(((C43/1000)*0.018)*2)+(((B43/1000)*0.018)*2),IF(ISERROR(FIND(""Cornice"",A43))=FALSE,(((C43/1000)*0.1)*2)+(((C43/1000)*0.044)*2)+(((B43/1000)*0.08)*2),IF(ISERR"&amp;"OR(FIND(""Base end panel"",A43))=FALSE,((B43/1000)*(C43/1000))+(0.022*((B43/1000)+((C43/1000)*2)))+((B43/1000)*0.05),IF(ISERROR(FIND(""Wall end panel"",A43))=FALSE,((B43/1000)*(C43/1000))+(0.022*((B43/1000)+((C43/1000)*2)))+((B43/1000)*0.05),IF(ISERROR(FI"&amp;"ND(""Tower end panel"",A43))=FALSE,((B43/1000)*(C43/1000))+(0.022*((B43/1000)+((C43/1000)*2)))+((B43/1000)*0.05),IF(ISERROR(FIND(""Fillers"",A43))=FALSE,((C43/1000)*0.06)+((C43/1000)*0.069)+((0.06*0.018)*2)+((0.06*0.009)*2)+((C43/1000)*0.009)+((C43/1000)*"&amp;"0.018),IF(ISERROR(FIND(""corner post"",A43))=FALSE,(((B43/1000*0.05)*2)+((B43/1000)*0.022)*2)+((B43/1000)*0.072)+((B43/1000)*0.05)+((0.072*0.022)*2)+((0.05*0.022)*2),IF(ISERROR(FIND(""Pelmet"",A43))=FALSE,((C43/1000)*0.05)+((C43/1000)*0.068)+((0.05*0.018)"&amp;"*4)+(((C43/1000)*0.018))*2))))))))))))))))))))))))))))"),1.6192)</f>
        <v>1.6192</v>
      </c>
      <c r="N43" s="152">
        <f>IF(M43="","",IF(AND(ISERROR(FIND("carcass",A43))=TRUE,ISERROR(FIND("unit",A43))=TRUE,ISERROR(FIND("insert",A43))=TRUE,ISERROR(FIND("rack",A43))=TRUE,ISERROR(FIND("box",A43))=TRUE,ISERROR(FIND("shelf",#REF!))=TRUE),VLOOKUP(KitchenDoorFinish,Finishing!$A$2:$K$10,9,0)*M43,VLOOKUP(KitchenCarcassFinish,Finishing!$A$2:$K$40,9,0)*M43))</f>
        <v>12.144</v>
      </c>
      <c r="O43" s="155">
        <v>1.0</v>
      </c>
      <c r="P43" s="155">
        <v>1.0</v>
      </c>
      <c r="Q43" s="152">
        <f>IF(OR(O43="",P43=""),"",((O43*X43)*(VLOOKUP("Workshop",Labour!$A$3:$E$20,4,0)/8))+((P43*AE43)*(VLOOKUP("Finishing",Labour!$A$3:$E$20,4,0)/8)))</f>
        <v>155.75</v>
      </c>
      <c r="R43" s="152">
        <f t="shared" si="4"/>
        <v>195.987753</v>
      </c>
      <c r="S43" s="156">
        <f>IF(OR(O43="",P43=""),"",IF(OR(ISERROR(FIND("carcass",$A43))=FALSE,ISERROR(FIND("unit",$A43))=FALSE),VLOOKUP(KitchenCarcassMaterial,FixedListsCarcassMaterial,2,0),0))</f>
        <v>0</v>
      </c>
      <c r="T43" s="156">
        <f>IF(OR(O43="",P43=""),"",IF(ISERROR(FIND("door",$A43))=FALSE,VLOOKUP(KitchenDoorStyle,FixedListsDoorStyle,2,0),0))</f>
        <v>1</v>
      </c>
      <c r="U43" s="156">
        <f>IF(OR(O43="",P43=""),"",IF(ISERROR(FIND("door",$A43))=FALSE,VLOOKUP(KitchenDoorMaterial,FixedListsDoorMaterial,2,0),0))</f>
        <v>1</v>
      </c>
      <c r="V43" s="156">
        <f>IF(OR(O43="",P43=""),"",IF(ISERROR(FIND("drawer",$A43))=FALSE,VLOOKUP(KitchenDrawerType,FixedListsDrawerType,2,0),0))</f>
        <v>0</v>
      </c>
      <c r="W43" s="156">
        <f>IF(OR(O43="",P43=""),"",IF(OR(S43&gt;0, T43&gt;0,V43&gt;0),VLOOKUP(KitchenHandleType,FixedListsHandleType,2,FALSE)*IF(KitchenHandleType="Simple",0,IF(S43&gt;0,VLOOKUP(KitchenHandleType,FixedListsHandleType,4,FALSE),IF(OR(T43&gt;0,V43&gt;0),1-VLOOKUP(KitchenHandleType,FixedListsHandleType,4,FALSE),"Error"))),0))</f>
        <v>0</v>
      </c>
      <c r="X43" s="156">
        <f t="shared" si="5"/>
        <v>1</v>
      </c>
      <c r="Y43" s="156">
        <f>IF(OR(O43="",P43=""),"",IF(OR(ISERROR(FIND("carcass",$A43))=FALSE,ISERROR(FIND("unit",$A43))=FALSE),VLOOKUP(KitchenCarcassMaterial,FixedListsCarcassMaterial,3,0),0))</f>
        <v>0</v>
      </c>
      <c r="Z43" s="156">
        <f>IF(OR(O43="",P43=""),"",IF(ISERROR(FIND("door",$A43))=FALSE,VLOOKUP(KitchenDoorStyle,FixedListsDoorStyle,3,0),0))</f>
        <v>1</v>
      </c>
      <c r="AA43" s="156">
        <f>IF(OR(O43="",P43=""),"",IF(ISERROR(FIND("door",$A43))=FALSE,VLOOKUP(KitchenDoorMaterial,FixedListsDoorMaterial,3,0),0))</f>
        <v>2</v>
      </c>
      <c r="AB43" s="156">
        <f>IF(OR(O43="",P43=""),"",IF(ISERROR(FIND("drawer",$A43))=FALSE,VLOOKUP(KitchenDrawerType,FixedListsDrawerType,3,0),0))</f>
        <v>0</v>
      </c>
      <c r="AC43" s="156">
        <f>IF(OR(O43="",P43=""),"",IF(OR(Y43&gt;0,Z43&gt;0,AB43&gt;0),VLOOKUP(KitchenHandleType,FixedListsHandleType,3,FALSE),0))</f>
        <v>1</v>
      </c>
      <c r="AD43" s="156">
        <f>IF(OR(O43="",P43=""),"",IF(OR(ISERROR(FIND("carcass",$A43))=FALSE,ISERROR(FIND("unit",$A43))=FALSE),VLOOKUP(KitchenCarcassFinish,FixedListsFinishes,3,0),IF(OR(ISERROR(FIND("door",$A43))=FALSE,ISERROR(FIND("Plinth",$A43))=FALSE,ISERROR(FIND("Cornice",$A43))=FALSE,ISERROR(FIND("Fillers",$A43))=FALSE,ISERROR(FIND("Pelmet",$A43))=FALSE,ISERROR(FIND("panel",$A43))=FALSE,ISERROR(FIND("post",$A43))=FALSE),VLOOKUP(KitchenDoorFinish,FixedListsFinishes,3,0),IF(OR(ISERROR(FIND("drawer",$A43))=FALSE,ISERROR(FIND("insert",$A43))=FALSE,ISERROR(FIND("rck",$A43))=FALSE),VLOOKUP(KitchenCarcassFinish,FixedListsFinishes,3,0),0))))</f>
        <v>2</v>
      </c>
      <c r="AE43" s="156">
        <f t="shared" si="6"/>
        <v>4</v>
      </c>
      <c r="AF43" s="157" t="str">
        <f>IF(AND(KitchenHandleType="Channel",OR(ISERROR(FIND("arcass",$A43))=FALSE,ISERROR(FIND("unit",$A43))=FALSE)),IF(ISERROR(FIND("Tower",$A43))=TRUE,IF(KitchenHandleFinish="Match carcass",IF(ISERROR(FIND("Walnut",KitchenCarcassMaterial))=FALSE,(0.035*0.075*($C43/1000))*VLOOKUP("Walnut (solid m3)",SolidData,4,FALSE),IF(ISERROR(FIND("Oak",KitchenCarcassMaterial))=FALSE,(0.035*0.075*($C43/1000))*VLOOKUP("Oak (solid m3)",SolidData,4,FALSE),IF(ISERROR(FIND("ply",KitchenCarcassMaterial))=FALSE,(0.1*($C43/1000))*VLOOKUP("Birch ply (24mm)",SheetsData,7,FALSE),IF(ISERROR(FIND("H/F",KitchenCarcassMaterial))=FALSE,(0.1*($C43/1000))*VLOOKUP("H/F (22mm)",SheetsData,7,FALSE),"Carcass - not tower - new material")))),IF(KitchenHandleFinish="Match door",IF(ISERROR(FIND("Walnut",KitchenDoorMaterial))=FALSE,(0.035*0.075*($C43/1000))*VLOOKUP("Walnut (solid m3)",SolidData,4,FALSE),IF(ISERROR(FIND("Oak",KitchenDoorMaterial))=FALSE,(0.035*0.075*($C43/1000))*VLOOKUP("Oak (solid m3)",SolidData,4,FALSE),IF(ISERROR(FIND("ply",KitchenDoorMaterial))=FALSE,(0.1*($C43/1000))*VLOOKUP("Birch ply (24mm)",SheetsData,7,FALSE),IF(ISERROR(FIND("H/F",KitchenCarcassMaterial))=FALSE,(0.1*($C43/1000))*VLOOKUP("H/F (22mm)",SheetsData,7,FALSE),"Door - not tower - new material")))),"Channel - not tower - handle set to other")),IF(ISERROR(FIND("Tower",$A43))=FALSE,IF(KitchenHandleFinish="Match carcass",IF(ISERROR(FIND("Walnut",KitchenCarcassMaterial))=FALSE,(0.035*0.075*($B43/1000))*VLOOKUP("Walnut (solid m3)",SolidData,4,FALSE),IF(ISERROR(FIND("Oak",KitchenCarcassMaterial))=FALSE,(0.035*0.075*($B43/1000))*VLOOKUP("Oak (solid m3)",SolidData,4,FALSE),IF(ISERROR(FIND("ply",KitchenCarcassMaterial))=FALSE,(0.1*($B43/1000))*VLOOKUP("Birch ply (24mm)",SheetsData,7,FALSE),IF(ISERROR(FIND("H/F",KitchenCarcassMaterial))=FALSE,(0.1*($C43/1000))*VLOOKUP("H/F (22mm)",SheetsData,7,FALSE),"Carcass - tower - new material")))),IF(KitchenHandleFinish="Match door",IF(ISERROR(FIND("Walnut",KitchenDoorMaterial))=FALSE,(0.035*0.075*($B43/1000))*VLOOKUP("Walnut (solid m3)",SolidData,4,FALSE),IF(ISERROR(FIND("Oak",KitchenDoorMaterial))=FALSE,(0.035*0.075*($B43/1000))*VLOOKUP("Oak (solid m3)",SolidData,4,FALSE),IF(ISERROR(FIND("ply",KitchenDoorMaterial))=FALSE,(0.1*($B43/1000))*VLOOKUP("Birch ply (24mm)",SheetData,7,FALSE),IF(ISERROR(FIND("H/F",KitchenCarcassMaterial))=FALSE,(0.1*($C43/1000))*VLOOKUP("H/F (22mm)",SheetsData,7,FALSE),"Door - tower - new material")))),"Channel - tower - handle set to other")))),"")</f>
        <v/>
      </c>
    </row>
    <row r="44">
      <c r="A44" s="151" t="s">
        <v>152</v>
      </c>
      <c r="B44" s="115">
        <f t="shared" si="1"/>
        <v>140</v>
      </c>
      <c r="C44" s="115" t="str">
        <f>IFERROR(__xludf.DUMMYFUNCTION("IF(A44="""","""",IF(OR(RIGHT(A44,LEN(A44)-len(regexextract(A44,"".* "")))=""1200"",RIGHT(A44,LEN(A44)-len(regexextract(A44,"".* "")))=""600"",RIGHT(A44,LEN(A44)-len(regexextract(A44,"".* "")))=""400"",RIGHT(A44,LEN(A44)-len(regexextract(A44,"".* "")))=""3"&amp;"00"",RIGHT(A44,LEN(A44)-len(regexextract(A44,"".* "")))=""700"",RIGHT(A44,LEN(A44)-len(regexextract(A44,"".* "")))=""2400"",RIGHT(A44,LEN(A44)-len(regexextract(A44,"".* "")))=""650"",RIGHT(A44,LEN(A44)-len(regexextract(A44,"".* "")))=""350"",RIGHT(A44,LEN"&amp;"(A44)-len(regexextract(A44,"".* "")))=""50""),RIGHT(A44,LEN(A44)-len(regexextract(A44,"".* ""))),IF(OR(ISERROR(FIND(""spacer"",A44))=FALSE,ISERROR(FIND(""filler panel"",A44))=FALSE),""1000"",""Unexpected size in description"")))"),"2400")</f>
        <v>2400</v>
      </c>
      <c r="D44" s="151" t="str">
        <f t="shared" si="2"/>
        <v/>
      </c>
      <c r="E44" s="152">
        <f>IFERROR(__xludf.DUMMYFUNCTION("IF(OR(A44="""",AND(ISERROR(FIND(""drawer box"",A44))=FALSE,KitchenDrawerType="""")),"""",IF(OR(ISERROR(FIND(""larder"",A44))=FALSE,ISERROR(FIND(""fridge/freezer"",A44))=FALSE,ISERROR(FIND(""double oven"",A44))=FALSE,ISERROR(FIND(""single oven"",A44))=FALS"&amp;"E),VLOOKUP(LEFT(A44,FIND("" "",A44))&amp;""carcass ""&amp;RIGHT(A44,LEN(A44)-(LEN(A44)-3)),KitchensData,5,0),IF(ISERROR(FIND(""sink"",A44))=FALSE,VLOOKUP(LEFT(A44,FIND("" "",A44))&amp;""carcass ""&amp;VALUE(REGEXREPLACE(A44,""[^[:digit:]]"", """")),KitchensData,5,0)+(((C"&amp;"44/1000)*(300/1000))*VLOOKUP(KitchenCarcassMaterial,SheetsData,8,0)),IF(ISERROR(FIND(""bins"",A44))=FALSE,IF(ISERROR(FIND(""veneer"",KitchenCarcassMaterial))=FALSE,VLOOKUP(""Base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600"",A44))=FALSE,IF(ISERROR(FIND(""veneer"""&amp;",KitchenCarcassMaterial))=FALSE,0.54*(VLOOKUP(LEFT(KitchenCarcassMaterial,FIND(""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1200"",A44))=FALSE,"&amp;"IF(ISERROR(FIND(""veneer"",KitchenCarcassMaterial))=FALSE,0.84*(VLOOKUP(LEFT(KitchenCarcassMaterial,FIND(""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600"",A44))=FALSE,IF(ISERROR(FIND(""veneer"",KitchenCarcassMaterial))=FALSE,1.44*(VLOOKUP(LEFT(KitchenCarcassMaterial,FIND(""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1200"",A44))=FALSE,IF(ISERROR(FIND(""veneer"",KitchenCarcassMaterial))=FALSE,2.7*(VLOOKUP(LEFT(KitchenCarcassMaterial,FIND(""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front"",A44))=FALSE,((B44/1000)*(C44/1000))*VLOOKUP(KitchenDoorMaterial,SheetsData,8,0),IF(AND(KitchenDrawerType=""Match carcass"",ISERROR(FIND(""drawer box"",A44))=FALSE),(((((B44/1000)*(C44/1000))+((B44/1000"&amp;")*(D44/1000)))*2)*VLOOKUP(KitchenCarcassMaterial,SheetsData,8,0))+(((C44/1000)*(D44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box"",A44))=FALSE),(((((B44/1000)*(C44/1000))+((B44/1000)*(D44/1000)))*2)*(16/1000)*VLOOKUP(LEFT(KitchenCarcassMaterial,FIND("" "&amp;""",KitchenCarcassMaterial))&amp;""(solid m3)"",SolidData,5,0))+(((C44/1000)*(D44/1000))*VLOOKUP(LEFT(KitchenCarcassMaterial,FIND(""("",KitchenCarcassMaterial)-1)&amp;IF(OR(ISERROR(FIND(""ply"",KitchenCarcassMaterial))=FALSE,ISERROR(FIND(""H/F"",KitchenCarcassMate"&amp;"rial))=FALSE),""(9mm)"",""(10mm)""),SheetsData,8,0)),IF(ISERROR(FIND(""spacer"",A44))=FALSE,((D44/1000)*(C44/1000))*VLOOKUP(""Poplar ply (18mm)"",SheetsData,8,0),IF(ISERROR(FIND(""filler panel"",A44))=FALSE,((B44/1000)*(C44/1000))*VLOOKUP(KitchenDoorMater"&amp;"ial,SheetsData,8,0),IF(ISERROR(FIND(""shelf"",A44))=FALSE,((D44/1000)*(C44/1000))*VLOOKUP(KitchenCarcassMaterial,SheetsData,8,0),IF(ISERROR(FIND(""lost corner"",A44))=FALSE,VLOOKUP(LEFT(A44,FIND("" "",A44))&amp;""carcass ""&amp;VALUE(REGEXREPLACE(A44,""[^[:digit:"&amp;"]]"", """")),KitchensData,5,0)+((((B44/1000)*(C44/1000))+((B44/1000)*(60/1000)))*VLOOKUP(KitchenCarcassMaterial,SheetsData,8,0)),IF(ISERROR(FIND(""carcass"",A44))=FALSE,(((((B44/1000)*2)*(D44/1000))+(((C44/1000)*2)*(D44/1000)))*VLOOKUP(KitchenCarcassMater"&amp;"ial,SheetsData,8,0))+((B44/1000)*(C44/1000))*VLOOKUP(LEFT(KitchenCarcassMaterial,FIND(""("",KitchenCarcassMaterial)-1)&amp;IF(OR(ISERROR(FIND(""ply"",KitchenCarcassMaterial))=FALSE,ISERROR(FIND(""H/F"",KitchenCarcassMaterial))=FALSE),""(9mm)"",""(10mm)""),She"&amp;"etsData,8,0),IF(OR(ISERROR(FIND(""Plinth"",A44))=FALSE,ISERROR(FIND(""Cornice (flat)"",A44))=FALSE),((B44/1000)*(C44/1000))*VLOOKUP(""H/F (18mm)"",SheetsData,8,0),IF(ISERROR(FIND(""Cornice (stacked)"",A44))=FALSE,((0.08*(C44/1000))*2)*VLOOKUP(""H/F (22mm)"&amp;""",SheetsData,8,0),IF(ISERROR(FIND(""Base end panel"",A44))=FALSE,VLOOKUP(KitchenDoorMaterial,SheetsData,5,0)/3,IF(ISERROR(FIND(""Wall end panel"",A44))=FALSE,VLOOKUP(KitchenDoorMaterial,SheetsData,5,0)/9,IF(ISERROR(FIND(""Tower end panel"",A44))=FALSE,VL"&amp;"OOKUP(KitchenDoorMaterial,SheetsData,5,0),IF(ISERROR(FIND(""Fillers"",A44))=FALSE,(((0.06*(C44/1000))*2)*VLOOKUP(""H/F (18mm)"",SheetsData,8,0))+(((0.06*(C44/1000))*2)*VLOOKUP(""H/F (9mm)"",SheetsData,8,0)),IF(ISERROR(FIND(""corner post"",A44))=FALSE,(((B"&amp;"44/1000)*0.05)*2)*VLOOKUP(KitchenDoorMaterial,SheetsData,8,0),IF(ISERROR(FIND(""Pelmet"",A44))=FALSE,((((B44/1000)*(C44/1000))*2)*VLOOKUP(""H/F (18mm)"",SheetsData,8,0)),IF(ISERROR(FIND(""door"",A44))=TRUE,""Check description"",IF(KitchenDoorStyle=""Flat"&amp;""",((B44/1000)*(C44/1000))*VLOOKUP(KitchenDoorMaterial,SheetsData,8,0),IF(LEFT(KitchenDoorStyle,5)=""Panel"",(((((B44/1000)*2)*0.08)+((((C44/1000)-0.16)*2)*0.08))*VLOOKUP(""H/F (22mm)"",SheetsData,8,0))+(((B44/1000)-0.14)*((C44/1000)-0.14)*VLOOKUP(""H/F ("&amp;"9mm)"",SheetsData,8,0)),IF(KitchenDoorStyle=""In-frame flat"",((((((B44/1000)*0.019)*0.038)+((((C44-38)/1000)*0.038)*0.038))*2)*VLOOKUP(""Tulip (solid m3)"",SolidData,5,0))+(((B44-76)/1000)*((C44-38)/1000))*VLOOKUP(""H/F (22mm)"",SheetsData,8,0),IF(LEFT(K"&amp;"itchenDoorStyle,14)=""In-frame panel"",(((((((B44/1000)*0.019)*0.038)+((((C44-38)/1000)*0.038)*0.038))*2)*VLOOKUP(""Tulip (solid m3)"",SolidData,5,0))+(((((((B44-76)/1000)*2)*0.08)+(((((C44-198)/1000)*2)*0.08)))*VLOOKUP(""H/F (22mm)"",SheetsData,8,0))+((("&amp;"B44-216)/1000)*((C44-178)/1000)*VLOOKUP(""H/F (9mm)"",SheetsData,8,0)))))))))))))))))))))))))))))))))"),5.186509002956195)</f>
        <v>5.186509003</v>
      </c>
      <c r="F44" s="152" t="str">
        <f>IFERROR(__xludf.DUMMYFUNCTION("IF(OR(A44="""",AND(ISERROR(FIND(""drawer box"",A44))=FALSE,KitchenDrawerType=""Solid dovetail"")),"""",IF(ISERROR(FIND(""bins"",A44))=FALSE,VLOOKUP(""Base carcass 600"",KitchensData,6,0),IF(OR(ISERROR(FIND(""larder"",A44))=FALSE,ISERROR(FIND(""unit"",A44)"&amp;")=FALSE),VLOOKUP(LEFT(A44,FIND("" "",A44))&amp;""carcass ""&amp;RIGHT(A44,LEN(A44)-len(regexextract(A44,"".* ""))),KitchensData,6,0),IF(ISERROR(FIND(""drawer front"",A44))=FALSE,IF(ISERROR(FIND(""veneer"",KitchenCarcassMaterial))=TRUE,0,(((B44+C44)/1000)*2)*VLOOK"&amp;"UP(""Edge banding (per M)"",SheetsData,5,0)),IF(ISERROR(FIND(""drawer box"",A44))=FALSE,IF(ISERROR(FIND(""veneer"",KitchenCarcassMaterial))=TRUE,0,(((C44+D44)/1000)*2)*VLOOKUP(""Edge banding (per M)"",SheetsData,5,0)),IF(ISERROR(FIND(""shelf"",A44))=FALSE"&amp;",IF(ISERROR(FIND(""veneer"",KitchenCarcassMaterial))=TRUE,0,(C44/1000)*VLOOKUP(""Edge banding (per M)"",SheetsData,5,0)),IF(AND(ISERROR(FIND(""carcass"",A44))=FALSE,ISERROR(FIND(""shelf"",A44))=TRUE),IF(ISERROR(FIND(""veneer"",KitchenCarcassMaterial))=TRU"&amp;"E,0,((2*(B44+C44))/1000)*VLOOKUP(""Edge banding (per M)"",SheetsData,5,0)),IF(ISERROR(FIND(""door"",A44))=TRUE,"""",IF(ISERROR(FIND(""veneer"",KitchenDoorMaterial))=TRUE,"""",((2*(B44+C44))/1000)*VLOOKUP(""Edge banding (per M)"",SheetsData,5,0))))))))))"),"")</f>
        <v/>
      </c>
      <c r="G44" s="153" t="str">
        <f>IF(A44="","",IF(ISERROR(FIND("bins",A44))=FALSE,VLOOKUP("Base carcass 600",KitchensData,7,0),IF(OR(ISERROR(FIND("larder",A44))=FALSE,ISERROR(FIND("fridge/freezer",A44))=FALSE,ISERROR(FIND("double oven",A44))=FALSE,ISERROR(FIND("single oven",A44))=FALSE),VLOOKUP(LEFT(A44,FIND(" ",A44))&amp;"carcass "&amp;RIGHT(A44,LEN(A44)-(LEN(A44)-3)),KitchensData,7,0),IF(AND(ISERROR(FIND("carcass",A44))=FALSE,ISERROR(FIND("shelf",A44))=TRUE),IF(OR(ISERROR(FIND("Base",A44))=FALSE,ISERROR(FIND("Tower",A44))=FALSE),IF(OR(ISERROR(FIND("1200",A44))=FALSE, ISERROR(FIND("lost corner",A44))=FALSE),6*VLOOKUP("Plinth foot (2 Parts 80mm)",FurnitureData,5,0),4*VLOOKUP("Plinth foot (2 Parts 80mm)",FurnitureData,5,0)),""),""))))</f>
        <v/>
      </c>
      <c r="H44" s="115" t="str">
        <f>IF(OR(A44="",ISERROR(FIND("door",A44))=TRUE),"",IF(ISERROR(FIND("Wall",A44))=FALSE,VLOOKUP("Hinges &amp; plates (Hettich thick door)",FurnitureData,5,0)*2,IF(ISERROR(FIND("Base",A44))=FALSE,VLOOKUP("Hinges &amp; plates (Hettich thick door)",FurnitureData,5,0)*3,IF(ISERROR(FIND("Boiler",A44))=FALSE,VLOOKUP("Hinges &amp; plates (Hettich thick door)",FurnitureData,5,0)*4,IF(ISERROR(FIND("Tower",A44))=FALSE,VLOOKUP("Hinges &amp; plates (Hettich thick door)",FurnitureData,5,0)*5)))))</f>
        <v/>
      </c>
      <c r="I44" s="115" t="str">
        <f>IF(ISERROR(FIND("shelf",A44))=FALSE,(VLOOKUP("Shelf pegs",FurnitureData,5,0)/100)*4,"")</f>
        <v/>
      </c>
      <c r="J44" s="152" t="str">
        <f>IF(OR(ISERROR(FIND("fridge/freezer",A44))=FALSE,ISERROR(FIND("larder",A44))=FALSE,AND(ISERROR(FIND("Base",A44))=FALSE,ISERROR(FIND("bins",A44))=TRUE,ISERROR(FIND("no shelves",A44))=TRUE,OR(ISERROR(FIND("carcass",A44))=FALSE,ISERROR(FIND("unit",A44))=FALSE))),VLOOKUP("Deep shelf "&amp;C44,KitchensData,18,0),IF(AND(ISERROR(FIND("Wall",A44))=FALSE,ISERROR(FIND("carcass",A44))=FALSE),2*VLOOKUP("Shallow shelf "&amp;C44,KitchensData,18,0),IF(AND(ISERROR(FIND("Tower",A44))=FALSE,ISERROR(FIND("oven",A44))=FALSE),4*VLOOKUP("Deep shelf "&amp;C44,KitchensData,18,0),IF(AND(ISERROR(FIND("Tower",A44))=FALSE,ISERROR(FIND("carcass",A44))=FALSE),5*VLOOKUP("Deep shelf "&amp;C44,KitchensData,18,0),""))))</f>
        <v/>
      </c>
      <c r="K44" s="152" t="str">
        <f>IF(ISERROR(FIND("sink",A44))=FALSE,VLOOKUP("Sink liner - Aluminium "&amp;RIGHT(A44,LEN(A44)-22)&amp;"mm",ExceptionalData,5,0),IF(ISERROR(FIND("bins",A44))=FALSE,VLOOKUP("Drawer runners and clip set for bin unit (500) Dynapro",FurnitureData,5,0)+(2*VLOOKUP("Bin (42L Anthracite)",FurnitureData,5,0)),IF(ISERROR(FIND("larder",A44))=FALSE,VLOOKUP("Pull out larder unit 600mm",FurnitureData,5,0),IF(AND(ISERROR(FIND("drawer box",A44))=FALSE,ISERROR(FIND("internal",A44))=TRUE),VLOOKUP("Drawer runners and clip set (550) Dynapro",FurnitureData,5,0),IF(ISERROR(FIND("internal drawer box",A44))=FALSE,VLOOKUP("Drawer runners and clip set (450) Dynapro",FurnitureData,5,0),"")))))</f>
        <v/>
      </c>
      <c r="L44" s="152">
        <f t="shared" si="3"/>
        <v>5.186509003</v>
      </c>
      <c r="M44" s="154">
        <f>IFERROR(__xludf.DUMMYFUNCTION("IF(A44="""","""",IF(OR(ISERROR(FIND(""larder"",A44))=FALSE,ISERROR(FIND(""unit"",A44))=FALSE),VLOOKUP(LEFT(A44,FIND("" "",A44))&amp;""carcass ""&amp;RIGHT(A44,LEN(A44)-len(regexextract(A44,"".* ""))),KitchensData,13,0),IF(ISERROR(FIND(""bins"",A44))=FALSE,0.95,IF"&amp;"(ISERROR(FIND(""Cutlery insert 600"",A44))=FALSE,1.3,IF(ISERROR(FIND(""Cutlery insert 1200"",A44))=FALSE,2,IF(ISERROR(FIND(""Pan/tray rack 600"",A44))=FALSE,3.25,IF(ISERROR(FIND(""Pan/tray rack 1200"",A44))=FALSE,5.9,IF(ISERROR(FIND(""split"",A44))=FALSE,"&amp;"(((C44/1000)*0.022)*2)+VLOOKUP(SUBSTITUTE(A44,"" split"",""""),KitchensData,13,0),IF(AND(ISERROR(FIND(""drawer front"",A44))=FALSE,KitchenDoorStyle=""Flat""),(((B44/1000)*(C44/1000))*2)+((((B44+C44)/1000)*2)*0.022),IF(AND(ISERROR(FIND(""drawer front"",A44"&amp;"))=FALSE,LEFT(KitchenDoorStyle,5)=""Panel""),(((B44/1000)*(C44/1000))*2)+((((B44+C44)/1000)*2)*0.022)+((((C44/1000)-0.16)*0.013)*2)+((((D44/1000)-0.16)*0.013)*2),IF(AND(ISERROR(FIND(""drawer front"",A44))=FALSE,KitchenDoorStyle=""In-frame flat""),((((B44-"&amp;"76)/1000)*((C44-38)/1000))*2)+(MID(KitchenDoorMaterial,FIND(""("",KitchenDoorMaterial)+1,2)/1000)*((((B44-76)+(C44-38))/1000)*2)+(((B44/1000)*0.032)*2)+((((B44-76)/1000)*0.032)*2)+(((B44/1000)*0.019)*4)+(((C44/1000)*0.032)*2)+((((C44-38)/1000)*0.032)*2)+("&amp;"((C44/1000)*0.038)*4),IF(AND(ISERROR(FIND(""drawer front"",A44))=FALSE,LEFT(KitchenDoorStyle,14)=""In-frame panel""),((((B44-76)/1000)*((C44-38)/1000))*2)+((MID(KitchenDoorMaterial,FIND(""("",KitchenDoorMaterial)+1,2)/1000)*((((B44-76)+(C44-38))/1000)*2))"&amp;"+((((B44-236)/1000)+((C44-198)/1000)*2)*0.013)+(((B44/1000)*0.032)*2)+((((B44-76)/1000)*0.032)*2)+(((B44/1000)*0.019)*4)+(((C44/1000)*0.032)*2)+((((C44-38)/1000)*0.032)*2)+(((C44/1000)*0.038)*4),IF(ISERROR(FIND(""drawer box"",A44))=FALSE,((((B44/1000)*(D4"&amp;"4/1000))+((B44/1000)*(C44/1000)))*4)+((((D44/1000)+(C44/1000))*0.016)*4)+(((C44/1000)*(D44/1000))*2),IF(OR(ISERROR(FIND(""shelf"",A44))=FALSE,ISERROR(FIND(""spacer"",A44))=FALSE,,ISERROR(FIND(""filler panel"",A44))=FALSE),(((C44/1000)*(D44/1000))*2)+((((C"&amp;"44+D44)*2)/1000)*0.022),IF(ISERROR(FIND(""lost corner"",A44))=FALSE,(((B44/1000)*(C44/1000))*2)+((B44/1000)*(C44/1000))+((B44/1000)*((C44/2)/1000))+((((B44/1000)*0.025)+((C44/1000)*0.025))*2),IF(ISERROR(FIND(""carcass"",A44))=FALSE,(((C44/1000)*(D44/1000)"&amp;")*2)+(((B44/1000)*(D44/1000))*2)+((B44/1000)*(C44/1000))+((((B44/1000)*0.025)+((C44/1000)*0.025))*2),IF(AND(ISERROR(FIND(""door"",A44))=FALSE,KitchenDoorStyle=""Flat""),(((B44/1000)*(C44/1000))*2)+(MID(KitchenDoorMaterial,FIND(""("",KitchenDoorMaterial)+1"&amp;",2)/1000)*(((B44+C44)/1000)*2),IF(AND(ISERROR(FIND(""door"",A44))=FALSE,LEFT(KitchenDoorStyle,5)=""Panel""),(((B44/1000)*(C44/1000))*2)+((MID(KitchenDoorMaterial,FIND(""("",KitchenDoorMaterial)+1,2)/1000)*(((B44+C44)/1000)*2))+(((((B44-160)+(C44-160))*2)/"&amp;"1000)*(0.013)),IF(AND(ISERROR(FIND(""door"",A44))=FALSE,KitchenDoorStyle=""In-frame flat""),((((B44-76)/1000)*((C44-38)/1000))*2)+(MID(KitchenDoorMaterial,FIND(""("",KitchenDoorMaterial)+1,2)/1000)*((((B44-76)+(C44-38))/1000)*2)+(((B44/1000)*0.032)*2)+((("&amp;"(B44-76)/1000)*0.032)*2)+(((B44/1000)*0.019)*4)+(((C44/1000)*0.032)*2)+((((C44-38)/1000)*0.032)*2)+(((C44/1000)*0.038)*4),IF(AND(ISERROR(FIND(""door"",A44))=FALSE,LEFT(KitchenDoorStyle,14)=""In-frame panel""),((((B44-76)/1000)*((C44-38)/1000))*2)+((MID(Ki"&amp;"tchenDoorMaterial,FIND(""("",KitchenDoorMaterial)+1,2)/1000)*((((B44-76)+(C44-38))/1000)*2))+((((B44-236)/1000)+((C44-198)/1000)*2)*0.013)+(((B44/1000)*0.032)*2)+((((B44-76)/1000)*0.032)*2)+(((B44/1000)*0.019)*4)+(((C44/1000)*0.032)*2)+((((C44-38)/1000)*0"&amp;".032)*2)+(((C44/1000)*0.038)*4),IF(ISERROR(FIND(""Plinth"",A44))=FALSE,((B44/1000)*(C44/1000))+(((C44/1000)*0.018)*2)+(((B44/1000)*0.018)*2),IF(ISERROR(FIND(""Cornice"",A44))=FALSE,(((C44/1000)*0.1)*2)+(((C44/1000)*0.044)*2)+(((B44/1000)*0.08)*2),IF(ISERR"&amp;"OR(FIND(""Base end panel"",A44))=FALSE,((B44/1000)*(C44/1000))+(0.022*((B44/1000)+((C44/1000)*2)))+((B44/1000)*0.05),IF(ISERROR(FIND(""Wall end panel"",A44))=FALSE,((B44/1000)*(C44/1000))+(0.022*((B44/1000)+((C44/1000)*2)))+((B44/1000)*0.05),IF(ISERROR(FI"&amp;"ND(""Tower end panel"",A44))=FALSE,((B44/1000)*(C44/1000))+(0.022*((B44/1000)+((C44/1000)*2)))+((B44/1000)*0.05),IF(ISERROR(FIND(""Fillers"",A44))=FALSE,((C44/1000)*0.06)+((C44/1000)*0.069)+((0.06*0.018)*2)+((0.06*0.009)*2)+((C44/1000)*0.009)+((C44/1000)*"&amp;"0.018),IF(ISERROR(FIND(""corner post"",A44))=FALSE,(((B44/1000*0.05)*2)+((B44/1000)*0.022)*2)+((B44/1000)*0.072)+((B44/1000)*0.05)+((0.072*0.022)*2)+((0.05*0.022)*2),IF(ISERROR(FIND(""Pelmet"",A44))=FALSE,((C44/1000)*0.05)+((C44/1000)*0.068)+((0.05*0.018)"&amp;"*4)+(((C44/1000)*0.018))*2))))))))))))))))))))))))))))"),0.42744)</f>
        <v>0.42744</v>
      </c>
      <c r="N44" s="152">
        <f>IF(M44="","",IF(AND(ISERROR(FIND("carcass",A44))=TRUE,ISERROR(FIND("unit",A44))=TRUE,ISERROR(FIND("insert",A44))=TRUE,ISERROR(FIND("rack",A44))=TRUE,ISERROR(FIND("box",A44))=TRUE,ISERROR(FIND("shelf",#REF!))=TRUE),VLOOKUP(KitchenDoorFinish,Finishing!$A$2:$K$10,9,0)*M44,VLOOKUP(KitchenCarcassFinish,Finishing!$A$2:$K$40,9,0)*M44))</f>
        <v>3.2058</v>
      </c>
      <c r="O44" s="155">
        <v>1.0</v>
      </c>
      <c r="P44" s="155">
        <v>1.0</v>
      </c>
      <c r="Q44" s="152">
        <f>IF(OR(O44="",P44=""),"",((O44*X44)*(VLOOKUP("Workshop",Labour!$A$3:$E$20,4,0)/8))+((P44*AE44)*(VLOOKUP("Finishing",Labour!$A$3:$E$20,4,0)/8)))</f>
        <v>99.75</v>
      </c>
      <c r="R44" s="152">
        <f t="shared" si="4"/>
        <v>108.142309</v>
      </c>
      <c r="S44" s="156">
        <f>IF(OR(O44="",P44=""),"",IF(OR(ISERROR(FIND("carcass",$A44))=FALSE,ISERROR(FIND("unit",$A44))=FALSE),VLOOKUP(KitchenCarcassMaterial,FixedListsCarcassMaterial,2,0),0))</f>
        <v>0</v>
      </c>
      <c r="T44" s="156">
        <f>IF(OR(O44="",P44=""),"",IF(ISERROR(FIND("door",$A44))=FALSE,VLOOKUP(KitchenDoorStyle,FixedListsDoorStyle,2,0),0))</f>
        <v>0</v>
      </c>
      <c r="U44" s="156">
        <f>IF(OR(O44="",P44=""),"",IF(ISERROR(FIND("door",$A44))=FALSE,VLOOKUP(KitchenDoorMaterial,FixedListsDoorMaterial,2,0),0))</f>
        <v>0</v>
      </c>
      <c r="V44" s="156">
        <f>IF(OR(O44="",P44=""),"",IF(ISERROR(FIND("drawer",$A44))=FALSE,VLOOKUP(KitchenDrawerType,FixedListsDrawerType,2,0),0))</f>
        <v>0</v>
      </c>
      <c r="W44" s="156">
        <f>IF(OR(O44="",P44=""),"",IF(OR(S44&gt;0, T44&gt;0,V44&gt;0),VLOOKUP(KitchenHandleType,FixedListsHandleType,2,FALSE)*IF(KitchenHandleType="Simple",0,IF(S44&gt;0,VLOOKUP(KitchenHandleType,FixedListsHandleType,4,FALSE),IF(OR(T44&gt;0,V44&gt;0),1-VLOOKUP(KitchenHandleType,FixedListsHandleType,4,FALSE),"Error"))),0))</f>
        <v>0</v>
      </c>
      <c r="X44" s="156">
        <f t="shared" si="5"/>
        <v>1</v>
      </c>
      <c r="Y44" s="156">
        <f>IF(OR(O44="",P44=""),"",IF(OR(ISERROR(FIND("carcass",$A44))=FALSE,ISERROR(FIND("unit",$A44))=FALSE),VLOOKUP(KitchenCarcassMaterial,FixedListsCarcassMaterial,3,0),0))</f>
        <v>0</v>
      </c>
      <c r="Z44" s="156">
        <f>IF(OR(O44="",P44=""),"",IF(ISERROR(FIND("door",$A44))=FALSE,VLOOKUP(KitchenDoorStyle,FixedListsDoorStyle,3,0),0))</f>
        <v>0</v>
      </c>
      <c r="AA44" s="156">
        <f>IF(OR(O44="",P44=""),"",IF(ISERROR(FIND("door",$A44))=FALSE,VLOOKUP(KitchenDoorMaterial,FixedListsDoorMaterial,3,0),0))</f>
        <v>0</v>
      </c>
      <c r="AB44" s="156">
        <f>IF(OR(O44="",P44=""),"",IF(ISERROR(FIND("drawer",$A44))=FALSE,VLOOKUP(KitchenDrawerType,FixedListsDrawerType,3,0),0))</f>
        <v>0</v>
      </c>
      <c r="AC44" s="156">
        <f>IF(OR(O44="",P44=""),"",IF(OR(Y44&gt;0,Z44&gt;0,AB44&gt;0),VLOOKUP(KitchenHandleType,FixedListsHandleType,3,FALSE),0))</f>
        <v>0</v>
      </c>
      <c r="AD44" s="156">
        <f>IF(OR(O44="",P44=""),"",IF(OR(ISERROR(FIND("carcass",$A44))=FALSE,ISERROR(FIND("unit",$A44))=FALSE),VLOOKUP(KitchenCarcassFinish,FixedListsFinishes,3,0),IF(OR(ISERROR(FIND("door",$A44))=FALSE,ISERROR(FIND("Plinth",$A44))=FALSE,ISERROR(FIND("Cornice",$A44))=FALSE,ISERROR(FIND("Fillers",$A44))=FALSE,ISERROR(FIND("Pelmet",$A44))=FALSE,ISERROR(FIND("panel",$A44))=FALSE,ISERROR(FIND("post",$A44))=FALSE),VLOOKUP(KitchenDoorFinish,FixedListsFinishes,3,0),IF(OR(ISERROR(FIND("drawer",$A44))=FALSE,ISERROR(FIND("insert",$A44))=FALSE,ISERROR(FIND("rck",$A44))=FALSE),VLOOKUP(KitchenCarcassFinish,FixedListsFinishes,3,0),0))))</f>
        <v>2</v>
      </c>
      <c r="AE44" s="156">
        <f t="shared" si="6"/>
        <v>2</v>
      </c>
      <c r="AF44" s="157" t="str">
        <f>IF(AND(KitchenHandleType="Channel",OR(ISERROR(FIND("arcass",$A44))=FALSE,ISERROR(FIND("unit",$A44))=FALSE)),IF(ISERROR(FIND("Tower",$A44))=TRUE,IF(KitchenHandleFinish="Match carcass",IF(ISERROR(FIND("Walnut",KitchenCarcassMaterial))=FALSE,(0.035*0.075*($C44/1000))*VLOOKUP("Walnut (solid m3)",SolidData,4,FALSE),IF(ISERROR(FIND("Oak",KitchenCarcassMaterial))=FALSE,(0.035*0.075*($C44/1000))*VLOOKUP("Oak (solid m3)",SolidData,4,FALSE),IF(ISERROR(FIND("ply",KitchenCarcassMaterial))=FALSE,(0.1*($C44/1000))*VLOOKUP("Birch ply (24mm)",SheetsData,7,FALSE),IF(ISERROR(FIND("H/F",KitchenCarcassMaterial))=FALSE,(0.1*($C44/1000))*VLOOKUP("H/F (22mm)",SheetsData,7,FALSE),"Carcass - not tower - new material")))),IF(KitchenHandleFinish="Match door",IF(ISERROR(FIND("Walnut",KitchenDoorMaterial))=FALSE,(0.035*0.075*($C44/1000))*VLOOKUP("Walnut (solid m3)",SolidData,4,FALSE),IF(ISERROR(FIND("Oak",KitchenDoorMaterial))=FALSE,(0.035*0.075*($C44/1000))*VLOOKUP("Oak (solid m3)",SolidData,4,FALSE),IF(ISERROR(FIND("ply",KitchenDoorMaterial))=FALSE,(0.1*($C44/1000))*VLOOKUP("Birch ply (24mm)",SheetsData,7,FALSE),IF(ISERROR(FIND("H/F",KitchenCarcassMaterial))=FALSE,(0.1*($C44/1000))*VLOOKUP("H/F (22mm)",SheetsData,7,FALSE),"Door - not tower - new material")))),"Channel - not tower - handle set to other")),IF(ISERROR(FIND("Tower",$A44))=FALSE,IF(KitchenHandleFinish="Match carcass",IF(ISERROR(FIND("Walnut",KitchenCarcassMaterial))=FALSE,(0.035*0.075*($B44/1000))*VLOOKUP("Walnut (solid m3)",SolidData,4,FALSE),IF(ISERROR(FIND("Oak",KitchenCarcassMaterial))=FALSE,(0.035*0.075*($B44/1000))*VLOOKUP("Oak (solid m3)",SolidData,4,FALSE),IF(ISERROR(FIND("ply",KitchenCarcassMaterial))=FALSE,(0.1*($B44/1000))*VLOOKUP("Birch ply (24mm)",SheetsData,7,FALSE),IF(ISERROR(FIND("H/F",KitchenCarcassMaterial))=FALSE,(0.1*($C44/1000))*VLOOKUP("H/F (22mm)",SheetsData,7,FALSE),"Carcass - tower - new material")))),IF(KitchenHandleFinish="Match door",IF(ISERROR(FIND("Walnut",KitchenDoorMaterial))=FALSE,(0.035*0.075*($B44/1000))*VLOOKUP("Walnut (solid m3)",SolidData,4,FALSE),IF(ISERROR(FIND("Oak",KitchenDoorMaterial))=FALSE,(0.035*0.075*($B44/1000))*VLOOKUP("Oak (solid m3)",SolidData,4,FALSE),IF(ISERROR(FIND("ply",KitchenDoorMaterial))=FALSE,(0.1*($B44/1000))*VLOOKUP("Birch ply (24mm)",SheetData,7,FALSE),IF(ISERROR(FIND("H/F",KitchenCarcassMaterial))=FALSE,(0.1*($C44/1000))*VLOOKUP("H/F (22mm)",SheetsData,7,FALSE),"Door - tower - new material")))),"Channel - tower - handle set to other")))),"")</f>
        <v/>
      </c>
    </row>
    <row r="45">
      <c r="A45" s="151" t="s">
        <v>153</v>
      </c>
      <c r="B45" s="115">
        <f t="shared" si="1"/>
        <v>44</v>
      </c>
      <c r="C45" s="115" t="str">
        <f>IFERROR(__xludf.DUMMYFUNCTION("IF(A45="""","""",IF(OR(RIGHT(A45,LEN(A45)-len(regexextract(A45,"".* "")))=""1200"",RIGHT(A45,LEN(A45)-len(regexextract(A45,"".* "")))=""600"",RIGHT(A45,LEN(A45)-len(regexextract(A45,"".* "")))=""400"",RIGHT(A45,LEN(A45)-len(regexextract(A45,"".* "")))=""3"&amp;"00"",RIGHT(A45,LEN(A45)-len(regexextract(A45,"".* "")))=""700"",RIGHT(A45,LEN(A45)-len(regexextract(A45,"".* "")))=""2400"",RIGHT(A45,LEN(A45)-len(regexextract(A45,"".* "")))=""650"",RIGHT(A45,LEN(A45)-len(regexextract(A45,"".* "")))=""350"",RIGHT(A45,LEN"&amp;"(A45)-len(regexextract(A45,"".* "")))=""50""),RIGHT(A45,LEN(A45)-len(regexextract(A45,"".* ""))),IF(OR(ISERROR(FIND(""spacer"",A45))=FALSE,ISERROR(FIND(""filler panel"",A45))=FALSE),""1000"",""Unexpected size in description"")))"),"2400")</f>
        <v>2400</v>
      </c>
      <c r="D45" s="151" t="str">
        <f t="shared" si="2"/>
        <v/>
      </c>
      <c r="E45" s="152">
        <f>IFERROR(__xludf.DUMMYFUNCTION("IF(OR(A45="""",AND(ISERROR(FIND(""drawer box"",A45))=FALSE,KitchenDrawerType="""")),"""",IF(OR(ISERROR(FIND(""larder"",A45))=FALSE,ISERROR(FIND(""fridge/freezer"",A45))=FALSE,ISERROR(FIND(""double oven"",A45))=FALSE,ISERROR(FIND(""single oven"",A45))=FALS"&amp;"E),VLOOKUP(LEFT(A45,FIND("" "",A45))&amp;""carcass ""&amp;RIGHT(A45,LEN(A45)-(LEN(A45)-3)),KitchensData,5,0),IF(ISERROR(FIND(""sink"",A45))=FALSE,VLOOKUP(LEFT(A45,FIND("" "",A45))&amp;""carcass ""&amp;VALUE(REGEXREPLACE(A45,""[^[:digit:]]"", """")),KitchensData,5,0)+(((C"&amp;"45/1000)*(300/1000))*VLOOKUP(KitchenCarcassMaterial,SheetsData,8,0)),IF(ISERROR(FIND(""bins"",A45))=FALSE,IF(ISERROR(FIND(""veneer"",KitchenCarcassMaterial))=FALSE,VLOOKUP(""Base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600"",A45))=FALSE,IF(ISERROR(FIND(""veneer"""&amp;",KitchenCarcassMaterial))=FALSE,0.54*(VLOOKUP(LEFT(KitchenCarcassMaterial,FIND(""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1200"",A45))=FALSE,"&amp;"IF(ISERROR(FIND(""veneer"",KitchenCarcassMaterial))=FALSE,0.84*(VLOOKUP(LEFT(KitchenCarcassMaterial,FIND(""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600"",A45))=FALSE,IF(ISERROR(FIND(""veneer"",KitchenCarcassMaterial))=FALSE,1.44*(VLOOKUP(LEFT(KitchenCarcassMaterial,FIND(""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1200"",A45))=FALSE,IF(ISERROR(FIND(""veneer"",KitchenCarcassMaterial))=FALSE,2.7*(VLOOKUP(LEFT(KitchenCarcassMaterial,FIND(""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front"",A45))=FALSE,((B45/1000)*(C45/1000))*VLOOKUP(KitchenDoorMaterial,SheetsData,8,0),IF(AND(KitchenDrawerType=""Match carcass"",ISERROR(FIND(""drawer box"",A45))=FALSE),(((((B45/1000)*(C45/1000))+((B45/1000"&amp;")*(D45/1000)))*2)*VLOOKUP(KitchenCarcassMaterial,SheetsData,8,0))+(((C45/1000)*(D45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box"",A45))=FALSE),(((((B45/1000)*(C45/1000))+((B45/1000)*(D45/1000)))*2)*(16/1000)*VLOOKUP(LEFT(KitchenCarcassMaterial,FIND("" "&amp;""",KitchenCarcassMaterial))&amp;""(solid m3)"",SolidData,5,0))+(((C45/1000)*(D45/1000))*VLOOKUP(LEFT(KitchenCarcassMaterial,FIND(""("",KitchenCarcassMaterial)-1)&amp;IF(OR(ISERROR(FIND(""ply"",KitchenCarcassMaterial))=FALSE,ISERROR(FIND(""H/F"",KitchenCarcassMate"&amp;"rial))=FALSE),""(9mm)"",""(10mm)""),SheetsData,8,0)),IF(ISERROR(FIND(""spacer"",A45))=FALSE,((D45/1000)*(C45/1000))*VLOOKUP(""Poplar ply (18mm)"",SheetsData,8,0),IF(ISERROR(FIND(""filler panel"",A45))=FALSE,((B45/1000)*(C45/1000))*VLOOKUP(KitchenDoorMater"&amp;"ial,SheetsData,8,0),IF(ISERROR(FIND(""shelf"",A45))=FALSE,((D45/1000)*(C45/1000))*VLOOKUP(KitchenCarcassMaterial,SheetsData,8,0),IF(ISERROR(FIND(""lost corner"",A45))=FALSE,VLOOKUP(LEFT(A45,FIND("" "",A45))&amp;""carcass ""&amp;VALUE(REGEXREPLACE(A45,""[^[:digit:"&amp;"]]"", """")),KitchensData,5,0)+((((B45/1000)*(C45/1000))+((B45/1000)*(60/1000)))*VLOOKUP(KitchenCarcassMaterial,SheetsData,8,0)),IF(ISERROR(FIND(""carcass"",A45))=FALSE,(((((B45/1000)*2)*(D45/1000))+(((C45/1000)*2)*(D45/1000)))*VLOOKUP(KitchenCarcassMater"&amp;"ial,SheetsData,8,0))+((B45/1000)*(C45/1000))*VLOOKUP(LEFT(KitchenCarcassMaterial,FIND(""("",KitchenCarcassMaterial)-1)&amp;IF(OR(ISERROR(FIND(""ply"",KitchenCarcassMaterial))=FALSE,ISERROR(FIND(""H/F"",KitchenCarcassMaterial))=FALSE),""(9mm)"",""(10mm)""),She"&amp;"etsData,8,0),IF(OR(ISERROR(FIND(""Plinth"",A45))=FALSE,ISERROR(FIND(""Cornice (flat)"",A45))=FALSE),((B45/1000)*(C45/1000))*VLOOKUP(""H/F (18mm)"",SheetsData,8,0),IF(ISERROR(FIND(""Cornice (stacked)"",A45))=FALSE,((0.08*(C45/1000))*2)*VLOOKUP(""H/F (22mm)"&amp;""",SheetsData,8,0),IF(ISERROR(FIND(""Base end panel"",A45))=FALSE,VLOOKUP(KitchenDoorMaterial,SheetsData,5,0)/3,IF(ISERROR(FIND(""Wall end panel"",A45))=FALSE,VLOOKUP(KitchenDoorMaterial,SheetsData,5,0)/9,IF(ISERROR(FIND(""Tower end panel"",A45))=FALSE,VL"&amp;"OOKUP(KitchenDoorMaterial,SheetsData,5,0),IF(ISERROR(FIND(""Fillers"",A45))=FALSE,(((0.06*(C45/1000))*2)*VLOOKUP(""H/F (18mm)"",SheetsData,8,0))+(((0.06*(C45/1000))*2)*VLOOKUP(""H/F (9mm)"",SheetsData,8,0)),IF(ISERROR(FIND(""corner post"",A45))=FALSE,(((B"&amp;"45/1000)*0.05)*2)*VLOOKUP(KitchenDoorMaterial,SheetsData,8,0),IF(ISERROR(FIND(""Pelmet"",A45))=FALSE,((((B45/1000)*(C45/1000))*2)*VLOOKUP(""H/F (18mm)"",SheetsData,8,0)),IF(ISERROR(FIND(""door"",A45))=TRUE,""Check description"",IF(KitchenDoorStyle=""Flat"&amp;""",((B45/1000)*(C45/1000))*VLOOKUP(KitchenDoorMaterial,SheetsData,8,0),IF(LEFT(KitchenDoorStyle,5)=""Panel"",(((((B45/1000)*2)*0.08)+((((C45/1000)-0.16)*2)*0.08))*VLOOKUP(""H/F (22mm)"",SheetsData,8,0))+(((B45/1000)-0.14)*((C45/1000)-0.14)*VLOOKUP(""H/F ("&amp;"9mm)"",SheetsData,8,0)),IF(KitchenDoorStyle=""In-frame flat"",((((((B45/1000)*0.019)*0.038)+((((C45-38)/1000)*0.038)*0.038))*2)*VLOOKUP(""Tulip (solid m3)"",SolidData,5,0))+(((B45-76)/1000)*((C45-38)/1000))*VLOOKUP(""H/F (22mm)"",SheetsData,8,0),IF(LEFT(K"&amp;"itchenDoorStyle,14)=""In-frame panel"",(((((((B45/1000)*0.019)*0.038)+((((C45-38)/1000)*0.038)*0.038))*2)*VLOOKUP(""Tulip (solid m3)"",SolidData,5,0))+(((((((B45-76)/1000)*2)*0.08)+(((((C45-198)/1000)*2)*0.08)))*VLOOKUP(""H/F (22mm)"",SheetsData,8,0))+((("&amp;"B45-216)/1000)*((C45-178)/1000)*VLOOKUP(""H/F (9mm)"",SheetsData,8,0)))))))))))))))))))))))))))))))))"),7.0884170921795215)</f>
        <v>7.088417092</v>
      </c>
      <c r="F45" s="152" t="str">
        <f>IFERROR(__xludf.DUMMYFUNCTION("IF(OR(A45="""",AND(ISERROR(FIND(""drawer box"",A45))=FALSE,KitchenDrawerType=""Solid dovetail"")),"""",IF(ISERROR(FIND(""bins"",A45))=FALSE,VLOOKUP(""Base carcass 600"",KitchensData,6,0),IF(OR(ISERROR(FIND(""larder"",A45))=FALSE,ISERROR(FIND(""unit"",A45)"&amp;")=FALSE),VLOOKUP(LEFT(A45,FIND("" "",A45))&amp;""carcass ""&amp;RIGHT(A45,LEN(A45)-len(regexextract(A45,"".* ""))),KitchensData,6,0),IF(ISERROR(FIND(""drawer front"",A45))=FALSE,IF(ISERROR(FIND(""veneer"",KitchenCarcassMaterial))=TRUE,0,(((B45+C45)/1000)*2)*VLOOK"&amp;"UP(""Edge banding (per M)"",SheetsData,5,0)),IF(ISERROR(FIND(""drawer box"",A45))=FALSE,IF(ISERROR(FIND(""veneer"",KitchenCarcassMaterial))=TRUE,0,(((C45+D45)/1000)*2)*VLOOKUP(""Edge banding (per M)"",SheetsData,5,0)),IF(ISERROR(FIND(""shelf"",A45))=FALSE"&amp;",IF(ISERROR(FIND(""veneer"",KitchenCarcassMaterial))=TRUE,0,(C45/1000)*VLOOKUP(""Edge banding (per M)"",SheetsData,5,0)),IF(AND(ISERROR(FIND(""carcass"",A45))=FALSE,ISERROR(FIND(""shelf"",A45))=TRUE),IF(ISERROR(FIND(""veneer"",KitchenCarcassMaterial))=TRU"&amp;"E,0,((2*(B45+C45))/1000)*VLOOKUP(""Edge banding (per M)"",SheetsData,5,0)),IF(ISERROR(FIND(""door"",A45))=TRUE,"""",IF(ISERROR(FIND(""veneer"",KitchenDoorMaterial))=TRUE,"""",((2*(B45+C45))/1000)*VLOOKUP(""Edge banding (per M)"",SheetsData,5,0))))))))))"),"")</f>
        <v/>
      </c>
      <c r="G45" s="153" t="str">
        <f>IF(A45="","",IF(ISERROR(FIND("bins",A45))=FALSE,VLOOKUP("Base carcass 600",KitchensData,7,0),IF(OR(ISERROR(FIND("larder",A45))=FALSE,ISERROR(FIND("fridge/freezer",A45))=FALSE,ISERROR(FIND("double oven",A45))=FALSE,ISERROR(FIND("single oven",A45))=FALSE),VLOOKUP(LEFT(A45,FIND(" ",A45))&amp;"carcass "&amp;RIGHT(A45,LEN(A45)-(LEN(A45)-3)),KitchensData,7,0),IF(AND(ISERROR(FIND("carcass",A45))=FALSE,ISERROR(FIND("shelf",A45))=TRUE),IF(OR(ISERROR(FIND("Base",A45))=FALSE,ISERROR(FIND("Tower",A45))=FALSE),IF(OR(ISERROR(FIND("1200",A45))=FALSE, ISERROR(FIND("lost corner",A45))=FALSE),6*VLOOKUP("Plinth foot (2 Parts 80mm)",FurnitureData,5,0),4*VLOOKUP("Plinth foot (2 Parts 80mm)",FurnitureData,5,0)),""),""))))</f>
        <v/>
      </c>
      <c r="H45" s="115" t="str">
        <f>IF(OR(A45="",ISERROR(FIND("door",A45))=TRUE),"",IF(ISERROR(FIND("Wall",A45))=FALSE,VLOOKUP("Hinges &amp; plates (Hettich thick door)",FurnitureData,5,0)*2,IF(ISERROR(FIND("Base",A45))=FALSE,VLOOKUP("Hinges &amp; plates (Hettich thick door)",FurnitureData,5,0)*3,IF(ISERROR(FIND("Boiler",A45))=FALSE,VLOOKUP("Hinges &amp; plates (Hettich thick door)",FurnitureData,5,0)*4,IF(ISERROR(FIND("Tower",A45))=FALSE,VLOOKUP("Hinges &amp; plates (Hettich thick door)",FurnitureData,5,0)*5)))))</f>
        <v/>
      </c>
      <c r="I45" s="115" t="str">
        <f>IF(ISERROR(FIND("shelf",A45))=FALSE,(VLOOKUP("Shelf pegs",FurnitureData,5,0)/100)*4,"")</f>
        <v/>
      </c>
      <c r="J45" s="152" t="str">
        <f>IF(OR(ISERROR(FIND("fridge/freezer",A45))=FALSE,ISERROR(FIND("larder",A45))=FALSE,AND(ISERROR(FIND("Base",A45))=FALSE,ISERROR(FIND("bins",A45))=TRUE,ISERROR(FIND("no shelves",A45))=TRUE,OR(ISERROR(FIND("carcass",A45))=FALSE,ISERROR(FIND("unit",A45))=FALSE))),VLOOKUP("Deep shelf "&amp;C45,KitchensData,18,0),IF(AND(ISERROR(FIND("Wall",A45))=FALSE,ISERROR(FIND("carcass",A45))=FALSE),2*VLOOKUP("Shallow shelf "&amp;C45,KitchensData,18,0),IF(AND(ISERROR(FIND("Tower",A45))=FALSE,ISERROR(FIND("oven",A45))=FALSE),4*VLOOKUP("Deep shelf "&amp;C45,KitchensData,18,0),IF(AND(ISERROR(FIND("Tower",A45))=FALSE,ISERROR(FIND("carcass",A45))=FALSE),5*VLOOKUP("Deep shelf "&amp;C45,KitchensData,18,0),""))))</f>
        <v/>
      </c>
      <c r="K45" s="152" t="str">
        <f>IF(ISERROR(FIND("sink",A45))=FALSE,VLOOKUP("Sink liner - Aluminium "&amp;RIGHT(A45,LEN(A45)-22)&amp;"mm",ExceptionalData,5,0),IF(ISERROR(FIND("bins",A45))=FALSE,VLOOKUP("Drawer runners and clip set for bin unit (500) Dynapro",FurnitureData,5,0)+(2*VLOOKUP("Bin (42L Anthracite)",FurnitureData,5,0)),IF(ISERROR(FIND("larder",A45))=FALSE,VLOOKUP("Pull out larder unit 600mm",FurnitureData,5,0),IF(AND(ISERROR(FIND("drawer box",A45))=FALSE,ISERROR(FIND("internal",A45))=TRUE),VLOOKUP("Drawer runners and clip set (550) Dynapro",FurnitureData,5,0),IF(ISERROR(FIND("internal drawer box",A45))=FALSE,VLOOKUP("Drawer runners and clip set (450) Dynapro",FurnitureData,5,0),"")))))</f>
        <v/>
      </c>
      <c r="L45" s="152">
        <f t="shared" si="3"/>
        <v>7.088417092</v>
      </c>
      <c r="M45" s="154">
        <f>IFERROR(__xludf.DUMMYFUNCTION("IF(A45="""","""",IF(OR(ISERROR(FIND(""larder"",A45))=FALSE,ISERROR(FIND(""unit"",A45))=FALSE),VLOOKUP(LEFT(A45,FIND("" "",A45))&amp;""carcass ""&amp;RIGHT(A45,LEN(A45)-len(regexextract(A45,"".* ""))),KitchensData,13,0),IF(ISERROR(FIND(""bins"",A45))=FALSE,0.95,IF"&amp;"(ISERROR(FIND(""Cutlery insert 600"",A45))=FALSE,1.3,IF(ISERROR(FIND(""Cutlery insert 1200"",A45))=FALSE,2,IF(ISERROR(FIND(""Pan/tray rack 600"",A45))=FALSE,3.25,IF(ISERROR(FIND(""Pan/tray rack 1200"",A45))=FALSE,5.9,IF(ISERROR(FIND(""split"",A45))=FALSE,"&amp;"(((C45/1000)*0.022)*2)+VLOOKUP(SUBSTITUTE(A45,"" split"",""""),KitchensData,13,0),IF(AND(ISERROR(FIND(""drawer front"",A45))=FALSE,KitchenDoorStyle=""Flat""),(((B45/1000)*(C45/1000))*2)+((((B45+C45)/1000)*2)*0.022),IF(AND(ISERROR(FIND(""drawer front"",A45"&amp;"))=FALSE,LEFT(KitchenDoorStyle,5)=""Panel""),(((B45/1000)*(C45/1000))*2)+((((B45+C45)/1000)*2)*0.022)+((((C45/1000)-0.16)*0.013)*2)+((((D45/1000)-0.16)*0.013)*2),IF(AND(ISERROR(FIND(""drawer front"",A45))=FALSE,KitchenDoorStyle=""In-frame flat""),((((B45-"&amp;"76)/1000)*((C45-38)/1000))*2)+(MID(KitchenDoorMaterial,FIND(""("",KitchenDoorMaterial)+1,2)/1000)*((((B45-76)+(C45-38))/1000)*2)+(((B45/1000)*0.032)*2)+((((B45-76)/1000)*0.032)*2)+(((B45/1000)*0.019)*4)+(((C45/1000)*0.032)*2)+((((C45-38)/1000)*0.032)*2)+("&amp;"((C45/1000)*0.038)*4),IF(AND(ISERROR(FIND(""drawer front"",A45))=FALSE,LEFT(KitchenDoorStyle,14)=""In-frame panel""),((((B45-76)/1000)*((C45-38)/1000))*2)+((MID(KitchenDoorMaterial,FIND(""("",KitchenDoorMaterial)+1,2)/1000)*((((B45-76)+(C45-38))/1000)*2))"&amp;"+((((B45-236)/1000)+((C45-198)/1000)*2)*0.013)+(((B45/1000)*0.032)*2)+((((B45-76)/1000)*0.032)*2)+(((B45/1000)*0.019)*4)+(((C45/1000)*0.032)*2)+((((C45-38)/1000)*0.032)*2)+(((C45/1000)*0.038)*4),IF(ISERROR(FIND(""drawer box"",A45))=FALSE,((((B45/1000)*(D4"&amp;"5/1000))+((B45/1000)*(C45/1000)))*4)+((((D45/1000)+(C45/1000))*0.016)*4)+(((C45/1000)*(D45/1000))*2),IF(OR(ISERROR(FIND(""shelf"",A45))=FALSE,ISERROR(FIND(""spacer"",A45))=FALSE,,ISERROR(FIND(""filler panel"",A45))=FALSE),(((C45/1000)*(D45/1000))*2)+((((C"&amp;"45+D45)*2)/1000)*0.022),IF(ISERROR(FIND(""lost corner"",A45))=FALSE,(((B45/1000)*(C45/1000))*2)+((B45/1000)*(C45/1000))+((B45/1000)*((C45/2)/1000))+((((B45/1000)*0.025)+((C45/1000)*0.025))*2),IF(ISERROR(FIND(""carcass"",A45))=FALSE,(((C45/1000)*(D45/1000)"&amp;")*2)+(((B45/1000)*(D45/1000))*2)+((B45/1000)*(C45/1000))+((((B45/1000)*0.025)+((C45/1000)*0.025))*2),IF(AND(ISERROR(FIND(""door"",A45))=FALSE,KitchenDoorStyle=""Flat""),(((B45/1000)*(C45/1000))*2)+(MID(KitchenDoorMaterial,FIND(""("",KitchenDoorMaterial)+1"&amp;",2)/1000)*(((B45+C45)/1000)*2),IF(AND(ISERROR(FIND(""door"",A45))=FALSE,LEFT(KitchenDoorStyle,5)=""Panel""),(((B45/1000)*(C45/1000))*2)+((MID(KitchenDoorMaterial,FIND(""("",KitchenDoorMaterial)+1,2)/1000)*(((B45+C45)/1000)*2))+(((((B45-160)+(C45-160))*2)/"&amp;"1000)*(0.013)),IF(AND(ISERROR(FIND(""door"",A45))=FALSE,KitchenDoorStyle=""In-frame flat""),((((B45-76)/1000)*((C45-38)/1000))*2)+(MID(KitchenDoorMaterial,FIND(""("",KitchenDoorMaterial)+1,2)/1000)*((((B45-76)+(C45-38))/1000)*2)+(((B45/1000)*0.032)*2)+((("&amp;"(B45-76)/1000)*0.032)*2)+(((B45/1000)*0.019)*4)+(((C45/1000)*0.032)*2)+((((C45-38)/1000)*0.032)*2)+(((C45/1000)*0.038)*4),IF(AND(ISERROR(FIND(""door"",A45))=FALSE,LEFT(KitchenDoorStyle,14)=""In-frame panel""),((((B45-76)/1000)*((C45-38)/1000))*2)+((MID(Ki"&amp;"tchenDoorMaterial,FIND(""("",KitchenDoorMaterial)+1,2)/1000)*((((B45-76)+(C45-38))/1000)*2))+((((B45-236)/1000)+((C45-198)/1000)*2)*0.013)+(((B45/1000)*0.032)*2)+((((B45-76)/1000)*0.032)*2)+(((B45/1000)*0.019)*4)+(((C45/1000)*0.032)*2)+((((C45-38)/1000)*0"&amp;".032)*2)+(((C45/1000)*0.038)*4),IF(ISERROR(FIND(""Plinth"",A45))=FALSE,((B45/1000)*(C45/1000))+(((C45/1000)*0.018)*2)+(((B45/1000)*0.018)*2),IF(ISERROR(FIND(""Cornice"",A45))=FALSE,(((C45/1000)*0.1)*2)+(((C45/1000)*0.044)*2)+(((B45/1000)*0.08)*2),IF(ISERR"&amp;"OR(FIND(""Base end panel"",A45))=FALSE,((B45/1000)*(C45/1000))+(0.022*((B45/1000)+((C45/1000)*2)))+((B45/1000)*0.05),IF(ISERROR(FIND(""Wall end panel"",A45))=FALSE,((B45/1000)*(C45/1000))+(0.022*((B45/1000)+((C45/1000)*2)))+((B45/1000)*0.05),IF(ISERROR(FI"&amp;"ND(""Tower end panel"",A45))=FALSE,((B45/1000)*(C45/1000))+(0.022*((B45/1000)+((C45/1000)*2)))+((B45/1000)*0.05),IF(ISERROR(FIND(""Fillers"",A45))=FALSE,((C45/1000)*0.06)+((C45/1000)*0.069)+((0.06*0.018)*2)+((0.06*0.009)*2)+((C45/1000)*0.009)+((C45/1000)*"&amp;"0.018),IF(ISERROR(FIND(""corner post"",A45))=FALSE,(((B45/1000*0.05)*2)+((B45/1000)*0.022)*2)+((B45/1000)*0.072)+((B45/1000)*0.05)+((0.072*0.022)*2)+((0.05*0.022)*2),IF(ISERROR(FIND(""Pelmet"",A45))=FALSE,((C45/1000)*0.05)+((C45/1000)*0.068)+((0.05*0.018)"&amp;"*4)+(((C45/1000)*0.018))*2))))))))))))))))))))))))))))"),0.69824)</f>
        <v>0.69824</v>
      </c>
      <c r="N45" s="152">
        <f>IF(M45="","",IF(AND(ISERROR(FIND("carcass",A45))=TRUE,ISERROR(FIND("unit",A45))=TRUE,ISERROR(FIND("insert",A45))=TRUE,ISERROR(FIND("rack",A45))=TRUE,ISERROR(FIND("box",A45))=TRUE,ISERROR(FIND("shelf",#REF!))=TRUE),VLOOKUP(KitchenDoorFinish,Finishing!$A$2:$K$10,9,0)*M45,VLOOKUP(KitchenCarcassFinish,Finishing!$A$2:$K$40,9,0)*M45))</f>
        <v>5.2368</v>
      </c>
      <c r="O45" s="155">
        <v>2.5</v>
      </c>
      <c r="P45" s="155">
        <v>1.0</v>
      </c>
      <c r="Q45" s="152">
        <f>IF(OR(O45="",P45=""),"",((O45*X45)*(VLOOKUP("Workshop",Labour!$A$3:$E$20,4,0)/8))+((P45*AE45)*(VLOOKUP("Finishing",Labour!$A$3:$E$20,4,0)/8)))</f>
        <v>165.375</v>
      </c>
      <c r="R45" s="152">
        <f t="shared" si="4"/>
        <v>177.7002171</v>
      </c>
      <c r="S45" s="156">
        <f>IF(OR(O45="",P45=""),"",IF(OR(ISERROR(FIND("carcass",$A45))=FALSE,ISERROR(FIND("unit",$A45))=FALSE),VLOOKUP(KitchenCarcassMaterial,FixedListsCarcassMaterial,2,0),0))</f>
        <v>0</v>
      </c>
      <c r="T45" s="156">
        <f>IF(OR(O45="",P45=""),"",IF(ISERROR(FIND("door",$A45))=FALSE,VLOOKUP(KitchenDoorStyle,FixedListsDoorStyle,2,0),0))</f>
        <v>0</v>
      </c>
      <c r="U45" s="156">
        <f>IF(OR(O45="",P45=""),"",IF(ISERROR(FIND("door",$A45))=FALSE,VLOOKUP(KitchenDoorMaterial,FixedListsDoorMaterial,2,0),0))</f>
        <v>0</v>
      </c>
      <c r="V45" s="156">
        <f>IF(OR(O45="",P45=""),"",IF(ISERROR(FIND("drawer",$A45))=FALSE,VLOOKUP(KitchenDrawerType,FixedListsDrawerType,2,0),0))</f>
        <v>0</v>
      </c>
      <c r="W45" s="156">
        <f>IF(OR(O45="",P45=""),"",IF(OR(S45&gt;0, T45&gt;0,V45&gt;0),VLOOKUP(KitchenHandleType,FixedListsHandleType,2,FALSE)*IF(KitchenHandleType="Simple",0,IF(S45&gt;0,VLOOKUP(KitchenHandleType,FixedListsHandleType,4,FALSE),IF(OR(T45&gt;0,V45&gt;0),1-VLOOKUP(KitchenHandleType,FixedListsHandleType,4,FALSE),"Error"))),0))</f>
        <v>0</v>
      </c>
      <c r="X45" s="156">
        <f t="shared" si="5"/>
        <v>1</v>
      </c>
      <c r="Y45" s="156">
        <f>IF(OR(O45="",P45=""),"",IF(OR(ISERROR(FIND("carcass",$A45))=FALSE,ISERROR(FIND("unit",$A45))=FALSE),VLOOKUP(KitchenCarcassMaterial,FixedListsCarcassMaterial,3,0),0))</f>
        <v>0</v>
      </c>
      <c r="Z45" s="156">
        <f>IF(OR(O45="",P45=""),"",IF(ISERROR(FIND("door",$A45))=FALSE,VLOOKUP(KitchenDoorStyle,FixedListsDoorStyle,3,0),0))</f>
        <v>0</v>
      </c>
      <c r="AA45" s="156">
        <f>IF(OR(O45="",P45=""),"",IF(ISERROR(FIND("door",$A45))=FALSE,VLOOKUP(KitchenDoorMaterial,FixedListsDoorMaterial,3,0),0))</f>
        <v>0</v>
      </c>
      <c r="AB45" s="156">
        <f>IF(OR(O45="",P45=""),"",IF(ISERROR(FIND("drawer",$A45))=FALSE,VLOOKUP(KitchenDrawerType,FixedListsDrawerType,3,0),0))</f>
        <v>0</v>
      </c>
      <c r="AC45" s="156">
        <f>IF(OR(O45="",P45=""),"",IF(OR(Y45&gt;0,Z45&gt;0,AB45&gt;0),VLOOKUP(KitchenHandleType,FixedListsHandleType,3,FALSE),0))</f>
        <v>0</v>
      </c>
      <c r="AD45" s="156">
        <f>IF(OR(O45="",P45=""),"",IF(OR(ISERROR(FIND("carcass",$A45))=FALSE,ISERROR(FIND("unit",$A45))=FALSE),VLOOKUP(KitchenCarcassFinish,FixedListsFinishes,3,0),IF(OR(ISERROR(FIND("door",$A45))=FALSE,ISERROR(FIND("Plinth",$A45))=FALSE,ISERROR(FIND("Cornice",$A45))=FALSE,ISERROR(FIND("Fillers",$A45))=FALSE,ISERROR(FIND("Pelmet",$A45))=FALSE,ISERROR(FIND("panel",$A45))=FALSE,ISERROR(FIND("post",$A45))=FALSE),VLOOKUP(KitchenDoorFinish,FixedListsFinishes,3,0),IF(OR(ISERROR(FIND("drawer",$A45))=FALSE,ISERROR(FIND("insert",$A45))=FALSE,ISERROR(FIND("rck",$A45))=FALSE),VLOOKUP(KitchenCarcassFinish,FixedListsFinishes,3,0),0))))</f>
        <v>2</v>
      </c>
      <c r="AE45" s="156">
        <f t="shared" si="6"/>
        <v>2</v>
      </c>
      <c r="AF45" s="157" t="str">
        <f>IF(AND(KitchenHandleType="Channel",OR(ISERROR(FIND("arcass",$A45))=FALSE,ISERROR(FIND("unit",$A45))=FALSE)),IF(ISERROR(FIND("Tower",$A45))=TRUE,IF(KitchenHandleFinish="Match carcass",IF(ISERROR(FIND("Walnut",KitchenCarcassMaterial))=FALSE,(0.035*0.075*($C45/1000))*VLOOKUP("Walnut (solid m3)",SolidData,4,FALSE),IF(ISERROR(FIND("Oak",KitchenCarcassMaterial))=FALSE,(0.035*0.075*($C45/1000))*VLOOKUP("Oak (solid m3)",SolidData,4,FALSE),IF(ISERROR(FIND("ply",KitchenCarcassMaterial))=FALSE,(0.1*($C45/1000))*VLOOKUP("Birch ply (24mm)",SheetsData,7,FALSE),IF(ISERROR(FIND("H/F",KitchenCarcassMaterial))=FALSE,(0.1*($C45/1000))*VLOOKUP("H/F (22mm)",SheetsData,7,FALSE),"Carcass - not tower - new material")))),IF(KitchenHandleFinish="Match door",IF(ISERROR(FIND("Walnut",KitchenDoorMaterial))=FALSE,(0.035*0.075*($C45/1000))*VLOOKUP("Walnut (solid m3)",SolidData,4,FALSE),IF(ISERROR(FIND("Oak",KitchenDoorMaterial))=FALSE,(0.035*0.075*($C45/1000))*VLOOKUP("Oak (solid m3)",SolidData,4,FALSE),IF(ISERROR(FIND("ply",KitchenDoorMaterial))=FALSE,(0.1*($C45/1000))*VLOOKUP("Birch ply (24mm)",SheetsData,7,FALSE),IF(ISERROR(FIND("H/F",KitchenCarcassMaterial))=FALSE,(0.1*($C45/1000))*VLOOKUP("H/F (22mm)",SheetsData,7,FALSE),"Door - not tower - new material")))),"Channel - not tower - handle set to other")),IF(ISERROR(FIND("Tower",$A45))=FALSE,IF(KitchenHandleFinish="Match carcass",IF(ISERROR(FIND("Walnut",KitchenCarcassMaterial))=FALSE,(0.035*0.075*($B45/1000))*VLOOKUP("Walnut (solid m3)",SolidData,4,FALSE),IF(ISERROR(FIND("Oak",KitchenCarcassMaterial))=FALSE,(0.035*0.075*($B45/1000))*VLOOKUP("Oak (solid m3)",SolidData,4,FALSE),IF(ISERROR(FIND("ply",KitchenCarcassMaterial))=FALSE,(0.1*($B45/1000))*VLOOKUP("Birch ply (24mm)",SheetsData,7,FALSE),IF(ISERROR(FIND("H/F",KitchenCarcassMaterial))=FALSE,(0.1*($C45/1000))*VLOOKUP("H/F (22mm)",SheetsData,7,FALSE),"Carcass - tower - new material")))),IF(KitchenHandleFinish="Match door",IF(ISERROR(FIND("Walnut",KitchenDoorMaterial))=FALSE,(0.035*0.075*($B45/1000))*VLOOKUP("Walnut (solid m3)",SolidData,4,FALSE),IF(ISERROR(FIND("Oak",KitchenDoorMaterial))=FALSE,(0.035*0.075*($B45/1000))*VLOOKUP("Oak (solid m3)",SolidData,4,FALSE),IF(ISERROR(FIND("ply",KitchenDoorMaterial))=FALSE,(0.1*($B45/1000))*VLOOKUP("Birch ply (24mm)",SheetData,7,FALSE),IF(ISERROR(FIND("H/F",KitchenCarcassMaterial))=FALSE,(0.1*($C45/1000))*VLOOKUP("H/F (22mm)",SheetsData,7,FALSE),"Door - tower - new material")))),"Channel - tower - handle set to other")))),"")</f>
        <v/>
      </c>
    </row>
    <row r="46">
      <c r="A46" s="151" t="s">
        <v>154</v>
      </c>
      <c r="B46" s="115">
        <f t="shared" si="1"/>
        <v>800</v>
      </c>
      <c r="C46" s="115" t="str">
        <f>IFERROR(__xludf.DUMMYFUNCTION("IF(A46="""","""",IF(OR(RIGHT(A46,LEN(A46)-len(regexextract(A46,"".* "")))=""1200"",RIGHT(A46,LEN(A46)-len(regexextract(A46,"".* "")))=""600"",RIGHT(A46,LEN(A46)-len(regexextract(A46,"".* "")))=""400"",RIGHT(A46,LEN(A46)-len(regexextract(A46,"".* "")))=""3"&amp;"00"",RIGHT(A46,LEN(A46)-len(regexextract(A46,"".* "")))=""700"",RIGHT(A46,LEN(A46)-len(regexextract(A46,"".* "")))=""2400"",RIGHT(A46,LEN(A46)-len(regexextract(A46,"".* "")))=""650"",RIGHT(A46,LEN(A46)-len(regexextract(A46,"".* "")))=""350"",RIGHT(A46,LEN"&amp;"(A46)-len(regexextract(A46,"".* "")))=""50""),RIGHT(A46,LEN(A46)-len(regexextract(A46,"".* ""))),IF(OR(ISERROR(FIND(""spacer"",A46))=FALSE,ISERROR(FIND(""filler panel"",A46))=FALSE),""1000"",""Unexpected size in description"")))"),"650")</f>
        <v>650</v>
      </c>
      <c r="D46" s="151" t="str">
        <f t="shared" si="2"/>
        <v/>
      </c>
      <c r="E46" s="152">
        <f>IFERROR(__xludf.DUMMYFUNCTION("IF(OR(A46="""",AND(ISERROR(FIND(""drawer box"",A46))=FALSE,KitchenDrawerType="""")),"""",IF(OR(ISERROR(FIND(""larder"",A46))=FALSE,ISERROR(FIND(""fridge/freezer"",A46))=FALSE,ISERROR(FIND(""double oven"",A46))=FALSE,ISERROR(FIND(""single oven"",A46))=FALS"&amp;"E),VLOOKUP(LEFT(A46,FIND("" "",A46))&amp;""carcass ""&amp;RIGHT(A46,LEN(A46)-(LEN(A46)-3)),KitchensData,5,0),IF(ISERROR(FIND(""sink"",A46))=FALSE,VLOOKUP(LEFT(A46,FIND("" "",A46))&amp;""carcass ""&amp;VALUE(REGEXREPLACE(A46,""[^[:digit:]]"", """")),KitchensData,5,0)+(((C"&amp;"46/1000)*(300/1000))*VLOOKUP(KitchenCarcassMaterial,SheetsData,8,0)),IF(ISERROR(FIND(""bins"",A46))=FALSE,IF(ISERROR(FIND(""veneer"",KitchenCarcassMaterial))=FALSE,VLOOKUP(""Base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600"",A46))=FALSE,IF(ISERROR(FIND(""veneer"""&amp;",KitchenCarcassMaterial))=FALSE,0.54*(VLOOKUP(LEFT(KitchenCarcassMaterial,FIND(""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1200"",A46))=FALSE,"&amp;"IF(ISERROR(FIND(""veneer"",KitchenCarcassMaterial))=FALSE,0.84*(VLOOKUP(LEFT(KitchenCarcassMaterial,FIND(""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600"",A46))=FALSE,IF(ISERROR(FIND(""veneer"",KitchenCarcassMaterial))=FALSE,1.44*(VLOOKUP(LEFT(KitchenCarcassMaterial,FIND(""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1200"",A46))=FALSE,IF(ISERROR(FIND(""veneer"",KitchenCarcassMaterial))=FALSE,2.7*(VLOOKUP(LEFT(KitchenCarcassMaterial,FIND(""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front"",A46))=FALSE,((B46/1000)*(C46/1000))*VLOOKUP(KitchenDoorMaterial,SheetsData,8,0),IF(AND(KitchenDrawerType=""Match carcass"",ISERROR(FIND(""drawer box"",A46))=FALSE),(((((B46/1000)*(C46/1000))+((B46/1000"&amp;")*(D46/1000)))*2)*VLOOKUP(KitchenCarcassMaterial,SheetsData,8,0))+(((C46/1000)*(D46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box"",A46))=FALSE),(((((B46/1000)*(C46/1000))+((B46/1000)*(D46/1000)))*2)*(16/1000)*VLOOKUP(LEFT(KitchenCarcassMaterial,FIND("" "&amp;""",KitchenCarcassMaterial))&amp;""(solid m3)"",SolidData,5,0))+(((C46/1000)*(D46/1000))*VLOOKUP(LEFT(KitchenCarcassMaterial,FIND(""("",KitchenCarcassMaterial)-1)&amp;IF(OR(ISERROR(FIND(""ply"",KitchenCarcassMaterial))=FALSE,ISERROR(FIND(""H/F"",KitchenCarcassMate"&amp;"rial))=FALSE),""(9mm)"",""(10mm)""),SheetsData,8,0)),IF(ISERROR(FIND(""spacer"",A46))=FALSE,((D46/1000)*(C46/1000))*VLOOKUP(""Poplar ply (18mm)"",SheetsData,8,0),IF(ISERROR(FIND(""filler panel"",A46))=FALSE,((B46/1000)*(C46/1000))*VLOOKUP(KitchenDoorMater"&amp;"ial,SheetsData,8,0),IF(ISERROR(FIND(""shelf"",A46))=FALSE,((D46/1000)*(C46/1000))*VLOOKUP(KitchenCarcassMaterial,SheetsData,8,0),IF(ISERROR(FIND(""lost corner"",A46))=FALSE,VLOOKUP(LEFT(A46,FIND("" "",A46))&amp;""carcass ""&amp;VALUE(REGEXREPLACE(A46,""[^[:digit:"&amp;"]]"", """")),KitchensData,5,0)+((((B46/1000)*(C46/1000))+((B46/1000)*(60/1000)))*VLOOKUP(KitchenCarcassMaterial,SheetsData,8,0)),IF(ISERROR(FIND(""carcass"",A46))=FALSE,(((((B46/1000)*2)*(D46/1000))+(((C46/1000)*2)*(D46/1000)))*VLOOKUP(KitchenCarcassMater"&amp;"ial,SheetsData,8,0))+((B46/1000)*(C46/1000))*VLOOKUP(LEFT(KitchenCarcassMaterial,FIND(""("",KitchenCarcassMaterial)-1)&amp;IF(OR(ISERROR(FIND(""ply"",KitchenCarcassMaterial))=FALSE,ISERROR(FIND(""H/F"",KitchenCarcassMaterial))=FALSE),""(9mm)"",""(10mm)""),She"&amp;"etsData,8,0),IF(OR(ISERROR(FIND(""Plinth"",A46))=FALSE,ISERROR(FIND(""Cornice (flat)"",A46))=FALSE),((B46/1000)*(C46/1000))*VLOOKUP(""H/F (18mm)"",SheetsData,8,0),IF(ISERROR(FIND(""Cornice (stacked)"",A46))=FALSE,((0.08*(C46/1000))*2)*VLOOKUP(""H/F (22mm)"&amp;""",SheetsData,8,0),IF(ISERROR(FIND(""Base end panel"",A46))=FALSE,VLOOKUP(KitchenDoorMaterial,SheetsData,5,0)/3,IF(ISERROR(FIND(""Wall end panel"",A46))=FALSE,VLOOKUP(KitchenDoorMaterial,SheetsData,5,0)/9,IF(ISERROR(FIND(""Tower end panel"",A46))=FALSE,VL"&amp;"OOKUP(KitchenDoorMaterial,SheetsData,5,0),IF(ISERROR(FIND(""Fillers"",A46))=FALSE,(((0.06*(C46/1000))*2)*VLOOKUP(""H/F (18mm)"",SheetsData,8,0))+(((0.06*(C46/1000))*2)*VLOOKUP(""H/F (9mm)"",SheetsData,8,0)),IF(ISERROR(FIND(""corner post"",A46))=FALSE,(((B"&amp;"46/1000)*0.05)*2)*VLOOKUP(KitchenDoorMaterial,SheetsData,8,0),IF(ISERROR(FIND(""Pelmet"",A46))=FALSE,((((B46/1000)*(C46/1000))*2)*VLOOKUP(""H/F (18mm)"",SheetsData,8,0)),IF(ISERROR(FIND(""door"",A46))=TRUE,""Check description"",IF(KitchenDoorStyle=""Flat"&amp;""",((B46/1000)*(C46/1000))*VLOOKUP(KitchenDoorMaterial,SheetsData,8,0),IF(LEFT(KitchenDoorStyle,5)=""Panel"",(((((B46/1000)*2)*0.08)+((((C46/1000)-0.16)*2)*0.08))*VLOOKUP(""H/F (22mm)"",SheetsData,8,0))+(((B46/1000)-0.14)*((C46/1000)-0.14)*VLOOKUP(""H/F ("&amp;"9mm)"",SheetsData,8,0)),IF(KitchenDoorStyle=""In-frame flat"",((((((B46/1000)*0.019)*0.038)+((((C46-38)/1000)*0.038)*0.038))*2)*VLOOKUP(""Tulip (solid m3)"",SolidData,5,0))+(((B46-76)/1000)*((C46-38)/1000))*VLOOKUP(""H/F (22mm)"",SheetsData,8,0),IF(LEFT(K"&amp;"itchenDoorStyle,14)=""In-frame panel"",(((((((B46/1000)*0.019)*0.038)+((((C46-38)/1000)*0.038)*0.038))*2)*VLOOKUP(""Tulip (solid m3)"",SolidData,5,0))+(((((((B46-76)/1000)*2)*0.08)+(((((C46-198)/1000)*2)*0.08)))*VLOOKUP(""H/F (22mm)"",SheetsData,8,0))+((("&amp;"B46-216)/1000)*((C46-178)/1000)*VLOOKUP(""H/F (9mm)"",SheetsData,8,0)))))))))))))))))))))))))))))))))"),18.25)</f>
        <v>18.25</v>
      </c>
      <c r="F46" s="152" t="str">
        <f>IFERROR(__xludf.DUMMYFUNCTION("IF(OR(A46="""",AND(ISERROR(FIND(""drawer box"",A46))=FALSE,KitchenDrawerType=""Solid dovetail"")),"""",IF(ISERROR(FIND(""bins"",A46))=FALSE,VLOOKUP(""Base carcass 600"",KitchensData,6,0),IF(OR(ISERROR(FIND(""larder"",A46))=FALSE,ISERROR(FIND(""unit"",A46)"&amp;")=FALSE),VLOOKUP(LEFT(A46,FIND("" "",A46))&amp;""carcass ""&amp;RIGHT(A46,LEN(A46)-len(regexextract(A46,"".* ""))),KitchensData,6,0),IF(ISERROR(FIND(""drawer front"",A46))=FALSE,IF(ISERROR(FIND(""veneer"",KitchenCarcassMaterial))=TRUE,0,(((B46+C46)/1000)*2)*VLOOK"&amp;"UP(""Edge banding (per M)"",SheetsData,5,0)),IF(ISERROR(FIND(""drawer box"",A46))=FALSE,IF(ISERROR(FIND(""veneer"",KitchenCarcassMaterial))=TRUE,0,(((C46+D46)/1000)*2)*VLOOKUP(""Edge banding (per M)"",SheetsData,5,0)),IF(ISERROR(FIND(""shelf"",A46))=FALSE"&amp;",IF(ISERROR(FIND(""veneer"",KitchenCarcassMaterial))=TRUE,0,(C46/1000)*VLOOKUP(""Edge banding (per M)"",SheetsData,5,0)),IF(AND(ISERROR(FIND(""carcass"",A46))=FALSE,ISERROR(FIND(""shelf"",A46))=TRUE),IF(ISERROR(FIND(""veneer"",KitchenCarcassMaterial))=TRU"&amp;"E,0,((2*(B46+C46))/1000)*VLOOKUP(""Edge banding (per M)"",SheetsData,5,0)),IF(ISERROR(FIND(""door"",A46))=TRUE,"""",IF(ISERROR(FIND(""veneer"",KitchenDoorMaterial))=TRUE,"""",((2*(B46+C46))/1000)*VLOOKUP(""Edge banding (per M)"",SheetsData,5,0))))))))))"),"")</f>
        <v/>
      </c>
      <c r="G46" s="153" t="str">
        <f>IF(A46="","",IF(ISERROR(FIND("bins",A46))=FALSE,VLOOKUP("Base carcass 600",KitchensData,7,0),IF(OR(ISERROR(FIND("larder",A46))=FALSE,ISERROR(FIND("fridge/freezer",A46))=FALSE,ISERROR(FIND("double oven",A46))=FALSE,ISERROR(FIND("single oven",A46))=FALSE),VLOOKUP(LEFT(A46,FIND(" ",A46))&amp;"carcass "&amp;RIGHT(A46,LEN(A46)-(LEN(A46)-3)),KitchensData,7,0),IF(AND(ISERROR(FIND("carcass",A46))=FALSE,ISERROR(FIND("shelf",A46))=TRUE),IF(OR(ISERROR(FIND("Base",A46))=FALSE,ISERROR(FIND("Tower",A46))=FALSE),IF(OR(ISERROR(FIND("1200",A46))=FALSE, ISERROR(FIND("lost corner",A46))=FALSE),6*VLOOKUP("Plinth foot (2 Parts 80mm)",FurnitureData,5,0),4*VLOOKUP("Plinth foot (2 Parts 80mm)",FurnitureData,5,0)),""),""))))</f>
        <v/>
      </c>
      <c r="H46" s="115" t="str">
        <f>IF(OR(A46="",ISERROR(FIND("door",A46))=TRUE),"",IF(ISERROR(FIND("Wall",A46))=FALSE,VLOOKUP("Hinges &amp; plates (Hettich thick door)",FurnitureData,5,0)*2,IF(ISERROR(FIND("Base",A46))=FALSE,VLOOKUP("Hinges &amp; plates (Hettich thick door)",FurnitureData,5,0)*3,IF(ISERROR(FIND("Boiler",A46))=FALSE,VLOOKUP("Hinges &amp; plates (Hettich thick door)",FurnitureData,5,0)*4,IF(ISERROR(FIND("Tower",A46))=FALSE,VLOOKUP("Hinges &amp; plates (Hettich thick door)",FurnitureData,5,0)*5)))))</f>
        <v/>
      </c>
      <c r="I46" s="115" t="str">
        <f>IF(ISERROR(FIND("shelf",A46))=FALSE,(VLOOKUP("Shelf pegs",FurnitureData,5,0)/100)*4,"")</f>
        <v/>
      </c>
      <c r="J46" s="152" t="str">
        <f>IF(OR(ISERROR(FIND("fridge/freezer",A46))=FALSE,ISERROR(FIND("larder",A46))=FALSE,AND(ISERROR(FIND("Base",A46))=FALSE,ISERROR(FIND("bins",A46))=TRUE,ISERROR(FIND("no shelves",A46))=TRUE,OR(ISERROR(FIND("carcass",A46))=FALSE,ISERROR(FIND("unit",A46))=FALSE))),VLOOKUP("Deep shelf "&amp;C46,KitchensData,18,0),IF(AND(ISERROR(FIND("Wall",A46))=FALSE,ISERROR(FIND("carcass",A46))=FALSE),2*VLOOKUP("Shallow shelf "&amp;C46,KitchensData,18,0),IF(AND(ISERROR(FIND("Tower",A46))=FALSE,ISERROR(FIND("oven",A46))=FALSE),4*VLOOKUP("Deep shelf "&amp;C46,KitchensData,18,0),IF(AND(ISERROR(FIND("Tower",A46))=FALSE,ISERROR(FIND("carcass",A46))=FALSE),5*VLOOKUP("Deep shelf "&amp;C46,KitchensData,18,0),""))))</f>
        <v/>
      </c>
      <c r="K46" s="152" t="str">
        <f>IF(ISERROR(FIND("sink",A46))=FALSE,VLOOKUP("Sink liner - Aluminium "&amp;RIGHT(A46,LEN(A46)-22)&amp;"mm",ExceptionalData,5,0),IF(ISERROR(FIND("bins",A46))=FALSE,VLOOKUP("Drawer runners and clip set for bin unit (500) Dynapro",FurnitureData,5,0)+(2*VLOOKUP("Bin (42L Anthracite)",FurnitureData,5,0)),IF(ISERROR(FIND("larder",A46))=FALSE,VLOOKUP("Pull out larder unit 600mm",FurnitureData,5,0),IF(AND(ISERROR(FIND("drawer box",A46))=FALSE,ISERROR(FIND("internal",A46))=TRUE),VLOOKUP("Drawer runners and clip set (550) Dynapro",FurnitureData,5,0),IF(ISERROR(FIND("internal drawer box",A46))=FALSE,VLOOKUP("Drawer runners and clip set (450) Dynapro",FurnitureData,5,0),"")))))</f>
        <v/>
      </c>
      <c r="L46" s="152">
        <f t="shared" si="3"/>
        <v>18.25</v>
      </c>
      <c r="M46" s="154">
        <f>IFERROR(__xludf.DUMMYFUNCTION("IF(A46="""","""",IF(OR(ISERROR(FIND(""larder"",A46))=FALSE,ISERROR(FIND(""unit"",A46))=FALSE),VLOOKUP(LEFT(A46,FIND("" "",A46))&amp;""carcass ""&amp;RIGHT(A46,LEN(A46)-len(regexextract(A46,"".* ""))),KitchensData,13,0),IF(ISERROR(FIND(""bins"",A46))=FALSE,0.95,IF"&amp;"(ISERROR(FIND(""Cutlery insert 600"",A46))=FALSE,1.3,IF(ISERROR(FIND(""Cutlery insert 1200"",A46))=FALSE,2,IF(ISERROR(FIND(""Pan/tray rack 600"",A46))=FALSE,3.25,IF(ISERROR(FIND(""Pan/tray rack 1200"",A46))=FALSE,5.9,IF(ISERROR(FIND(""split"",A46))=FALSE,"&amp;"(((C46/1000)*0.022)*2)+VLOOKUP(SUBSTITUTE(A46,"" split"",""""),KitchensData,13,0),IF(AND(ISERROR(FIND(""drawer front"",A46))=FALSE,KitchenDoorStyle=""Flat""),(((B46/1000)*(C46/1000))*2)+((((B46+C46)/1000)*2)*0.022),IF(AND(ISERROR(FIND(""drawer front"",A46"&amp;"))=FALSE,LEFT(KitchenDoorStyle,5)=""Panel""),(((B46/1000)*(C46/1000))*2)+((((B46+C46)/1000)*2)*0.022)+((((C46/1000)-0.16)*0.013)*2)+((((D46/1000)-0.16)*0.013)*2),IF(AND(ISERROR(FIND(""drawer front"",A46))=FALSE,KitchenDoorStyle=""In-frame flat""),((((B46-"&amp;"76)/1000)*((C46-38)/1000))*2)+(MID(KitchenDoorMaterial,FIND(""("",KitchenDoorMaterial)+1,2)/1000)*((((B46-76)+(C46-38))/1000)*2)+(((B46/1000)*0.032)*2)+((((B46-76)/1000)*0.032)*2)+(((B46/1000)*0.019)*4)+(((C46/1000)*0.032)*2)+((((C46-38)/1000)*0.032)*2)+("&amp;"((C46/1000)*0.038)*4),IF(AND(ISERROR(FIND(""drawer front"",A46))=FALSE,LEFT(KitchenDoorStyle,14)=""In-frame panel""),((((B46-76)/1000)*((C46-38)/1000))*2)+((MID(KitchenDoorMaterial,FIND(""("",KitchenDoorMaterial)+1,2)/1000)*((((B46-76)+(C46-38))/1000)*2))"&amp;"+((((B46-236)/1000)+((C46-198)/1000)*2)*0.013)+(((B46/1000)*0.032)*2)+((((B46-76)/1000)*0.032)*2)+(((B46/1000)*0.019)*4)+(((C46/1000)*0.032)*2)+((((C46-38)/1000)*0.032)*2)+(((C46/1000)*0.038)*4),IF(ISERROR(FIND(""drawer box"",A46))=FALSE,((((B46/1000)*(D4"&amp;"6/1000))+((B46/1000)*(C46/1000)))*4)+((((D46/1000)+(C46/1000))*0.016)*4)+(((C46/1000)*(D46/1000))*2),IF(OR(ISERROR(FIND(""shelf"",A46))=FALSE,ISERROR(FIND(""spacer"",A46))=FALSE,,ISERROR(FIND(""filler panel"",A46))=FALSE),(((C46/1000)*(D46/1000))*2)+((((C"&amp;"46+D46)*2)/1000)*0.022),IF(ISERROR(FIND(""lost corner"",A46))=FALSE,(((B46/1000)*(C46/1000))*2)+((B46/1000)*(C46/1000))+((B46/1000)*((C46/2)/1000))+((((B46/1000)*0.025)+((C46/1000)*0.025))*2),IF(ISERROR(FIND(""carcass"",A46))=FALSE,(((C46/1000)*(D46/1000)"&amp;")*2)+(((B46/1000)*(D46/1000))*2)+((B46/1000)*(C46/1000))+((((B46/1000)*0.025)+((C46/1000)*0.025))*2),IF(AND(ISERROR(FIND(""door"",A46))=FALSE,KitchenDoorStyle=""Flat""),(((B46/1000)*(C46/1000))*2)+(MID(KitchenDoorMaterial,FIND(""("",KitchenDoorMaterial)+1"&amp;",2)/1000)*(((B46+C46)/1000)*2),IF(AND(ISERROR(FIND(""door"",A46))=FALSE,LEFT(KitchenDoorStyle,5)=""Panel""),(((B46/1000)*(C46/1000))*2)+((MID(KitchenDoorMaterial,FIND(""("",KitchenDoorMaterial)+1,2)/1000)*(((B46+C46)/1000)*2))+(((((B46-160)+(C46-160))*2)/"&amp;"1000)*(0.013)),IF(AND(ISERROR(FIND(""door"",A46))=FALSE,KitchenDoorStyle=""In-frame flat""),((((B46-76)/1000)*((C46-38)/1000))*2)+(MID(KitchenDoorMaterial,FIND(""("",KitchenDoorMaterial)+1,2)/1000)*((((B46-76)+(C46-38))/1000)*2)+(((B46/1000)*0.032)*2)+((("&amp;"(B46-76)/1000)*0.032)*2)+(((B46/1000)*0.019)*4)+(((C46/1000)*0.032)*2)+((((C46-38)/1000)*0.032)*2)+(((C46/1000)*0.038)*4),IF(AND(ISERROR(FIND(""door"",A46))=FALSE,LEFT(KitchenDoorStyle,14)=""In-frame panel""),((((B46-76)/1000)*((C46-38)/1000))*2)+((MID(Ki"&amp;"tchenDoorMaterial,FIND(""("",KitchenDoorMaterial)+1,2)/1000)*((((B46-76)+(C46-38))/1000)*2))+((((B46-236)/1000)+((C46-198)/1000)*2)*0.013)+(((B46/1000)*0.032)*2)+((((B46-76)/1000)*0.032)*2)+(((B46/1000)*0.019)*4)+(((C46/1000)*0.032)*2)+((((C46-38)/1000)*0"&amp;".032)*2)+(((C46/1000)*0.038)*4),IF(ISERROR(FIND(""Plinth"",A46))=FALSE,((B46/1000)*(C46/1000))+(((C46/1000)*0.018)*2)+(((B46/1000)*0.018)*2),IF(ISERROR(FIND(""Cornice"",A46))=FALSE,(((C46/1000)*0.1)*2)+(((C46/1000)*0.044)*2)+(((B46/1000)*0.08)*2),IF(ISERR"&amp;"OR(FIND(""Base end panel"",A46))=FALSE,((B46/1000)*(C46/1000))+(0.022*((B46/1000)+((C46/1000)*2)))+((B46/1000)*0.05),IF(ISERROR(FIND(""Wall end panel"",A46))=FALSE,((B46/1000)*(C46/1000))+(0.022*((B46/1000)+((C46/1000)*2)))+((B46/1000)*0.05),IF(ISERROR(FI"&amp;"ND(""Tower end panel"",A46))=FALSE,((B46/1000)*(C46/1000))+(0.022*((B46/1000)+((C46/1000)*2)))+((B46/1000)*0.05),IF(ISERROR(FIND(""Fillers"",A46))=FALSE,((C46/1000)*0.06)+((C46/1000)*0.069)+((0.06*0.018)*2)+((0.06*0.009)*2)+((C46/1000)*0.009)+((C46/1000)*"&amp;"0.018),IF(ISERROR(FIND(""corner post"",A46))=FALSE,(((B46/1000*0.05)*2)+((B46/1000)*0.022)*2)+((B46/1000)*0.072)+((B46/1000)*0.05)+((0.072*0.022)*2)+((0.05*0.022)*2),IF(ISERROR(FIND(""Pelmet"",A46))=FALSE,((C46/1000)*0.05)+((C46/1000)*0.068)+((0.05*0.018)"&amp;"*4)+(((C46/1000)*0.018))*2))))))))))))))))))))))))))))"),0.6062000000000001)</f>
        <v>0.6062</v>
      </c>
      <c r="N46" s="152">
        <f>IF(M46="","",IF(AND(ISERROR(FIND("carcass",A46))=TRUE,ISERROR(FIND("unit",A46))=TRUE,ISERROR(FIND("insert",A46))=TRUE,ISERROR(FIND("rack",A46))=TRUE,ISERROR(FIND("box",A46))=TRUE,ISERROR(FIND("shelf",#REF!))=TRUE),VLOOKUP(KitchenDoorFinish,Finishing!$A$2:$K$10,9,0)*M46,VLOOKUP(KitchenCarcassFinish,Finishing!$A$2:$K$40,9,0)*M46))</f>
        <v>4.5465</v>
      </c>
      <c r="O46" s="155">
        <v>1.0</v>
      </c>
      <c r="P46" s="155">
        <v>1.0</v>
      </c>
      <c r="Q46" s="152">
        <f>IF(OR(O46="",P46=""),"",((O46*X46)*(VLOOKUP("Workshop",Labour!$A$3:$E$20,4,0)/8))+((P46*AE46)*(VLOOKUP("Finishing",Labour!$A$3:$E$20,4,0)/8)))</f>
        <v>99.75</v>
      </c>
      <c r="R46" s="152">
        <f t="shared" si="4"/>
        <v>122.5465</v>
      </c>
      <c r="S46" s="156">
        <f>IF(OR(O46="",P46=""),"",IF(OR(ISERROR(FIND("carcass",$A46))=FALSE,ISERROR(FIND("unit",$A46))=FALSE),VLOOKUP(KitchenCarcassMaterial,FixedListsCarcassMaterial,2,0),0))</f>
        <v>0</v>
      </c>
      <c r="T46" s="156">
        <f>IF(OR(O46="",P46=""),"",IF(ISERROR(FIND("door",$A46))=FALSE,VLOOKUP(KitchenDoorStyle,FixedListsDoorStyle,2,0),0))</f>
        <v>0</v>
      </c>
      <c r="U46" s="156">
        <f>IF(OR(O46="",P46=""),"",IF(ISERROR(FIND("door",$A46))=FALSE,VLOOKUP(KitchenDoorMaterial,FixedListsDoorMaterial,2,0),0))</f>
        <v>0</v>
      </c>
      <c r="V46" s="156">
        <f>IF(OR(O46="",P46=""),"",IF(ISERROR(FIND("drawer",$A46))=FALSE,VLOOKUP(KitchenDrawerType,FixedListsDrawerType,2,0),0))</f>
        <v>0</v>
      </c>
      <c r="W46" s="156">
        <f>IF(OR(O46="",P46=""),"",IF(OR(S46&gt;0, T46&gt;0,V46&gt;0),VLOOKUP(KitchenHandleType,FixedListsHandleType,2,FALSE)*IF(KitchenHandleType="Simple",0,IF(S46&gt;0,VLOOKUP(KitchenHandleType,FixedListsHandleType,4,FALSE),IF(OR(T46&gt;0,V46&gt;0),1-VLOOKUP(KitchenHandleType,FixedListsHandleType,4,FALSE),"Error"))),0))</f>
        <v>0</v>
      </c>
      <c r="X46" s="156">
        <f t="shared" si="5"/>
        <v>1</v>
      </c>
      <c r="Y46" s="156">
        <f>IF(OR(O46="",P46=""),"",IF(OR(ISERROR(FIND("carcass",$A46))=FALSE,ISERROR(FIND("unit",$A46))=FALSE),VLOOKUP(KitchenCarcassMaterial,FixedListsCarcassMaterial,3,0),0))</f>
        <v>0</v>
      </c>
      <c r="Z46" s="156">
        <f>IF(OR(O46="",P46=""),"",IF(ISERROR(FIND("door",$A46))=FALSE,VLOOKUP(KitchenDoorStyle,FixedListsDoorStyle,3,0),0))</f>
        <v>0</v>
      </c>
      <c r="AA46" s="156">
        <f>IF(OR(O46="",P46=""),"",IF(ISERROR(FIND("door",$A46))=FALSE,VLOOKUP(KitchenDoorMaterial,FixedListsDoorMaterial,3,0),0))</f>
        <v>0</v>
      </c>
      <c r="AB46" s="156">
        <f>IF(OR(O46="",P46=""),"",IF(ISERROR(FIND("drawer",$A46))=FALSE,VLOOKUP(KitchenDrawerType,FixedListsDrawerType,3,0),0))</f>
        <v>0</v>
      </c>
      <c r="AC46" s="156">
        <f>IF(OR(O46="",P46=""),"",IF(OR(Y46&gt;0,Z46&gt;0,AB46&gt;0),VLOOKUP(KitchenHandleType,FixedListsHandleType,3,FALSE),0))</f>
        <v>0</v>
      </c>
      <c r="AD46" s="156">
        <f>IF(OR(O46="",P46=""),"",IF(OR(ISERROR(FIND("carcass",$A46))=FALSE,ISERROR(FIND("unit",$A46))=FALSE),VLOOKUP(KitchenCarcassFinish,FixedListsFinishes,3,0),IF(OR(ISERROR(FIND("door",$A46))=FALSE,ISERROR(FIND("Plinth",$A46))=FALSE,ISERROR(FIND("Cornice",$A46))=FALSE,ISERROR(FIND("Fillers",$A46))=FALSE,ISERROR(FIND("Pelmet",$A46))=FALSE,ISERROR(FIND("panel",$A46))=FALSE,ISERROR(FIND("post",$A46))=FALSE),VLOOKUP(KitchenDoorFinish,FixedListsFinishes,3,0),IF(OR(ISERROR(FIND("drawer",$A46))=FALSE,ISERROR(FIND("insert",$A46))=FALSE,ISERROR(FIND("rck",$A46))=FALSE),VLOOKUP(KitchenCarcassFinish,FixedListsFinishes,3,0),0))))</f>
        <v>2</v>
      </c>
      <c r="AE46" s="156">
        <f t="shared" si="6"/>
        <v>2</v>
      </c>
      <c r="AF46" s="157" t="str">
        <f>IF(AND(KitchenHandleType="Channel",OR(ISERROR(FIND("arcass",$A46))=FALSE,ISERROR(FIND("unit",$A46))=FALSE)),IF(ISERROR(FIND("Tower",$A46))=TRUE,IF(KitchenHandleFinish="Match carcass",IF(ISERROR(FIND("Walnut",KitchenCarcassMaterial))=FALSE,(0.035*0.075*($C46/1000))*VLOOKUP("Walnut (solid m3)",SolidData,4,FALSE),IF(ISERROR(FIND("Oak",KitchenCarcassMaterial))=FALSE,(0.035*0.075*($C46/1000))*VLOOKUP("Oak (solid m3)",SolidData,4,FALSE),IF(ISERROR(FIND("ply",KitchenCarcassMaterial))=FALSE,(0.1*($C46/1000))*VLOOKUP("Birch ply (24mm)",SheetsData,7,FALSE),IF(ISERROR(FIND("H/F",KitchenCarcassMaterial))=FALSE,(0.1*($C46/1000))*VLOOKUP("H/F (22mm)",SheetsData,7,FALSE),"Carcass - not tower - new material")))),IF(KitchenHandleFinish="Match door",IF(ISERROR(FIND("Walnut",KitchenDoorMaterial))=FALSE,(0.035*0.075*($C46/1000))*VLOOKUP("Walnut (solid m3)",SolidData,4,FALSE),IF(ISERROR(FIND("Oak",KitchenDoorMaterial))=FALSE,(0.035*0.075*($C46/1000))*VLOOKUP("Oak (solid m3)",SolidData,4,FALSE),IF(ISERROR(FIND("ply",KitchenDoorMaterial))=FALSE,(0.1*($C46/1000))*VLOOKUP("Birch ply (24mm)",SheetsData,7,FALSE),IF(ISERROR(FIND("H/F",KitchenCarcassMaterial))=FALSE,(0.1*($C46/1000))*VLOOKUP("H/F (22mm)",SheetsData,7,FALSE),"Door - not tower - new material")))),"Channel - not tower - handle set to other")),IF(ISERROR(FIND("Tower",$A46))=FALSE,IF(KitchenHandleFinish="Match carcass",IF(ISERROR(FIND("Walnut",KitchenCarcassMaterial))=FALSE,(0.035*0.075*($B46/1000))*VLOOKUP("Walnut (solid m3)",SolidData,4,FALSE),IF(ISERROR(FIND("Oak",KitchenCarcassMaterial))=FALSE,(0.035*0.075*($B46/1000))*VLOOKUP("Oak (solid m3)",SolidData,4,FALSE),IF(ISERROR(FIND("ply",KitchenCarcassMaterial))=FALSE,(0.1*($B46/1000))*VLOOKUP("Birch ply (24mm)",SheetsData,7,FALSE),IF(ISERROR(FIND("H/F",KitchenCarcassMaterial))=FALSE,(0.1*($C46/1000))*VLOOKUP("H/F (22mm)",SheetsData,7,FALSE),"Carcass - tower - new material")))),IF(KitchenHandleFinish="Match door",IF(ISERROR(FIND("Walnut",KitchenDoorMaterial))=FALSE,(0.035*0.075*($B46/1000))*VLOOKUP("Walnut (solid m3)",SolidData,4,FALSE),IF(ISERROR(FIND("Oak",KitchenDoorMaterial))=FALSE,(0.035*0.075*($B46/1000))*VLOOKUP("Oak (solid m3)",SolidData,4,FALSE),IF(ISERROR(FIND("ply",KitchenDoorMaterial))=FALSE,(0.1*($B46/1000))*VLOOKUP("Birch ply (24mm)",SheetData,7,FALSE),IF(ISERROR(FIND("H/F",KitchenCarcassMaterial))=FALSE,(0.1*($C46/1000))*VLOOKUP("H/F (22mm)",SheetsData,7,FALSE),"Door - tower - new material")))),"Channel - tower - handle set to other")))),"")</f>
        <v/>
      </c>
    </row>
    <row r="47">
      <c r="A47" s="151" t="s">
        <v>155</v>
      </c>
      <c r="B47" s="115">
        <f t="shared" si="1"/>
        <v>700</v>
      </c>
      <c r="C47" s="115" t="str">
        <f>IFERROR(__xludf.DUMMYFUNCTION("IF(A47="""","""",IF(OR(RIGHT(A47,LEN(A47)-len(regexextract(A47,"".* "")))=""1200"",RIGHT(A47,LEN(A47)-len(regexextract(A47,"".* "")))=""600"",RIGHT(A47,LEN(A47)-len(regexextract(A47,"".* "")))=""400"",RIGHT(A47,LEN(A47)-len(regexextract(A47,"".* "")))=""3"&amp;"00"",RIGHT(A47,LEN(A47)-len(regexextract(A47,"".* "")))=""700"",RIGHT(A47,LEN(A47)-len(regexextract(A47,"".* "")))=""2400"",RIGHT(A47,LEN(A47)-len(regexextract(A47,"".* "")))=""650"",RIGHT(A47,LEN(A47)-len(regexextract(A47,"".* "")))=""350"",RIGHT(A47,LEN"&amp;"(A47)-len(regexextract(A47,"".* "")))=""50""),RIGHT(A47,LEN(A47)-len(regexextract(A47,"".* ""))),IF(OR(ISERROR(FIND(""spacer"",A47))=FALSE,ISERROR(FIND(""filler panel"",A47))=FALSE),""1000"",""Unexpected size in description"")))"),"350")</f>
        <v>350</v>
      </c>
      <c r="D47" s="151" t="str">
        <f t="shared" si="2"/>
        <v/>
      </c>
      <c r="E47" s="152">
        <f>IFERROR(__xludf.DUMMYFUNCTION("IF(OR(A47="""",AND(ISERROR(FIND(""drawer box"",A47))=FALSE,KitchenDrawerType="""")),"""",IF(OR(ISERROR(FIND(""larder"",A47))=FALSE,ISERROR(FIND(""fridge/freezer"",A47))=FALSE,ISERROR(FIND(""double oven"",A47))=FALSE,ISERROR(FIND(""single oven"",A47))=FALS"&amp;"E),VLOOKUP(LEFT(A47,FIND("" "",A47))&amp;""carcass ""&amp;RIGHT(A47,LEN(A47)-(LEN(A47)-3)),KitchensData,5,0),IF(ISERROR(FIND(""sink"",A47))=FALSE,VLOOKUP(LEFT(A47,FIND("" "",A47))&amp;""carcass ""&amp;VALUE(REGEXREPLACE(A47,""[^[:digit:]]"", """")),KitchensData,5,0)+(((C"&amp;"47/1000)*(300/1000))*VLOOKUP(KitchenCarcassMaterial,SheetsData,8,0)),IF(ISERROR(FIND(""bins"",A47))=FALSE,IF(ISERROR(FIND(""veneer"",KitchenCarcassMaterial))=FALSE,VLOOKUP(""Base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600"",A47))=FALSE,IF(ISERROR(FIND(""veneer"""&amp;",KitchenCarcassMaterial))=FALSE,0.54*(VLOOKUP(LEFT(KitchenCarcassMaterial,FIND(""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1200"",A47))=FALSE,"&amp;"IF(ISERROR(FIND(""veneer"",KitchenCarcassMaterial))=FALSE,0.84*(VLOOKUP(LEFT(KitchenCarcassMaterial,FIND(""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600"",A47))=FALSE,IF(ISERROR(FIND(""veneer"",KitchenCarcassMaterial))=FALSE,1.44*(VLOOKUP(LEFT(KitchenCarcassMaterial,FIND(""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1200"",A47))=FALSE,IF(ISERROR(FIND(""veneer"",KitchenCarcassMaterial))=FALSE,2.7*(VLOOKUP(LEFT(KitchenCarcassMaterial,FIND(""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front"",A47))=FALSE,((B47/1000)*(C47/1000))*VLOOKUP(KitchenDoorMaterial,SheetsData,8,0),IF(AND(KitchenDrawerType=""Match carcass"",ISERROR(FIND(""drawer box"",A47))=FALSE),(((((B47/1000)*(C47/1000))+((B47/1000"&amp;")*(D47/1000)))*2)*VLOOKUP(KitchenCarcassMaterial,SheetsData,8,0))+(((C47/1000)*(D47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box"",A47))=FALSE),(((((B47/1000)*(C47/1000))+((B47/1000)*(D47/1000)))*2)*(16/1000)*VLOOKUP(LEFT(KitchenCarcassMaterial,FIND("" "&amp;""",KitchenCarcassMaterial))&amp;""(solid m3)"",SolidData,5,0))+(((C47/1000)*(D47/1000))*VLOOKUP(LEFT(KitchenCarcassMaterial,FIND(""("",KitchenCarcassMaterial)-1)&amp;IF(OR(ISERROR(FIND(""ply"",KitchenCarcassMaterial))=FALSE,ISERROR(FIND(""H/F"",KitchenCarcassMate"&amp;"rial))=FALSE),""(9mm)"",""(10mm)""),SheetsData,8,0)),IF(ISERROR(FIND(""spacer"",A47))=FALSE,((D47/1000)*(C47/1000))*VLOOKUP(""Poplar ply (18mm)"",SheetsData,8,0),IF(ISERROR(FIND(""filler panel"",A47))=FALSE,((B47/1000)*(C47/1000))*VLOOKUP(KitchenDoorMater"&amp;"ial,SheetsData,8,0),IF(ISERROR(FIND(""shelf"",A47))=FALSE,((D47/1000)*(C47/1000))*VLOOKUP(KitchenCarcassMaterial,SheetsData,8,0),IF(ISERROR(FIND(""lost corner"",A47))=FALSE,VLOOKUP(LEFT(A47,FIND("" "",A47))&amp;""carcass ""&amp;VALUE(REGEXREPLACE(A47,""[^[:digit:"&amp;"]]"", """")),KitchensData,5,0)+((((B47/1000)*(C47/1000))+((B47/1000)*(60/1000)))*VLOOKUP(KitchenCarcassMaterial,SheetsData,8,0)),IF(ISERROR(FIND(""carcass"",A47))=FALSE,(((((B47/1000)*2)*(D47/1000))+(((C47/1000)*2)*(D47/1000)))*VLOOKUP(KitchenCarcassMater"&amp;"ial,SheetsData,8,0))+((B47/1000)*(C47/1000))*VLOOKUP(LEFT(KitchenCarcassMaterial,FIND(""("",KitchenCarcassMaterial)-1)&amp;IF(OR(ISERROR(FIND(""ply"",KitchenCarcassMaterial))=FALSE,ISERROR(FIND(""H/F"",KitchenCarcassMaterial))=FALSE),""(9mm)"",""(10mm)""),She"&amp;"etsData,8,0),IF(OR(ISERROR(FIND(""Plinth"",A47))=FALSE,ISERROR(FIND(""Cornice (flat)"",A47))=FALSE),((B47/1000)*(C47/1000))*VLOOKUP(""H/F (18mm)"",SheetsData,8,0),IF(ISERROR(FIND(""Cornice (stacked)"",A47))=FALSE,((0.08*(C47/1000))*2)*VLOOKUP(""H/F (22mm)"&amp;""",SheetsData,8,0),IF(ISERROR(FIND(""Base end panel"",A47))=FALSE,VLOOKUP(KitchenDoorMaterial,SheetsData,5,0)/3,IF(ISERROR(FIND(""Wall end panel"",A47))=FALSE,VLOOKUP(KitchenDoorMaterial,SheetsData,5,0)/9,IF(ISERROR(FIND(""Tower end panel"",A47))=FALSE,VL"&amp;"OOKUP(KitchenDoorMaterial,SheetsData,5,0),IF(ISERROR(FIND(""Fillers"",A47))=FALSE,(((0.06*(C47/1000))*2)*VLOOKUP(""H/F (18mm)"",SheetsData,8,0))+(((0.06*(C47/1000))*2)*VLOOKUP(""H/F (9mm)"",SheetsData,8,0)),IF(ISERROR(FIND(""corner post"",A47))=FALSE,(((B"&amp;"47/1000)*0.05)*2)*VLOOKUP(KitchenDoorMaterial,SheetsData,8,0),IF(ISERROR(FIND(""Pelmet"",A47))=FALSE,((((B47/1000)*(C47/1000))*2)*VLOOKUP(""H/F (18mm)"",SheetsData,8,0)),IF(ISERROR(FIND(""door"",A47))=TRUE,""Check description"",IF(KitchenDoorStyle=""Flat"&amp;""",((B47/1000)*(C47/1000))*VLOOKUP(KitchenDoorMaterial,SheetsData,8,0),IF(LEFT(KitchenDoorStyle,5)=""Panel"",(((((B47/1000)*2)*0.08)+((((C47/1000)-0.16)*2)*0.08))*VLOOKUP(""H/F (22mm)"",SheetsData,8,0))+(((B47/1000)-0.14)*((C47/1000)-0.14)*VLOOKUP(""H/F ("&amp;"9mm)"",SheetsData,8,0)),IF(KitchenDoorStyle=""In-frame flat"",((((((B47/1000)*0.019)*0.038)+((((C47-38)/1000)*0.038)*0.038))*2)*VLOOKUP(""Tulip (solid m3)"",SolidData,5,0))+(((B47-76)/1000)*((C47-38)/1000))*VLOOKUP(""H/F (22mm)"",SheetsData,8,0),IF(LEFT(K"&amp;"itchenDoorStyle,14)=""In-frame panel"",(((((((B47/1000)*0.019)*0.038)+((((C47-38)/1000)*0.038)*0.038))*2)*VLOOKUP(""Tulip (solid m3)"",SolidData,5,0))+(((((((B47-76)/1000)*2)*0.08)+(((((C47-198)/1000)*2)*0.08)))*VLOOKUP(""H/F (22mm)"",SheetsData,8,0))+((("&amp;"B47-216)/1000)*((C47-178)/1000)*VLOOKUP(""H/F (9mm)"",SheetsData,8,0)))))))))))))))))))))))))))))))))"),6.083333333333333)</f>
        <v>6.083333333</v>
      </c>
      <c r="F47" s="152" t="str">
        <f>IFERROR(__xludf.DUMMYFUNCTION("IF(OR(A47="""",AND(ISERROR(FIND(""drawer box"",A47))=FALSE,KitchenDrawerType=""Solid dovetail"")),"""",IF(ISERROR(FIND(""bins"",A47))=FALSE,VLOOKUP(""Base carcass 600"",KitchensData,6,0),IF(OR(ISERROR(FIND(""larder"",A47))=FALSE,ISERROR(FIND(""unit"",A47)"&amp;")=FALSE),VLOOKUP(LEFT(A47,FIND("" "",A47))&amp;""carcass ""&amp;RIGHT(A47,LEN(A47)-len(regexextract(A47,"".* ""))),KitchensData,6,0),IF(ISERROR(FIND(""drawer front"",A47))=FALSE,IF(ISERROR(FIND(""veneer"",KitchenCarcassMaterial))=TRUE,0,(((B47+C47)/1000)*2)*VLOOK"&amp;"UP(""Edge banding (per M)"",SheetsData,5,0)),IF(ISERROR(FIND(""drawer box"",A47))=FALSE,IF(ISERROR(FIND(""veneer"",KitchenCarcassMaterial))=TRUE,0,(((C47+D47)/1000)*2)*VLOOKUP(""Edge banding (per M)"",SheetsData,5,0)),IF(ISERROR(FIND(""shelf"",A47))=FALSE"&amp;",IF(ISERROR(FIND(""veneer"",KitchenCarcassMaterial))=TRUE,0,(C47/1000)*VLOOKUP(""Edge banding (per M)"",SheetsData,5,0)),IF(AND(ISERROR(FIND(""carcass"",A47))=FALSE,ISERROR(FIND(""shelf"",A47))=TRUE),IF(ISERROR(FIND(""veneer"",KitchenCarcassMaterial))=TRU"&amp;"E,0,((2*(B47+C47))/1000)*VLOOKUP(""Edge banding (per M)"",SheetsData,5,0)),IF(ISERROR(FIND(""door"",A47))=TRUE,"""",IF(ISERROR(FIND(""veneer"",KitchenDoorMaterial))=TRUE,"""",((2*(B47+C47))/1000)*VLOOKUP(""Edge banding (per M)"",SheetsData,5,0))))))))))"),"")</f>
        <v/>
      </c>
      <c r="G47" s="153" t="str">
        <f>IF(A47="","",IF(ISERROR(FIND("bins",A47))=FALSE,VLOOKUP("Base carcass 600",KitchensData,7,0),IF(OR(ISERROR(FIND("larder",A47))=FALSE,ISERROR(FIND("fridge/freezer",A47))=FALSE,ISERROR(FIND("double oven",A47))=FALSE,ISERROR(FIND("single oven",A47))=FALSE),VLOOKUP(LEFT(A47,FIND(" ",A47))&amp;"carcass "&amp;RIGHT(A47,LEN(A47)-(LEN(A47)-3)),KitchensData,7,0),IF(AND(ISERROR(FIND("carcass",A47))=FALSE,ISERROR(FIND("shelf",A47))=TRUE),IF(OR(ISERROR(FIND("Base",A47))=FALSE,ISERROR(FIND("Tower",A47))=FALSE),IF(OR(ISERROR(FIND("1200",A47))=FALSE, ISERROR(FIND("lost corner",A47))=FALSE),6*VLOOKUP("Plinth foot (2 Parts 80mm)",FurnitureData,5,0),4*VLOOKUP("Plinth foot (2 Parts 80mm)",FurnitureData,5,0)),""),""))))</f>
        <v/>
      </c>
      <c r="H47" s="115" t="str">
        <f>IF(OR(A47="",ISERROR(FIND("door",A47))=TRUE),"",IF(ISERROR(FIND("Wall",A47))=FALSE,VLOOKUP("Hinges &amp; plates (Hettich thick door)",FurnitureData,5,0)*2,IF(ISERROR(FIND("Base",A47))=FALSE,VLOOKUP("Hinges &amp; plates (Hettich thick door)",FurnitureData,5,0)*3,IF(ISERROR(FIND("Boiler",A47))=FALSE,VLOOKUP("Hinges &amp; plates (Hettich thick door)",FurnitureData,5,0)*4,IF(ISERROR(FIND("Tower",A47))=FALSE,VLOOKUP("Hinges &amp; plates (Hettich thick door)",FurnitureData,5,0)*5)))))</f>
        <v/>
      </c>
      <c r="I47" s="115" t="str">
        <f>IF(ISERROR(FIND("shelf",A47))=FALSE,(VLOOKUP("Shelf pegs",FurnitureData,5,0)/100)*4,"")</f>
        <v/>
      </c>
      <c r="J47" s="152" t="str">
        <f>IF(OR(ISERROR(FIND("fridge/freezer",A47))=FALSE,ISERROR(FIND("larder",A47))=FALSE,AND(ISERROR(FIND("Base",A47))=FALSE,ISERROR(FIND("bins",A47))=TRUE,ISERROR(FIND("no shelves",A47))=TRUE,OR(ISERROR(FIND("carcass",A47))=FALSE,ISERROR(FIND("unit",A47))=FALSE))),VLOOKUP("Deep shelf "&amp;C47,KitchensData,18,0),IF(AND(ISERROR(FIND("Wall",A47))=FALSE,ISERROR(FIND("carcass",A47))=FALSE),2*VLOOKUP("Shallow shelf "&amp;C47,KitchensData,18,0),IF(AND(ISERROR(FIND("Tower",A47))=FALSE,ISERROR(FIND("oven",A47))=FALSE),4*VLOOKUP("Deep shelf "&amp;C47,KitchensData,18,0),IF(AND(ISERROR(FIND("Tower",A47))=FALSE,ISERROR(FIND("carcass",A47))=FALSE),5*VLOOKUP("Deep shelf "&amp;C47,KitchensData,18,0),""))))</f>
        <v/>
      </c>
      <c r="K47" s="152" t="str">
        <f>IF(ISERROR(FIND("sink",A47))=FALSE,VLOOKUP("Sink liner - Aluminium "&amp;RIGHT(A47,LEN(A47)-22)&amp;"mm",ExceptionalData,5,0),IF(ISERROR(FIND("bins",A47))=FALSE,VLOOKUP("Drawer runners and clip set for bin unit (500) Dynapro",FurnitureData,5,0)+(2*VLOOKUP("Bin (42L Anthracite)",FurnitureData,5,0)),IF(ISERROR(FIND("larder",A47))=FALSE,VLOOKUP("Pull out larder unit 600mm",FurnitureData,5,0),IF(AND(ISERROR(FIND("drawer box",A47))=FALSE,ISERROR(FIND("internal",A47))=TRUE),VLOOKUP("Drawer runners and clip set (550) Dynapro",FurnitureData,5,0),IF(ISERROR(FIND("internal drawer box",A47))=FALSE,VLOOKUP("Drawer runners and clip set (450) Dynapro",FurnitureData,5,0),"")))))</f>
        <v/>
      </c>
      <c r="L47" s="152">
        <f t="shared" si="3"/>
        <v>6.083333333</v>
      </c>
      <c r="M47" s="154">
        <f>IFERROR(__xludf.DUMMYFUNCTION("IF(A47="""","""",IF(OR(ISERROR(FIND(""larder"",A47))=FALSE,ISERROR(FIND(""unit"",A47))=FALSE),VLOOKUP(LEFT(A47,FIND("" "",A47))&amp;""carcass ""&amp;RIGHT(A47,LEN(A47)-len(regexextract(A47,"".* ""))),KitchensData,13,0),IF(ISERROR(FIND(""bins"",A47))=FALSE,0.95,IF"&amp;"(ISERROR(FIND(""Cutlery insert 600"",A47))=FALSE,1.3,IF(ISERROR(FIND(""Cutlery insert 1200"",A47))=FALSE,2,IF(ISERROR(FIND(""Pan/tray rack 600"",A47))=FALSE,3.25,IF(ISERROR(FIND(""Pan/tray rack 1200"",A47))=FALSE,5.9,IF(ISERROR(FIND(""split"",A47))=FALSE,"&amp;"(((C47/1000)*0.022)*2)+VLOOKUP(SUBSTITUTE(A47,"" split"",""""),KitchensData,13,0),IF(AND(ISERROR(FIND(""drawer front"",A47))=FALSE,KitchenDoorStyle=""Flat""),(((B47/1000)*(C47/1000))*2)+((((B47+C47)/1000)*2)*0.022),IF(AND(ISERROR(FIND(""drawer front"",A47"&amp;"))=FALSE,LEFT(KitchenDoorStyle,5)=""Panel""),(((B47/1000)*(C47/1000))*2)+((((B47+C47)/1000)*2)*0.022)+((((C47/1000)-0.16)*0.013)*2)+((((D47/1000)-0.16)*0.013)*2),IF(AND(ISERROR(FIND(""drawer front"",A47))=FALSE,KitchenDoorStyle=""In-frame flat""),((((B47-"&amp;"76)/1000)*((C47-38)/1000))*2)+(MID(KitchenDoorMaterial,FIND(""("",KitchenDoorMaterial)+1,2)/1000)*((((B47-76)+(C47-38))/1000)*2)+(((B47/1000)*0.032)*2)+((((B47-76)/1000)*0.032)*2)+(((B47/1000)*0.019)*4)+(((C47/1000)*0.032)*2)+((((C47-38)/1000)*0.032)*2)+("&amp;"((C47/1000)*0.038)*4),IF(AND(ISERROR(FIND(""drawer front"",A47))=FALSE,LEFT(KitchenDoorStyle,14)=""In-frame panel""),((((B47-76)/1000)*((C47-38)/1000))*2)+((MID(KitchenDoorMaterial,FIND(""("",KitchenDoorMaterial)+1,2)/1000)*((((B47-76)+(C47-38))/1000)*2))"&amp;"+((((B47-236)/1000)+((C47-198)/1000)*2)*0.013)+(((B47/1000)*0.032)*2)+((((B47-76)/1000)*0.032)*2)+(((B47/1000)*0.019)*4)+(((C47/1000)*0.032)*2)+((((C47-38)/1000)*0.032)*2)+(((C47/1000)*0.038)*4),IF(ISERROR(FIND(""drawer box"",A47))=FALSE,((((B47/1000)*(D4"&amp;"7/1000))+((B47/1000)*(C47/1000)))*4)+((((D47/1000)+(C47/1000))*0.016)*4)+(((C47/1000)*(D47/1000))*2),IF(OR(ISERROR(FIND(""shelf"",A47))=FALSE,ISERROR(FIND(""spacer"",A47))=FALSE,,ISERROR(FIND(""filler panel"",A47))=FALSE),(((C47/1000)*(D47/1000))*2)+((((C"&amp;"47+D47)*2)/1000)*0.022),IF(ISERROR(FIND(""lost corner"",A47))=FALSE,(((B47/1000)*(C47/1000))*2)+((B47/1000)*(C47/1000))+((B47/1000)*((C47/2)/1000))+((((B47/1000)*0.025)+((C47/1000)*0.025))*2),IF(ISERROR(FIND(""carcass"",A47))=FALSE,(((C47/1000)*(D47/1000)"&amp;")*2)+(((B47/1000)*(D47/1000))*2)+((B47/1000)*(C47/1000))+((((B47/1000)*0.025)+((C47/1000)*0.025))*2),IF(AND(ISERROR(FIND(""door"",A47))=FALSE,KitchenDoorStyle=""Flat""),(((B47/1000)*(C47/1000))*2)+(MID(KitchenDoorMaterial,FIND(""("",KitchenDoorMaterial)+1"&amp;",2)/1000)*(((B47+C47)/1000)*2),IF(AND(ISERROR(FIND(""door"",A47))=FALSE,LEFT(KitchenDoorStyle,5)=""Panel""),(((B47/1000)*(C47/1000))*2)+((MID(KitchenDoorMaterial,FIND(""("",KitchenDoorMaterial)+1,2)/1000)*(((B47+C47)/1000)*2))+(((((B47-160)+(C47-160))*2)/"&amp;"1000)*(0.013)),IF(AND(ISERROR(FIND(""door"",A47))=FALSE,KitchenDoorStyle=""In-frame flat""),((((B47-76)/1000)*((C47-38)/1000))*2)+(MID(KitchenDoorMaterial,FIND(""("",KitchenDoorMaterial)+1,2)/1000)*((((B47-76)+(C47-38))/1000)*2)+(((B47/1000)*0.032)*2)+((("&amp;"(B47-76)/1000)*0.032)*2)+(((B47/1000)*0.019)*4)+(((C47/1000)*0.032)*2)+((((C47-38)/1000)*0.032)*2)+(((C47/1000)*0.038)*4),IF(AND(ISERROR(FIND(""door"",A47))=FALSE,LEFT(KitchenDoorStyle,14)=""In-frame panel""),((((B47-76)/1000)*((C47-38)/1000))*2)+((MID(Ki"&amp;"tchenDoorMaterial,FIND(""("",KitchenDoorMaterial)+1,2)/1000)*((((B47-76)+(C47-38))/1000)*2))+((((B47-236)/1000)+((C47-198)/1000)*2)*0.013)+(((B47/1000)*0.032)*2)+((((B47-76)/1000)*0.032)*2)+(((B47/1000)*0.019)*4)+(((C47/1000)*0.032)*2)+((((C47-38)/1000)*0"&amp;".032)*2)+(((C47/1000)*0.038)*4),IF(ISERROR(FIND(""Plinth"",A47))=FALSE,((B47/1000)*(C47/1000))+(((C47/1000)*0.018)*2)+(((B47/1000)*0.018)*2),IF(ISERROR(FIND(""Cornice"",A47))=FALSE,(((C47/1000)*0.1)*2)+(((C47/1000)*0.044)*2)+(((B47/1000)*0.08)*2),IF(ISERR"&amp;"OR(FIND(""Base end panel"",A47))=FALSE,((B47/1000)*(C47/1000))+(0.022*((B47/1000)+((C47/1000)*2)))+((B47/1000)*0.05),IF(ISERROR(FIND(""Wall end panel"",A47))=FALSE,((B47/1000)*(C47/1000))+(0.022*((B47/1000)+((C47/1000)*2)))+((B47/1000)*0.05),IF(ISERROR(FI"&amp;"ND(""Tower end panel"",A47))=FALSE,((B47/1000)*(C47/1000))+(0.022*((B47/1000)+((C47/1000)*2)))+((B47/1000)*0.05),IF(ISERROR(FIND(""Fillers"",A47))=FALSE,((C47/1000)*0.06)+((C47/1000)*0.069)+((0.06*0.018)*2)+((0.06*0.009)*2)+((C47/1000)*0.009)+((C47/1000)*"&amp;"0.018),IF(ISERROR(FIND(""corner post"",A47))=FALSE,(((B47/1000*0.05)*2)+((B47/1000)*0.022)*2)+((B47/1000)*0.072)+((B47/1000)*0.05)+((0.072*0.022)*2)+((0.05*0.022)*2),IF(ISERROR(FIND(""Pelmet"",A47))=FALSE,((C47/1000)*0.05)+((C47/1000)*0.068)+((0.05*0.018)"&amp;"*4)+(((C47/1000)*0.018))*2))))))))))))))))))))))))))))"),0.31079999999999997)</f>
        <v>0.3108</v>
      </c>
      <c r="N47" s="152">
        <f>IF(M47="","",IF(AND(ISERROR(FIND("carcass",A47))=TRUE,ISERROR(FIND("unit",A47))=TRUE,ISERROR(FIND("insert",A47))=TRUE,ISERROR(FIND("rack",A47))=TRUE,ISERROR(FIND("box",A47))=TRUE,ISERROR(FIND("shelf",#REF!))=TRUE),VLOOKUP(KitchenDoorFinish,Finishing!$A$2:$K$10,9,0)*M47,VLOOKUP(KitchenCarcassFinish,Finishing!$A$2:$K$40,9,0)*M47))</f>
        <v>2.331</v>
      </c>
      <c r="O47" s="155">
        <v>1.0</v>
      </c>
      <c r="P47" s="155">
        <v>1.0</v>
      </c>
      <c r="Q47" s="152">
        <f>IF(OR(O47="",P47=""),"",((O47*X47)*(VLOOKUP("Workshop",Labour!$A$3:$E$20,4,0)/8))+((P47*AE47)*(VLOOKUP("Finishing",Labour!$A$3:$E$20,4,0)/8)))</f>
        <v>99.75</v>
      </c>
      <c r="R47" s="152">
        <f t="shared" si="4"/>
        <v>108.1643333</v>
      </c>
      <c r="S47" s="156">
        <f>IF(OR(O47="",P47=""),"",IF(OR(ISERROR(FIND("carcass",$A47))=FALSE,ISERROR(FIND("unit",$A47))=FALSE),VLOOKUP(KitchenCarcassMaterial,FixedListsCarcassMaterial,2,0),0))</f>
        <v>0</v>
      </c>
      <c r="T47" s="156">
        <f>IF(OR(O47="",P47=""),"",IF(ISERROR(FIND("door",$A47))=FALSE,VLOOKUP(KitchenDoorStyle,FixedListsDoorStyle,2,0),0))</f>
        <v>0</v>
      </c>
      <c r="U47" s="156">
        <f>IF(OR(O47="",P47=""),"",IF(ISERROR(FIND("door",$A47))=FALSE,VLOOKUP(KitchenDoorMaterial,FixedListsDoorMaterial,2,0),0))</f>
        <v>0</v>
      </c>
      <c r="V47" s="156">
        <f>IF(OR(O47="",P47=""),"",IF(ISERROR(FIND("drawer",$A47))=FALSE,VLOOKUP(KitchenDrawerType,FixedListsDrawerType,2,0),0))</f>
        <v>0</v>
      </c>
      <c r="W47" s="156">
        <f>IF(OR(O47="",P47=""),"",IF(OR(S47&gt;0, T47&gt;0,V47&gt;0),VLOOKUP(KitchenHandleType,FixedListsHandleType,2,FALSE)*IF(KitchenHandleType="Simple",0,IF(S47&gt;0,VLOOKUP(KitchenHandleType,FixedListsHandleType,4,FALSE),IF(OR(T47&gt;0,V47&gt;0),1-VLOOKUP(KitchenHandleType,FixedListsHandleType,4,FALSE),"Error"))),0))</f>
        <v>0</v>
      </c>
      <c r="X47" s="156">
        <f t="shared" si="5"/>
        <v>1</v>
      </c>
      <c r="Y47" s="156">
        <f>IF(OR(O47="",P47=""),"",IF(OR(ISERROR(FIND("carcass",$A47))=FALSE,ISERROR(FIND("unit",$A47))=FALSE),VLOOKUP(KitchenCarcassMaterial,FixedListsCarcassMaterial,3,0),0))</f>
        <v>0</v>
      </c>
      <c r="Z47" s="156">
        <f>IF(OR(O47="",P47=""),"",IF(ISERROR(FIND("door",$A47))=FALSE,VLOOKUP(KitchenDoorStyle,FixedListsDoorStyle,3,0),0))</f>
        <v>0</v>
      </c>
      <c r="AA47" s="156">
        <f>IF(OR(O47="",P47=""),"",IF(ISERROR(FIND("door",$A47))=FALSE,VLOOKUP(KitchenDoorMaterial,FixedListsDoorMaterial,3,0),0))</f>
        <v>0</v>
      </c>
      <c r="AB47" s="156">
        <f>IF(OR(O47="",P47=""),"",IF(ISERROR(FIND("drawer",$A47))=FALSE,VLOOKUP(KitchenDrawerType,FixedListsDrawerType,3,0),0))</f>
        <v>0</v>
      </c>
      <c r="AC47" s="156">
        <f>IF(OR(O47="",P47=""),"",IF(OR(Y47&gt;0,Z47&gt;0,AB47&gt;0),VLOOKUP(KitchenHandleType,FixedListsHandleType,3,FALSE),0))</f>
        <v>0</v>
      </c>
      <c r="AD47" s="156">
        <f>IF(OR(O47="",P47=""),"",IF(OR(ISERROR(FIND("carcass",$A47))=FALSE,ISERROR(FIND("unit",$A47))=FALSE),VLOOKUP(KitchenCarcassFinish,FixedListsFinishes,3,0),IF(OR(ISERROR(FIND("door",$A47))=FALSE,ISERROR(FIND("Plinth",$A47))=FALSE,ISERROR(FIND("Cornice",$A47))=FALSE,ISERROR(FIND("Fillers",$A47))=FALSE,ISERROR(FIND("Pelmet",$A47))=FALSE,ISERROR(FIND("panel",$A47))=FALSE,ISERROR(FIND("post",$A47))=FALSE),VLOOKUP(KitchenDoorFinish,FixedListsFinishes,3,0),IF(OR(ISERROR(FIND("drawer",$A47))=FALSE,ISERROR(FIND("insert",$A47))=FALSE,ISERROR(FIND("rck",$A47))=FALSE),VLOOKUP(KitchenCarcassFinish,FixedListsFinishes,3,0),0))))</f>
        <v>2</v>
      </c>
      <c r="AE47" s="156">
        <f t="shared" si="6"/>
        <v>2</v>
      </c>
      <c r="AF47" s="157" t="str">
        <f>IF(AND(KitchenHandleType="Channel",OR(ISERROR(FIND("arcass",$A47))=FALSE,ISERROR(FIND("unit",$A47))=FALSE)),IF(ISERROR(FIND("Tower",$A47))=TRUE,IF(KitchenHandleFinish="Match carcass",IF(ISERROR(FIND("Walnut",KitchenCarcassMaterial))=FALSE,(0.035*0.075*($C47/1000))*VLOOKUP("Walnut (solid m3)",SolidData,4,FALSE),IF(ISERROR(FIND("Oak",KitchenCarcassMaterial))=FALSE,(0.035*0.075*($C47/1000))*VLOOKUP("Oak (solid m3)",SolidData,4,FALSE),IF(ISERROR(FIND("ply",KitchenCarcassMaterial))=FALSE,(0.1*($C47/1000))*VLOOKUP("Birch ply (24mm)",SheetsData,7,FALSE),IF(ISERROR(FIND("H/F",KitchenCarcassMaterial))=FALSE,(0.1*($C47/1000))*VLOOKUP("H/F (22mm)",SheetsData,7,FALSE),"Carcass - not tower - new material")))),IF(KitchenHandleFinish="Match door",IF(ISERROR(FIND("Walnut",KitchenDoorMaterial))=FALSE,(0.035*0.075*($C47/1000))*VLOOKUP("Walnut (solid m3)",SolidData,4,FALSE),IF(ISERROR(FIND("Oak",KitchenDoorMaterial))=FALSE,(0.035*0.075*($C47/1000))*VLOOKUP("Oak (solid m3)",SolidData,4,FALSE),IF(ISERROR(FIND("ply",KitchenDoorMaterial))=FALSE,(0.1*($C47/1000))*VLOOKUP("Birch ply (24mm)",SheetsData,7,FALSE),IF(ISERROR(FIND("H/F",KitchenCarcassMaterial))=FALSE,(0.1*($C47/1000))*VLOOKUP("H/F (22mm)",SheetsData,7,FALSE),"Door - not tower - new material")))),"Channel - not tower - handle set to other")),IF(ISERROR(FIND("Tower",$A47))=FALSE,IF(KitchenHandleFinish="Match carcass",IF(ISERROR(FIND("Walnut",KitchenCarcassMaterial))=FALSE,(0.035*0.075*($B47/1000))*VLOOKUP("Walnut (solid m3)",SolidData,4,FALSE),IF(ISERROR(FIND("Oak",KitchenCarcassMaterial))=FALSE,(0.035*0.075*($B47/1000))*VLOOKUP("Oak (solid m3)",SolidData,4,FALSE),IF(ISERROR(FIND("ply",KitchenCarcassMaterial))=FALSE,(0.1*($B47/1000))*VLOOKUP("Birch ply (24mm)",SheetsData,7,FALSE),IF(ISERROR(FIND("H/F",KitchenCarcassMaterial))=FALSE,(0.1*($C47/1000))*VLOOKUP("H/F (22mm)",SheetsData,7,FALSE),"Carcass - tower - new material")))),IF(KitchenHandleFinish="Match door",IF(ISERROR(FIND("Walnut",KitchenDoorMaterial))=FALSE,(0.035*0.075*($B47/1000))*VLOOKUP("Walnut (solid m3)",SolidData,4,FALSE),IF(ISERROR(FIND("Oak",KitchenDoorMaterial))=FALSE,(0.035*0.075*($B47/1000))*VLOOKUP("Oak (solid m3)",SolidData,4,FALSE),IF(ISERROR(FIND("ply",KitchenDoorMaterial))=FALSE,(0.1*($B47/1000))*VLOOKUP("Birch ply (24mm)",SheetData,7,FALSE),IF(ISERROR(FIND("H/F",KitchenCarcassMaterial))=FALSE,(0.1*($C47/1000))*VLOOKUP("H/F (22mm)",SheetsData,7,FALSE),"Door - tower - new material")))),"Channel - tower - handle set to other")))),"")</f>
        <v/>
      </c>
    </row>
    <row r="48">
      <c r="A48" s="151" t="s">
        <v>156</v>
      </c>
      <c r="B48" s="115">
        <f t="shared" si="1"/>
        <v>2200</v>
      </c>
      <c r="C48" s="115" t="str">
        <f>IFERROR(__xludf.DUMMYFUNCTION("IF(A48="""","""",IF(OR(RIGHT(A48,LEN(A48)-len(regexextract(A48,"".* "")))=""1200"",RIGHT(A48,LEN(A48)-len(regexextract(A48,"".* "")))=""600"",RIGHT(A48,LEN(A48)-len(regexextract(A48,"".* "")))=""400"",RIGHT(A48,LEN(A48)-len(regexextract(A48,"".* "")))=""3"&amp;"00"",RIGHT(A48,LEN(A48)-len(regexextract(A48,"".* "")))=""700"",RIGHT(A48,LEN(A48)-len(regexextract(A48,"".* "")))=""2400"",RIGHT(A48,LEN(A48)-len(regexextract(A48,"".* "")))=""650"",RIGHT(A48,LEN(A48)-len(regexextract(A48,"".* "")))=""350"",RIGHT(A48,LEN"&amp;"(A48)-len(regexextract(A48,"".* "")))=""50""),RIGHT(A48,LEN(A48)-len(regexextract(A48,"".* ""))),IF(OR(ISERROR(FIND(""spacer"",A48))=FALSE,ISERROR(FIND(""filler panel"",A48))=FALSE),""1000"",""Unexpected size in description"")))"),"650")</f>
        <v>650</v>
      </c>
      <c r="D48" s="151" t="str">
        <f t="shared" si="2"/>
        <v/>
      </c>
      <c r="E48" s="152">
        <f>IFERROR(__xludf.DUMMYFUNCTION("IF(OR(A48="""",AND(ISERROR(FIND(""drawer box"",A48))=FALSE,KitchenDrawerType="""")),"""",IF(OR(ISERROR(FIND(""larder"",A48))=FALSE,ISERROR(FIND(""fridge/freezer"",A48))=FALSE,ISERROR(FIND(""double oven"",A48))=FALSE,ISERROR(FIND(""single oven"",A48))=FALS"&amp;"E),VLOOKUP(LEFT(A48,FIND("" "",A48))&amp;""carcass ""&amp;RIGHT(A48,LEN(A48)-(LEN(A48)-3)),KitchensData,5,0),IF(ISERROR(FIND(""sink"",A48))=FALSE,VLOOKUP(LEFT(A48,FIND("" "",A48))&amp;""carcass ""&amp;VALUE(REGEXREPLACE(A48,""[^[:digit:]]"", """")),KitchensData,5,0)+(((C"&amp;"48/1000)*(300/1000))*VLOOKUP(KitchenCarcassMaterial,SheetsData,8,0)),IF(ISERROR(FIND(""bins"",A48))=FALSE,IF(ISERROR(FIND(""veneer"",KitchenCarcassMaterial))=FALSE,VLOOKUP(""Base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600"",A48))=FALSE,IF(ISERROR(FIND(""veneer"""&amp;",KitchenCarcassMaterial))=FALSE,0.54*(VLOOKUP(LEFT(KitchenCarcassMaterial,FIND(""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1200"",A48))=FALSE,"&amp;"IF(ISERROR(FIND(""veneer"",KitchenCarcassMaterial))=FALSE,0.84*(VLOOKUP(LEFT(KitchenCarcassMaterial,FIND(""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600"",A48))=FALSE,IF(ISERROR(FIND(""veneer"",KitchenCarcassMaterial))=FALSE,1.44*(VLOOKUP(LEFT(KitchenCarcassMaterial,FIND(""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1200"",A48))=FALSE,IF(ISERROR(FIND(""veneer"",KitchenCarcassMaterial))=FALSE,2.7*(VLOOKUP(LEFT(KitchenCarcassMaterial,FIND(""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front"",A48))=FALSE,((B48/1000)*(C48/1000))*VLOOKUP(KitchenDoorMaterial,SheetsData,8,0),IF(AND(KitchenDrawerType=""Match carcass"",ISERROR(FIND(""drawer box"",A48))=FALSE),(((((B48/1000)*(C48/1000))+((B48/1000"&amp;")*(D48/1000)))*2)*VLOOKUP(KitchenCarcassMaterial,SheetsData,8,0))+(((C48/1000)*(D48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box"",A48))=FALSE),(((((B48/1000)*(C48/1000))+((B48/1000)*(D48/1000)))*2)*(16/1000)*VLOOKUP(LEFT(KitchenCarcassMaterial,FIND("" "&amp;""",KitchenCarcassMaterial))&amp;""(solid m3)"",SolidData,5,0))+(((C48/1000)*(D48/1000))*VLOOKUP(LEFT(KitchenCarcassMaterial,FIND(""("",KitchenCarcassMaterial)-1)&amp;IF(OR(ISERROR(FIND(""ply"",KitchenCarcassMaterial))=FALSE,ISERROR(FIND(""H/F"",KitchenCarcassMate"&amp;"rial))=FALSE),""(9mm)"",""(10mm)""),SheetsData,8,0)),IF(ISERROR(FIND(""spacer"",A48))=FALSE,((D48/1000)*(C48/1000))*VLOOKUP(""Poplar ply (18mm)"",SheetsData,8,0),IF(ISERROR(FIND(""filler panel"",A48))=FALSE,((B48/1000)*(C48/1000))*VLOOKUP(KitchenDoorMater"&amp;"ial,SheetsData,8,0),IF(ISERROR(FIND(""shelf"",A48))=FALSE,((D48/1000)*(C48/1000))*VLOOKUP(KitchenCarcassMaterial,SheetsData,8,0),IF(ISERROR(FIND(""lost corner"",A48))=FALSE,VLOOKUP(LEFT(A48,FIND("" "",A48))&amp;""carcass ""&amp;VALUE(REGEXREPLACE(A48,""[^[:digit:"&amp;"]]"", """")),KitchensData,5,0)+((((B48/1000)*(C48/1000))+((B48/1000)*(60/1000)))*VLOOKUP(KitchenCarcassMaterial,SheetsData,8,0)),IF(ISERROR(FIND(""carcass"",A48))=FALSE,(((((B48/1000)*2)*(D48/1000))+(((C48/1000)*2)*(D48/1000)))*VLOOKUP(KitchenCarcassMater"&amp;"ial,SheetsData,8,0))+((B48/1000)*(C48/1000))*VLOOKUP(LEFT(KitchenCarcassMaterial,FIND(""("",KitchenCarcassMaterial)-1)&amp;IF(OR(ISERROR(FIND(""ply"",KitchenCarcassMaterial))=FALSE,ISERROR(FIND(""H/F"",KitchenCarcassMaterial))=FALSE),""(9mm)"",""(10mm)""),She"&amp;"etsData,8,0),IF(OR(ISERROR(FIND(""Plinth"",A48))=FALSE,ISERROR(FIND(""Cornice (flat)"",A48))=FALSE),((B48/1000)*(C48/1000))*VLOOKUP(""H/F (18mm)"",SheetsData,8,0),IF(ISERROR(FIND(""Cornice (stacked)"",A48))=FALSE,((0.08*(C48/1000))*2)*VLOOKUP(""H/F (22mm)"&amp;""",SheetsData,8,0),IF(ISERROR(FIND(""Base end panel"",A48))=FALSE,VLOOKUP(KitchenDoorMaterial,SheetsData,5,0)/3,IF(ISERROR(FIND(""Wall end panel"",A48))=FALSE,VLOOKUP(KitchenDoorMaterial,SheetsData,5,0)/9,IF(ISERROR(FIND(""Tower end panel"",A48))=FALSE,VL"&amp;"OOKUP(KitchenDoorMaterial,SheetsData,5,0),IF(ISERROR(FIND(""Fillers"",A48))=FALSE,(((0.06*(C48/1000))*2)*VLOOKUP(""H/F (18mm)"",SheetsData,8,0))+(((0.06*(C48/1000))*2)*VLOOKUP(""H/F (9mm)"",SheetsData,8,0)),IF(ISERROR(FIND(""corner post"",A48))=FALSE,(((B"&amp;"48/1000)*0.05)*2)*VLOOKUP(KitchenDoorMaterial,SheetsData,8,0),IF(ISERROR(FIND(""Pelmet"",A48))=FALSE,((((B48/1000)*(C48/1000))*2)*VLOOKUP(""H/F (18mm)"",SheetsData,8,0)),IF(ISERROR(FIND(""door"",A48))=TRUE,""Check description"",IF(KitchenDoorStyle=""Flat"&amp;""",((B48/1000)*(C48/1000))*VLOOKUP(KitchenDoorMaterial,SheetsData,8,0),IF(LEFT(KitchenDoorStyle,5)=""Panel"",(((((B48/1000)*2)*0.08)+((((C48/1000)-0.16)*2)*0.08))*VLOOKUP(""H/F (22mm)"",SheetsData,8,0))+(((B48/1000)-0.14)*((C48/1000)-0.14)*VLOOKUP(""H/F ("&amp;"9mm)"",SheetsData,8,0)),IF(KitchenDoorStyle=""In-frame flat"",((((((B48/1000)*0.019)*0.038)+((((C48-38)/1000)*0.038)*0.038))*2)*VLOOKUP(""Tulip (solid m3)"",SolidData,5,0))+(((B48-76)/1000)*((C48-38)/1000))*VLOOKUP(""H/F (22mm)"",SheetsData,8,0),IF(LEFT(K"&amp;"itchenDoorStyle,14)=""In-frame panel"",(((((((B48/1000)*0.019)*0.038)+((((C48-38)/1000)*0.038)*0.038))*2)*VLOOKUP(""Tulip (solid m3)"",SolidData,5,0))+(((((((B48-76)/1000)*2)*0.08)+(((((C48-198)/1000)*2)*0.08)))*VLOOKUP(""H/F (22mm)"",SheetsData,8,0))+((("&amp;"B48-216)/1000)*((C48-178)/1000)*VLOOKUP(""H/F (9mm)"",SheetsData,8,0)))))))))))))))))))))))))))))))))"),54.75)</f>
        <v>54.75</v>
      </c>
      <c r="F48" s="152" t="str">
        <f>IFERROR(__xludf.DUMMYFUNCTION("IF(OR(A48="""",AND(ISERROR(FIND(""drawer box"",A48))=FALSE,KitchenDrawerType=""Solid dovetail"")),"""",IF(ISERROR(FIND(""bins"",A48))=FALSE,VLOOKUP(""Base carcass 600"",KitchensData,6,0),IF(OR(ISERROR(FIND(""larder"",A48))=FALSE,ISERROR(FIND(""unit"",A48)"&amp;")=FALSE),VLOOKUP(LEFT(A48,FIND("" "",A48))&amp;""carcass ""&amp;RIGHT(A48,LEN(A48)-len(regexextract(A48,"".* ""))),KitchensData,6,0),IF(ISERROR(FIND(""drawer front"",A48))=FALSE,IF(ISERROR(FIND(""veneer"",KitchenCarcassMaterial))=TRUE,0,(((B48+C48)/1000)*2)*VLOOK"&amp;"UP(""Edge banding (per M)"",SheetsData,5,0)),IF(ISERROR(FIND(""drawer box"",A48))=FALSE,IF(ISERROR(FIND(""veneer"",KitchenCarcassMaterial))=TRUE,0,(((C48+D48)/1000)*2)*VLOOKUP(""Edge banding (per M)"",SheetsData,5,0)),IF(ISERROR(FIND(""shelf"",A48))=FALSE"&amp;",IF(ISERROR(FIND(""veneer"",KitchenCarcassMaterial))=TRUE,0,(C48/1000)*VLOOKUP(""Edge banding (per M)"",SheetsData,5,0)),IF(AND(ISERROR(FIND(""carcass"",A48))=FALSE,ISERROR(FIND(""shelf"",A48))=TRUE),IF(ISERROR(FIND(""veneer"",KitchenCarcassMaterial))=TRU"&amp;"E,0,((2*(B48+C48))/1000)*VLOOKUP(""Edge banding (per M)"",SheetsData,5,0)),IF(ISERROR(FIND(""door"",A48))=TRUE,"""",IF(ISERROR(FIND(""veneer"",KitchenDoorMaterial))=TRUE,"""",((2*(B48+C48))/1000)*VLOOKUP(""Edge banding (per M)"",SheetsData,5,0))))))))))"),"")</f>
        <v/>
      </c>
      <c r="G48" s="153" t="str">
        <f>IF(A48="","",IF(ISERROR(FIND("bins",A48))=FALSE,VLOOKUP("Base carcass 600",KitchensData,7,0),IF(OR(ISERROR(FIND("larder",A48))=FALSE,ISERROR(FIND("fridge/freezer",A48))=FALSE,ISERROR(FIND("double oven",A48))=FALSE,ISERROR(FIND("single oven",A48))=FALSE),VLOOKUP(LEFT(A48,FIND(" ",A48))&amp;"carcass "&amp;RIGHT(A48,LEN(A48)-(LEN(A48)-3)),KitchensData,7,0),IF(AND(ISERROR(FIND("carcass",A48))=FALSE,ISERROR(FIND("shelf",A48))=TRUE),IF(OR(ISERROR(FIND("Base",A48))=FALSE,ISERROR(FIND("Tower",A48))=FALSE),IF(OR(ISERROR(FIND("1200",A48))=FALSE, ISERROR(FIND("lost corner",A48))=FALSE),6*VLOOKUP("Plinth foot (2 Parts 80mm)",FurnitureData,5,0),4*VLOOKUP("Plinth foot (2 Parts 80mm)",FurnitureData,5,0)),""),""))))</f>
        <v/>
      </c>
      <c r="H48" s="115" t="str">
        <f>IF(OR(A48="",ISERROR(FIND("door",A48))=TRUE),"",IF(ISERROR(FIND("Wall",A48))=FALSE,VLOOKUP("Hinges &amp; plates (Hettich thick door)",FurnitureData,5,0)*2,IF(ISERROR(FIND("Base",A48))=FALSE,VLOOKUP("Hinges &amp; plates (Hettich thick door)",FurnitureData,5,0)*3,IF(ISERROR(FIND("Boiler",A48))=FALSE,VLOOKUP("Hinges &amp; plates (Hettich thick door)",FurnitureData,5,0)*4,IF(ISERROR(FIND("Tower",A48))=FALSE,VLOOKUP("Hinges &amp; plates (Hettich thick door)",FurnitureData,5,0)*5)))))</f>
        <v/>
      </c>
      <c r="I48" s="115" t="str">
        <f>IF(ISERROR(FIND("shelf",A48))=FALSE,(VLOOKUP("Shelf pegs",FurnitureData,5,0)/100)*4,"")</f>
        <v/>
      </c>
      <c r="J48" s="152" t="str">
        <f>IF(OR(ISERROR(FIND("fridge/freezer",A48))=FALSE,ISERROR(FIND("larder",A48))=FALSE,AND(ISERROR(FIND("Base",A48))=FALSE,ISERROR(FIND("bins",A48))=TRUE,ISERROR(FIND("no shelves",A48))=TRUE,OR(ISERROR(FIND("carcass",A48))=FALSE,ISERROR(FIND("unit",A48))=FALSE))),VLOOKUP("Deep shelf "&amp;C48,KitchensData,18,0),IF(AND(ISERROR(FIND("Wall",A48))=FALSE,ISERROR(FIND("carcass",A48))=FALSE),2*VLOOKUP("Shallow shelf "&amp;C48,KitchensData,18,0),IF(AND(ISERROR(FIND("Tower",A48))=FALSE,ISERROR(FIND("oven",A48))=FALSE),4*VLOOKUP("Deep shelf "&amp;C48,KitchensData,18,0),IF(AND(ISERROR(FIND("Tower",A48))=FALSE,ISERROR(FIND("carcass",A48))=FALSE),5*VLOOKUP("Deep shelf "&amp;C48,KitchensData,18,0),""))))</f>
        <v/>
      </c>
      <c r="K48" s="152" t="str">
        <f>IF(ISERROR(FIND("sink",A48))=FALSE,VLOOKUP("Sink liner - Aluminium "&amp;RIGHT(A48,LEN(A48)-22)&amp;"mm",ExceptionalData,5,0),IF(ISERROR(FIND("bins",A48))=FALSE,VLOOKUP("Drawer runners and clip set for bin unit (500) Dynapro",FurnitureData,5,0)+(2*VLOOKUP("Bin (42L Anthracite)",FurnitureData,5,0)),IF(ISERROR(FIND("larder",A48))=FALSE,VLOOKUP("Pull out larder unit 600mm",FurnitureData,5,0),IF(AND(ISERROR(FIND("drawer box",A48))=FALSE,ISERROR(FIND("internal",A48))=TRUE),VLOOKUP("Drawer runners and clip set (550) Dynapro",FurnitureData,5,0),IF(ISERROR(FIND("internal drawer box",A48))=FALSE,VLOOKUP("Drawer runners and clip set (450) Dynapro",FurnitureData,5,0),"")))))</f>
        <v/>
      </c>
      <c r="L48" s="152">
        <f t="shared" si="3"/>
        <v>54.75</v>
      </c>
      <c r="M48" s="154">
        <f>IFERROR(__xludf.DUMMYFUNCTION("IF(A48="""","""",IF(OR(ISERROR(FIND(""larder"",A48))=FALSE,ISERROR(FIND(""unit"",A48))=FALSE),VLOOKUP(LEFT(A48,FIND("" "",A48))&amp;""carcass ""&amp;RIGHT(A48,LEN(A48)-len(regexextract(A48,"".* ""))),KitchensData,13,0),IF(ISERROR(FIND(""bins"",A48))=FALSE,0.95,IF"&amp;"(ISERROR(FIND(""Cutlery insert 600"",A48))=FALSE,1.3,IF(ISERROR(FIND(""Cutlery insert 1200"",A48))=FALSE,2,IF(ISERROR(FIND(""Pan/tray rack 600"",A48))=FALSE,3.25,IF(ISERROR(FIND(""Pan/tray rack 1200"",A48))=FALSE,5.9,IF(ISERROR(FIND(""split"",A48))=FALSE,"&amp;"(((C48/1000)*0.022)*2)+VLOOKUP(SUBSTITUTE(A48,"" split"",""""),KitchensData,13,0),IF(AND(ISERROR(FIND(""drawer front"",A48))=FALSE,KitchenDoorStyle=""Flat""),(((B48/1000)*(C48/1000))*2)+((((B48+C48)/1000)*2)*0.022),IF(AND(ISERROR(FIND(""drawer front"",A48"&amp;"))=FALSE,LEFT(KitchenDoorStyle,5)=""Panel""),(((B48/1000)*(C48/1000))*2)+((((B48+C48)/1000)*2)*0.022)+((((C48/1000)-0.16)*0.013)*2)+((((D48/1000)-0.16)*0.013)*2),IF(AND(ISERROR(FIND(""drawer front"",A48))=FALSE,KitchenDoorStyle=""In-frame flat""),((((B48-"&amp;"76)/1000)*((C48-38)/1000))*2)+(MID(KitchenDoorMaterial,FIND(""("",KitchenDoorMaterial)+1,2)/1000)*((((B48-76)+(C48-38))/1000)*2)+(((B48/1000)*0.032)*2)+((((B48-76)/1000)*0.032)*2)+(((B48/1000)*0.019)*4)+(((C48/1000)*0.032)*2)+((((C48-38)/1000)*0.032)*2)+("&amp;"((C48/1000)*0.038)*4),IF(AND(ISERROR(FIND(""drawer front"",A48))=FALSE,LEFT(KitchenDoorStyle,14)=""In-frame panel""),((((B48-76)/1000)*((C48-38)/1000))*2)+((MID(KitchenDoorMaterial,FIND(""("",KitchenDoorMaterial)+1,2)/1000)*((((B48-76)+(C48-38))/1000)*2))"&amp;"+((((B48-236)/1000)+((C48-198)/1000)*2)*0.013)+(((B48/1000)*0.032)*2)+((((B48-76)/1000)*0.032)*2)+(((B48/1000)*0.019)*4)+(((C48/1000)*0.032)*2)+((((C48-38)/1000)*0.032)*2)+(((C48/1000)*0.038)*4),IF(ISERROR(FIND(""drawer box"",A48))=FALSE,((((B48/1000)*(D4"&amp;"8/1000))+((B48/1000)*(C48/1000)))*4)+((((D48/1000)+(C48/1000))*0.016)*4)+(((C48/1000)*(D48/1000))*2),IF(OR(ISERROR(FIND(""shelf"",A48))=FALSE,ISERROR(FIND(""spacer"",A48))=FALSE,,ISERROR(FIND(""filler panel"",A48))=FALSE),(((C48/1000)*(D48/1000))*2)+((((C"&amp;"48+D48)*2)/1000)*0.022),IF(ISERROR(FIND(""lost corner"",A48))=FALSE,(((B48/1000)*(C48/1000))*2)+((B48/1000)*(C48/1000))+((B48/1000)*((C48/2)/1000))+((((B48/1000)*0.025)+((C48/1000)*0.025))*2),IF(ISERROR(FIND(""carcass"",A48))=FALSE,(((C48/1000)*(D48/1000)"&amp;")*2)+(((B48/1000)*(D48/1000))*2)+((B48/1000)*(C48/1000))+((((B48/1000)*0.025)+((C48/1000)*0.025))*2),IF(AND(ISERROR(FIND(""door"",A48))=FALSE,KitchenDoorStyle=""Flat""),(((B48/1000)*(C48/1000))*2)+(MID(KitchenDoorMaterial,FIND(""("",KitchenDoorMaterial)+1"&amp;",2)/1000)*(((B48+C48)/1000)*2),IF(AND(ISERROR(FIND(""door"",A48))=FALSE,LEFT(KitchenDoorStyle,5)=""Panel""),(((B48/1000)*(C48/1000))*2)+((MID(KitchenDoorMaterial,FIND(""("",KitchenDoorMaterial)+1,2)/1000)*(((B48+C48)/1000)*2))+(((((B48-160)+(C48-160))*2)/"&amp;"1000)*(0.013)),IF(AND(ISERROR(FIND(""door"",A48))=FALSE,KitchenDoorStyle=""In-frame flat""),((((B48-76)/1000)*((C48-38)/1000))*2)+(MID(KitchenDoorMaterial,FIND(""("",KitchenDoorMaterial)+1,2)/1000)*((((B48-76)+(C48-38))/1000)*2)+(((B48/1000)*0.032)*2)+((("&amp;"(B48-76)/1000)*0.032)*2)+(((B48/1000)*0.019)*4)+(((C48/1000)*0.032)*2)+((((C48-38)/1000)*0.032)*2)+(((C48/1000)*0.038)*4),IF(AND(ISERROR(FIND(""door"",A48))=FALSE,LEFT(KitchenDoorStyle,14)=""In-frame panel""),((((B48-76)/1000)*((C48-38)/1000))*2)+((MID(Ki"&amp;"tchenDoorMaterial,FIND(""("",KitchenDoorMaterial)+1,2)/1000)*((((B48-76)+(C48-38))/1000)*2))+((((B48-236)/1000)+((C48-198)/1000)*2)*0.013)+(((B48/1000)*0.032)*2)+((((B48-76)/1000)*0.032)*2)+(((B48/1000)*0.019)*4)+(((C48/1000)*0.032)*2)+((((C48-38)/1000)*0"&amp;".032)*2)+(((C48/1000)*0.038)*4),IF(ISERROR(FIND(""Plinth"",A48))=FALSE,((B48/1000)*(C48/1000))+(((C48/1000)*0.018)*2)+(((B48/1000)*0.018)*2),IF(ISERROR(FIND(""Cornice"",A48))=FALSE,(((C48/1000)*0.1)*2)+(((C48/1000)*0.044)*2)+(((B48/1000)*0.08)*2),IF(ISERR"&amp;"OR(FIND(""Base end panel"",A48))=FALSE,((B48/1000)*(C48/1000))+(0.022*((B48/1000)+((C48/1000)*2)))+((B48/1000)*0.05),IF(ISERROR(FIND(""Wall end panel"",A48))=FALSE,((B48/1000)*(C48/1000))+(0.022*((B48/1000)+((C48/1000)*2)))+((B48/1000)*0.05),IF(ISERROR(FI"&amp;"ND(""Tower end panel"",A48))=FALSE,((B48/1000)*(C48/1000))+(0.022*((B48/1000)+((C48/1000)*2)))+((B48/1000)*0.05),IF(ISERROR(FIND(""Fillers"",A48))=FALSE,((C48/1000)*0.06)+((C48/1000)*0.069)+((0.06*0.018)*2)+((0.06*0.009)*2)+((C48/1000)*0.009)+((C48/1000)*"&amp;"0.018),IF(ISERROR(FIND(""corner post"",A48))=FALSE,(((B48/1000*0.05)*2)+((B48/1000)*0.022)*2)+((B48/1000)*0.072)+((B48/1000)*0.05)+((0.072*0.022)*2)+((0.05*0.022)*2),IF(ISERROR(FIND(""Pelmet"",A48))=FALSE,((C48/1000)*0.05)+((C48/1000)*0.068)+((0.05*0.018)"&amp;"*4)+(((C48/1000)*0.018))*2))))))))))))))))))))))))))))"),1.6170000000000002)</f>
        <v>1.617</v>
      </c>
      <c r="N48" s="152">
        <f>IF(M48="","",IF(AND(ISERROR(FIND("carcass",A48))=TRUE,ISERROR(FIND("unit",A48))=TRUE,ISERROR(FIND("insert",A48))=TRUE,ISERROR(FIND("rack",A48))=TRUE,ISERROR(FIND("box",A48))=TRUE,ISERROR(FIND("shelf",#REF!))=TRUE),VLOOKUP(KitchenDoorFinish,Finishing!$A$2:$K$10,9,0)*M48,VLOOKUP(KitchenCarcassFinish,Finishing!$A$2:$K$40,9,0)*M48))</f>
        <v>12.1275</v>
      </c>
      <c r="O48" s="155">
        <v>1.0</v>
      </c>
      <c r="P48" s="155">
        <v>2.0</v>
      </c>
      <c r="Q48" s="152">
        <f>IF(OR(O48="",P48=""),"",((O48*X48)*(VLOOKUP("Workshop",Labour!$A$3:$E$20,4,0)/8))+((P48*AE48)*(VLOOKUP("Finishing",Labour!$A$3:$E$20,4,0)/8)))</f>
        <v>155.75</v>
      </c>
      <c r="R48" s="152">
        <f t="shared" si="4"/>
        <v>222.6275</v>
      </c>
      <c r="S48" s="156">
        <f>IF(OR(O48="",P48=""),"",IF(OR(ISERROR(FIND("carcass",$A48))=FALSE,ISERROR(FIND("unit",$A48))=FALSE),VLOOKUP(KitchenCarcassMaterial,FixedListsCarcassMaterial,2,0),0))</f>
        <v>0</v>
      </c>
      <c r="T48" s="156">
        <f>IF(OR(O48="",P48=""),"",IF(ISERROR(FIND("door",$A48))=FALSE,VLOOKUP(KitchenDoorStyle,FixedListsDoorStyle,2,0),0))</f>
        <v>0</v>
      </c>
      <c r="U48" s="156">
        <f>IF(OR(O48="",P48=""),"",IF(ISERROR(FIND("door",$A48))=FALSE,VLOOKUP(KitchenDoorMaterial,FixedListsDoorMaterial,2,0),0))</f>
        <v>0</v>
      </c>
      <c r="V48" s="156">
        <f>IF(OR(O48="",P48=""),"",IF(ISERROR(FIND("drawer",$A48))=FALSE,VLOOKUP(KitchenDrawerType,FixedListsDrawerType,2,0),0))</f>
        <v>0</v>
      </c>
      <c r="W48" s="156">
        <f>IF(OR(O48="",P48=""),"",IF(OR(S48&gt;0, T48&gt;0,V48&gt;0),VLOOKUP(KitchenHandleType,FixedListsHandleType,2,FALSE)*IF(KitchenHandleType="Simple",0,IF(S48&gt;0,VLOOKUP(KitchenHandleType,FixedListsHandleType,4,FALSE),IF(OR(T48&gt;0,V48&gt;0),1-VLOOKUP(KitchenHandleType,FixedListsHandleType,4,FALSE),"Error"))),0))</f>
        <v>0</v>
      </c>
      <c r="X48" s="156">
        <f t="shared" si="5"/>
        <v>1</v>
      </c>
      <c r="Y48" s="156">
        <f>IF(OR(O48="",P48=""),"",IF(OR(ISERROR(FIND("carcass",$A48))=FALSE,ISERROR(FIND("unit",$A48))=FALSE),VLOOKUP(KitchenCarcassMaterial,FixedListsCarcassMaterial,3,0),0))</f>
        <v>0</v>
      </c>
      <c r="Z48" s="156">
        <f>IF(OR(O48="",P48=""),"",IF(ISERROR(FIND("door",$A48))=FALSE,VLOOKUP(KitchenDoorStyle,FixedListsDoorStyle,3,0),0))</f>
        <v>0</v>
      </c>
      <c r="AA48" s="156">
        <f>IF(OR(O48="",P48=""),"",IF(ISERROR(FIND("door",$A48))=FALSE,VLOOKUP(KitchenDoorMaterial,FixedListsDoorMaterial,3,0),0))</f>
        <v>0</v>
      </c>
      <c r="AB48" s="156">
        <f>IF(OR(O48="",P48=""),"",IF(ISERROR(FIND("drawer",$A48))=FALSE,VLOOKUP(KitchenDrawerType,FixedListsDrawerType,3,0),0))</f>
        <v>0</v>
      </c>
      <c r="AC48" s="156">
        <f>IF(OR(O48="",P48=""),"",IF(OR(Y48&gt;0,Z48&gt;0,AB48&gt;0),VLOOKUP(KitchenHandleType,FixedListsHandleType,3,FALSE),0))</f>
        <v>0</v>
      </c>
      <c r="AD48" s="156">
        <f>IF(OR(O48="",P48=""),"",IF(OR(ISERROR(FIND("carcass",$A48))=FALSE,ISERROR(FIND("unit",$A48))=FALSE),VLOOKUP(KitchenCarcassFinish,FixedListsFinishes,3,0),IF(OR(ISERROR(FIND("door",$A48))=FALSE,ISERROR(FIND("Plinth",$A48))=FALSE,ISERROR(FIND("Cornice",$A48))=FALSE,ISERROR(FIND("Fillers",$A48))=FALSE,ISERROR(FIND("Pelmet",$A48))=FALSE,ISERROR(FIND("panel",$A48))=FALSE,ISERROR(FIND("post",$A48))=FALSE),VLOOKUP(KitchenDoorFinish,FixedListsFinishes,3,0),IF(OR(ISERROR(FIND("drawer",$A48))=FALSE,ISERROR(FIND("insert",$A48))=FALSE,ISERROR(FIND("rck",$A48))=FALSE),VLOOKUP(KitchenCarcassFinish,FixedListsFinishes,3,0),0))))</f>
        <v>2</v>
      </c>
      <c r="AE48" s="156">
        <f t="shared" si="6"/>
        <v>2</v>
      </c>
      <c r="AF48" s="157" t="str">
        <f>IF(AND(KitchenHandleType="Channel",OR(ISERROR(FIND("arcass",$A48))=FALSE,ISERROR(FIND("unit",$A48))=FALSE)),IF(ISERROR(FIND("Tower",$A48))=TRUE,IF(KitchenHandleFinish="Match carcass",IF(ISERROR(FIND("Walnut",KitchenCarcassMaterial))=FALSE,(0.035*0.075*($C48/1000))*VLOOKUP("Walnut (solid m3)",SolidData,4,FALSE),IF(ISERROR(FIND("Oak",KitchenCarcassMaterial))=FALSE,(0.035*0.075*($C48/1000))*VLOOKUP("Oak (solid m3)",SolidData,4,FALSE),IF(ISERROR(FIND("ply",KitchenCarcassMaterial))=FALSE,(0.1*($C48/1000))*VLOOKUP("Birch ply (24mm)",SheetsData,7,FALSE),IF(ISERROR(FIND("H/F",KitchenCarcassMaterial))=FALSE,(0.1*($C48/1000))*VLOOKUP("H/F (22mm)",SheetsData,7,FALSE),"Carcass - not tower - new material")))),IF(KitchenHandleFinish="Match door",IF(ISERROR(FIND("Walnut",KitchenDoorMaterial))=FALSE,(0.035*0.075*($C48/1000))*VLOOKUP("Walnut (solid m3)",SolidData,4,FALSE),IF(ISERROR(FIND("Oak",KitchenDoorMaterial))=FALSE,(0.035*0.075*($C48/1000))*VLOOKUP("Oak (solid m3)",SolidData,4,FALSE),IF(ISERROR(FIND("ply",KitchenDoorMaterial))=FALSE,(0.1*($C48/1000))*VLOOKUP("Birch ply (24mm)",SheetsData,7,FALSE),IF(ISERROR(FIND("H/F",KitchenCarcassMaterial))=FALSE,(0.1*($C48/1000))*VLOOKUP("H/F (22mm)",SheetsData,7,FALSE),"Door - not tower - new material")))),"Channel - not tower - handle set to other")),IF(ISERROR(FIND("Tower",$A48))=FALSE,IF(KitchenHandleFinish="Match carcass",IF(ISERROR(FIND("Walnut",KitchenCarcassMaterial))=FALSE,(0.035*0.075*($B48/1000))*VLOOKUP("Walnut (solid m3)",SolidData,4,FALSE),IF(ISERROR(FIND("Oak",KitchenCarcassMaterial))=FALSE,(0.035*0.075*($B48/1000))*VLOOKUP("Oak (solid m3)",SolidData,4,FALSE),IF(ISERROR(FIND("ply",KitchenCarcassMaterial))=FALSE,(0.1*($B48/1000))*VLOOKUP("Birch ply (24mm)",SheetsData,7,FALSE),IF(ISERROR(FIND("H/F",KitchenCarcassMaterial))=FALSE,(0.1*($C48/1000))*VLOOKUP("H/F (22mm)",SheetsData,7,FALSE),"Carcass - tower - new material")))),IF(KitchenHandleFinish="Match door",IF(ISERROR(FIND("Walnut",KitchenDoorMaterial))=FALSE,(0.035*0.075*($B48/1000))*VLOOKUP("Walnut (solid m3)",SolidData,4,FALSE),IF(ISERROR(FIND("Oak",KitchenDoorMaterial))=FALSE,(0.035*0.075*($B48/1000))*VLOOKUP("Oak (solid m3)",SolidData,4,FALSE),IF(ISERROR(FIND("ply",KitchenDoorMaterial))=FALSE,(0.1*($B48/1000))*VLOOKUP("Birch ply (24mm)",SheetData,7,FALSE),IF(ISERROR(FIND("H/F",KitchenCarcassMaterial))=FALSE,(0.1*($C48/1000))*VLOOKUP("H/F (22mm)",SheetsData,7,FALSE),"Door - tower - new material")))),"Channel - tower - handle set to other")))),"")</f>
        <v/>
      </c>
    </row>
    <row r="49">
      <c r="A49" s="150" t="s">
        <v>157</v>
      </c>
      <c r="B49" s="115">
        <f t="shared" si="1"/>
        <v>80</v>
      </c>
      <c r="C49" s="115" t="str">
        <f>IFERROR(__xludf.DUMMYFUNCTION("IF(A49="""","""",IF(OR(RIGHT(A49,LEN(A49)-len(regexextract(A49,"".* "")))=""1200"",RIGHT(A49,LEN(A49)-len(regexextract(A49,"".* "")))=""600"",RIGHT(A49,LEN(A49)-len(regexextract(A49,"".* "")))=""400"",RIGHT(A49,LEN(A49)-len(regexextract(A49,"".* "")))=""3"&amp;"00"",RIGHT(A49,LEN(A49)-len(regexextract(A49,"".* "")))=""700"",RIGHT(A49,LEN(A49)-len(regexextract(A49,"".* "")))=""2400"",RIGHT(A49,LEN(A49)-len(regexextract(A49,"".* "")))=""650"",RIGHT(A49,LEN(A49)-len(regexextract(A49,"".* "")))=""350"",RIGHT(A49,LEN"&amp;"(A49)-len(regexextract(A49,"".* "")))=""50""),RIGHT(A49,LEN(A49)-len(regexextract(A49,"".* ""))),IF(OR(ISERROR(FIND(""spacer"",A49))=FALSE,ISERROR(FIND(""filler panel"",A49))=FALSE),""1000"",""Unexpected size in description"")))"),"2400")</f>
        <v>2400</v>
      </c>
      <c r="D49" s="151" t="str">
        <f t="shared" si="2"/>
        <v/>
      </c>
      <c r="E49" s="152">
        <f>IFERROR(__xludf.DUMMYFUNCTION("IF(OR(A49="""",AND(ISERROR(FIND(""drawer box"",A49))=FALSE,KitchenDrawerType="""")),"""",IF(OR(ISERROR(FIND(""larder"",A49))=FALSE,ISERROR(FIND(""fridge/freezer"",A49))=FALSE,ISERROR(FIND(""double oven"",A49))=FALSE,ISERROR(FIND(""single oven"",A49))=FALS"&amp;"E),VLOOKUP(LEFT(A49,FIND("" "",A49))&amp;""carcass ""&amp;RIGHT(A49,LEN(A49)-(LEN(A49)-3)),KitchensData,5,0),IF(ISERROR(FIND(""sink"",A49))=FALSE,VLOOKUP(LEFT(A49,FIND("" "",A49))&amp;""carcass ""&amp;VALUE(REGEXREPLACE(A49,""[^[:digit:]]"", """")),KitchensData,5,0)+(((C"&amp;"49/1000)*(300/1000))*VLOOKUP(KitchenCarcassMaterial,SheetsData,8,0)),IF(ISERROR(FIND(""bins"",A49))=FALSE,IF(ISERROR(FIND(""veneer"",KitchenCarcassMaterial))=FALSE,VLOOKUP(""Base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600"",A49))=FALSE,IF(ISERROR(FIND(""veneer"""&amp;",KitchenCarcassMaterial))=FALSE,0.54*(VLOOKUP(LEFT(KitchenCarcassMaterial,FIND(""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1200"",A49))=FALSE,"&amp;"IF(ISERROR(FIND(""veneer"",KitchenCarcassMaterial))=FALSE,0.84*(VLOOKUP(LEFT(KitchenCarcassMaterial,FIND(""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600"",A49))=FALSE,IF(ISERROR(FIND(""veneer"",KitchenCarcassMaterial))=FALSE,1.44*(VLOOKUP(LEFT(KitchenCarcassMaterial,FIND(""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1200"",A49))=FALSE,IF(ISERROR(FIND(""veneer"",KitchenCarcassMaterial))=FALSE,2.7*(VLOOKUP(LEFT(KitchenCarcassMaterial,FIND(""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front"",A49))=FALSE,((B49/1000)*(C49/1000))*VLOOKUP(KitchenDoorMaterial,SheetsData,8,0),IF(AND(KitchenDrawerType=""Match carcass"",ISERROR(FIND(""drawer box"",A49))=FALSE),(((((B49/1000)*(C49/1000))+((B49/1000"&amp;")*(D49/1000)))*2)*VLOOKUP(KitchenCarcassMaterial,SheetsData,8,0))+(((C49/1000)*(D49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box"",A49))=FALSE),(((((B49/1000)*(C49/1000))+((B49/1000)*(D49/1000)))*2)*(16/1000)*VLOOKUP(LEFT(KitchenCarcassMaterial,FIND("" "&amp;""",KitchenCarcassMaterial))&amp;""(solid m3)"",SolidData,5,0))+(((C49/1000)*(D49/1000))*VLOOKUP(LEFT(KitchenCarcassMaterial,FIND(""("",KitchenCarcassMaterial)-1)&amp;IF(OR(ISERROR(FIND(""ply"",KitchenCarcassMaterial))=FALSE,ISERROR(FIND(""H/F"",KitchenCarcassMate"&amp;"rial))=FALSE),""(9mm)"",""(10mm)""),SheetsData,8,0)),IF(ISERROR(FIND(""spacer"",A49))=FALSE,((D49/1000)*(C49/1000))*VLOOKUP(""Poplar ply (18mm)"",SheetsData,8,0),IF(ISERROR(FIND(""filler panel"",A49))=FALSE,((B49/1000)*(C49/1000))*VLOOKUP(KitchenDoorMater"&amp;"ial,SheetsData,8,0),IF(ISERROR(FIND(""shelf"",A49))=FALSE,((D49/1000)*(C49/1000))*VLOOKUP(KitchenCarcassMaterial,SheetsData,8,0),IF(ISERROR(FIND(""lost corner"",A49))=FALSE,VLOOKUP(LEFT(A49,FIND("" "",A49))&amp;""carcass ""&amp;VALUE(REGEXREPLACE(A49,""[^[:digit:"&amp;"]]"", """")),KitchensData,5,0)+((((B49/1000)*(C49/1000))+((B49/1000)*(60/1000)))*VLOOKUP(KitchenCarcassMaterial,SheetsData,8,0)),IF(ISERROR(FIND(""carcass"",A49))=FALSE,(((((B49/1000)*2)*(D49/1000))+(((C49/1000)*2)*(D49/1000)))*VLOOKUP(KitchenCarcassMater"&amp;"ial,SheetsData,8,0))+((B49/1000)*(C49/1000))*VLOOKUP(LEFT(KitchenCarcassMaterial,FIND(""("",KitchenCarcassMaterial)-1)&amp;IF(OR(ISERROR(FIND(""ply"",KitchenCarcassMaterial))=FALSE,ISERROR(FIND(""H/F"",KitchenCarcassMaterial))=FALSE),""(9mm)"",""(10mm)""),She"&amp;"etsData,8,0),IF(OR(ISERROR(FIND(""Plinth"",A49))=FALSE,ISERROR(FIND(""Cornice (flat)"",A49))=FALSE),((B49/1000)*(C49/1000))*VLOOKUP(""H/F (18mm)"",SheetsData,8,0),IF(ISERROR(FIND(""Cornice (stacked)"",A49))=FALSE,((0.08*(C49/1000))*2)*VLOOKUP(""H/F (22mm)"&amp;""",SheetsData,8,0),IF(ISERROR(FIND(""Base end panel"",A49))=FALSE,VLOOKUP(KitchenDoorMaterial,SheetsData,5,0)/3,IF(ISERROR(FIND(""Wall end panel"",A49))=FALSE,VLOOKUP(KitchenDoorMaterial,SheetsData,5,0)/9,IF(ISERROR(FIND(""Tower end panel"",A49))=FALSE,VL"&amp;"OOKUP(KitchenDoorMaterial,SheetsData,5,0),IF(ISERROR(FIND(""Fillers"",A49))=FALSE,(((0.06*(C49/1000))*2)*VLOOKUP(""H/F (18mm)"",SheetsData,8,0))+(((0.06*(C49/1000))*2)*VLOOKUP(""H/F (9mm)"",SheetsData,8,0)),IF(ISERROR(FIND(""corner post"",A49))=FALSE,(((B"&amp;"49/1000)*0.05)*2)*VLOOKUP(KitchenDoorMaterial,SheetsData,8,0),IF(ISERROR(FIND(""Pelmet"",A49))=FALSE,((((B49/1000)*(C49/1000))*2)*VLOOKUP(""H/F (18mm)"",SheetsData,8,0)),IF(ISERROR(FIND(""door"",A49))=TRUE,""Check description"",IF(KitchenDoorStyle=""Flat"&amp;""",((B49/1000)*(C49/1000))*VLOOKUP(KitchenDoorMaterial,SheetsData,8,0),IF(LEFT(KitchenDoorStyle,5)=""Panel"",(((((B49/1000)*2)*0.08)+((((C49/1000)-0.16)*2)*0.08))*VLOOKUP(""H/F (22mm)"",SheetsData,8,0))+(((B49/1000)-0.14)*((C49/1000)-0.14)*VLOOKUP(""H/F ("&amp;"9mm)"",SheetsData,8,0)),IF(KitchenDoorStyle=""In-frame flat"",((((((B49/1000)*0.019)*0.038)+((((C49-38)/1000)*0.038)*0.038))*2)*VLOOKUP(""Tulip (solid m3)"",SolidData,5,0))+(((B49-76)/1000)*((C49-38)/1000))*VLOOKUP(""H/F (22mm)"",SheetsData,8,0),IF(LEFT(K"&amp;"itchenDoorStyle,14)=""In-frame panel"",(((((((B49/1000)*0.019)*0.038)+((((C49-38)/1000)*0.038)*0.038))*2)*VLOOKUP(""Tulip (solid m3)"",SolidData,5,0))+(((((((B49-76)/1000)*2)*0.08)+(((((C49-198)/1000)*2)*0.08)))*VLOOKUP(""H/F (22mm)"",SheetsData,8,0))+((("&amp;"B49-216)/1000)*((C49-178)/1000)*VLOOKUP(""H/F (9mm)"",SheetsData,8,0)))))))))))))))))))))))))))))))))"),7.106154259607632)</f>
        <v>7.10615426</v>
      </c>
      <c r="F49" s="152" t="str">
        <f>IFERROR(__xludf.DUMMYFUNCTION("IF(OR(A49="""",AND(ISERROR(FIND(""drawer box"",A49))=FALSE,KitchenDrawerType=""Solid dovetail"")),"""",IF(ISERROR(FIND(""bins"",A49))=FALSE,VLOOKUP(""Base carcass 600"",KitchensData,6,0),IF(OR(ISERROR(FIND(""larder"",A49))=FALSE,ISERROR(FIND(""unit"",A49)"&amp;")=FALSE),VLOOKUP(LEFT(A49,FIND("" "",A49))&amp;""carcass ""&amp;RIGHT(A49,LEN(A49)-len(regexextract(A49,"".* ""))),KitchensData,6,0),IF(ISERROR(FIND(""drawer front"",A49))=FALSE,IF(ISERROR(FIND(""veneer"",KitchenCarcassMaterial))=TRUE,0,(((B49+C49)/1000)*2)*VLOOK"&amp;"UP(""Edge banding (per M)"",SheetsData,5,0)),IF(ISERROR(FIND(""drawer box"",A49))=FALSE,IF(ISERROR(FIND(""veneer"",KitchenCarcassMaterial))=TRUE,0,(((C49+D49)/1000)*2)*VLOOKUP(""Edge banding (per M)"",SheetsData,5,0)),IF(ISERROR(FIND(""shelf"",A49))=FALSE"&amp;",IF(ISERROR(FIND(""veneer"",KitchenCarcassMaterial))=TRUE,0,(C49/1000)*VLOOKUP(""Edge banding (per M)"",SheetsData,5,0)),IF(AND(ISERROR(FIND(""carcass"",A49))=FALSE,ISERROR(FIND(""shelf"",A49))=TRUE),IF(ISERROR(FIND(""veneer"",KitchenCarcassMaterial))=TRU"&amp;"E,0,((2*(B49+C49))/1000)*VLOOKUP(""Edge banding (per M)"",SheetsData,5,0)),IF(ISERROR(FIND(""door"",A49))=TRUE,"""",IF(ISERROR(FIND(""veneer"",KitchenDoorMaterial))=TRUE,"""",((2*(B49+C49))/1000)*VLOOKUP(""Edge banding (per M)"",SheetsData,5,0))))))))))"),"")</f>
        <v/>
      </c>
      <c r="G49" s="153" t="str">
        <f>IF(A49="","",IF(ISERROR(FIND("bins",A49))=FALSE,VLOOKUP("Base carcass 600",KitchensData,7,0),IF(OR(ISERROR(FIND("larder",A49))=FALSE,ISERROR(FIND("fridge/freezer",A49))=FALSE,ISERROR(FIND("double oven",A49))=FALSE,ISERROR(FIND("single oven",A49))=FALSE),VLOOKUP(LEFT(A49,FIND(" ",A49))&amp;"carcass "&amp;RIGHT(A49,LEN(A49)-(LEN(A49)-3)),KitchensData,7,0),IF(AND(ISERROR(FIND("carcass",A49))=FALSE,ISERROR(FIND("shelf",A49))=TRUE),IF(OR(ISERROR(FIND("Base",A49))=FALSE,ISERROR(FIND("Tower",A49))=FALSE),IF(OR(ISERROR(FIND("1200",A49))=FALSE, ISERROR(FIND("lost corner",A49))=FALSE),6*VLOOKUP("Plinth foot (2 Parts 80mm)",FurnitureData,5,0),4*VLOOKUP("Plinth foot (2 Parts 80mm)",FurnitureData,5,0)),""),""))))</f>
        <v/>
      </c>
      <c r="H49" s="115" t="str">
        <f>IF(OR(A49="",ISERROR(FIND("door",A49))=TRUE),"",IF(ISERROR(FIND("Wall",A49))=FALSE,VLOOKUP("Hinges &amp; plates (Hettich thick door)",FurnitureData,5,0)*2,IF(ISERROR(FIND("Base",A49))=FALSE,VLOOKUP("Hinges &amp; plates (Hettich thick door)",FurnitureData,5,0)*3,IF(ISERROR(FIND("Boiler",A49))=FALSE,VLOOKUP("Hinges &amp; plates (Hettich thick door)",FurnitureData,5,0)*4,IF(ISERROR(FIND("Tower",A49))=FALSE,VLOOKUP("Hinges &amp; plates (Hettich thick door)",FurnitureData,5,0)*5)))))</f>
        <v/>
      </c>
      <c r="I49" s="115" t="str">
        <f>IF(ISERROR(FIND("shelf",A49))=FALSE,(VLOOKUP("Shelf pegs",FurnitureData,5,0)/100)*4,"")</f>
        <v/>
      </c>
      <c r="J49" s="152" t="str">
        <f>IF(OR(ISERROR(FIND("fridge/freezer",A49))=FALSE,ISERROR(FIND("larder",A49))=FALSE,AND(ISERROR(FIND("Base",A49))=FALSE,ISERROR(FIND("bins",A49))=TRUE,ISERROR(FIND("no shelves",A49))=TRUE,OR(ISERROR(FIND("carcass",A49))=FALSE,ISERROR(FIND("unit",A49))=FALSE))),VLOOKUP("Deep shelf "&amp;C49,KitchensData,18,0),IF(AND(ISERROR(FIND("Wall",A49))=FALSE,ISERROR(FIND("carcass",A49))=FALSE),2*VLOOKUP("Shallow shelf "&amp;C49,KitchensData,18,0),IF(AND(ISERROR(FIND("Tower",A49))=FALSE,ISERROR(FIND("oven",A49))=FALSE),4*VLOOKUP("Deep shelf "&amp;C49,KitchensData,18,0),IF(AND(ISERROR(FIND("Tower",A49))=FALSE,ISERROR(FIND("carcass",A49))=FALSE),5*VLOOKUP("Deep shelf "&amp;C49,KitchensData,18,0),""))))</f>
        <v/>
      </c>
      <c r="K49" s="152" t="str">
        <f>IF(ISERROR(FIND("sink",A49))=FALSE,VLOOKUP("Sink liner - Aluminium "&amp;RIGHT(A49,LEN(A49)-22)&amp;"mm",ExceptionalData,5,0),IF(ISERROR(FIND("bins",A49))=FALSE,VLOOKUP("Drawer runners and clip set for bin unit (500) Dynapro",FurnitureData,5,0)+(2*VLOOKUP("Bin (42L Anthracite)",FurnitureData,5,0)),IF(ISERROR(FIND("larder",A49))=FALSE,VLOOKUP("Pull out larder unit 600mm",FurnitureData,5,0),IF(AND(ISERROR(FIND("drawer box",A49))=FALSE,ISERROR(FIND("internal",A49))=TRUE),VLOOKUP("Drawer runners and clip set (550) Dynapro",FurnitureData,5,0),IF(ISERROR(FIND("internal drawer box",A49))=FALSE,VLOOKUP("Drawer runners and clip set (450) Dynapro",FurnitureData,5,0),"")))))</f>
        <v/>
      </c>
      <c r="L49" s="152">
        <f t="shared" si="3"/>
        <v>7.10615426</v>
      </c>
      <c r="M49" s="154">
        <f>IFERROR(__xludf.DUMMYFUNCTION("IF(A49="""","""",IF(OR(ISERROR(FIND(""larder"",A49))=FALSE,ISERROR(FIND(""unit"",A49))=FALSE),VLOOKUP(LEFT(A49,FIND("" "",A49))&amp;""carcass ""&amp;RIGHT(A49,LEN(A49)-len(regexextract(A49,"".* ""))),KitchensData,13,0),IF(ISERROR(FIND(""bins"",A49))=FALSE,0.95,IF"&amp;"(ISERROR(FIND(""Cutlery insert 600"",A49))=FALSE,1.3,IF(ISERROR(FIND(""Cutlery insert 1200"",A49))=FALSE,2,IF(ISERROR(FIND(""Pan/tray rack 600"",A49))=FALSE,3.25,IF(ISERROR(FIND(""Pan/tray rack 1200"",A49))=FALSE,5.9,IF(ISERROR(FIND(""split"",A49))=FALSE,"&amp;"(((C49/1000)*0.022)*2)+VLOOKUP(SUBSTITUTE(A49,"" split"",""""),KitchensData,13,0),IF(AND(ISERROR(FIND(""drawer front"",A49))=FALSE,KitchenDoorStyle=""Flat""),(((B49/1000)*(C49/1000))*2)+((((B49+C49)/1000)*2)*0.022),IF(AND(ISERROR(FIND(""drawer front"",A49"&amp;"))=FALSE,LEFT(KitchenDoorStyle,5)=""Panel""),(((B49/1000)*(C49/1000))*2)+((((B49+C49)/1000)*2)*0.022)+((((C49/1000)-0.16)*0.013)*2)+((((D49/1000)-0.16)*0.013)*2),IF(AND(ISERROR(FIND(""drawer front"",A49))=FALSE,KitchenDoorStyle=""In-frame flat""),((((B49-"&amp;"76)/1000)*((C49-38)/1000))*2)+(MID(KitchenDoorMaterial,FIND(""("",KitchenDoorMaterial)+1,2)/1000)*((((B49-76)+(C49-38))/1000)*2)+(((B49/1000)*0.032)*2)+((((B49-76)/1000)*0.032)*2)+(((B49/1000)*0.019)*4)+(((C49/1000)*0.032)*2)+((((C49-38)/1000)*0.032)*2)+("&amp;"((C49/1000)*0.038)*4),IF(AND(ISERROR(FIND(""drawer front"",A49))=FALSE,LEFT(KitchenDoorStyle,14)=""In-frame panel""),((((B49-76)/1000)*((C49-38)/1000))*2)+((MID(KitchenDoorMaterial,FIND(""("",KitchenDoorMaterial)+1,2)/1000)*((((B49-76)+(C49-38))/1000)*2))"&amp;"+((((B49-236)/1000)+((C49-198)/1000)*2)*0.013)+(((B49/1000)*0.032)*2)+((((B49-76)/1000)*0.032)*2)+(((B49/1000)*0.019)*4)+(((C49/1000)*0.032)*2)+((((C49-38)/1000)*0.032)*2)+(((C49/1000)*0.038)*4),IF(ISERROR(FIND(""drawer box"",A49))=FALSE,((((B49/1000)*(D4"&amp;"9/1000))+((B49/1000)*(C49/1000)))*4)+((((D49/1000)+(C49/1000))*0.016)*4)+(((C49/1000)*(D49/1000))*2),IF(OR(ISERROR(FIND(""shelf"",A49))=FALSE,ISERROR(FIND(""spacer"",A49))=FALSE,,ISERROR(FIND(""filler panel"",A49))=FALSE),(((C49/1000)*(D49/1000))*2)+((((C"&amp;"49+D49)*2)/1000)*0.022),IF(ISERROR(FIND(""lost corner"",A49))=FALSE,(((B49/1000)*(C49/1000))*2)+((B49/1000)*(C49/1000))+((B49/1000)*((C49/2)/1000))+((((B49/1000)*0.025)+((C49/1000)*0.025))*2),IF(ISERROR(FIND(""carcass"",A49))=FALSE,(((C49/1000)*(D49/1000)"&amp;")*2)+(((B49/1000)*(D49/1000))*2)+((B49/1000)*(C49/1000))+((((B49/1000)*0.025)+((C49/1000)*0.025))*2),IF(AND(ISERROR(FIND(""door"",A49))=FALSE,KitchenDoorStyle=""Flat""),(((B49/1000)*(C49/1000))*2)+(MID(KitchenDoorMaterial,FIND(""("",KitchenDoorMaterial)+1"&amp;",2)/1000)*(((B49+C49)/1000)*2),IF(AND(ISERROR(FIND(""door"",A49))=FALSE,LEFT(KitchenDoorStyle,5)=""Panel""),(((B49/1000)*(C49/1000))*2)+((MID(KitchenDoorMaterial,FIND(""("",KitchenDoorMaterial)+1,2)/1000)*(((B49+C49)/1000)*2))+(((((B49-160)+(C49-160))*2)/"&amp;"1000)*(0.013)),IF(AND(ISERROR(FIND(""door"",A49))=FALSE,KitchenDoorStyle=""In-frame flat""),((((B49-76)/1000)*((C49-38)/1000))*2)+(MID(KitchenDoorMaterial,FIND(""("",KitchenDoorMaterial)+1,2)/1000)*((((B49-76)+(C49-38))/1000)*2)+(((B49/1000)*0.032)*2)+((("&amp;"(B49-76)/1000)*0.032)*2)+(((B49/1000)*0.019)*4)+(((C49/1000)*0.032)*2)+((((C49-38)/1000)*0.032)*2)+(((C49/1000)*0.038)*4),IF(AND(ISERROR(FIND(""door"",A49))=FALSE,LEFT(KitchenDoorStyle,14)=""In-frame panel""),((((B49-76)/1000)*((C49-38)/1000))*2)+((MID(Ki"&amp;"tchenDoorMaterial,FIND(""("",KitchenDoorMaterial)+1,2)/1000)*((((B49-76)+(C49-38))/1000)*2))+((((B49-236)/1000)+((C49-198)/1000)*2)*0.013)+(((B49/1000)*0.032)*2)+((((B49-76)/1000)*0.032)*2)+(((B49/1000)*0.019)*4)+(((C49/1000)*0.032)*2)+((((C49-38)/1000)*0"&amp;".032)*2)+(((C49/1000)*0.038)*4),IF(ISERROR(FIND(""Plinth"",A49))=FALSE,((B49/1000)*(C49/1000))+(((C49/1000)*0.018)*2)+(((B49/1000)*0.018)*2),IF(ISERROR(FIND(""Cornice"",A49))=FALSE,(((C49/1000)*0.1)*2)+(((C49/1000)*0.044)*2)+(((B49/1000)*0.08)*2),IF(ISERR"&amp;"OR(FIND(""Base end panel"",A49))=FALSE,((B49/1000)*(C49/1000))+(0.022*((B49/1000)+((C49/1000)*2)))+((B49/1000)*0.05),IF(ISERROR(FIND(""Wall end panel"",A49))=FALSE,((B49/1000)*(C49/1000))+(0.022*((B49/1000)+((C49/1000)*2)))+((B49/1000)*0.05),IF(ISERROR(FI"&amp;"ND(""Tower end panel"",A49))=FALSE,((B49/1000)*(C49/1000))+(0.022*((B49/1000)+((C49/1000)*2)))+((B49/1000)*0.05),IF(ISERROR(FIND(""Fillers"",A49))=FALSE,((C49/1000)*0.06)+((C49/1000)*0.069)+((0.06*0.018)*2)+((0.06*0.009)*2)+((C49/1000)*0.009)+((C49/1000)*"&amp;"0.018),IF(ISERROR(FIND(""corner post"",A49))=FALSE,(((B49/1000*0.05)*2)+((B49/1000)*0.022)*2)+((B49/1000)*0.072)+((B49/1000)*0.05)+((0.072*0.022)*2)+((0.05*0.022)*2),IF(ISERROR(FIND(""Pelmet"",A49))=FALSE,((C49/1000)*0.05)+((C49/1000)*0.068)+((0.05*0.018)"&amp;"*4)+(((C49/1000)*0.018))*2))))))))))))))))))))))))))))"),0.37764000000000003)</f>
        <v>0.37764</v>
      </c>
      <c r="N49" s="152">
        <f>IF(M49="","",IF(AND(ISERROR(FIND("carcass",A49))=TRUE,ISERROR(FIND("unit",A49))=TRUE,ISERROR(FIND("insert",A49))=TRUE,ISERROR(FIND("rack",A49))=TRUE,ISERROR(FIND("box",A49))=TRUE,ISERROR(FIND("shelf",#REF!))=TRUE),VLOOKUP(KitchenDoorFinish,Finishing!$A$2:$K$10,9,0)*M49,VLOOKUP(KitchenCarcassFinish,Finishing!$A$2:$K$40,9,0)*M49))</f>
        <v>2.8323</v>
      </c>
      <c r="O49" s="155">
        <v>1.0</v>
      </c>
      <c r="P49" s="155">
        <v>1.0</v>
      </c>
      <c r="Q49" s="152">
        <f>IF(OR(O49="",P49=""),"",((O49*X49)*(VLOOKUP("Workshop",Labour!$A$3:$E$20,4,0)/8))+((P49*AE49)*(VLOOKUP("Finishing",Labour!$A$3:$E$20,4,0)/8)))</f>
        <v>99.75</v>
      </c>
      <c r="R49" s="152">
        <f t="shared" si="4"/>
        <v>109.6884543</v>
      </c>
      <c r="S49" s="156">
        <f>IF(OR(O49="",P49=""),"",IF(OR(ISERROR(FIND("carcass",$A49))=FALSE,ISERROR(FIND("unit",$A49))=FALSE),VLOOKUP(KitchenCarcassMaterial,FixedListsCarcassMaterial,2,0),0))</f>
        <v>0</v>
      </c>
      <c r="T49" s="156">
        <f>IF(OR(O49="",P49=""),"",IF(ISERROR(FIND("door",$A49))=FALSE,VLOOKUP(KitchenDoorStyle,FixedListsDoorStyle,2,0),0))</f>
        <v>0</v>
      </c>
      <c r="U49" s="156">
        <f>IF(OR(O49="",P49=""),"",IF(ISERROR(FIND("door",$A49))=FALSE,VLOOKUP(KitchenDoorMaterial,FixedListsDoorMaterial,2,0),0))</f>
        <v>0</v>
      </c>
      <c r="V49" s="156">
        <f>IF(OR(O49="",P49=""),"",IF(ISERROR(FIND("drawer",$A49))=FALSE,VLOOKUP(KitchenDrawerType,FixedListsDrawerType,2,0),0))</f>
        <v>0</v>
      </c>
      <c r="W49" s="156">
        <f>IF(OR(O49="",P49=""),"",IF(OR(S49&gt;0, T49&gt;0,V49&gt;0),VLOOKUP(KitchenHandleType,FixedListsHandleType,2,FALSE)*IF(KitchenHandleType="Simple",0,IF(S49&gt;0,VLOOKUP(KitchenHandleType,FixedListsHandleType,4,FALSE),IF(OR(T49&gt;0,V49&gt;0),1-VLOOKUP(KitchenHandleType,FixedListsHandleType,4,FALSE),"Error"))),0))</f>
        <v>0</v>
      </c>
      <c r="X49" s="156">
        <f t="shared" si="5"/>
        <v>1</v>
      </c>
      <c r="Y49" s="156">
        <f>IF(OR(O49="",P49=""),"",IF(OR(ISERROR(FIND("carcass",$A49))=FALSE,ISERROR(FIND("unit",$A49))=FALSE),VLOOKUP(KitchenCarcassMaterial,FixedListsCarcassMaterial,3,0),0))</f>
        <v>0</v>
      </c>
      <c r="Z49" s="156">
        <f>IF(OR(O49="",P49=""),"",IF(ISERROR(FIND("door",$A49))=FALSE,VLOOKUP(KitchenDoorStyle,FixedListsDoorStyle,3,0),0))</f>
        <v>0</v>
      </c>
      <c r="AA49" s="156">
        <f>IF(OR(O49="",P49=""),"",IF(ISERROR(FIND("door",$A49))=FALSE,VLOOKUP(KitchenDoorMaterial,FixedListsDoorMaterial,3,0),0))</f>
        <v>0</v>
      </c>
      <c r="AB49" s="156">
        <f>IF(OR(O49="",P49=""),"",IF(ISERROR(FIND("drawer",$A49))=FALSE,VLOOKUP(KitchenDrawerType,FixedListsDrawerType,3,0),0))</f>
        <v>0</v>
      </c>
      <c r="AC49" s="156">
        <f>IF(OR(O49="",P49=""),"",IF(OR(Y49&gt;0,Z49&gt;0,AB49&gt;0),VLOOKUP(KitchenHandleType,FixedListsHandleType,3,FALSE),0))</f>
        <v>0</v>
      </c>
      <c r="AD49" s="156">
        <f>IF(OR(O49="",P49=""),"",IF(OR(ISERROR(FIND("carcass",$A49))=FALSE,ISERROR(FIND("unit",$A49))=FALSE),VLOOKUP(KitchenCarcassFinish,FixedListsFinishes,3,0),IF(OR(ISERROR(FIND("door",$A49))=FALSE,ISERROR(FIND("Plinth",$A49))=FALSE,ISERROR(FIND("Cornice",$A49))=FALSE,ISERROR(FIND("Fillers",$A49))=FALSE,ISERROR(FIND("Pelmet",$A49))=FALSE,ISERROR(FIND("panel",$A49))=FALSE,ISERROR(FIND("post",$A49))=FALSE),VLOOKUP(KitchenDoorFinish,FixedListsFinishes,3,0),IF(OR(ISERROR(FIND("drawer",$A49))=FALSE,ISERROR(FIND("insert",$A49))=FALSE,ISERROR(FIND("rck",$A49))=FALSE),VLOOKUP(KitchenCarcassFinish,FixedListsFinishes,3,0),0))))</f>
        <v>2</v>
      </c>
      <c r="AE49" s="156">
        <f t="shared" si="6"/>
        <v>2</v>
      </c>
      <c r="AF49" s="157" t="str">
        <f>IF(AND(KitchenHandleType="Channel",OR(ISERROR(FIND("arcass",$A49))=FALSE,ISERROR(FIND("unit",$A49))=FALSE)),IF(ISERROR(FIND("Tower",$A49))=TRUE,IF(KitchenHandleFinish="Match carcass",IF(ISERROR(FIND("Walnut",KitchenCarcassMaterial))=FALSE,(0.035*0.075*($C49/1000))*VLOOKUP("Walnut (solid m3)",SolidData,4,FALSE),IF(ISERROR(FIND("Oak",KitchenCarcassMaterial))=FALSE,(0.035*0.075*($C49/1000))*VLOOKUP("Oak (solid m3)",SolidData,4,FALSE),IF(ISERROR(FIND("ply",KitchenCarcassMaterial))=FALSE,(0.1*($C49/1000))*VLOOKUP("Birch ply (24mm)",SheetsData,7,FALSE),IF(ISERROR(FIND("H/F",KitchenCarcassMaterial))=FALSE,(0.1*($C49/1000))*VLOOKUP("H/F (22mm)",SheetsData,7,FALSE),"Carcass - not tower - new material")))),IF(KitchenHandleFinish="Match door",IF(ISERROR(FIND("Walnut",KitchenDoorMaterial))=FALSE,(0.035*0.075*($C49/1000))*VLOOKUP("Walnut (solid m3)",SolidData,4,FALSE),IF(ISERROR(FIND("Oak",KitchenDoorMaterial))=FALSE,(0.035*0.075*($C49/1000))*VLOOKUP("Oak (solid m3)",SolidData,4,FALSE),IF(ISERROR(FIND("ply",KitchenDoorMaterial))=FALSE,(0.1*($C49/1000))*VLOOKUP("Birch ply (24mm)",SheetsData,7,FALSE),IF(ISERROR(FIND("H/F",KitchenCarcassMaterial))=FALSE,(0.1*($C49/1000))*VLOOKUP("H/F (22mm)",SheetsData,7,FALSE),"Door - not tower - new material")))),"Channel - not tower - handle set to other")),IF(ISERROR(FIND("Tower",$A49))=FALSE,IF(KitchenHandleFinish="Match carcass",IF(ISERROR(FIND("Walnut",KitchenCarcassMaterial))=FALSE,(0.035*0.075*($B49/1000))*VLOOKUP("Walnut (solid m3)",SolidData,4,FALSE),IF(ISERROR(FIND("Oak",KitchenCarcassMaterial))=FALSE,(0.035*0.075*($B49/1000))*VLOOKUP("Oak (solid m3)",SolidData,4,FALSE),IF(ISERROR(FIND("ply",KitchenCarcassMaterial))=FALSE,(0.1*($B49/1000))*VLOOKUP("Birch ply (24mm)",SheetsData,7,FALSE),IF(ISERROR(FIND("H/F",KitchenCarcassMaterial))=FALSE,(0.1*($C49/1000))*VLOOKUP("H/F (22mm)",SheetsData,7,FALSE),"Carcass - tower - new material")))),IF(KitchenHandleFinish="Match door",IF(ISERROR(FIND("Walnut",KitchenDoorMaterial))=FALSE,(0.035*0.075*($B49/1000))*VLOOKUP("Walnut (solid m3)",SolidData,4,FALSE),IF(ISERROR(FIND("Oak",KitchenDoorMaterial))=FALSE,(0.035*0.075*($B49/1000))*VLOOKUP("Oak (solid m3)",SolidData,4,FALSE),IF(ISERROR(FIND("ply",KitchenDoorMaterial))=FALSE,(0.1*($B49/1000))*VLOOKUP("Birch ply (24mm)",SheetData,7,FALSE),IF(ISERROR(FIND("H/F",KitchenCarcassMaterial))=FALSE,(0.1*($C49/1000))*VLOOKUP("H/F (22mm)",SheetsData,7,FALSE),"Door - tower - new material")))),"Channel - tower - handle set to other")))),"")</f>
        <v/>
      </c>
    </row>
    <row r="50">
      <c r="A50" s="151" t="s">
        <v>158</v>
      </c>
      <c r="B50" s="115">
        <f t="shared" si="1"/>
        <v>50</v>
      </c>
      <c r="C50" s="115" t="str">
        <f>IFERROR(__xludf.DUMMYFUNCTION("IF(A50="""","""",IF(OR(RIGHT(A50,LEN(A50)-len(regexextract(A50,"".* "")))=""1200"",RIGHT(A50,LEN(A50)-len(regexextract(A50,"".* "")))=""600"",RIGHT(A50,LEN(A50)-len(regexextract(A50,"".* "")))=""400"",RIGHT(A50,LEN(A50)-len(regexextract(A50,"".* "")))=""3"&amp;"00"",RIGHT(A50,LEN(A50)-len(regexextract(A50,"".* "")))=""700"",RIGHT(A50,LEN(A50)-len(regexextract(A50,"".* "")))=""2400"",RIGHT(A50,LEN(A50)-len(regexextract(A50,"".* "")))=""650"",RIGHT(A50,LEN(A50)-len(regexextract(A50,"".* "")))=""350"",RIGHT(A50,LEN"&amp;"(A50)-len(regexextract(A50,"".* "")))=""50""),RIGHT(A50,LEN(A50)-len(regexextract(A50,"".* ""))),IF(OR(ISERROR(FIND(""spacer"",A50))=FALSE,ISERROR(FIND(""filler panel"",A50))=FALSE),""1000"",""Unexpected size in description"")))"),"2400")</f>
        <v>2400</v>
      </c>
      <c r="D50" s="151" t="str">
        <f t="shared" si="2"/>
        <v/>
      </c>
      <c r="E50" s="152">
        <f>IFERROR(__xludf.DUMMYFUNCTION("IF(OR(A50="""",AND(ISERROR(FIND(""drawer box"",A50))=FALSE,KitchenDrawerType="""")),"""",IF(OR(ISERROR(FIND(""larder"",A50))=FALSE,ISERROR(FIND(""fridge/freezer"",A50))=FALSE,ISERROR(FIND(""double oven"",A50))=FALSE,ISERROR(FIND(""single oven"",A50))=FALS"&amp;"E),VLOOKUP(LEFT(A50,FIND("" "",A50))&amp;""carcass ""&amp;RIGHT(A50,LEN(A50)-(LEN(A50)-3)),KitchensData,5,0),IF(ISERROR(FIND(""sink"",A50))=FALSE,VLOOKUP(LEFT(A50,FIND("" "",A50))&amp;""carcass ""&amp;VALUE(REGEXREPLACE(A50,""[^[:digit:]]"", """")),KitchensData,5,0)+(((C"&amp;"50/1000)*(300/1000))*VLOOKUP(KitchenCarcassMaterial,SheetsData,8,0)),IF(ISERROR(FIND(""bins"",A50))=FALSE,IF(ISERROR(FIND(""veneer"",KitchenCarcassMaterial))=FALSE,VLOOKUP(""Base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600"",A50))=FALSE,IF(ISERROR(FIND(""veneer"""&amp;",KitchenCarcassMaterial))=FALSE,0.54*(VLOOKUP(LEFT(KitchenCarcassMaterial,FIND(""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1200"",A50))=FALSE,"&amp;"IF(ISERROR(FIND(""veneer"",KitchenCarcassMaterial))=FALSE,0.84*(VLOOKUP(LEFT(KitchenCarcassMaterial,FIND(""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600"",A50))=FALSE,IF(ISERROR(FIND(""veneer"",KitchenCarcassMaterial))=FALSE,1.44*(VLOOKUP(LEFT(KitchenCarcassMaterial,FIND(""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1200"",A50))=FALSE,IF(ISERROR(FIND(""veneer"",KitchenCarcassMaterial))=FALSE,2.7*(VLOOKUP(LEFT(KitchenCarcassMaterial,FIND(""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front"",A50))=FALSE,((B50/1000)*(C50/1000))*VLOOKUP(KitchenDoorMaterial,SheetsData,8,0),IF(AND(KitchenDrawerType=""Match carcass"",ISERROR(FIND(""drawer box"",A50))=FALSE),(((((B50/1000)*(C50/1000))+((B50/1000"&amp;")*(D50/1000)))*2)*VLOOKUP(KitchenCarcassMaterial,SheetsData,8,0))+(((C50/1000)*(D50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box"",A50))=FALSE),(((((B50/1000)*(C50/1000))+((B50/1000)*(D50/1000)))*2)*(16/1000)*VLOOKUP(LEFT(KitchenCarcassMaterial,FIND("" "&amp;""",KitchenCarcassMaterial))&amp;""(solid m3)"",SolidData,5,0))+(((C50/1000)*(D50/1000))*VLOOKUP(LEFT(KitchenCarcassMaterial,FIND(""("",KitchenCarcassMaterial)-1)&amp;IF(OR(ISERROR(FIND(""ply"",KitchenCarcassMaterial))=FALSE,ISERROR(FIND(""H/F"",KitchenCarcassMate"&amp;"rial))=FALSE),""(9mm)"",""(10mm)""),SheetsData,8,0)),IF(ISERROR(FIND(""spacer"",A50))=FALSE,((D50/1000)*(C50/1000))*VLOOKUP(""Poplar ply (18mm)"",SheetsData,8,0),IF(ISERROR(FIND(""filler panel"",A50))=FALSE,((B50/1000)*(C50/1000))*VLOOKUP(KitchenDoorMater"&amp;"ial,SheetsData,8,0),IF(ISERROR(FIND(""shelf"",A50))=FALSE,((D50/1000)*(C50/1000))*VLOOKUP(KitchenCarcassMaterial,SheetsData,8,0),IF(ISERROR(FIND(""lost corner"",A50))=FALSE,VLOOKUP(LEFT(A50,FIND("" "",A50))&amp;""carcass ""&amp;VALUE(REGEXREPLACE(A50,""[^[:digit:"&amp;"]]"", """")),KitchensData,5,0)+((((B50/1000)*(C50/1000))+((B50/1000)*(60/1000)))*VLOOKUP(KitchenCarcassMaterial,SheetsData,8,0)),IF(ISERROR(FIND(""carcass"",A50))=FALSE,(((((B50/1000)*2)*(D50/1000))+(((C50/1000)*2)*(D50/1000)))*VLOOKUP(KitchenCarcassMater"&amp;"ial,SheetsData,8,0))+((B50/1000)*(C50/1000))*VLOOKUP(LEFT(KitchenCarcassMaterial,FIND(""("",KitchenCarcassMaterial)-1)&amp;IF(OR(ISERROR(FIND(""ply"",KitchenCarcassMaterial))=FALSE,ISERROR(FIND(""H/F"",KitchenCarcassMaterial))=FALSE),""(9mm)"",""(10mm)""),She"&amp;"etsData,8,0),IF(OR(ISERROR(FIND(""Plinth"",A50))=FALSE,ISERROR(FIND(""Cornice (flat)"",A50))=FALSE),((B50/1000)*(C50/1000))*VLOOKUP(""H/F (18mm)"",SheetsData,8,0),IF(ISERROR(FIND(""Cornice (stacked)"",A50))=FALSE,((0.08*(C50/1000))*2)*VLOOKUP(""H/F (22mm)"&amp;""",SheetsData,8,0),IF(ISERROR(FIND(""Base end panel"",A50))=FALSE,VLOOKUP(KitchenDoorMaterial,SheetsData,5,0)/3,IF(ISERROR(FIND(""Wall end panel"",A50))=FALSE,VLOOKUP(KitchenDoorMaterial,SheetsData,5,0)/9,IF(ISERROR(FIND(""Tower end panel"",A50))=FALSE,VL"&amp;"OOKUP(KitchenDoorMaterial,SheetsData,5,0),IF(ISERROR(FIND(""Fillers"",A50))=FALSE,(((0.06*(C50/1000))*2)*VLOOKUP(""H/F (18mm)"",SheetsData,8,0))+(((0.06*(C50/1000))*2)*VLOOKUP(""H/F (9mm)"",SheetsData,8,0)),IF(ISERROR(FIND(""corner post"",A50))=FALSE,(((B"&amp;"50/1000)*0.05)*2)*VLOOKUP(KitchenDoorMaterial,SheetsData,8,0),IF(ISERROR(FIND(""Pelmet"",A50))=FALSE,((((B50/1000)*(C50/1000))*2)*VLOOKUP(""H/F (18mm)"",SheetsData,8,0)),IF(ISERROR(FIND(""door"",A50))=TRUE,""Check description"",IF(KitchenDoorStyle=""Flat"&amp;""",((B50/1000)*(C50/1000))*VLOOKUP(KitchenDoorMaterial,SheetsData,8,0),IF(LEFT(KitchenDoorStyle,5)=""Panel"",(((((B50/1000)*2)*0.08)+((((C50/1000)-0.16)*2)*0.08))*VLOOKUP(""H/F (22mm)"",SheetsData,8,0))+(((B50/1000)-0.14)*((C50/1000)-0.14)*VLOOKUP(""H/F ("&amp;"9mm)"",SheetsData,8,0)),IF(KitchenDoorStyle=""In-frame flat"",((((((B50/1000)*0.019)*0.038)+((((C50-38)/1000)*0.038)*0.038))*2)*VLOOKUP(""Tulip (solid m3)"",SolidData,5,0))+(((B50-76)/1000)*((C50-38)/1000))*VLOOKUP(""H/F (22mm)"",SheetsData,8,0),IF(LEFT(K"&amp;"itchenDoorStyle,14)=""In-frame panel"",(((((((B50/1000)*0.019)*0.038)+((((C50-38)/1000)*0.038)*0.038))*2)*VLOOKUP(""Tulip (solid m3)"",SolidData,5,0))+(((((((B50-76)/1000)*2)*0.08)+(((((C50-198)/1000)*2)*0.08)))*VLOOKUP(""H/F (22mm)"",SheetsData,8,0))+((("&amp;"B50-216)/1000)*((C50-178)/1000)*VLOOKUP(""H/F (9mm)"",SheetsData,8,0)))))))))))))))))))))))))))))))))"),3.7046492878258532)</f>
        <v>3.704649288</v>
      </c>
      <c r="F50" s="152" t="str">
        <f>IFERROR(__xludf.DUMMYFUNCTION("IF(OR(A50="""",AND(ISERROR(FIND(""drawer box"",A50))=FALSE,KitchenDrawerType=""Solid dovetail"")),"""",IF(ISERROR(FIND(""bins"",A50))=FALSE,VLOOKUP(""Base carcass 600"",KitchensData,6,0),IF(OR(ISERROR(FIND(""larder"",A50))=FALSE,ISERROR(FIND(""unit"",A50)"&amp;")=FALSE),VLOOKUP(LEFT(A50,FIND("" "",A50))&amp;""carcass ""&amp;RIGHT(A50,LEN(A50)-len(regexextract(A50,"".* ""))),KitchensData,6,0),IF(ISERROR(FIND(""drawer front"",A50))=FALSE,IF(ISERROR(FIND(""veneer"",KitchenCarcassMaterial))=TRUE,0,(((B50+C50)/1000)*2)*VLOOK"&amp;"UP(""Edge banding (per M)"",SheetsData,5,0)),IF(ISERROR(FIND(""drawer box"",A50))=FALSE,IF(ISERROR(FIND(""veneer"",KitchenCarcassMaterial))=TRUE,0,(((C50+D50)/1000)*2)*VLOOKUP(""Edge banding (per M)"",SheetsData,5,0)),IF(ISERROR(FIND(""shelf"",A50))=FALSE"&amp;",IF(ISERROR(FIND(""veneer"",KitchenCarcassMaterial))=TRUE,0,(C50/1000)*VLOOKUP(""Edge banding (per M)"",SheetsData,5,0)),IF(AND(ISERROR(FIND(""carcass"",A50))=FALSE,ISERROR(FIND(""shelf"",A50))=TRUE),IF(ISERROR(FIND(""veneer"",KitchenCarcassMaterial))=TRU"&amp;"E,0,((2*(B50+C50))/1000)*VLOOKUP(""Edge banding (per M)"",SheetsData,5,0)),IF(ISERROR(FIND(""door"",A50))=TRUE,"""",IF(ISERROR(FIND(""veneer"",KitchenDoorMaterial))=TRUE,"""",((2*(B50+C50))/1000)*VLOOKUP(""Edge banding (per M)"",SheetsData,5,0))))))))))"),"")</f>
        <v/>
      </c>
      <c r="G50" s="153" t="str">
        <f>IF(A50="","",IF(ISERROR(FIND("bins",A50))=FALSE,VLOOKUP("Base carcass 600",KitchensData,7,0),IF(OR(ISERROR(FIND("larder",A50))=FALSE,ISERROR(FIND("fridge/freezer",A50))=FALSE,ISERROR(FIND("double oven",A50))=FALSE,ISERROR(FIND("single oven",A50))=FALSE),VLOOKUP(LEFT(A50,FIND(" ",A50))&amp;"carcass "&amp;RIGHT(A50,LEN(A50)-(LEN(A50)-3)),KitchensData,7,0),IF(AND(ISERROR(FIND("carcass",A50))=FALSE,ISERROR(FIND("shelf",A50))=TRUE),IF(OR(ISERROR(FIND("Base",A50))=FALSE,ISERROR(FIND("Tower",A50))=FALSE),IF(OR(ISERROR(FIND("1200",A50))=FALSE, ISERROR(FIND("lost corner",A50))=FALSE),6*VLOOKUP("Plinth foot (2 Parts 80mm)",FurnitureData,5,0),4*VLOOKUP("Plinth foot (2 Parts 80mm)",FurnitureData,5,0)),""),""))))</f>
        <v/>
      </c>
      <c r="H50" s="115" t="str">
        <f>IF(OR(A50="",ISERROR(FIND("door",A50))=TRUE),"",IF(ISERROR(FIND("Wall",A50))=FALSE,VLOOKUP("Hinges &amp; plates (Hettich thick door)",FurnitureData,5,0)*2,IF(ISERROR(FIND("Base",A50))=FALSE,VLOOKUP("Hinges &amp; plates (Hettich thick door)",FurnitureData,5,0)*3,IF(ISERROR(FIND("Boiler",A50))=FALSE,VLOOKUP("Hinges &amp; plates (Hettich thick door)",FurnitureData,5,0)*4,IF(ISERROR(FIND("Tower",A50))=FALSE,VLOOKUP("Hinges &amp; plates (Hettich thick door)",FurnitureData,5,0)*5)))))</f>
        <v/>
      </c>
      <c r="I50" s="115" t="str">
        <f>IF(ISERROR(FIND("shelf",A50))=FALSE,(VLOOKUP("Shelf pegs",FurnitureData,5,0)/100)*4,"")</f>
        <v/>
      </c>
      <c r="J50" s="152" t="str">
        <f>IF(OR(ISERROR(FIND("fridge/freezer",A50))=FALSE,ISERROR(FIND("larder",A50))=FALSE,AND(ISERROR(FIND("Base",A50))=FALSE,ISERROR(FIND("bins",A50))=TRUE,ISERROR(FIND("no shelves",A50))=TRUE,OR(ISERROR(FIND("carcass",A50))=FALSE,ISERROR(FIND("unit",A50))=FALSE))),VLOOKUP("Deep shelf "&amp;C50,KitchensData,18,0),IF(AND(ISERROR(FIND("Wall",A50))=FALSE,ISERROR(FIND("carcass",A50))=FALSE),2*VLOOKUP("Shallow shelf "&amp;C50,KitchensData,18,0),IF(AND(ISERROR(FIND("Tower",A50))=FALSE,ISERROR(FIND("oven",A50))=FALSE),4*VLOOKUP("Deep shelf "&amp;C50,KitchensData,18,0),IF(AND(ISERROR(FIND("Tower",A50))=FALSE,ISERROR(FIND("carcass",A50))=FALSE),5*VLOOKUP("Deep shelf "&amp;C50,KitchensData,18,0),""))))</f>
        <v/>
      </c>
      <c r="K50" s="152" t="str">
        <f>IF(ISERROR(FIND("sink",A50))=FALSE,VLOOKUP("Sink liner - Aluminium "&amp;RIGHT(A50,LEN(A50)-22)&amp;"mm",ExceptionalData,5,0),IF(ISERROR(FIND("bins",A50))=FALSE,VLOOKUP("Drawer runners and clip set for bin unit (500) Dynapro",FurnitureData,5,0)+(2*VLOOKUP("Bin (42L Anthracite)",FurnitureData,5,0)),IF(ISERROR(FIND("larder",A50))=FALSE,VLOOKUP("Pull out larder unit 600mm",FurnitureData,5,0),IF(AND(ISERROR(FIND("drawer box",A50))=FALSE,ISERROR(FIND("internal",A50))=TRUE),VLOOKUP("Drawer runners and clip set (550) Dynapro",FurnitureData,5,0),IF(ISERROR(FIND("internal drawer box",A50))=FALSE,VLOOKUP("Drawer runners and clip set (450) Dynapro",FurnitureData,5,0),"")))))</f>
        <v/>
      </c>
      <c r="L50" s="152">
        <f t="shared" si="3"/>
        <v>3.704649288</v>
      </c>
      <c r="M50" s="154">
        <f>IFERROR(__xludf.DUMMYFUNCTION("IF(A50="""","""",IF(OR(ISERROR(FIND(""larder"",A50))=FALSE,ISERROR(FIND(""unit"",A50))=FALSE),VLOOKUP(LEFT(A50,FIND("" "",A50))&amp;""carcass ""&amp;RIGHT(A50,LEN(A50)-len(regexextract(A50,"".* ""))),KitchensData,13,0),IF(ISERROR(FIND(""bins"",A50))=FALSE,0.95,IF"&amp;"(ISERROR(FIND(""Cutlery insert 600"",A50))=FALSE,1.3,IF(ISERROR(FIND(""Cutlery insert 1200"",A50))=FALSE,2,IF(ISERROR(FIND(""Pan/tray rack 600"",A50))=FALSE,3.25,IF(ISERROR(FIND(""Pan/tray rack 1200"",A50))=FALSE,5.9,IF(ISERROR(FIND(""split"",A50))=FALSE,"&amp;"(((C50/1000)*0.022)*2)+VLOOKUP(SUBSTITUTE(A50,"" split"",""""),KitchensData,13,0),IF(AND(ISERROR(FIND(""drawer front"",A50))=FALSE,KitchenDoorStyle=""Flat""),(((B50/1000)*(C50/1000))*2)+((((B50+C50)/1000)*2)*0.022),IF(AND(ISERROR(FIND(""drawer front"",A50"&amp;"))=FALSE,LEFT(KitchenDoorStyle,5)=""Panel""),(((B50/1000)*(C50/1000))*2)+((((B50+C50)/1000)*2)*0.022)+((((C50/1000)-0.16)*0.013)*2)+((((D50/1000)-0.16)*0.013)*2),IF(AND(ISERROR(FIND(""drawer front"",A50))=FALSE,KitchenDoorStyle=""In-frame flat""),((((B50-"&amp;"76)/1000)*((C50-38)/1000))*2)+(MID(KitchenDoorMaterial,FIND(""("",KitchenDoorMaterial)+1,2)/1000)*((((B50-76)+(C50-38))/1000)*2)+(((B50/1000)*0.032)*2)+((((B50-76)/1000)*0.032)*2)+(((B50/1000)*0.019)*4)+(((C50/1000)*0.032)*2)+((((C50-38)/1000)*0.032)*2)+("&amp;"((C50/1000)*0.038)*4),IF(AND(ISERROR(FIND(""drawer front"",A50))=FALSE,LEFT(KitchenDoorStyle,14)=""In-frame panel""),((((B50-76)/1000)*((C50-38)/1000))*2)+((MID(KitchenDoorMaterial,FIND(""("",KitchenDoorMaterial)+1,2)/1000)*((((B50-76)+(C50-38))/1000)*2))"&amp;"+((((B50-236)/1000)+((C50-198)/1000)*2)*0.013)+(((B50/1000)*0.032)*2)+((((B50-76)/1000)*0.032)*2)+(((B50/1000)*0.019)*4)+(((C50/1000)*0.032)*2)+((((C50-38)/1000)*0.032)*2)+(((C50/1000)*0.038)*4),IF(ISERROR(FIND(""drawer box"",A50))=FALSE,((((B50/1000)*(D5"&amp;"0/1000))+((B50/1000)*(C50/1000)))*4)+((((D50/1000)+(C50/1000))*0.016)*4)+(((C50/1000)*(D50/1000))*2),IF(OR(ISERROR(FIND(""shelf"",A50))=FALSE,ISERROR(FIND(""spacer"",A50))=FALSE,,ISERROR(FIND(""filler panel"",A50))=FALSE),(((C50/1000)*(D50/1000))*2)+((((C"&amp;"50+D50)*2)/1000)*0.022),IF(ISERROR(FIND(""lost corner"",A50))=FALSE,(((B50/1000)*(C50/1000))*2)+((B50/1000)*(C50/1000))+((B50/1000)*((C50/2)/1000))+((((B50/1000)*0.025)+((C50/1000)*0.025))*2),IF(ISERROR(FIND(""carcass"",A50))=FALSE,(((C50/1000)*(D50/1000)"&amp;")*2)+(((B50/1000)*(D50/1000))*2)+((B50/1000)*(C50/1000))+((((B50/1000)*0.025)+((C50/1000)*0.025))*2),IF(AND(ISERROR(FIND(""door"",A50))=FALSE,KitchenDoorStyle=""Flat""),(((B50/1000)*(C50/1000))*2)+(MID(KitchenDoorMaterial,FIND(""("",KitchenDoorMaterial)+1"&amp;",2)/1000)*(((B50+C50)/1000)*2),IF(AND(ISERROR(FIND(""door"",A50))=FALSE,LEFT(KitchenDoorStyle,5)=""Panel""),(((B50/1000)*(C50/1000))*2)+((MID(KitchenDoorMaterial,FIND(""("",KitchenDoorMaterial)+1,2)/1000)*(((B50+C50)/1000)*2))+(((((B50-160)+(C50-160))*2)/"&amp;"1000)*(0.013)),IF(AND(ISERROR(FIND(""door"",A50))=FALSE,KitchenDoorStyle=""In-frame flat""),((((B50-76)/1000)*((C50-38)/1000))*2)+(MID(KitchenDoorMaterial,FIND(""("",KitchenDoorMaterial)+1,2)/1000)*((((B50-76)+(C50-38))/1000)*2)+(((B50/1000)*0.032)*2)+((("&amp;"(B50-76)/1000)*0.032)*2)+(((B50/1000)*0.019)*4)+(((C50/1000)*0.032)*2)+((((C50-38)/1000)*0.032)*2)+(((C50/1000)*0.038)*4),IF(AND(ISERROR(FIND(""door"",A50))=FALSE,LEFT(KitchenDoorStyle,14)=""In-frame panel""),((((B50-76)/1000)*((C50-38)/1000))*2)+((MID(Ki"&amp;"tchenDoorMaterial,FIND(""("",KitchenDoorMaterial)+1,2)/1000)*((((B50-76)+(C50-38))/1000)*2))+((((B50-236)/1000)+((C50-198)/1000)*2)*0.013)+(((B50/1000)*0.032)*2)+((((B50-76)/1000)*0.032)*2)+(((B50/1000)*0.019)*4)+(((C50/1000)*0.032)*2)+((((C50-38)/1000)*0"&amp;".032)*2)+(((C50/1000)*0.038)*4),IF(ISERROR(FIND(""Plinth"",A50))=FALSE,((B50/1000)*(C50/1000))+(((C50/1000)*0.018)*2)+(((B50/1000)*0.018)*2),IF(ISERROR(FIND(""Cornice"",A50))=FALSE,(((C50/1000)*0.1)*2)+(((C50/1000)*0.044)*2)+(((B50/1000)*0.08)*2),IF(ISERR"&amp;"OR(FIND(""Base end panel"",A50))=FALSE,((B50/1000)*(C50/1000))+(0.022*((B50/1000)+((C50/1000)*2)))+((B50/1000)*0.05),IF(ISERROR(FIND(""Wall end panel"",A50))=FALSE,((B50/1000)*(C50/1000))+(0.022*((B50/1000)+((C50/1000)*2)))+((B50/1000)*0.05),IF(ISERROR(FI"&amp;"ND(""Tower end panel"",A50))=FALSE,((B50/1000)*(C50/1000))+(0.022*((B50/1000)+((C50/1000)*2)))+((B50/1000)*0.05),IF(ISERROR(FIND(""Fillers"",A50))=FALSE,((C50/1000)*0.06)+((C50/1000)*0.069)+((0.06*0.018)*2)+((0.06*0.009)*2)+((C50/1000)*0.009)+((C50/1000)*"&amp;"0.018),IF(ISERROR(FIND(""corner post"",A50))=FALSE,(((B50/1000*0.05)*2)+((B50/1000)*0.022)*2)+((B50/1000)*0.072)+((B50/1000)*0.05)+((0.072*0.022)*2)+((0.05*0.022)*2),IF(ISERROR(FIND(""Pelmet"",A50))=FALSE,((C50/1000)*0.05)+((C50/1000)*0.068)+((0.05*0.018)"&amp;"*4)+(((C50/1000)*0.018))*2))))))))))))))))))))))))))))"),0.3732)</f>
        <v>0.3732</v>
      </c>
      <c r="N50" s="152">
        <f>IF(M50="","",IF(AND(ISERROR(FIND("carcass",A50))=TRUE,ISERROR(FIND("unit",A50))=TRUE,ISERROR(FIND("insert",A50))=TRUE,ISERROR(FIND("rack",A50))=TRUE,ISERROR(FIND("box",A50))=TRUE,ISERROR(FIND("shelf",#REF!))=TRUE),VLOOKUP(KitchenDoorFinish,Finishing!$A$2:$K$10,9,0)*M50,VLOOKUP(KitchenCarcassFinish,Finishing!$A$2:$K$40,9,0)*M50))</f>
        <v>2.799</v>
      </c>
      <c r="O50" s="155">
        <v>1.0</v>
      </c>
      <c r="P50" s="155">
        <v>1.0</v>
      </c>
      <c r="Q50" s="152">
        <f>IF(OR(O50="",P50=""),"",((O50*X50)*(VLOOKUP("Workshop",Labour!$A$3:$E$20,4,0)/8))+((P50*AE50)*(VLOOKUP("Finishing",Labour!$A$3:$E$20,4,0)/8)))</f>
        <v>99.75</v>
      </c>
      <c r="R50" s="152">
        <f t="shared" si="4"/>
        <v>106.2536493</v>
      </c>
      <c r="S50" s="156">
        <f>IF(OR(O50="",P50=""),"",IF(OR(ISERROR(FIND("carcass",$A50))=FALSE,ISERROR(FIND("unit",$A50))=FALSE),VLOOKUP(KitchenCarcassMaterial,FixedListsCarcassMaterial,2,0),0))</f>
        <v>0</v>
      </c>
      <c r="T50" s="156">
        <f>IF(OR(O50="",P50=""),"",IF(ISERROR(FIND("door",$A50))=FALSE,VLOOKUP(KitchenDoorStyle,FixedListsDoorStyle,2,0),0))</f>
        <v>0</v>
      </c>
      <c r="U50" s="156">
        <f>IF(OR(O50="",P50=""),"",IF(ISERROR(FIND("door",$A50))=FALSE,VLOOKUP(KitchenDoorMaterial,FixedListsDoorMaterial,2,0),0))</f>
        <v>0</v>
      </c>
      <c r="V50" s="156">
        <f>IF(OR(O50="",P50=""),"",IF(ISERROR(FIND("drawer",$A50))=FALSE,VLOOKUP(KitchenDrawerType,FixedListsDrawerType,2,0),0))</f>
        <v>0</v>
      </c>
      <c r="W50" s="156">
        <f>IF(OR(O50="",P50=""),"",IF(OR(S50&gt;0, T50&gt;0,V50&gt;0),VLOOKUP(KitchenHandleType,FixedListsHandleType,2,FALSE)*IF(KitchenHandleType="Simple",0,IF(S50&gt;0,VLOOKUP(KitchenHandleType,FixedListsHandleType,4,FALSE),IF(OR(T50&gt;0,V50&gt;0),1-VLOOKUP(KitchenHandleType,FixedListsHandleType,4,FALSE),"Error"))),0))</f>
        <v>0</v>
      </c>
      <c r="X50" s="156">
        <f t="shared" si="5"/>
        <v>1</v>
      </c>
      <c r="Y50" s="156">
        <f>IF(OR(O50="",P50=""),"",IF(OR(ISERROR(FIND("carcass",$A50))=FALSE,ISERROR(FIND("unit",$A50))=FALSE),VLOOKUP(KitchenCarcassMaterial,FixedListsCarcassMaterial,3,0),0))</f>
        <v>0</v>
      </c>
      <c r="Z50" s="156">
        <f>IF(OR(O50="",P50=""),"",IF(ISERROR(FIND("door",$A50))=FALSE,VLOOKUP(KitchenDoorStyle,FixedListsDoorStyle,3,0),0))</f>
        <v>0</v>
      </c>
      <c r="AA50" s="156">
        <f>IF(OR(O50="",P50=""),"",IF(ISERROR(FIND("door",$A50))=FALSE,VLOOKUP(KitchenDoorMaterial,FixedListsDoorMaterial,3,0),0))</f>
        <v>0</v>
      </c>
      <c r="AB50" s="156">
        <f>IF(OR(O50="",P50=""),"",IF(ISERROR(FIND("drawer",$A50))=FALSE,VLOOKUP(KitchenDrawerType,FixedListsDrawerType,3,0),0))</f>
        <v>0</v>
      </c>
      <c r="AC50" s="156">
        <f>IF(OR(O50="",P50=""),"",IF(OR(Y50&gt;0,Z50&gt;0,AB50&gt;0),VLOOKUP(KitchenHandleType,FixedListsHandleType,3,FALSE),0))</f>
        <v>0</v>
      </c>
      <c r="AD50" s="156">
        <f>IF(OR(O50="",P50=""),"",IF(OR(ISERROR(FIND("carcass",$A50))=FALSE,ISERROR(FIND("unit",$A50))=FALSE),VLOOKUP(KitchenCarcassFinish,FixedListsFinishes,3,0),IF(OR(ISERROR(FIND("door",$A50))=FALSE,ISERROR(FIND("Plinth",$A50))=FALSE,ISERROR(FIND("Cornice",$A50))=FALSE,ISERROR(FIND("Fillers",$A50))=FALSE,ISERROR(FIND("Pelmet",$A50))=FALSE,ISERROR(FIND("panel",$A50))=FALSE,ISERROR(FIND("post",$A50))=FALSE),VLOOKUP(KitchenDoorFinish,FixedListsFinishes,3,0),IF(OR(ISERROR(FIND("drawer",$A50))=FALSE,ISERROR(FIND("insert",$A50))=FALSE,ISERROR(FIND("rck",$A50))=FALSE),VLOOKUP(KitchenCarcassFinish,FixedListsFinishes,3,0),0))))</f>
        <v>2</v>
      </c>
      <c r="AE50" s="156">
        <f t="shared" si="6"/>
        <v>2</v>
      </c>
      <c r="AF50" s="157" t="str">
        <f>IF(AND(KitchenHandleType="Channel",OR(ISERROR(FIND("arcass",$A50))=FALSE,ISERROR(FIND("unit",$A50))=FALSE)),IF(ISERROR(FIND("Tower",$A50))=TRUE,IF(KitchenHandleFinish="Match carcass",IF(ISERROR(FIND("Walnut",KitchenCarcassMaterial))=FALSE,(0.035*0.075*($C50/1000))*VLOOKUP("Walnut (solid m3)",SolidData,4,FALSE),IF(ISERROR(FIND("Oak",KitchenCarcassMaterial))=FALSE,(0.035*0.075*($C50/1000))*VLOOKUP("Oak (solid m3)",SolidData,4,FALSE),IF(ISERROR(FIND("ply",KitchenCarcassMaterial))=FALSE,(0.1*($C50/1000))*VLOOKUP("Birch ply (24mm)",SheetsData,7,FALSE),IF(ISERROR(FIND("H/F",KitchenCarcassMaterial))=FALSE,(0.1*($C50/1000))*VLOOKUP("H/F (22mm)",SheetsData,7,FALSE),"Carcass - not tower - new material")))),IF(KitchenHandleFinish="Match door",IF(ISERROR(FIND("Walnut",KitchenDoorMaterial))=FALSE,(0.035*0.075*($C50/1000))*VLOOKUP("Walnut (solid m3)",SolidData,4,FALSE),IF(ISERROR(FIND("Oak",KitchenDoorMaterial))=FALSE,(0.035*0.075*($C50/1000))*VLOOKUP("Oak (solid m3)",SolidData,4,FALSE),IF(ISERROR(FIND("ply",KitchenDoorMaterial))=FALSE,(0.1*($C50/1000))*VLOOKUP("Birch ply (24mm)",SheetsData,7,FALSE),IF(ISERROR(FIND("H/F",KitchenCarcassMaterial))=FALSE,(0.1*($C50/1000))*VLOOKUP("H/F (22mm)",SheetsData,7,FALSE),"Door - not tower - new material")))),"Channel - not tower - handle set to other")),IF(ISERROR(FIND("Tower",$A50))=FALSE,IF(KitchenHandleFinish="Match carcass",IF(ISERROR(FIND("Walnut",KitchenCarcassMaterial))=FALSE,(0.035*0.075*($B50/1000))*VLOOKUP("Walnut (solid m3)",SolidData,4,FALSE),IF(ISERROR(FIND("Oak",KitchenCarcassMaterial))=FALSE,(0.035*0.075*($B50/1000))*VLOOKUP("Oak (solid m3)",SolidData,4,FALSE),IF(ISERROR(FIND("ply",KitchenCarcassMaterial))=FALSE,(0.1*($B50/1000))*VLOOKUP("Birch ply (24mm)",SheetsData,7,FALSE),IF(ISERROR(FIND("H/F",KitchenCarcassMaterial))=FALSE,(0.1*($C50/1000))*VLOOKUP("H/F (22mm)",SheetsData,7,FALSE),"Carcass - tower - new material")))),IF(KitchenHandleFinish="Match door",IF(ISERROR(FIND("Walnut",KitchenDoorMaterial))=FALSE,(0.035*0.075*($B50/1000))*VLOOKUP("Walnut (solid m3)",SolidData,4,FALSE),IF(ISERROR(FIND("Oak",KitchenDoorMaterial))=FALSE,(0.035*0.075*($B50/1000))*VLOOKUP("Oak (solid m3)",SolidData,4,FALSE),IF(ISERROR(FIND("ply",KitchenDoorMaterial))=FALSE,(0.1*($B50/1000))*VLOOKUP("Birch ply (24mm)",SheetData,7,FALSE),IF(ISERROR(FIND("H/F",KitchenCarcassMaterial))=FALSE,(0.1*($C50/1000))*VLOOKUP("H/F (22mm)",SheetsData,7,FALSE),"Door - tower - new material")))),"Channel - tower - handle set to other")))),"")</f>
        <v/>
      </c>
    </row>
    <row r="51">
      <c r="A51" s="151" t="s">
        <v>159</v>
      </c>
      <c r="B51" s="115">
        <f t="shared" si="1"/>
        <v>800</v>
      </c>
      <c r="C51" s="115" t="str">
        <f>IFERROR(__xludf.DUMMYFUNCTION("IF(A51="""","""",IF(OR(RIGHT(A51,LEN(A51)-len(regexextract(A51,"".* "")))=""1200"",RIGHT(A51,LEN(A51)-len(regexextract(A51,"".* "")))=""600"",RIGHT(A51,LEN(A51)-len(regexextract(A51,"".* "")))=""400"",RIGHT(A51,LEN(A51)-len(regexextract(A51,"".* "")))=""3"&amp;"00"",RIGHT(A51,LEN(A51)-len(regexextract(A51,"".* "")))=""700"",RIGHT(A51,LEN(A51)-len(regexextract(A51,"".* "")))=""2400"",RIGHT(A51,LEN(A51)-len(regexextract(A51,"".* "")))=""650"",RIGHT(A51,LEN(A51)-len(regexextract(A51,"".* "")))=""350"",RIGHT(A51,LEN"&amp;"(A51)-len(regexextract(A51,"".* "")))=""50""),RIGHT(A51,LEN(A51)-len(regexextract(A51,"".* ""))),IF(OR(ISERROR(FIND(""spacer"",A51))=FALSE,ISERROR(FIND(""filler panel"",A51))=FALSE),""1000"",""Unexpected size in description"")))"),"50")</f>
        <v>50</v>
      </c>
      <c r="D51" s="151">
        <f t="shared" si="2"/>
        <v>600</v>
      </c>
      <c r="E51" s="152">
        <f>IFERROR(__xludf.DUMMYFUNCTION("IF(OR(A51="""",AND(ISERROR(FIND(""drawer box"",A51))=FALSE,KitchenDrawerType="""")),"""",IF(OR(ISERROR(FIND(""larder"",A51))=FALSE,ISERROR(FIND(""fridge/freezer"",A51))=FALSE,ISERROR(FIND(""double oven"",A51))=FALSE,ISERROR(FIND(""single oven"",A51))=FALS"&amp;"E),VLOOKUP(LEFT(A51,FIND("" "",A51))&amp;""carcass ""&amp;RIGHT(A51,LEN(A51)-(LEN(A51)-3)),KitchensData,5,0),IF(ISERROR(FIND(""sink"",A51))=FALSE,VLOOKUP(LEFT(A51,FIND("" "",A51))&amp;""carcass ""&amp;VALUE(REGEXREPLACE(A51,""[^[:digit:]]"", """")),KitchensData,5,0)+(((C"&amp;"51/1000)*(300/1000))*VLOOKUP(KitchenCarcassMaterial,SheetsData,8,0)),IF(ISERROR(FIND(""bins"",A51))=FALSE,IF(ISERROR(FIND(""veneer"",KitchenCarcassMaterial))=FALSE,VLOOKUP(""Base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600"",A51))=FALSE,IF(ISERROR(FIND(""veneer"""&amp;",KitchenCarcassMaterial))=FALSE,0.54*(VLOOKUP(LEFT(KitchenCarcassMaterial,FIND(""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1200"",A51))=FALSE,"&amp;"IF(ISERROR(FIND(""veneer"",KitchenCarcassMaterial))=FALSE,0.84*(VLOOKUP(LEFT(KitchenCarcassMaterial,FIND(""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600"",A51))=FALSE,IF(ISERROR(FIND(""veneer"",KitchenCarcassMaterial))=FALSE,1.44*(VLOOKUP(LEFT(KitchenCarcassMaterial,FIND(""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1200"",A51))=FALSE,IF(ISERROR(FIND(""veneer"",KitchenCarcassMaterial))=FALSE,2.7*(VLOOKUP(LEFT(KitchenCarcassMaterial,FIND(""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front"",A51))=FALSE,((B51/1000)*(C51/1000))*VLOOKUP(KitchenDoorMaterial,SheetsData,8,0),IF(AND(KitchenDrawerType=""Match carcass"",ISERROR(FIND(""drawer box"",A51))=FALSE),(((((B51/1000)*(C51/1000))+((B51/1000"&amp;")*(D51/1000)))*2)*VLOOKUP(KitchenCarcassMaterial,SheetsData,8,0))+(((C51/1000)*(D51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box"",A51))=FALSE),(((((B51/1000)*(C51/1000))+((B51/1000)*(D51/1000)))*2)*(16/1000)*VLOOKUP(LEFT(KitchenCarcassMaterial,FIND("" "&amp;""",KitchenCarcassMaterial))&amp;""(solid m3)"",SolidData,5,0))+(((C51/1000)*(D51/1000))*VLOOKUP(LEFT(KitchenCarcassMaterial,FIND(""("",KitchenCarcassMaterial)-1)&amp;IF(OR(ISERROR(FIND(""ply"",KitchenCarcassMaterial))=FALSE,ISERROR(FIND(""H/F"",KitchenCarcassMate"&amp;"rial))=FALSE),""(9mm)"",""(10mm)""),SheetsData,8,0)),IF(ISERROR(FIND(""spacer"",A51))=FALSE,((D51/1000)*(C51/1000))*VLOOKUP(""Poplar ply (18mm)"",SheetsData,8,0),IF(ISERROR(FIND(""filler panel"",A51))=FALSE,((B51/1000)*(C51/1000))*VLOOKUP(KitchenDoorMater"&amp;"ial,SheetsData,8,0),IF(ISERROR(FIND(""shelf"",A51))=FALSE,((D51/1000)*(C51/1000))*VLOOKUP(KitchenCarcassMaterial,SheetsData,8,0),IF(ISERROR(FIND(""lost corner"",A51))=FALSE,VLOOKUP(LEFT(A51,FIND("" "",A51))&amp;""carcass ""&amp;VALUE(REGEXREPLACE(A51,""[^[:digit:"&amp;"]]"", """")),KitchensData,5,0)+((((B51/1000)*(C51/1000))+((B51/1000)*(60/1000)))*VLOOKUP(KitchenCarcassMaterial,SheetsData,8,0)),IF(ISERROR(FIND(""carcass"",A51))=FALSE,(((((B51/1000)*2)*(D51/1000))+(((C51/1000)*2)*(D51/1000)))*VLOOKUP(KitchenCarcassMater"&amp;"ial,SheetsData,8,0))+((B51/1000)*(C51/1000))*VLOOKUP(LEFT(KitchenCarcassMaterial,FIND(""("",KitchenCarcassMaterial)-1)&amp;IF(OR(ISERROR(FIND(""ply"",KitchenCarcassMaterial))=FALSE,ISERROR(FIND(""H/F"",KitchenCarcassMaterial))=FALSE),""(9mm)"",""(10mm)""),She"&amp;"etsData,8,0),IF(OR(ISERROR(FIND(""Plinth"",A51))=FALSE,ISERROR(FIND(""Cornice (flat)"",A51))=FALSE),((B51/1000)*(C51/1000))*VLOOKUP(""H/F (18mm)"",SheetsData,8,0),IF(ISERROR(FIND(""Cornice (stacked)"",A51))=FALSE,((0.08*(C51/1000))*2)*VLOOKUP(""H/F (22mm)"&amp;""",SheetsData,8,0),IF(ISERROR(FIND(""Base end panel"",A51))=FALSE,VLOOKUP(KitchenDoorMaterial,SheetsData,5,0)/3,IF(ISERROR(FIND(""Wall end panel"",A51))=FALSE,VLOOKUP(KitchenDoorMaterial,SheetsData,5,0)/9,IF(ISERROR(FIND(""Tower end panel"",A51))=FALSE,VL"&amp;"OOKUP(KitchenDoorMaterial,SheetsData,5,0),IF(ISERROR(FIND(""Fillers"",A51))=FALSE,(((0.06*(C51/1000))*2)*VLOOKUP(""H/F (18mm)"",SheetsData,8,0))+(((0.06*(C51/1000))*2)*VLOOKUP(""H/F (9mm)"",SheetsData,8,0)),IF(ISERROR(FIND(""corner post"",A51))=FALSE,(((B"&amp;"51/1000)*0.05)*2)*VLOOKUP(KitchenDoorMaterial,SheetsData,8,0),IF(ISERROR(FIND(""Pelmet"",A51))=FALSE,((((B51/1000)*(C51/1000))*2)*VLOOKUP(""H/F (18mm)"",SheetsData,8,0)),IF(ISERROR(FIND(""door"",A51))=TRUE,""Check description"",IF(KitchenDoorStyle=""Flat"&amp;""",((B51/1000)*(C51/1000))*VLOOKUP(KitchenDoorMaterial,SheetsData,8,0),IF(LEFT(KitchenDoorStyle,5)=""Panel"",(((((B51/1000)*2)*0.08)+((((C51/1000)-0.16)*2)*0.08))*VLOOKUP(""H/F (22mm)"",SheetsData,8,0))+(((B51/1000)-0.14)*((C51/1000)-0.14)*VLOOKUP(""H/F ("&amp;"9mm)"",SheetsData,8,0)),IF(KitchenDoorStyle=""In-frame flat"",((((((B51/1000)*0.019)*0.038)+((((C51-38)/1000)*0.038)*0.038))*2)*VLOOKUP(""Tulip (solid m3)"",SolidData,5,0))+(((B51-76)/1000)*((C51-38)/1000))*VLOOKUP(""H/F (22mm)"",SheetsData,8,0),IF(LEFT(K"&amp;"itchenDoorStyle,14)=""In-frame panel"",(((((((B51/1000)*0.019)*0.038)+((((C51-38)/1000)*0.038)*0.038))*2)*VLOOKUP(""Tulip (solid m3)"",SolidData,5,0))+(((((((B51-76)/1000)*2)*0.08)+(((((C51-198)/1000)*2)*0.08)))*VLOOKUP(""H/F (22mm)"",SheetsData,8,0))+((("&amp;"B51-216)/1000)*((C51-178)/1000)*VLOOKUP(""H/F (9mm)"",SheetsData,8,0)))))))))))))))))))))))))))))))))"),1.476753560870734)</f>
        <v>1.476753561</v>
      </c>
      <c r="F51" s="152" t="str">
        <f>IFERROR(__xludf.DUMMYFUNCTION("IF(OR(A51="""",AND(ISERROR(FIND(""drawer box"",A51))=FALSE,KitchenDrawerType=""Solid dovetail"")),"""",IF(ISERROR(FIND(""bins"",A51))=FALSE,VLOOKUP(""Base carcass 600"",KitchensData,6,0),IF(OR(ISERROR(FIND(""larder"",A51))=FALSE,ISERROR(FIND(""unit"",A51)"&amp;")=FALSE),VLOOKUP(LEFT(A51,FIND("" "",A51))&amp;""carcass ""&amp;RIGHT(A51,LEN(A51)-len(regexextract(A51,"".* ""))),KitchensData,6,0),IF(ISERROR(FIND(""drawer front"",A51))=FALSE,IF(ISERROR(FIND(""veneer"",KitchenCarcassMaterial))=TRUE,0,(((B51+C51)/1000)*2)*VLOOK"&amp;"UP(""Edge banding (per M)"",SheetsData,5,0)),IF(ISERROR(FIND(""drawer box"",A51))=FALSE,IF(ISERROR(FIND(""veneer"",KitchenCarcassMaterial))=TRUE,0,(((C51+D51)/1000)*2)*VLOOKUP(""Edge banding (per M)"",SheetsData,5,0)),IF(ISERROR(FIND(""shelf"",A51))=FALSE"&amp;",IF(ISERROR(FIND(""veneer"",KitchenCarcassMaterial))=TRUE,0,(C51/1000)*VLOOKUP(""Edge banding (per M)"",SheetsData,5,0)),IF(AND(ISERROR(FIND(""carcass"",A51))=FALSE,ISERROR(FIND(""shelf"",A51))=TRUE),IF(ISERROR(FIND(""veneer"",KitchenCarcassMaterial))=TRU"&amp;"E,0,((2*(B51+C51))/1000)*VLOOKUP(""Edge banding (per M)"",SheetsData,5,0)),IF(ISERROR(FIND(""door"",A51))=TRUE,"""",IF(ISERROR(FIND(""veneer"",KitchenDoorMaterial))=TRUE,"""",((2*(B51+C51))/1000)*VLOOKUP(""Edge banding (per M)"",SheetsData,5,0))))))))))"),"")</f>
        <v/>
      </c>
      <c r="G51" s="153" t="str">
        <f>IF(A51="","",IF(ISERROR(FIND("bins",A51))=FALSE,VLOOKUP("Base carcass 600",KitchensData,7,0),IF(OR(ISERROR(FIND("larder",A51))=FALSE,ISERROR(FIND("fridge/freezer",A51))=FALSE,ISERROR(FIND("double oven",A51))=FALSE,ISERROR(FIND("single oven",A51))=FALSE),VLOOKUP(LEFT(A51,FIND(" ",A51))&amp;"carcass "&amp;RIGHT(A51,LEN(A51)-(LEN(A51)-3)),KitchensData,7,0),IF(AND(ISERROR(FIND("carcass",A51))=FALSE,ISERROR(FIND("shelf",A51))=TRUE),IF(OR(ISERROR(FIND("Base",A51))=FALSE,ISERROR(FIND("Tower",A51))=FALSE),IF(OR(ISERROR(FIND("1200",A51))=FALSE, ISERROR(FIND("lost corner",A51))=FALSE),6*VLOOKUP("Plinth foot (2 Parts 80mm)",FurnitureData,5,0),4*VLOOKUP("Plinth foot (2 Parts 80mm)",FurnitureData,5,0)),""),""))))</f>
        <v/>
      </c>
      <c r="H51" s="115" t="str">
        <f>IF(OR(A51="",ISERROR(FIND("door",A51))=TRUE),"",IF(ISERROR(FIND("Wall",A51))=FALSE,VLOOKUP("Hinges &amp; plates (Hettich thick door)",FurnitureData,5,0)*2,IF(ISERROR(FIND("Base",A51))=FALSE,VLOOKUP("Hinges &amp; plates (Hettich thick door)",FurnitureData,5,0)*3,IF(ISERROR(FIND("Boiler",A51))=FALSE,VLOOKUP("Hinges &amp; plates (Hettich thick door)",FurnitureData,5,0)*4,IF(ISERROR(FIND("Tower",A51))=FALSE,VLOOKUP("Hinges &amp; plates (Hettich thick door)",FurnitureData,5,0)*5)))))</f>
        <v/>
      </c>
      <c r="I51" s="115" t="str">
        <f>IF(ISERROR(FIND("shelf",A51))=FALSE,(VLOOKUP("Shelf pegs",FurnitureData,5,0)/100)*4,"")</f>
        <v/>
      </c>
      <c r="J51" s="152" t="str">
        <f>IF(OR(ISERROR(FIND("fridge/freezer",A51))=FALSE,ISERROR(FIND("larder",A51))=FALSE,AND(ISERROR(FIND("Base",A51))=FALSE,ISERROR(FIND("bins",A51))=TRUE,ISERROR(FIND("no shelves",A51))=TRUE,OR(ISERROR(FIND("carcass",A51))=FALSE,ISERROR(FIND("unit",A51))=FALSE))),VLOOKUP("Deep shelf "&amp;C51,KitchensData,18,0),IF(AND(ISERROR(FIND("Wall",A51))=FALSE,ISERROR(FIND("carcass",A51))=FALSE),2*VLOOKUP("Shallow shelf "&amp;C51,KitchensData,18,0),IF(AND(ISERROR(FIND("Tower",A51))=FALSE,ISERROR(FIND("oven",A51))=FALSE),4*VLOOKUP("Deep shelf "&amp;C51,KitchensData,18,0),IF(AND(ISERROR(FIND("Tower",A51))=FALSE,ISERROR(FIND("carcass",A51))=FALSE),5*VLOOKUP("Deep shelf "&amp;C51,KitchensData,18,0),""))))</f>
        <v/>
      </c>
      <c r="K51" s="152" t="str">
        <f>IF(ISERROR(FIND("sink",A51))=FALSE,VLOOKUP("Sink liner - Aluminium "&amp;RIGHT(A51,LEN(A51)-22)&amp;"mm",ExceptionalData,5,0),IF(ISERROR(FIND("bins",A51))=FALSE,VLOOKUP("Drawer runners and clip set for bin unit (500) Dynapro",FurnitureData,5,0)+(2*VLOOKUP("Bin (42L Anthracite)",FurnitureData,5,0)),IF(ISERROR(FIND("larder",A51))=FALSE,VLOOKUP("Pull out larder unit 600mm",FurnitureData,5,0),IF(AND(ISERROR(FIND("drawer box",A51))=FALSE,ISERROR(FIND("internal",A51))=TRUE),VLOOKUP("Drawer runners and clip set (550) Dynapro",FurnitureData,5,0),IF(ISERROR(FIND("internal drawer box",A51))=FALSE,VLOOKUP("Drawer runners and clip set (450) Dynapro",FurnitureData,5,0),"")))))</f>
        <v/>
      </c>
      <c r="L51" s="152">
        <f t="shared" si="3"/>
        <v>1.476753561</v>
      </c>
      <c r="M51" s="154">
        <f>IFERROR(__xludf.DUMMYFUNCTION("IF(A51="""","""",IF(OR(ISERROR(FIND(""larder"",A51))=FALSE,ISERROR(FIND(""unit"",A51))=FALSE),VLOOKUP(LEFT(A51,FIND("" "",A51))&amp;""carcass ""&amp;RIGHT(A51,LEN(A51)-len(regexextract(A51,"".* ""))),KitchensData,13,0),IF(ISERROR(FIND(""bins"",A51))=FALSE,0.95,IF"&amp;"(ISERROR(FIND(""Cutlery insert 600"",A51))=FALSE,1.3,IF(ISERROR(FIND(""Cutlery insert 1200"",A51))=FALSE,2,IF(ISERROR(FIND(""Pan/tray rack 600"",A51))=FALSE,3.25,IF(ISERROR(FIND(""Pan/tray rack 1200"",A51))=FALSE,5.9,IF(ISERROR(FIND(""split"",A51))=FALSE,"&amp;"(((C51/1000)*0.022)*2)+VLOOKUP(SUBSTITUTE(A51,"" split"",""""),KitchensData,13,0),IF(AND(ISERROR(FIND(""drawer front"",A51))=FALSE,KitchenDoorStyle=""Flat""),(((B51/1000)*(C51/1000))*2)+((((B51+C51)/1000)*2)*0.022),IF(AND(ISERROR(FIND(""drawer front"",A51"&amp;"))=FALSE,LEFT(KitchenDoorStyle,5)=""Panel""),(((B51/1000)*(C51/1000))*2)+((((B51+C51)/1000)*2)*0.022)+((((C51/1000)-0.16)*0.013)*2)+((((D51/1000)-0.16)*0.013)*2),IF(AND(ISERROR(FIND(""drawer front"",A51))=FALSE,KitchenDoorStyle=""In-frame flat""),((((B51-"&amp;"76)/1000)*((C51-38)/1000))*2)+(MID(KitchenDoorMaterial,FIND(""("",KitchenDoorMaterial)+1,2)/1000)*((((B51-76)+(C51-38))/1000)*2)+(((B51/1000)*0.032)*2)+((((B51-76)/1000)*0.032)*2)+(((B51/1000)*0.019)*4)+(((C51/1000)*0.032)*2)+((((C51-38)/1000)*0.032)*2)+("&amp;"((C51/1000)*0.038)*4),IF(AND(ISERROR(FIND(""drawer front"",A51))=FALSE,LEFT(KitchenDoorStyle,14)=""In-frame panel""),((((B51-76)/1000)*((C51-38)/1000))*2)+((MID(KitchenDoorMaterial,FIND(""("",KitchenDoorMaterial)+1,2)/1000)*((((B51-76)+(C51-38))/1000)*2))"&amp;"+((((B51-236)/1000)+((C51-198)/1000)*2)*0.013)+(((B51/1000)*0.032)*2)+((((B51-76)/1000)*0.032)*2)+(((B51/1000)*0.019)*4)+(((C51/1000)*0.032)*2)+((((C51-38)/1000)*0.032)*2)+(((C51/1000)*0.038)*4),IF(ISERROR(FIND(""drawer box"",A51))=FALSE,((((B51/1000)*(D5"&amp;"1/1000))+((B51/1000)*(C51/1000)))*4)+((((D51/1000)+(C51/1000))*0.016)*4)+(((C51/1000)*(D51/1000))*2),IF(OR(ISERROR(FIND(""shelf"",A51))=FALSE,ISERROR(FIND(""spacer"",A51))=FALSE,,ISERROR(FIND(""filler panel"",A51))=FALSE),(((C51/1000)*(D51/1000))*2)+((((C"&amp;"51+D51)*2)/1000)*0.022),IF(ISERROR(FIND(""lost corner"",A51))=FALSE,(((B51/1000)*(C51/1000))*2)+((B51/1000)*(C51/1000))+((B51/1000)*((C51/2)/1000))+((((B51/1000)*0.025)+((C51/1000)*0.025))*2),IF(ISERROR(FIND(""carcass"",A51))=FALSE,(((C51/1000)*(D51/1000)"&amp;")*2)+(((B51/1000)*(D51/1000))*2)+((B51/1000)*(C51/1000))+((((B51/1000)*0.025)+((C51/1000)*0.025))*2),IF(AND(ISERROR(FIND(""door"",A51))=FALSE,KitchenDoorStyle=""Flat""),(((B51/1000)*(C51/1000))*2)+(MID(KitchenDoorMaterial,FIND(""("",KitchenDoorMaterial)+1"&amp;",2)/1000)*(((B51+C51)/1000)*2),IF(AND(ISERROR(FIND(""door"",A51))=FALSE,LEFT(KitchenDoorStyle,5)=""Panel""),(((B51/1000)*(C51/1000))*2)+((MID(KitchenDoorMaterial,FIND(""("",KitchenDoorMaterial)+1,2)/1000)*(((B51+C51)/1000)*2))+(((((B51-160)+(C51-160))*2)/"&amp;"1000)*(0.013)),IF(AND(ISERROR(FIND(""door"",A51))=FALSE,KitchenDoorStyle=""In-frame flat""),((((B51-76)/1000)*((C51-38)/1000))*2)+(MID(KitchenDoorMaterial,FIND(""("",KitchenDoorMaterial)+1,2)/1000)*((((B51-76)+(C51-38))/1000)*2)+(((B51/1000)*0.032)*2)+((("&amp;"(B51-76)/1000)*0.032)*2)+(((B51/1000)*0.019)*4)+(((C51/1000)*0.032)*2)+((((C51-38)/1000)*0.032)*2)+(((C51/1000)*0.038)*4),IF(AND(ISERROR(FIND(""door"",A51))=FALSE,LEFT(KitchenDoorStyle,14)=""In-frame panel""),((((B51-76)/1000)*((C51-38)/1000))*2)+((MID(Ki"&amp;"tchenDoorMaterial,FIND(""("",KitchenDoorMaterial)+1,2)/1000)*((((B51-76)+(C51-38))/1000)*2))+((((B51-236)/1000)+((C51-198)/1000)*2)*0.013)+(((B51/1000)*0.032)*2)+((((B51-76)/1000)*0.032)*2)+(((B51/1000)*0.019)*4)+(((C51/1000)*0.032)*2)+((((C51-38)/1000)*0"&amp;".032)*2)+(((C51/1000)*0.038)*4),IF(ISERROR(FIND(""Plinth"",A51))=FALSE,((B51/1000)*(C51/1000))+(((C51/1000)*0.018)*2)+(((B51/1000)*0.018)*2),IF(ISERROR(FIND(""Cornice"",A51))=FALSE,(((C51/1000)*0.1)*2)+(((C51/1000)*0.044)*2)+(((B51/1000)*0.08)*2),IF(ISERR"&amp;"OR(FIND(""Base end panel"",A51))=FALSE,((B51/1000)*(C51/1000))+(0.022*((B51/1000)+((C51/1000)*2)))+((B51/1000)*0.05),IF(ISERROR(FIND(""Wall end panel"",A51))=FALSE,((B51/1000)*(C51/1000))+(0.022*((B51/1000)+((C51/1000)*2)))+((B51/1000)*0.05),IF(ISERROR(FI"&amp;"ND(""Tower end panel"",A51))=FALSE,((B51/1000)*(C51/1000))+(0.022*((B51/1000)+((C51/1000)*2)))+((B51/1000)*0.05),IF(ISERROR(FIND(""Fillers"",A51))=FALSE,((C51/1000)*0.06)+((C51/1000)*0.069)+((0.06*0.018)*2)+((0.06*0.009)*2)+((C51/1000)*0.009)+((C51/1000)*"&amp;"0.018),IF(ISERROR(FIND(""corner post"",A51))=FALSE,(((B51/1000*0.05)*2)+((B51/1000)*0.022)*2)+((B51/1000)*0.072)+((B51/1000)*0.05)+((0.072*0.022)*2)+((0.05*0.022)*2),IF(ISERROR(FIND(""Pelmet"",A51))=FALSE,((C51/1000)*0.05)+((C51/1000)*0.068)+((0.05*0.018)"&amp;"*4)+(((C51/1000)*0.018))*2))))))))))))))))))))))))))))"),0.21816800000000003)</f>
        <v>0.218168</v>
      </c>
      <c r="N51" s="152">
        <f>IF(M51="","",IF(AND(ISERROR(FIND("carcass",A51))=TRUE,ISERROR(FIND("unit",A51))=TRUE,ISERROR(FIND("insert",A51))=TRUE,ISERROR(FIND("rack",A51))=TRUE,ISERROR(FIND("box",A51))=TRUE,ISERROR(FIND("shelf",#REF!))=TRUE),VLOOKUP(KitchenDoorFinish,Finishing!$A$2:$K$10,9,0)*M51,VLOOKUP(KitchenCarcassFinish,Finishing!$A$2:$K$40,9,0)*M51))</f>
        <v>1.63626</v>
      </c>
      <c r="O51" s="155">
        <v>0.5</v>
      </c>
      <c r="P51" s="155">
        <v>0.5</v>
      </c>
      <c r="Q51" s="152">
        <f>IF(OR(O51="",P51=""),"",((O51*X51)*(VLOOKUP("Workshop",Labour!$A$3:$E$20,4,0)/8))+((P51*AE51)*(VLOOKUP("Finishing",Labour!$A$3:$E$20,4,0)/8)))</f>
        <v>49.875</v>
      </c>
      <c r="R51" s="152">
        <f t="shared" si="4"/>
        <v>52.98801356</v>
      </c>
      <c r="S51" s="156">
        <f>IF(OR(O51="",P51=""),"",IF(OR(ISERROR(FIND("carcass",$A51))=FALSE,ISERROR(FIND("unit",$A51))=FALSE),VLOOKUP(KitchenCarcassMaterial,FixedListsCarcassMaterial,2,0),0))</f>
        <v>0</v>
      </c>
      <c r="T51" s="156">
        <f>IF(OR(O51="",P51=""),"",IF(ISERROR(FIND("door",$A51))=FALSE,VLOOKUP(KitchenDoorStyle,FixedListsDoorStyle,2,0),0))</f>
        <v>0</v>
      </c>
      <c r="U51" s="156">
        <f>IF(OR(O51="",P51=""),"",IF(ISERROR(FIND("door",$A51))=FALSE,VLOOKUP(KitchenDoorMaterial,FixedListsDoorMaterial,2,0),0))</f>
        <v>0</v>
      </c>
      <c r="V51" s="156">
        <f>IF(OR(O51="",P51=""),"",IF(ISERROR(FIND("drawer",$A51))=FALSE,VLOOKUP(KitchenDrawerType,FixedListsDrawerType,2,0),0))</f>
        <v>0</v>
      </c>
      <c r="W51" s="156">
        <f>IF(OR(O51="",P51=""),"",IF(OR(S51&gt;0, T51&gt;0,V51&gt;0),VLOOKUP(KitchenHandleType,FixedListsHandleType,2,FALSE)*IF(KitchenHandleType="Simple",0,IF(S51&gt;0,VLOOKUP(KitchenHandleType,FixedListsHandleType,4,FALSE),IF(OR(T51&gt;0,V51&gt;0),1-VLOOKUP(KitchenHandleType,FixedListsHandleType,4,FALSE),"Error"))),0))</f>
        <v>0</v>
      </c>
      <c r="X51" s="156">
        <f t="shared" si="5"/>
        <v>1</v>
      </c>
      <c r="Y51" s="156">
        <f>IF(OR(O51="",P51=""),"",IF(OR(ISERROR(FIND("carcass",$A51))=FALSE,ISERROR(FIND("unit",$A51))=FALSE),VLOOKUP(KitchenCarcassMaterial,FixedListsCarcassMaterial,3,0),0))</f>
        <v>0</v>
      </c>
      <c r="Z51" s="156">
        <f>IF(OR(O51="",P51=""),"",IF(ISERROR(FIND("door",$A51))=FALSE,VLOOKUP(KitchenDoorStyle,FixedListsDoorStyle,3,0),0))</f>
        <v>0</v>
      </c>
      <c r="AA51" s="156">
        <f>IF(OR(O51="",P51=""),"",IF(ISERROR(FIND("door",$A51))=FALSE,VLOOKUP(KitchenDoorMaterial,FixedListsDoorMaterial,3,0),0))</f>
        <v>0</v>
      </c>
      <c r="AB51" s="156">
        <f>IF(OR(O51="",P51=""),"",IF(ISERROR(FIND("drawer",$A51))=FALSE,VLOOKUP(KitchenDrawerType,FixedListsDrawerType,3,0),0))</f>
        <v>0</v>
      </c>
      <c r="AC51" s="156">
        <f>IF(OR(O51="",P51=""),"",IF(OR(Y51&gt;0,Z51&gt;0,AB51&gt;0),VLOOKUP(KitchenHandleType,FixedListsHandleType,3,FALSE),0))</f>
        <v>0</v>
      </c>
      <c r="AD51" s="156">
        <f>IF(OR(O51="",P51=""),"",IF(OR(ISERROR(FIND("carcass",$A51))=FALSE,ISERROR(FIND("unit",$A51))=FALSE),VLOOKUP(KitchenCarcassFinish,FixedListsFinishes,3,0),IF(OR(ISERROR(FIND("door",$A51))=FALSE,ISERROR(FIND("Plinth",$A51))=FALSE,ISERROR(FIND("Cornice",$A51))=FALSE,ISERROR(FIND("Fillers",$A51))=FALSE,ISERROR(FIND("Pelmet",$A51))=FALSE,ISERROR(FIND("panel",$A51))=FALSE,ISERROR(FIND("post",$A51))=FALSE),VLOOKUP(KitchenDoorFinish,FixedListsFinishes,3,0),IF(OR(ISERROR(FIND("drawer",$A51))=FALSE,ISERROR(FIND("insert",$A51))=FALSE,ISERROR(FIND("rck",$A51))=FALSE),VLOOKUP(KitchenCarcassFinish,FixedListsFinishes,3,0),0))))</f>
        <v>2</v>
      </c>
      <c r="AE51" s="156">
        <f t="shared" si="6"/>
        <v>2</v>
      </c>
      <c r="AF51" s="157" t="str">
        <f>IF(AND(KitchenHandleType="Channel",OR(ISERROR(FIND("arcass",$A51))=FALSE,ISERROR(FIND("unit",$A51))=FALSE)),IF(ISERROR(FIND("Tower",$A51))=TRUE,IF(KitchenHandleFinish="Match carcass",IF(ISERROR(FIND("Walnut",KitchenCarcassMaterial))=FALSE,(0.035*0.075*($C51/1000))*VLOOKUP("Walnut (solid m3)",SolidData,4,FALSE),IF(ISERROR(FIND("Oak",KitchenCarcassMaterial))=FALSE,(0.035*0.075*($C51/1000))*VLOOKUP("Oak (solid m3)",SolidData,4,FALSE),IF(ISERROR(FIND("ply",KitchenCarcassMaterial))=FALSE,(0.1*($C51/1000))*VLOOKUP("Birch ply (24mm)",SheetsData,7,FALSE),IF(ISERROR(FIND("H/F",KitchenCarcassMaterial))=FALSE,(0.1*($C51/1000))*VLOOKUP("H/F (22mm)",SheetsData,7,FALSE),"Carcass - not tower - new material")))),IF(KitchenHandleFinish="Match door",IF(ISERROR(FIND("Walnut",KitchenDoorMaterial))=FALSE,(0.035*0.075*($C51/1000))*VLOOKUP("Walnut (solid m3)",SolidData,4,FALSE),IF(ISERROR(FIND("Oak",KitchenDoorMaterial))=FALSE,(0.035*0.075*($C51/1000))*VLOOKUP("Oak (solid m3)",SolidData,4,FALSE),IF(ISERROR(FIND("ply",KitchenDoorMaterial))=FALSE,(0.1*($C51/1000))*VLOOKUP("Birch ply (24mm)",SheetsData,7,FALSE),IF(ISERROR(FIND("H/F",KitchenCarcassMaterial))=FALSE,(0.1*($C51/1000))*VLOOKUP("H/F (22mm)",SheetsData,7,FALSE),"Door - not tower - new material")))),"Channel - not tower - handle set to other")),IF(ISERROR(FIND("Tower",$A51))=FALSE,IF(KitchenHandleFinish="Match carcass",IF(ISERROR(FIND("Walnut",KitchenCarcassMaterial))=FALSE,(0.035*0.075*($B51/1000))*VLOOKUP("Walnut (solid m3)",SolidData,4,FALSE),IF(ISERROR(FIND("Oak",KitchenCarcassMaterial))=FALSE,(0.035*0.075*($B51/1000))*VLOOKUP("Oak (solid m3)",SolidData,4,FALSE),IF(ISERROR(FIND("ply",KitchenCarcassMaterial))=FALSE,(0.1*($B51/1000))*VLOOKUP("Birch ply (24mm)",SheetsData,7,FALSE),IF(ISERROR(FIND("H/F",KitchenCarcassMaterial))=FALSE,(0.1*($C51/1000))*VLOOKUP("H/F (22mm)",SheetsData,7,FALSE),"Carcass - tower - new material")))),IF(KitchenHandleFinish="Match door",IF(ISERROR(FIND("Walnut",KitchenDoorMaterial))=FALSE,(0.035*0.075*($B51/1000))*VLOOKUP("Walnut (solid m3)",SolidData,4,FALSE),IF(ISERROR(FIND("Oak",KitchenDoorMaterial))=FALSE,(0.035*0.075*($B51/1000))*VLOOKUP("Oak (solid m3)",SolidData,4,FALSE),IF(ISERROR(FIND("ply",KitchenDoorMaterial))=FALSE,(0.1*($B51/1000))*VLOOKUP("Birch ply (24mm)",SheetData,7,FALSE),IF(ISERROR(FIND("H/F",KitchenCarcassMaterial))=FALSE,(0.1*($C51/1000))*VLOOKUP("H/F (22mm)",SheetsData,7,FALSE),"Door - tower - new material")))),"Channel - tower - handle set to other")))),"")</f>
        <v/>
      </c>
    </row>
    <row r="52">
      <c r="A52" s="151" t="s">
        <v>160</v>
      </c>
      <c r="B52" s="115">
        <f t="shared" si="1"/>
        <v>700</v>
      </c>
      <c r="C52" s="115" t="str">
        <f>IFERROR(__xludf.DUMMYFUNCTION("IF(A52="""","""",IF(OR(RIGHT(A52,LEN(A52)-len(regexextract(A52,"".* "")))=""1200"",RIGHT(A52,LEN(A52)-len(regexextract(A52,"".* "")))=""600"",RIGHT(A52,LEN(A52)-len(regexextract(A52,"".* "")))=""400"",RIGHT(A52,LEN(A52)-len(regexextract(A52,"".* "")))=""3"&amp;"00"",RIGHT(A52,LEN(A52)-len(regexextract(A52,"".* "")))=""700"",RIGHT(A52,LEN(A52)-len(regexextract(A52,"".* "")))=""2400"",RIGHT(A52,LEN(A52)-len(regexextract(A52,"".* "")))=""650"",RIGHT(A52,LEN(A52)-len(regexextract(A52,"".* "")))=""350"",RIGHT(A52,LEN"&amp;"(A52)-len(regexextract(A52,"".* "")))=""50""),RIGHT(A52,LEN(A52)-len(regexextract(A52,"".* ""))),IF(OR(ISERROR(FIND(""spacer"",A52))=FALSE,ISERROR(FIND(""filler panel"",A52))=FALSE),""1000"",""Unexpected size in description"")))"),"50")</f>
        <v>50</v>
      </c>
      <c r="D52" s="151">
        <f t="shared" si="2"/>
        <v>300</v>
      </c>
      <c r="E52" s="152">
        <f>IFERROR(__xludf.DUMMYFUNCTION("IF(OR(A52="""",AND(ISERROR(FIND(""drawer box"",A52))=FALSE,KitchenDrawerType="""")),"""",IF(OR(ISERROR(FIND(""larder"",A52))=FALSE,ISERROR(FIND(""fridge/freezer"",A52))=FALSE,ISERROR(FIND(""double oven"",A52))=FALSE,ISERROR(FIND(""single oven"",A52))=FALS"&amp;"E),VLOOKUP(LEFT(A52,FIND("" "",A52))&amp;""carcass ""&amp;RIGHT(A52,LEN(A52)-(LEN(A52)-3)),KitchensData,5,0),IF(ISERROR(FIND(""sink"",A52))=FALSE,VLOOKUP(LEFT(A52,FIND("" "",A52))&amp;""carcass ""&amp;VALUE(REGEXREPLACE(A52,""[^[:digit:]]"", """")),KitchensData,5,0)+(((C"&amp;"52/1000)*(300/1000))*VLOOKUP(KitchenCarcassMaterial,SheetsData,8,0)),IF(ISERROR(FIND(""bins"",A52))=FALSE,IF(ISERROR(FIND(""veneer"",KitchenCarcassMaterial))=FALSE,VLOOKUP(""Base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600"",A52))=FALSE,IF(ISERROR(FIND(""veneer"""&amp;",KitchenCarcassMaterial))=FALSE,0.54*(VLOOKUP(LEFT(KitchenCarcassMaterial,FIND(""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1200"",A52))=FALSE,"&amp;"IF(ISERROR(FIND(""veneer"",KitchenCarcassMaterial))=FALSE,0.84*(VLOOKUP(LEFT(KitchenCarcassMaterial,FIND(""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600"",A52))=FALSE,IF(ISERROR(FIND(""veneer"",KitchenCarcassMaterial))=FALSE,1.44*(VLOOKUP(LEFT(KitchenCarcassMaterial,FIND(""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1200"",A52))=FALSE,IF(ISERROR(FIND(""veneer"",KitchenCarcassMaterial))=FALSE,2.7*(VLOOKUP(LEFT(KitchenCarcassMaterial,FIND(""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front"",A52))=FALSE,((B52/1000)*(C52/1000))*VLOOKUP(KitchenDoorMaterial,SheetsData,8,0),IF(AND(KitchenDrawerType=""Match carcass"",ISERROR(FIND(""drawer box"",A52))=FALSE),(((((B52/1000)*(C52/1000))+((B52/1000"&amp;")*(D52/1000)))*2)*VLOOKUP(KitchenCarcassMaterial,SheetsData,8,0))+(((C52/1000)*(D52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box"",A52))=FALSE),(((((B52/1000)*(C52/1000))+((B52/1000)*(D52/1000)))*2)*(16/1000)*VLOOKUP(LEFT(KitchenCarcassMaterial,FIND("" "&amp;""",KitchenCarcassMaterial))&amp;""(solid m3)"",SolidData,5,0))+(((C52/1000)*(D52/1000))*VLOOKUP(LEFT(KitchenCarcassMaterial,FIND(""("",KitchenCarcassMaterial)-1)&amp;IF(OR(ISERROR(FIND(""ply"",KitchenCarcassMaterial))=FALSE,ISERROR(FIND(""H/F"",KitchenCarcassMate"&amp;"rial))=FALSE),""(9mm)"",""(10mm)""),SheetsData,8,0)),IF(ISERROR(FIND(""spacer"",A52))=FALSE,((D52/1000)*(C52/1000))*VLOOKUP(""Poplar ply (18mm)"",SheetsData,8,0),IF(ISERROR(FIND(""filler panel"",A52))=FALSE,((B52/1000)*(C52/1000))*VLOOKUP(KitchenDoorMater"&amp;"ial,SheetsData,8,0),IF(ISERROR(FIND(""shelf"",A52))=FALSE,((D52/1000)*(C52/1000))*VLOOKUP(KitchenCarcassMaterial,SheetsData,8,0),IF(ISERROR(FIND(""lost corner"",A52))=FALSE,VLOOKUP(LEFT(A52,FIND("" "",A52))&amp;""carcass ""&amp;VALUE(REGEXREPLACE(A52,""[^[:digit:"&amp;"]]"", """")),KitchensData,5,0)+((((B52/1000)*(C52/1000))+((B52/1000)*(60/1000)))*VLOOKUP(KitchenCarcassMaterial,SheetsData,8,0)),IF(ISERROR(FIND(""carcass"",A52))=FALSE,(((((B52/1000)*2)*(D52/1000))+(((C52/1000)*2)*(D52/1000)))*VLOOKUP(KitchenCarcassMater"&amp;"ial,SheetsData,8,0))+((B52/1000)*(C52/1000))*VLOOKUP(LEFT(KitchenCarcassMaterial,FIND(""("",KitchenCarcassMaterial)-1)&amp;IF(OR(ISERROR(FIND(""ply"",KitchenCarcassMaterial))=FALSE,ISERROR(FIND(""H/F"",KitchenCarcassMaterial))=FALSE),""(9mm)"",""(10mm)""),She"&amp;"etsData,8,0),IF(OR(ISERROR(FIND(""Plinth"",A52))=FALSE,ISERROR(FIND(""Cornice (flat)"",A52))=FALSE),((B52/1000)*(C52/1000))*VLOOKUP(""H/F (18mm)"",SheetsData,8,0),IF(ISERROR(FIND(""Cornice (stacked)"",A52))=FALSE,((0.08*(C52/1000))*2)*VLOOKUP(""H/F (22mm)"&amp;""",SheetsData,8,0),IF(ISERROR(FIND(""Base end panel"",A52))=FALSE,VLOOKUP(KitchenDoorMaterial,SheetsData,5,0)/3,IF(ISERROR(FIND(""Wall end panel"",A52))=FALSE,VLOOKUP(KitchenDoorMaterial,SheetsData,5,0)/9,IF(ISERROR(FIND(""Tower end panel"",A52))=FALSE,VL"&amp;"OOKUP(KitchenDoorMaterial,SheetsData,5,0),IF(ISERROR(FIND(""Fillers"",A52))=FALSE,(((0.06*(C52/1000))*2)*VLOOKUP(""H/F (18mm)"",SheetsData,8,0))+(((0.06*(C52/1000))*2)*VLOOKUP(""H/F (9mm)"",SheetsData,8,0)),IF(ISERROR(FIND(""corner post"",A52))=FALSE,(((B"&amp;"52/1000)*0.05)*2)*VLOOKUP(KitchenDoorMaterial,SheetsData,8,0),IF(ISERROR(FIND(""Pelmet"",A52))=FALSE,((((B52/1000)*(C52/1000))*2)*VLOOKUP(""H/F (18mm)"",SheetsData,8,0)),IF(ISERROR(FIND(""door"",A52))=TRUE,""Check description"",IF(KitchenDoorStyle=""Flat"&amp;""",((B52/1000)*(C52/1000))*VLOOKUP(KitchenDoorMaterial,SheetsData,8,0),IF(LEFT(KitchenDoorStyle,5)=""Panel"",(((((B52/1000)*2)*0.08)+((((C52/1000)-0.16)*2)*0.08))*VLOOKUP(""H/F (22mm)"",SheetsData,8,0))+(((B52/1000)-0.14)*((C52/1000)-0.14)*VLOOKUP(""H/F ("&amp;"9mm)"",SheetsData,8,0)),IF(KitchenDoorStyle=""In-frame flat"",((((((B52/1000)*0.019)*0.038)+((((C52-38)/1000)*0.038)*0.038))*2)*VLOOKUP(""Tulip (solid m3)"",SolidData,5,0))+(((B52-76)/1000)*((C52-38)/1000))*VLOOKUP(""H/F (22mm)"",SheetsData,8,0),IF(LEFT(K"&amp;"itchenDoorStyle,14)=""In-frame panel"",(((((((B52/1000)*0.019)*0.038)+((((C52-38)/1000)*0.038)*0.038))*2)*VLOOKUP(""Tulip (solid m3)"",SolidData,5,0))+(((((((B52-76)/1000)*2)*0.08)+(((((C52-198)/1000)*2)*0.08)))*VLOOKUP(""H/F (22mm)"",SheetsData,8,0))+((("&amp;"B52-216)/1000)*((C52-178)/1000)*VLOOKUP(""H/F (9mm)"",SheetsData,8,0)))))))))))))))))))))))))))))))))"),1.292159365761892)</f>
        <v>1.292159366</v>
      </c>
      <c r="F52" s="152" t="str">
        <f>IFERROR(__xludf.DUMMYFUNCTION("IF(OR(A52="""",AND(ISERROR(FIND(""drawer box"",A52))=FALSE,KitchenDrawerType=""Solid dovetail"")),"""",IF(ISERROR(FIND(""bins"",A52))=FALSE,VLOOKUP(""Base carcass 600"",KitchensData,6,0),IF(OR(ISERROR(FIND(""larder"",A52))=FALSE,ISERROR(FIND(""unit"",A52)"&amp;")=FALSE),VLOOKUP(LEFT(A52,FIND("" "",A52))&amp;""carcass ""&amp;RIGHT(A52,LEN(A52)-len(regexextract(A52,"".* ""))),KitchensData,6,0),IF(ISERROR(FIND(""drawer front"",A52))=FALSE,IF(ISERROR(FIND(""veneer"",KitchenCarcassMaterial))=TRUE,0,(((B52+C52)/1000)*2)*VLOOK"&amp;"UP(""Edge banding (per M)"",SheetsData,5,0)),IF(ISERROR(FIND(""drawer box"",A52))=FALSE,IF(ISERROR(FIND(""veneer"",KitchenCarcassMaterial))=TRUE,0,(((C52+D52)/1000)*2)*VLOOKUP(""Edge banding (per M)"",SheetsData,5,0)),IF(ISERROR(FIND(""shelf"",A52))=FALSE"&amp;",IF(ISERROR(FIND(""veneer"",KitchenCarcassMaterial))=TRUE,0,(C52/1000)*VLOOKUP(""Edge banding (per M)"",SheetsData,5,0)),IF(AND(ISERROR(FIND(""carcass"",A52))=FALSE,ISERROR(FIND(""shelf"",A52))=TRUE),IF(ISERROR(FIND(""veneer"",KitchenCarcassMaterial))=TRU"&amp;"E,0,((2*(B52+C52))/1000)*VLOOKUP(""Edge banding (per M)"",SheetsData,5,0)),IF(ISERROR(FIND(""door"",A52))=TRUE,"""",IF(ISERROR(FIND(""veneer"",KitchenDoorMaterial))=TRUE,"""",((2*(B52+C52))/1000)*VLOOKUP(""Edge banding (per M)"",SheetsData,5,0))))))))))"),"")</f>
        <v/>
      </c>
      <c r="G52" s="153" t="str">
        <f>IF(A52="","",IF(ISERROR(FIND("bins",A52))=FALSE,VLOOKUP("Base carcass 600",KitchensData,7,0),IF(OR(ISERROR(FIND("larder",A52))=FALSE,ISERROR(FIND("fridge/freezer",A52))=FALSE,ISERROR(FIND("double oven",A52))=FALSE,ISERROR(FIND("single oven",A52))=FALSE),VLOOKUP(LEFT(A52,FIND(" ",A52))&amp;"carcass "&amp;RIGHT(A52,LEN(A52)-(LEN(A52)-3)),KitchensData,7,0),IF(AND(ISERROR(FIND("carcass",A52))=FALSE,ISERROR(FIND("shelf",A52))=TRUE),IF(OR(ISERROR(FIND("Base",A52))=FALSE,ISERROR(FIND("Tower",A52))=FALSE),IF(OR(ISERROR(FIND("1200",A52))=FALSE, ISERROR(FIND("lost corner",A52))=FALSE),6*VLOOKUP("Plinth foot (2 Parts 80mm)",FurnitureData,5,0),4*VLOOKUP("Plinth foot (2 Parts 80mm)",FurnitureData,5,0)),""),""))))</f>
        <v/>
      </c>
      <c r="H52" s="115" t="str">
        <f>IF(OR(A52="",ISERROR(FIND("door",A52))=TRUE),"",IF(ISERROR(FIND("Wall",A52))=FALSE,VLOOKUP("Hinges &amp; plates (Hettich thick door)",FurnitureData,5,0)*2,IF(ISERROR(FIND("Base",A52))=FALSE,VLOOKUP("Hinges &amp; plates (Hettich thick door)",FurnitureData,5,0)*3,IF(ISERROR(FIND("Boiler",A52))=FALSE,VLOOKUP("Hinges &amp; plates (Hettich thick door)",FurnitureData,5,0)*4,IF(ISERROR(FIND("Tower",A52))=FALSE,VLOOKUP("Hinges &amp; plates (Hettich thick door)",FurnitureData,5,0)*5)))))</f>
        <v/>
      </c>
      <c r="I52" s="115" t="str">
        <f>IF(ISERROR(FIND("shelf",A52))=FALSE,(VLOOKUP("Shelf pegs",FurnitureData,5,0)/100)*4,"")</f>
        <v/>
      </c>
      <c r="J52" s="152" t="str">
        <f>IF(OR(ISERROR(FIND("fridge/freezer",A52))=FALSE,ISERROR(FIND("larder",A52))=FALSE,AND(ISERROR(FIND("Base",A52))=FALSE,ISERROR(FIND("bins",A52))=TRUE,ISERROR(FIND("no shelves",A52))=TRUE,OR(ISERROR(FIND("carcass",A52))=FALSE,ISERROR(FIND("unit",A52))=FALSE))),VLOOKUP("Deep shelf "&amp;C52,KitchensData,18,0),IF(AND(ISERROR(FIND("Wall",A52))=FALSE,ISERROR(FIND("carcass",A52))=FALSE),2*VLOOKUP("Shallow shelf "&amp;C52,KitchensData,18,0),IF(AND(ISERROR(FIND("Tower",A52))=FALSE,ISERROR(FIND("oven",A52))=FALSE),4*VLOOKUP("Deep shelf "&amp;C52,KitchensData,18,0),IF(AND(ISERROR(FIND("Tower",A52))=FALSE,ISERROR(FIND("carcass",A52))=FALSE),5*VLOOKUP("Deep shelf "&amp;C52,KitchensData,18,0),""))))</f>
        <v/>
      </c>
      <c r="K52" s="152" t="str">
        <f>IF(ISERROR(FIND("sink",A52))=FALSE,VLOOKUP("Sink liner - Aluminium "&amp;RIGHT(A52,LEN(A52)-22)&amp;"mm",ExceptionalData,5,0),IF(ISERROR(FIND("bins",A52))=FALSE,VLOOKUP("Drawer runners and clip set for bin unit (500) Dynapro",FurnitureData,5,0)+(2*VLOOKUP("Bin (42L Anthracite)",FurnitureData,5,0)),IF(ISERROR(FIND("larder",A52))=FALSE,VLOOKUP("Pull out larder unit 600mm",FurnitureData,5,0),IF(AND(ISERROR(FIND("drawer box",A52))=FALSE,ISERROR(FIND("internal",A52))=TRUE),VLOOKUP("Drawer runners and clip set (550) Dynapro",FurnitureData,5,0),IF(ISERROR(FIND("internal drawer box",A52))=FALSE,VLOOKUP("Drawer runners and clip set (450) Dynapro",FurnitureData,5,0),"")))))</f>
        <v/>
      </c>
      <c r="L52" s="152">
        <f t="shared" si="3"/>
        <v>1.292159366</v>
      </c>
      <c r="M52" s="154">
        <f>IFERROR(__xludf.DUMMYFUNCTION("IF(A52="""","""",IF(OR(ISERROR(FIND(""larder"",A52))=FALSE,ISERROR(FIND(""unit"",A52))=FALSE),VLOOKUP(LEFT(A52,FIND("" "",A52))&amp;""carcass ""&amp;RIGHT(A52,LEN(A52)-len(regexextract(A52,"".* ""))),KitchensData,13,0),IF(ISERROR(FIND(""bins"",A52))=FALSE,0.95,IF"&amp;"(ISERROR(FIND(""Cutlery insert 600"",A52))=FALSE,1.3,IF(ISERROR(FIND(""Cutlery insert 1200"",A52))=FALSE,2,IF(ISERROR(FIND(""Pan/tray rack 600"",A52))=FALSE,3.25,IF(ISERROR(FIND(""Pan/tray rack 1200"",A52))=FALSE,5.9,IF(ISERROR(FIND(""split"",A52))=FALSE,"&amp;"(((C52/1000)*0.022)*2)+VLOOKUP(SUBSTITUTE(A52,"" split"",""""),KitchensData,13,0),IF(AND(ISERROR(FIND(""drawer front"",A52))=FALSE,KitchenDoorStyle=""Flat""),(((B52/1000)*(C52/1000))*2)+((((B52+C52)/1000)*2)*0.022),IF(AND(ISERROR(FIND(""drawer front"",A52"&amp;"))=FALSE,LEFT(KitchenDoorStyle,5)=""Panel""),(((B52/1000)*(C52/1000))*2)+((((B52+C52)/1000)*2)*0.022)+((((C52/1000)-0.16)*0.013)*2)+((((D52/1000)-0.16)*0.013)*2),IF(AND(ISERROR(FIND(""drawer front"",A52))=FALSE,KitchenDoorStyle=""In-frame flat""),((((B52-"&amp;"76)/1000)*((C52-38)/1000))*2)+(MID(KitchenDoorMaterial,FIND(""("",KitchenDoorMaterial)+1,2)/1000)*((((B52-76)+(C52-38))/1000)*2)+(((B52/1000)*0.032)*2)+((((B52-76)/1000)*0.032)*2)+(((B52/1000)*0.019)*4)+(((C52/1000)*0.032)*2)+((((C52-38)/1000)*0.032)*2)+("&amp;"((C52/1000)*0.038)*4),IF(AND(ISERROR(FIND(""drawer front"",A52))=FALSE,LEFT(KitchenDoorStyle,14)=""In-frame panel""),((((B52-76)/1000)*((C52-38)/1000))*2)+((MID(KitchenDoorMaterial,FIND(""("",KitchenDoorMaterial)+1,2)/1000)*((((B52-76)+(C52-38))/1000)*2))"&amp;"+((((B52-236)/1000)+((C52-198)/1000)*2)*0.013)+(((B52/1000)*0.032)*2)+((((B52-76)/1000)*0.032)*2)+(((B52/1000)*0.019)*4)+(((C52/1000)*0.032)*2)+((((C52-38)/1000)*0.032)*2)+(((C52/1000)*0.038)*4),IF(ISERROR(FIND(""drawer box"",A52))=FALSE,((((B52/1000)*(D5"&amp;"2/1000))+((B52/1000)*(C52/1000)))*4)+((((D52/1000)+(C52/1000))*0.016)*4)+(((C52/1000)*(D52/1000))*2),IF(OR(ISERROR(FIND(""shelf"",A52))=FALSE,ISERROR(FIND(""spacer"",A52))=FALSE,,ISERROR(FIND(""filler panel"",A52))=FALSE),(((C52/1000)*(D52/1000))*2)+((((C"&amp;"52+D52)*2)/1000)*0.022),IF(ISERROR(FIND(""lost corner"",A52))=FALSE,(((B52/1000)*(C52/1000))*2)+((B52/1000)*(C52/1000))+((B52/1000)*((C52/2)/1000))+((((B52/1000)*0.025)+((C52/1000)*0.025))*2),IF(ISERROR(FIND(""carcass"",A52))=FALSE,(((C52/1000)*(D52/1000)"&amp;")*2)+(((B52/1000)*(D52/1000))*2)+((B52/1000)*(C52/1000))+((((B52/1000)*0.025)+((C52/1000)*0.025))*2),IF(AND(ISERROR(FIND(""door"",A52))=FALSE,KitchenDoorStyle=""Flat""),(((B52/1000)*(C52/1000))*2)+(MID(KitchenDoorMaterial,FIND(""("",KitchenDoorMaterial)+1"&amp;",2)/1000)*(((B52+C52)/1000)*2),IF(AND(ISERROR(FIND(""door"",A52))=FALSE,LEFT(KitchenDoorStyle,5)=""Panel""),(((B52/1000)*(C52/1000))*2)+((MID(KitchenDoorMaterial,FIND(""("",KitchenDoorMaterial)+1,2)/1000)*(((B52+C52)/1000)*2))+(((((B52-160)+(C52-160))*2)/"&amp;"1000)*(0.013)),IF(AND(ISERROR(FIND(""door"",A52))=FALSE,KitchenDoorStyle=""In-frame flat""),((((B52-76)/1000)*((C52-38)/1000))*2)+(MID(KitchenDoorMaterial,FIND(""("",KitchenDoorMaterial)+1,2)/1000)*((((B52-76)+(C52-38))/1000)*2)+(((B52/1000)*0.032)*2)+((("&amp;"(B52-76)/1000)*0.032)*2)+(((B52/1000)*0.019)*4)+(((C52/1000)*0.032)*2)+((((C52-38)/1000)*0.032)*2)+(((C52/1000)*0.038)*4),IF(AND(ISERROR(FIND(""door"",A52))=FALSE,LEFT(KitchenDoorStyle,14)=""In-frame panel""),((((B52-76)/1000)*((C52-38)/1000))*2)+((MID(Ki"&amp;"tchenDoorMaterial,FIND(""("",KitchenDoorMaterial)+1,2)/1000)*((((B52-76)+(C52-38))/1000)*2))+((((B52-236)/1000)+((C52-198)/1000)*2)*0.013)+(((B52/1000)*0.032)*2)+((((B52-76)/1000)*0.032)*2)+(((B52/1000)*0.019)*4)+(((C52/1000)*0.032)*2)+((((C52-38)/1000)*0"&amp;".032)*2)+(((C52/1000)*0.038)*4),IF(ISERROR(FIND(""Plinth"",A52))=FALSE,((B52/1000)*(C52/1000))+(((C52/1000)*0.018)*2)+(((B52/1000)*0.018)*2),IF(ISERROR(FIND(""Cornice"",A52))=FALSE,(((C52/1000)*0.1)*2)+(((C52/1000)*0.044)*2)+(((B52/1000)*0.08)*2),IF(ISERR"&amp;"OR(FIND(""Base end panel"",A52))=FALSE,((B52/1000)*(C52/1000))+(0.022*((B52/1000)+((C52/1000)*2)))+((B52/1000)*0.05),IF(ISERROR(FIND(""Wall end panel"",A52))=FALSE,((B52/1000)*(C52/1000))+(0.022*((B52/1000)+((C52/1000)*2)))+((B52/1000)*0.05),IF(ISERROR(FI"&amp;"ND(""Tower end panel"",A52))=FALSE,((B52/1000)*(C52/1000))+(0.022*((B52/1000)+((C52/1000)*2)))+((B52/1000)*0.05),IF(ISERROR(FIND(""Fillers"",A52))=FALSE,((C52/1000)*0.06)+((C52/1000)*0.069)+((0.06*0.018)*2)+((0.06*0.009)*2)+((C52/1000)*0.009)+((C52/1000)*"&amp;"0.018),IF(ISERROR(FIND(""corner post"",A52))=FALSE,(((B52/1000*0.05)*2)+((B52/1000)*0.022)*2)+((B52/1000)*0.072)+((B52/1000)*0.05)+((0.072*0.022)*2)+((0.05*0.022)*2),IF(ISERROR(FIND(""Pelmet"",A52))=FALSE,((C52/1000)*0.05)+((C52/1000)*0.068)+((0.05*0.018)"&amp;"*4)+(((C52/1000)*0.018))*2))))))))))))))))))))))))))))"),0.191568)</f>
        <v>0.191568</v>
      </c>
      <c r="N52" s="152">
        <f>IF(M52="","",IF(AND(ISERROR(FIND("carcass",A52))=TRUE,ISERROR(FIND("unit",A52))=TRUE,ISERROR(FIND("insert",A52))=TRUE,ISERROR(FIND("rack",A52))=TRUE,ISERROR(FIND("box",A52))=TRUE,ISERROR(FIND("shelf",#REF!))=TRUE),VLOOKUP(KitchenDoorFinish,Finishing!$A$2:$K$10,9,0)*M52,VLOOKUP(KitchenCarcassFinish,Finishing!$A$2:$K$40,9,0)*M52))</f>
        <v>1.43676</v>
      </c>
      <c r="O52" s="155">
        <v>0.5</v>
      </c>
      <c r="P52" s="155">
        <v>0.5</v>
      </c>
      <c r="Q52" s="152">
        <f>IF(OR(O52="",P52=""),"",((O52*X52)*(VLOOKUP("Workshop",Labour!$A$3:$E$20,4,0)/8))+((P52*AE52)*(VLOOKUP("Finishing",Labour!$A$3:$E$20,4,0)/8)))</f>
        <v>49.875</v>
      </c>
      <c r="R52" s="152">
        <f t="shared" si="4"/>
        <v>52.60391937</v>
      </c>
      <c r="S52" s="156">
        <f>IF(OR(O52="",P52=""),"",IF(OR(ISERROR(FIND("carcass",$A52))=FALSE,ISERROR(FIND("unit",$A52))=FALSE),VLOOKUP(KitchenCarcassMaterial,FixedListsCarcassMaterial,2,0),0))</f>
        <v>0</v>
      </c>
      <c r="T52" s="156">
        <f>IF(OR(O52="",P52=""),"",IF(ISERROR(FIND("door",$A52))=FALSE,VLOOKUP(KitchenDoorStyle,FixedListsDoorStyle,2,0),0))</f>
        <v>0</v>
      </c>
      <c r="U52" s="156">
        <f>IF(OR(O52="",P52=""),"",IF(ISERROR(FIND("door",$A52))=FALSE,VLOOKUP(KitchenDoorMaterial,FixedListsDoorMaterial,2,0),0))</f>
        <v>0</v>
      </c>
      <c r="V52" s="156">
        <f>IF(OR(O52="",P52=""),"",IF(ISERROR(FIND("drawer",$A52))=FALSE,VLOOKUP(KitchenDrawerType,FixedListsDrawerType,2,0),0))</f>
        <v>0</v>
      </c>
      <c r="W52" s="156">
        <f>IF(OR(O52="",P52=""),"",IF(OR(S52&gt;0, T52&gt;0,V52&gt;0),VLOOKUP(KitchenHandleType,FixedListsHandleType,2,FALSE)*IF(KitchenHandleType="Simple",0,IF(S52&gt;0,VLOOKUP(KitchenHandleType,FixedListsHandleType,4,FALSE),IF(OR(T52&gt;0,V52&gt;0),1-VLOOKUP(KitchenHandleType,FixedListsHandleType,4,FALSE),"Error"))),0))</f>
        <v>0</v>
      </c>
      <c r="X52" s="156">
        <f t="shared" si="5"/>
        <v>1</v>
      </c>
      <c r="Y52" s="156">
        <f>IF(OR(O52="",P52=""),"",IF(OR(ISERROR(FIND("carcass",$A52))=FALSE,ISERROR(FIND("unit",$A52))=FALSE),VLOOKUP(KitchenCarcassMaterial,FixedListsCarcassMaterial,3,0),0))</f>
        <v>0</v>
      </c>
      <c r="Z52" s="156">
        <f>IF(OR(O52="",P52=""),"",IF(ISERROR(FIND("door",$A52))=FALSE,VLOOKUP(KitchenDoorStyle,FixedListsDoorStyle,3,0),0))</f>
        <v>0</v>
      </c>
      <c r="AA52" s="156">
        <f>IF(OR(O52="",P52=""),"",IF(ISERROR(FIND("door",$A52))=FALSE,VLOOKUP(KitchenDoorMaterial,FixedListsDoorMaterial,3,0),0))</f>
        <v>0</v>
      </c>
      <c r="AB52" s="156">
        <f>IF(OR(O52="",P52=""),"",IF(ISERROR(FIND("drawer",$A52))=FALSE,VLOOKUP(KitchenDrawerType,FixedListsDrawerType,3,0),0))</f>
        <v>0</v>
      </c>
      <c r="AC52" s="156">
        <f>IF(OR(O52="",P52=""),"",IF(OR(Y52&gt;0,Z52&gt;0,AB52&gt;0),VLOOKUP(KitchenHandleType,FixedListsHandleType,3,FALSE),0))</f>
        <v>0</v>
      </c>
      <c r="AD52" s="156">
        <f>IF(OR(O52="",P52=""),"",IF(OR(ISERROR(FIND("carcass",$A52))=FALSE,ISERROR(FIND("unit",$A52))=FALSE),VLOOKUP(KitchenCarcassFinish,FixedListsFinishes,3,0),IF(OR(ISERROR(FIND("door",$A52))=FALSE,ISERROR(FIND("Plinth",$A52))=FALSE,ISERROR(FIND("Cornice",$A52))=FALSE,ISERROR(FIND("Fillers",$A52))=FALSE,ISERROR(FIND("Pelmet",$A52))=FALSE,ISERROR(FIND("panel",$A52))=FALSE,ISERROR(FIND("post",$A52))=FALSE),VLOOKUP(KitchenDoorFinish,FixedListsFinishes,3,0),IF(OR(ISERROR(FIND("drawer",$A52))=FALSE,ISERROR(FIND("insert",$A52))=FALSE,ISERROR(FIND("rck",$A52))=FALSE),VLOOKUP(KitchenCarcassFinish,FixedListsFinishes,3,0),0))))</f>
        <v>2</v>
      </c>
      <c r="AE52" s="156">
        <f t="shared" si="6"/>
        <v>2</v>
      </c>
      <c r="AF52" s="157" t="str">
        <f>IF(AND(KitchenHandleType="Channel",OR(ISERROR(FIND("arcass",$A52))=FALSE,ISERROR(FIND("unit",$A52))=FALSE)),IF(ISERROR(FIND("Tower",$A52))=TRUE,IF(KitchenHandleFinish="Match carcass",IF(ISERROR(FIND("Walnut",KitchenCarcassMaterial))=FALSE,(0.035*0.075*($C52/1000))*VLOOKUP("Walnut (solid m3)",SolidData,4,FALSE),IF(ISERROR(FIND("Oak",KitchenCarcassMaterial))=FALSE,(0.035*0.075*($C52/1000))*VLOOKUP("Oak (solid m3)",SolidData,4,FALSE),IF(ISERROR(FIND("ply",KitchenCarcassMaterial))=FALSE,(0.1*($C52/1000))*VLOOKUP("Birch ply (24mm)",SheetsData,7,FALSE),IF(ISERROR(FIND("H/F",KitchenCarcassMaterial))=FALSE,(0.1*($C52/1000))*VLOOKUP("H/F (22mm)",SheetsData,7,FALSE),"Carcass - not tower - new material")))),IF(KitchenHandleFinish="Match door",IF(ISERROR(FIND("Walnut",KitchenDoorMaterial))=FALSE,(0.035*0.075*($C52/1000))*VLOOKUP("Walnut (solid m3)",SolidData,4,FALSE),IF(ISERROR(FIND("Oak",KitchenDoorMaterial))=FALSE,(0.035*0.075*($C52/1000))*VLOOKUP("Oak (solid m3)",SolidData,4,FALSE),IF(ISERROR(FIND("ply",KitchenDoorMaterial))=FALSE,(0.1*($C52/1000))*VLOOKUP("Birch ply (24mm)",SheetsData,7,FALSE),IF(ISERROR(FIND("H/F",KitchenCarcassMaterial))=FALSE,(0.1*($C52/1000))*VLOOKUP("H/F (22mm)",SheetsData,7,FALSE),"Door - not tower - new material")))),"Channel - not tower - handle set to other")),IF(ISERROR(FIND("Tower",$A52))=FALSE,IF(KitchenHandleFinish="Match carcass",IF(ISERROR(FIND("Walnut",KitchenCarcassMaterial))=FALSE,(0.035*0.075*($B52/1000))*VLOOKUP("Walnut (solid m3)",SolidData,4,FALSE),IF(ISERROR(FIND("Oak",KitchenCarcassMaterial))=FALSE,(0.035*0.075*($B52/1000))*VLOOKUP("Oak (solid m3)",SolidData,4,FALSE),IF(ISERROR(FIND("ply",KitchenCarcassMaterial))=FALSE,(0.1*($B52/1000))*VLOOKUP("Birch ply (24mm)",SheetsData,7,FALSE),IF(ISERROR(FIND("H/F",KitchenCarcassMaterial))=FALSE,(0.1*($C52/1000))*VLOOKUP("H/F (22mm)",SheetsData,7,FALSE),"Carcass - tower - new material")))),IF(KitchenHandleFinish="Match door",IF(ISERROR(FIND("Walnut",KitchenDoorMaterial))=FALSE,(0.035*0.075*($B52/1000))*VLOOKUP("Walnut (solid m3)",SolidData,4,FALSE),IF(ISERROR(FIND("Oak",KitchenDoorMaterial))=FALSE,(0.035*0.075*($B52/1000))*VLOOKUP("Oak (solid m3)",SolidData,4,FALSE),IF(ISERROR(FIND("ply",KitchenDoorMaterial))=FALSE,(0.1*($B52/1000))*VLOOKUP("Birch ply (24mm)",SheetData,7,FALSE),IF(ISERROR(FIND("H/F",KitchenCarcassMaterial))=FALSE,(0.1*($C52/1000))*VLOOKUP("H/F (22mm)",SheetsData,7,FALSE),"Door - tower - new material")))),"Channel - tower - handle set to other")))),"")</f>
        <v/>
      </c>
    </row>
    <row r="53">
      <c r="A53" s="151" t="s">
        <v>161</v>
      </c>
      <c r="B53" s="115">
        <f t="shared" si="1"/>
        <v>2200</v>
      </c>
      <c r="C53" s="115" t="str">
        <f>IFERROR(__xludf.DUMMYFUNCTION("IF(A53="""","""",IF(OR(RIGHT(A53,LEN(A53)-len(regexextract(A53,"".* "")))=""1200"",RIGHT(A53,LEN(A53)-len(regexextract(A53,"".* "")))=""600"",RIGHT(A53,LEN(A53)-len(regexextract(A53,"".* "")))=""400"",RIGHT(A53,LEN(A53)-len(regexextract(A53,"".* "")))=""3"&amp;"00"",RIGHT(A53,LEN(A53)-len(regexextract(A53,"".* "")))=""700"",RIGHT(A53,LEN(A53)-len(regexextract(A53,"".* "")))=""2400"",RIGHT(A53,LEN(A53)-len(regexextract(A53,"".* "")))=""650"",RIGHT(A53,LEN(A53)-len(regexextract(A53,"".* "")))=""350"",RIGHT(A53,LEN"&amp;"(A53)-len(regexextract(A53,"".* "")))=""50""),RIGHT(A53,LEN(A53)-len(regexextract(A53,"".* ""))),IF(OR(ISERROR(FIND(""spacer"",A53))=FALSE,ISERROR(FIND(""filler panel"",A53))=FALSE),""1000"",""Unexpected size in description"")))"),"50")</f>
        <v>50</v>
      </c>
      <c r="D53" s="151">
        <f t="shared" si="2"/>
        <v>600</v>
      </c>
      <c r="E53" s="152">
        <f>IFERROR(__xludf.DUMMYFUNCTION("IF(OR(A53="""",AND(ISERROR(FIND(""drawer box"",A53))=FALSE,KitchenDrawerType="""")),"""",IF(OR(ISERROR(FIND(""larder"",A53))=FALSE,ISERROR(FIND(""fridge/freezer"",A53))=FALSE,ISERROR(FIND(""double oven"",A53))=FALSE,ISERROR(FIND(""single oven"",A53))=FALS"&amp;"E),VLOOKUP(LEFT(A53,FIND("" "",A53))&amp;""carcass ""&amp;RIGHT(A53,LEN(A53)-(LEN(A53)-3)),KitchensData,5,0),IF(ISERROR(FIND(""sink"",A53))=FALSE,VLOOKUP(LEFT(A53,FIND("" "",A53))&amp;""carcass ""&amp;VALUE(REGEXREPLACE(A53,""[^[:digit:]]"", """")),KitchensData,5,0)+(((C"&amp;"53/1000)*(300/1000))*VLOOKUP(KitchenCarcassMaterial,SheetsData,8,0)),IF(ISERROR(FIND(""bins"",A53))=FALSE,IF(ISERROR(FIND(""veneer"",KitchenCarcassMaterial))=FALSE,VLOOKUP(""Base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600"",A53))=FALSE,IF(ISERROR(FIND(""veneer"""&amp;",KitchenCarcassMaterial))=FALSE,0.54*(VLOOKUP(LEFT(KitchenCarcassMaterial,FIND(""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1200"",A53))=FALSE,"&amp;"IF(ISERROR(FIND(""veneer"",KitchenCarcassMaterial))=FALSE,0.84*(VLOOKUP(LEFT(KitchenCarcassMaterial,FIND(""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600"",A53))=FALSE,IF(ISERROR(FIND(""veneer"",KitchenCarcassMaterial))=FALSE,1.44*(VLOOKUP(LEFT(KitchenCarcassMaterial,FIND(""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1200"",A53))=FALSE,IF(ISERROR(FIND(""veneer"",KitchenCarcassMaterial))=FALSE,2.7*(VLOOKUP(LEFT(KitchenCarcassMaterial,FIND(""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front"",A53))=FALSE,((B53/1000)*(C53/1000))*VLOOKUP(KitchenDoorMaterial,SheetsData,8,0),IF(AND(KitchenDrawerType=""Match carcass"",ISERROR(FIND(""drawer box"",A53))=FALSE),(((((B53/1000)*(C53/1000))+((B53/1000"&amp;")*(D53/1000)))*2)*VLOOKUP(KitchenCarcassMaterial,SheetsData,8,0))+(((C53/1000)*(D53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box"",A53))=FALSE),(((((B53/1000)*(C53/1000))+((B53/1000)*(D53/1000)))*2)*(16/1000)*VLOOKUP(LEFT(KitchenCarcassMaterial,FIND("" "&amp;""",KitchenCarcassMaterial))&amp;""(solid m3)"",SolidData,5,0))+(((C53/1000)*(D53/1000))*VLOOKUP(LEFT(KitchenCarcassMaterial,FIND(""("",KitchenCarcassMaterial)-1)&amp;IF(OR(ISERROR(FIND(""ply"",KitchenCarcassMaterial))=FALSE,ISERROR(FIND(""H/F"",KitchenCarcassMate"&amp;"rial))=FALSE),""(9mm)"",""(10mm)""),SheetsData,8,0)),IF(ISERROR(FIND(""spacer"",A53))=FALSE,((D53/1000)*(C53/1000))*VLOOKUP(""Poplar ply (18mm)"",SheetsData,8,0),IF(ISERROR(FIND(""filler panel"",A53))=FALSE,((B53/1000)*(C53/1000))*VLOOKUP(KitchenDoorMater"&amp;"ial,SheetsData,8,0),IF(ISERROR(FIND(""shelf"",A53))=FALSE,((D53/1000)*(C53/1000))*VLOOKUP(KitchenCarcassMaterial,SheetsData,8,0),IF(ISERROR(FIND(""lost corner"",A53))=FALSE,VLOOKUP(LEFT(A53,FIND("" "",A53))&amp;""carcass ""&amp;VALUE(REGEXREPLACE(A53,""[^[:digit:"&amp;"]]"", """")),KitchensData,5,0)+((((B53/1000)*(C53/1000))+((B53/1000)*(60/1000)))*VLOOKUP(KitchenCarcassMaterial,SheetsData,8,0)),IF(ISERROR(FIND(""carcass"",A53))=FALSE,(((((B53/1000)*2)*(D53/1000))+(((C53/1000)*2)*(D53/1000)))*VLOOKUP(KitchenCarcassMater"&amp;"ial,SheetsData,8,0))+((B53/1000)*(C53/1000))*VLOOKUP(LEFT(KitchenCarcassMaterial,FIND(""("",KitchenCarcassMaterial)-1)&amp;IF(OR(ISERROR(FIND(""ply"",KitchenCarcassMaterial))=FALSE,ISERROR(FIND(""H/F"",KitchenCarcassMaterial))=FALSE),""(9mm)"",""(10mm)""),She"&amp;"etsData,8,0),IF(OR(ISERROR(FIND(""Plinth"",A53))=FALSE,ISERROR(FIND(""Cornice (flat)"",A53))=FALSE),((B53/1000)*(C53/1000))*VLOOKUP(""H/F (18mm)"",SheetsData,8,0),IF(ISERROR(FIND(""Cornice (stacked)"",A53))=FALSE,((0.08*(C53/1000))*2)*VLOOKUP(""H/F (22mm)"&amp;""",SheetsData,8,0),IF(ISERROR(FIND(""Base end panel"",A53))=FALSE,VLOOKUP(KitchenDoorMaterial,SheetsData,5,0)/3,IF(ISERROR(FIND(""Wall end panel"",A53))=FALSE,VLOOKUP(KitchenDoorMaterial,SheetsData,5,0)/9,IF(ISERROR(FIND(""Tower end panel"",A53))=FALSE,VL"&amp;"OOKUP(KitchenDoorMaterial,SheetsData,5,0),IF(ISERROR(FIND(""Fillers"",A53))=FALSE,(((0.06*(C53/1000))*2)*VLOOKUP(""H/F (18mm)"",SheetsData,8,0))+(((0.06*(C53/1000))*2)*VLOOKUP(""H/F (9mm)"",SheetsData,8,0)),IF(ISERROR(FIND(""corner post"",A53))=FALSE,(((B"&amp;"53/1000)*0.05)*2)*VLOOKUP(KitchenDoorMaterial,SheetsData,8,0),IF(ISERROR(FIND(""Pelmet"",A53))=FALSE,((((B53/1000)*(C53/1000))*2)*VLOOKUP(""H/F (18mm)"",SheetsData,8,0)),IF(ISERROR(FIND(""door"",A53))=TRUE,""Check description"",IF(KitchenDoorStyle=""Flat"&amp;""",((B53/1000)*(C53/1000))*VLOOKUP(KitchenDoorMaterial,SheetsData,8,0),IF(LEFT(KitchenDoorStyle,5)=""Panel"",(((((B53/1000)*2)*0.08)+((((C53/1000)-0.16)*2)*0.08))*VLOOKUP(""H/F (22mm)"",SheetsData,8,0))+(((B53/1000)-0.14)*((C53/1000)-0.14)*VLOOKUP(""H/F ("&amp;"9mm)"",SheetsData,8,0)),IF(KitchenDoorStyle=""In-frame flat"",((((((B53/1000)*0.019)*0.038)+((((C53-38)/1000)*0.038)*0.038))*2)*VLOOKUP(""Tulip (solid m3)"",SolidData,5,0))+(((B53-76)/1000)*((C53-38)/1000))*VLOOKUP(""H/F (22mm)"",SheetsData,8,0),IF(LEFT(K"&amp;"itchenDoorStyle,14)=""In-frame panel"",(((((((B53/1000)*0.019)*0.038)+((((C53-38)/1000)*0.038)*0.038))*2)*VLOOKUP(""Tulip (solid m3)"",SolidData,5,0))+(((((((B53-76)/1000)*2)*0.08)+(((((C53-198)/1000)*2)*0.08)))*VLOOKUP(""H/F (22mm)"",SheetsData,8,0))+((("&amp;"B53-216)/1000)*((C53-178)/1000)*VLOOKUP(""H/F (9mm)"",SheetsData,8,0)))))))))))))))))))))))))))))))))"),4.061072292394518)</f>
        <v>4.061072292</v>
      </c>
      <c r="F53" s="152" t="str">
        <f>IFERROR(__xludf.DUMMYFUNCTION("IF(OR(A53="""",AND(ISERROR(FIND(""drawer box"",A53))=FALSE,KitchenDrawerType=""Solid dovetail"")),"""",IF(ISERROR(FIND(""bins"",A53))=FALSE,VLOOKUP(""Base carcass 600"",KitchensData,6,0),IF(OR(ISERROR(FIND(""larder"",A53))=FALSE,ISERROR(FIND(""unit"",A53)"&amp;")=FALSE),VLOOKUP(LEFT(A53,FIND("" "",A53))&amp;""carcass ""&amp;RIGHT(A53,LEN(A53)-len(regexextract(A53,"".* ""))),KitchensData,6,0),IF(ISERROR(FIND(""drawer front"",A53))=FALSE,IF(ISERROR(FIND(""veneer"",KitchenCarcassMaterial))=TRUE,0,(((B53+C53)/1000)*2)*VLOOK"&amp;"UP(""Edge banding (per M)"",SheetsData,5,0)),IF(ISERROR(FIND(""drawer box"",A53))=FALSE,IF(ISERROR(FIND(""veneer"",KitchenCarcassMaterial))=TRUE,0,(((C53+D53)/1000)*2)*VLOOKUP(""Edge banding (per M)"",SheetsData,5,0)),IF(ISERROR(FIND(""shelf"",A53))=FALSE"&amp;",IF(ISERROR(FIND(""veneer"",KitchenCarcassMaterial))=TRUE,0,(C53/1000)*VLOOKUP(""Edge banding (per M)"",SheetsData,5,0)),IF(AND(ISERROR(FIND(""carcass"",A53))=FALSE,ISERROR(FIND(""shelf"",A53))=TRUE),IF(ISERROR(FIND(""veneer"",KitchenCarcassMaterial))=TRU"&amp;"E,0,((2*(B53+C53))/1000)*VLOOKUP(""Edge banding (per M)"",SheetsData,5,0)),IF(ISERROR(FIND(""door"",A53))=TRUE,"""",IF(ISERROR(FIND(""veneer"",KitchenDoorMaterial))=TRUE,"""",((2*(B53+C53))/1000)*VLOOKUP(""Edge banding (per M)"",SheetsData,5,0))))))))))"),"")</f>
        <v/>
      </c>
      <c r="G53" s="153" t="str">
        <f>IF(A53="","",IF(ISERROR(FIND("bins",A53))=FALSE,VLOOKUP("Base carcass 600",KitchensData,7,0),IF(OR(ISERROR(FIND("larder",A53))=FALSE,ISERROR(FIND("fridge/freezer",A53))=FALSE,ISERROR(FIND("double oven",A53))=FALSE,ISERROR(FIND("single oven",A53))=FALSE),VLOOKUP(LEFT(A53,FIND(" ",A53))&amp;"carcass "&amp;RIGHT(A53,LEN(A53)-(LEN(A53)-3)),KitchensData,7,0),IF(AND(ISERROR(FIND("carcass",A53))=FALSE,ISERROR(FIND("shelf",A53))=TRUE),IF(OR(ISERROR(FIND("Base",A53))=FALSE,ISERROR(FIND("Tower",A53))=FALSE),IF(OR(ISERROR(FIND("1200",A53))=FALSE, ISERROR(FIND("lost corner",A53))=FALSE),6*VLOOKUP("Plinth foot (2 Parts 80mm)",FurnitureData,5,0),4*VLOOKUP("Plinth foot (2 Parts 80mm)",FurnitureData,5,0)),""),""))))</f>
        <v/>
      </c>
      <c r="H53" s="115" t="str">
        <f>IF(OR(A53="",ISERROR(FIND("door",A53))=TRUE),"",IF(ISERROR(FIND("Wall",A53))=FALSE,VLOOKUP("Hinges &amp; plates (Hettich thick door)",FurnitureData,5,0)*2,IF(ISERROR(FIND("Base",A53))=FALSE,VLOOKUP("Hinges &amp; plates (Hettich thick door)",FurnitureData,5,0)*3,IF(ISERROR(FIND("Boiler",A53))=FALSE,VLOOKUP("Hinges &amp; plates (Hettich thick door)",FurnitureData,5,0)*4,IF(ISERROR(FIND("Tower",A53))=FALSE,VLOOKUP("Hinges &amp; plates (Hettich thick door)",FurnitureData,5,0)*5)))))</f>
        <v/>
      </c>
      <c r="I53" s="115" t="str">
        <f>IF(ISERROR(FIND("shelf",A53))=FALSE,(VLOOKUP("Shelf pegs",FurnitureData,5,0)/100)*4,"")</f>
        <v/>
      </c>
      <c r="J53" s="152" t="str">
        <f>IF(OR(ISERROR(FIND("fridge/freezer",A53))=FALSE,ISERROR(FIND("larder",A53))=FALSE,AND(ISERROR(FIND("Base",A53))=FALSE,ISERROR(FIND("bins",A53))=TRUE,ISERROR(FIND("no shelves",A53))=TRUE,OR(ISERROR(FIND("carcass",A53))=FALSE,ISERROR(FIND("unit",A53))=FALSE))),VLOOKUP("Deep shelf "&amp;C53,KitchensData,18,0),IF(AND(ISERROR(FIND("Wall",A53))=FALSE,ISERROR(FIND("carcass",A53))=FALSE),2*VLOOKUP("Shallow shelf "&amp;C53,KitchensData,18,0),IF(AND(ISERROR(FIND("Tower",A53))=FALSE,ISERROR(FIND("oven",A53))=FALSE),4*VLOOKUP("Deep shelf "&amp;C53,KitchensData,18,0),IF(AND(ISERROR(FIND("Tower",A53))=FALSE,ISERROR(FIND("carcass",A53))=FALSE),5*VLOOKUP("Deep shelf "&amp;C53,KitchensData,18,0),""))))</f>
        <v/>
      </c>
      <c r="K53" s="152" t="str">
        <f>IF(ISERROR(FIND("sink",A53))=FALSE,VLOOKUP("Sink liner - Aluminium "&amp;RIGHT(A53,LEN(A53)-22)&amp;"mm",ExceptionalData,5,0),IF(ISERROR(FIND("bins",A53))=FALSE,VLOOKUP("Drawer runners and clip set for bin unit (500) Dynapro",FurnitureData,5,0)+(2*VLOOKUP("Bin (42L Anthracite)",FurnitureData,5,0)),IF(ISERROR(FIND("larder",A53))=FALSE,VLOOKUP("Pull out larder unit 600mm",FurnitureData,5,0),IF(AND(ISERROR(FIND("drawer box",A53))=FALSE,ISERROR(FIND("internal",A53))=TRUE),VLOOKUP("Drawer runners and clip set (550) Dynapro",FurnitureData,5,0),IF(ISERROR(FIND("internal drawer box",A53))=FALSE,VLOOKUP("Drawer runners and clip set (450) Dynapro",FurnitureData,5,0),"")))))</f>
        <v/>
      </c>
      <c r="L53" s="152">
        <f t="shared" si="3"/>
        <v>4.061072292</v>
      </c>
      <c r="M53" s="154">
        <f>IFERROR(__xludf.DUMMYFUNCTION("IF(A53="""","""",IF(OR(ISERROR(FIND(""larder"",A53))=FALSE,ISERROR(FIND(""unit"",A53))=FALSE),VLOOKUP(LEFT(A53,FIND("" "",A53))&amp;""carcass ""&amp;RIGHT(A53,LEN(A53)-len(regexextract(A53,"".* ""))),KitchensData,13,0),IF(ISERROR(FIND(""bins"",A53))=FALSE,0.95,IF"&amp;"(ISERROR(FIND(""Cutlery insert 600"",A53))=FALSE,1.3,IF(ISERROR(FIND(""Cutlery insert 1200"",A53))=FALSE,2,IF(ISERROR(FIND(""Pan/tray rack 600"",A53))=FALSE,3.25,IF(ISERROR(FIND(""Pan/tray rack 1200"",A53))=FALSE,5.9,IF(ISERROR(FIND(""split"",A53))=FALSE,"&amp;"(((C53/1000)*0.022)*2)+VLOOKUP(SUBSTITUTE(A53,"" split"",""""),KitchensData,13,0),IF(AND(ISERROR(FIND(""drawer front"",A53))=FALSE,KitchenDoorStyle=""Flat""),(((B53/1000)*(C53/1000))*2)+((((B53+C53)/1000)*2)*0.022),IF(AND(ISERROR(FIND(""drawer front"",A53"&amp;"))=FALSE,LEFT(KitchenDoorStyle,5)=""Panel""),(((B53/1000)*(C53/1000))*2)+((((B53+C53)/1000)*2)*0.022)+((((C53/1000)-0.16)*0.013)*2)+((((D53/1000)-0.16)*0.013)*2),IF(AND(ISERROR(FIND(""drawer front"",A53))=FALSE,KitchenDoorStyle=""In-frame flat""),((((B53-"&amp;"76)/1000)*((C53-38)/1000))*2)+(MID(KitchenDoorMaterial,FIND(""("",KitchenDoorMaterial)+1,2)/1000)*((((B53-76)+(C53-38))/1000)*2)+(((B53/1000)*0.032)*2)+((((B53-76)/1000)*0.032)*2)+(((B53/1000)*0.019)*4)+(((C53/1000)*0.032)*2)+((((C53-38)/1000)*0.032)*2)+("&amp;"((C53/1000)*0.038)*4),IF(AND(ISERROR(FIND(""drawer front"",A53))=FALSE,LEFT(KitchenDoorStyle,14)=""In-frame panel""),((((B53-76)/1000)*((C53-38)/1000))*2)+((MID(KitchenDoorMaterial,FIND(""("",KitchenDoorMaterial)+1,2)/1000)*((((B53-76)+(C53-38))/1000)*2))"&amp;"+((((B53-236)/1000)+((C53-198)/1000)*2)*0.013)+(((B53/1000)*0.032)*2)+((((B53-76)/1000)*0.032)*2)+(((B53/1000)*0.019)*4)+(((C53/1000)*0.032)*2)+((((C53-38)/1000)*0.032)*2)+(((C53/1000)*0.038)*4),IF(ISERROR(FIND(""drawer box"",A53))=FALSE,((((B53/1000)*(D5"&amp;"3/1000))+((B53/1000)*(C53/1000)))*4)+((((D53/1000)+(C53/1000))*0.016)*4)+(((C53/1000)*(D53/1000))*2),IF(OR(ISERROR(FIND(""shelf"",A53))=FALSE,ISERROR(FIND(""spacer"",A53))=FALSE,,ISERROR(FIND(""filler panel"",A53))=FALSE),(((C53/1000)*(D53/1000))*2)+((((C"&amp;"53+D53)*2)/1000)*0.022),IF(ISERROR(FIND(""lost corner"",A53))=FALSE,(((B53/1000)*(C53/1000))*2)+((B53/1000)*(C53/1000))+((B53/1000)*((C53/2)/1000))+((((B53/1000)*0.025)+((C53/1000)*0.025))*2),IF(ISERROR(FIND(""carcass"",A53))=FALSE,(((C53/1000)*(D53/1000)"&amp;")*2)+(((B53/1000)*(D53/1000))*2)+((B53/1000)*(C53/1000))+((((B53/1000)*0.025)+((C53/1000)*0.025))*2),IF(AND(ISERROR(FIND(""door"",A53))=FALSE,KitchenDoorStyle=""Flat""),(((B53/1000)*(C53/1000))*2)+(MID(KitchenDoorMaterial,FIND(""("",KitchenDoorMaterial)+1"&amp;",2)/1000)*(((B53+C53)/1000)*2),IF(AND(ISERROR(FIND(""door"",A53))=FALSE,LEFT(KitchenDoorStyle,5)=""Panel""),(((B53/1000)*(C53/1000))*2)+((MID(KitchenDoorMaterial,FIND(""("",KitchenDoorMaterial)+1,2)/1000)*(((B53+C53)/1000)*2))+(((((B53-160)+(C53-160))*2)/"&amp;"1000)*(0.013)),IF(AND(ISERROR(FIND(""door"",A53))=FALSE,KitchenDoorStyle=""In-frame flat""),((((B53-76)/1000)*((C53-38)/1000))*2)+(MID(KitchenDoorMaterial,FIND(""("",KitchenDoorMaterial)+1,2)/1000)*((((B53-76)+(C53-38))/1000)*2)+(((B53/1000)*0.032)*2)+((("&amp;"(B53-76)/1000)*0.032)*2)+(((B53/1000)*0.019)*4)+(((C53/1000)*0.032)*2)+((((C53-38)/1000)*0.032)*2)+(((C53/1000)*0.038)*4),IF(AND(ISERROR(FIND(""door"",A53))=FALSE,LEFT(KitchenDoorStyle,14)=""In-frame panel""),((((B53-76)/1000)*((C53-38)/1000))*2)+((MID(Ki"&amp;"tchenDoorMaterial,FIND(""("",KitchenDoorMaterial)+1,2)/1000)*((((B53-76)+(C53-38))/1000)*2))+((((B53-236)/1000)+((C53-198)/1000)*2)*0.013)+(((B53/1000)*0.032)*2)+((((B53-76)/1000)*0.032)*2)+(((B53/1000)*0.019)*4)+(((C53/1000)*0.032)*2)+((((C53-38)/1000)*0"&amp;".032)*2)+(((C53/1000)*0.038)*4),IF(ISERROR(FIND(""Plinth"",A53))=FALSE,((B53/1000)*(C53/1000))+(((C53/1000)*0.018)*2)+(((B53/1000)*0.018)*2),IF(ISERROR(FIND(""Cornice"",A53))=FALSE,(((C53/1000)*0.1)*2)+(((C53/1000)*0.044)*2)+(((B53/1000)*0.08)*2),IF(ISERR"&amp;"OR(FIND(""Base end panel"",A53))=FALSE,((B53/1000)*(C53/1000))+(0.022*((B53/1000)+((C53/1000)*2)))+((B53/1000)*0.05),IF(ISERROR(FIND(""Wall end panel"",A53))=FALSE,((B53/1000)*(C53/1000))+(0.022*((B53/1000)+((C53/1000)*2)))+((B53/1000)*0.05),IF(ISERROR(FI"&amp;"ND(""Tower end panel"",A53))=FALSE,((B53/1000)*(C53/1000))+(0.022*((B53/1000)+((C53/1000)*2)))+((B53/1000)*0.05),IF(ISERROR(FIND(""Fillers"",A53))=FALSE,((C53/1000)*0.06)+((C53/1000)*0.069)+((0.06*0.018)*2)+((0.06*0.009)*2)+((C53/1000)*0.009)+((C53/1000)*"&amp;"0.018),IF(ISERROR(FIND(""corner post"",A53))=FALSE,(((B53/1000*0.05)*2)+((B53/1000)*0.022)*2)+((B53/1000)*0.072)+((B53/1000)*0.05)+((0.072*0.022)*2)+((0.05*0.022)*2),IF(ISERROR(FIND(""Pelmet"",A53))=FALSE,((C53/1000)*0.05)+((C53/1000)*0.068)+((0.05*0.018)"&amp;"*4)+(((C53/1000)*0.018))*2))))))))))))))))))))))))))))"),0.590568)</f>
        <v>0.590568</v>
      </c>
      <c r="N53" s="152">
        <f>IF(M53="","",IF(AND(ISERROR(FIND("carcass",A53))=TRUE,ISERROR(FIND("unit",A53))=TRUE,ISERROR(FIND("insert",A53))=TRUE,ISERROR(FIND("rack",A53))=TRUE,ISERROR(FIND("box",A53))=TRUE,ISERROR(FIND("shelf",#REF!))=TRUE),VLOOKUP(KitchenDoorFinish,Finishing!$A$2:$K$10,9,0)*M53,VLOOKUP(KitchenCarcassFinish,Finishing!$A$2:$K$40,9,0)*M53))</f>
        <v>4.42926</v>
      </c>
      <c r="O53" s="155">
        <v>1.0</v>
      </c>
      <c r="P53" s="155">
        <v>1.0</v>
      </c>
      <c r="Q53" s="152">
        <f>IF(OR(O53="",P53=""),"",((O53*X53)*(VLOOKUP("Workshop",Labour!$A$3:$E$20,4,0)/8))+((P53*AE53)*(VLOOKUP("Finishing",Labour!$A$3:$E$20,4,0)/8)))</f>
        <v>99.75</v>
      </c>
      <c r="R53" s="152">
        <f t="shared" si="4"/>
        <v>108.2403323</v>
      </c>
      <c r="S53" s="156">
        <f>IF(OR(O53="",P53=""),"",IF(OR(ISERROR(FIND("carcass",$A53))=FALSE,ISERROR(FIND("unit",$A53))=FALSE),VLOOKUP(KitchenCarcassMaterial,FixedListsCarcassMaterial,2,0),0))</f>
        <v>0</v>
      </c>
      <c r="T53" s="156">
        <f>IF(OR(O53="",P53=""),"",IF(ISERROR(FIND("door",$A53))=FALSE,VLOOKUP(KitchenDoorStyle,FixedListsDoorStyle,2,0),0))</f>
        <v>0</v>
      </c>
      <c r="U53" s="156">
        <f>IF(OR(O53="",P53=""),"",IF(ISERROR(FIND("door",$A53))=FALSE,VLOOKUP(KitchenDoorMaterial,FixedListsDoorMaterial,2,0),0))</f>
        <v>0</v>
      </c>
      <c r="V53" s="156">
        <f>IF(OR(O53="",P53=""),"",IF(ISERROR(FIND("drawer",$A53))=FALSE,VLOOKUP(KitchenDrawerType,FixedListsDrawerType,2,0),0))</f>
        <v>0</v>
      </c>
      <c r="W53" s="156">
        <f>IF(OR(O53="",P53=""),"",IF(OR(S53&gt;0, T53&gt;0,V53&gt;0),VLOOKUP(KitchenHandleType,FixedListsHandleType,2,FALSE)*IF(KitchenHandleType="Simple",0,IF(S53&gt;0,VLOOKUP(KitchenHandleType,FixedListsHandleType,4,FALSE),IF(OR(T53&gt;0,V53&gt;0),1-VLOOKUP(KitchenHandleType,FixedListsHandleType,4,FALSE),"Error"))),0))</f>
        <v>0</v>
      </c>
      <c r="X53" s="156">
        <f t="shared" si="5"/>
        <v>1</v>
      </c>
      <c r="Y53" s="156">
        <f>IF(OR(O53="",P53=""),"",IF(OR(ISERROR(FIND("carcass",$A53))=FALSE,ISERROR(FIND("unit",$A53))=FALSE),VLOOKUP(KitchenCarcassMaterial,FixedListsCarcassMaterial,3,0),0))</f>
        <v>0</v>
      </c>
      <c r="Z53" s="156">
        <f>IF(OR(O53="",P53=""),"",IF(ISERROR(FIND("door",$A53))=FALSE,VLOOKUP(KitchenDoorStyle,FixedListsDoorStyle,3,0),0))</f>
        <v>0</v>
      </c>
      <c r="AA53" s="156">
        <f>IF(OR(O53="",P53=""),"",IF(ISERROR(FIND("door",$A53))=FALSE,VLOOKUP(KitchenDoorMaterial,FixedListsDoorMaterial,3,0),0))</f>
        <v>0</v>
      </c>
      <c r="AB53" s="156">
        <f>IF(OR(O53="",P53=""),"",IF(ISERROR(FIND("drawer",$A53))=FALSE,VLOOKUP(KitchenDrawerType,FixedListsDrawerType,3,0),0))</f>
        <v>0</v>
      </c>
      <c r="AC53" s="156">
        <f>IF(OR(O53="",P53=""),"",IF(OR(Y53&gt;0,Z53&gt;0,AB53&gt;0),VLOOKUP(KitchenHandleType,FixedListsHandleType,3,FALSE),0))</f>
        <v>0</v>
      </c>
      <c r="AD53" s="156">
        <f>IF(OR(O53="",P53=""),"",IF(OR(ISERROR(FIND("carcass",$A53))=FALSE,ISERROR(FIND("unit",$A53))=FALSE),VLOOKUP(KitchenCarcassFinish,FixedListsFinishes,3,0),IF(OR(ISERROR(FIND("door",$A53))=FALSE,ISERROR(FIND("Plinth",$A53))=FALSE,ISERROR(FIND("Cornice",$A53))=FALSE,ISERROR(FIND("Fillers",$A53))=FALSE,ISERROR(FIND("Pelmet",$A53))=FALSE,ISERROR(FIND("panel",$A53))=FALSE,ISERROR(FIND("post",$A53))=FALSE),VLOOKUP(KitchenDoorFinish,FixedListsFinishes,3,0),IF(OR(ISERROR(FIND("drawer",$A53))=FALSE,ISERROR(FIND("insert",$A53))=FALSE,ISERROR(FIND("rck",$A53))=FALSE),VLOOKUP(KitchenCarcassFinish,FixedListsFinishes,3,0),0))))</f>
        <v>2</v>
      </c>
      <c r="AE53" s="156">
        <f t="shared" si="6"/>
        <v>2</v>
      </c>
      <c r="AF53" s="157" t="str">
        <f>IF(AND(KitchenHandleType="Channel",OR(ISERROR(FIND("arcass",$A53))=FALSE,ISERROR(FIND("unit",$A53))=FALSE)),IF(ISERROR(FIND("Tower",$A53))=TRUE,IF(KitchenHandleFinish="Match carcass",IF(ISERROR(FIND("Walnut",KitchenCarcassMaterial))=FALSE,(0.035*0.075*($C53/1000))*VLOOKUP("Walnut (solid m3)",SolidData,4,FALSE),IF(ISERROR(FIND("Oak",KitchenCarcassMaterial))=FALSE,(0.035*0.075*($C53/1000))*VLOOKUP("Oak (solid m3)",SolidData,4,FALSE),IF(ISERROR(FIND("ply",KitchenCarcassMaterial))=FALSE,(0.1*($C53/1000))*VLOOKUP("Birch ply (24mm)",SheetsData,7,FALSE),IF(ISERROR(FIND("H/F",KitchenCarcassMaterial))=FALSE,(0.1*($C53/1000))*VLOOKUP("H/F (22mm)",SheetsData,7,FALSE),"Carcass - not tower - new material")))),IF(KitchenHandleFinish="Match door",IF(ISERROR(FIND("Walnut",KitchenDoorMaterial))=FALSE,(0.035*0.075*($C53/1000))*VLOOKUP("Walnut (solid m3)",SolidData,4,FALSE),IF(ISERROR(FIND("Oak",KitchenDoorMaterial))=FALSE,(0.035*0.075*($C53/1000))*VLOOKUP("Oak (solid m3)",SolidData,4,FALSE),IF(ISERROR(FIND("ply",KitchenDoorMaterial))=FALSE,(0.1*($C53/1000))*VLOOKUP("Birch ply (24mm)",SheetsData,7,FALSE),IF(ISERROR(FIND("H/F",KitchenCarcassMaterial))=FALSE,(0.1*($C53/1000))*VLOOKUP("H/F (22mm)",SheetsData,7,FALSE),"Door - not tower - new material")))),"Channel - not tower - handle set to other")),IF(ISERROR(FIND("Tower",$A53))=FALSE,IF(KitchenHandleFinish="Match carcass",IF(ISERROR(FIND("Walnut",KitchenCarcassMaterial))=FALSE,(0.035*0.075*($B53/1000))*VLOOKUP("Walnut (solid m3)",SolidData,4,FALSE),IF(ISERROR(FIND("Oak",KitchenCarcassMaterial))=FALSE,(0.035*0.075*($B53/1000))*VLOOKUP("Oak (solid m3)",SolidData,4,FALSE),IF(ISERROR(FIND("ply",KitchenCarcassMaterial))=FALSE,(0.1*($B53/1000))*VLOOKUP("Birch ply (24mm)",SheetsData,7,FALSE),IF(ISERROR(FIND("H/F",KitchenCarcassMaterial))=FALSE,(0.1*($C53/1000))*VLOOKUP("H/F (22mm)",SheetsData,7,FALSE),"Carcass - tower - new material")))),IF(KitchenHandleFinish="Match door",IF(ISERROR(FIND("Walnut",KitchenDoorMaterial))=FALSE,(0.035*0.075*($B53/1000))*VLOOKUP("Walnut (solid m3)",SolidData,4,FALSE),IF(ISERROR(FIND("Oak",KitchenDoorMaterial))=FALSE,(0.035*0.075*($B53/1000))*VLOOKUP("Oak (solid m3)",SolidData,4,FALSE),IF(ISERROR(FIND("ply",KitchenDoorMaterial))=FALSE,(0.1*($B53/1000))*VLOOKUP("Birch ply (24mm)",SheetData,7,FALSE),IF(ISERROR(FIND("H/F",KitchenCarcassMaterial))=FALSE,(0.1*($C53/1000))*VLOOKUP("H/F (22mm)",SheetsData,7,FALSE),"Door - tower - new material")))),"Channel - tower - handle set to other")))),"")</f>
        <v/>
      </c>
    </row>
    <row r="54">
      <c r="A54" s="150" t="s">
        <v>162</v>
      </c>
      <c r="B54" s="115" t="str">
        <f t="shared" si="1"/>
        <v/>
      </c>
      <c r="C54" s="115" t="str">
        <f>IFERROR(__xludf.DUMMYFUNCTION("IF(A54="""","""",IF(OR(RIGHT(A54,LEN(A54)-len(regexextract(A54,"".* "")))=""1200"",RIGHT(A54,LEN(A54)-len(regexextract(A54,"".* "")))=""600"",RIGHT(A54,LEN(A54)-len(regexextract(A54,"".* "")))=""400"",RIGHT(A54,LEN(A54)-len(regexextract(A54,"".* "")))=""3"&amp;"00"",RIGHT(A54,LEN(A54)-len(regexextract(A54,"".* "")))=""700"",RIGHT(A54,LEN(A54)-len(regexextract(A54,"".* "")))=""2400"",RIGHT(A54,LEN(A54)-len(regexextract(A54,"".* "")))=""650"",RIGHT(A54,LEN(A54)-len(regexextract(A54,"".* "")))=""350"",RIGHT(A54,LEN"&amp;"(A54)-len(regexextract(A54,"".* "")))=""50""),RIGHT(A54,LEN(A54)-len(regexextract(A54,"".* ""))),IF(OR(ISERROR(FIND(""spacer"",A54))=FALSE,ISERROR(FIND(""filler panel"",A54))=FALSE),""1000"",""Unexpected size in description"")))"),"300")</f>
        <v>300</v>
      </c>
      <c r="D54" s="151">
        <f t="shared" si="2"/>
        <v>600</v>
      </c>
      <c r="E54" s="152">
        <f>IFERROR(__xludf.DUMMYFUNCTION("IF(OR(A54="""",AND(ISERROR(FIND(""drawer box"",A54))=FALSE,KitchenDrawerType="""")),"""",IF(OR(ISERROR(FIND(""larder"",A54))=FALSE,ISERROR(FIND(""fridge/freezer"",A54))=FALSE,ISERROR(FIND(""double oven"",A54))=FALSE,ISERROR(FIND(""single oven"",A54))=FALS"&amp;"E),VLOOKUP(LEFT(A54,FIND("" "",A54))&amp;""carcass ""&amp;RIGHT(A54,LEN(A54)-(LEN(A54)-3)),KitchensData,5,0),IF(ISERROR(FIND(""sink"",A54))=FALSE,VLOOKUP(LEFT(A54,FIND("" "",A54))&amp;""carcass ""&amp;VALUE(REGEXREPLACE(A54,""[^[:digit:]]"", """")),KitchensData,5,0)+(((C"&amp;"54/1000)*(300/1000))*VLOOKUP(KitchenCarcassMaterial,SheetsData,8,0)),IF(ISERROR(FIND(""bins"",A54))=FALSE,IF(ISERROR(FIND(""veneer"",KitchenCarcassMaterial))=FALSE,VLOOKUP(""Base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600"",A54))=FALSE,IF(ISERROR(FIND(""veneer"""&amp;",KitchenCarcassMaterial))=FALSE,0.54*(VLOOKUP(LEFT(KitchenCarcassMaterial,FIND(""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1200"",A54))=FALSE,"&amp;"IF(ISERROR(FIND(""veneer"",KitchenCarcassMaterial))=FALSE,0.84*(VLOOKUP(LEFT(KitchenCarcassMaterial,FIND(""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600"",A54))=FALSE,IF(ISERROR(FIND(""veneer"",KitchenCarcassMaterial))=FALSE,1.44*(VLOOKUP(LEFT(KitchenCarcassMaterial,FIND(""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1200"",A54))=FALSE,IF(ISERROR(FIND(""veneer"",KitchenCarcassMaterial))=FALSE,2.7*(VLOOKUP(LEFT(KitchenCarcassMaterial,FIND(""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front"",A54))=FALSE,((B54/1000)*(C54/1000))*VLOOKUP(KitchenDoorMaterial,SheetsData,8,0),IF(AND(KitchenDrawerType=""Match carcass"",ISERROR(FIND(""drawer box"",A54))=FALSE),(((((B54/1000)*(C54/1000))+((B54/1000"&amp;")*(D54/1000)))*2)*VLOOKUP(KitchenCarcassMaterial,SheetsData,8,0))+(((C54/1000)*(D54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box"",A54))=FALSE),(((((B54/1000)*(C54/1000))+((B54/1000)*(D54/1000)))*2)*(16/1000)*VLOOKUP(LEFT(KitchenCarcassMaterial,FIND("" "&amp;""",KitchenCarcassMaterial))&amp;""(solid m3)"",SolidData,5,0))+(((C54/1000)*(D54/1000))*VLOOKUP(LEFT(KitchenCarcassMaterial,FIND(""("",KitchenCarcassMaterial)-1)&amp;IF(OR(ISERROR(FIND(""ply"",KitchenCarcassMaterial))=FALSE,ISERROR(FIND(""H/F"",KitchenCarcassMate"&amp;"rial))=FALSE),""(9mm)"",""(10mm)""),SheetsData,8,0)),IF(ISERROR(FIND(""spacer"",A54))=FALSE,((D54/1000)*(C54/1000))*VLOOKUP(""Poplar ply (18mm)"",SheetsData,8,0),IF(ISERROR(FIND(""filler panel"",A54))=FALSE,((B54/1000)*(C54/1000))*VLOOKUP(KitchenDoorMater"&amp;"ial,SheetsData,8,0),IF(ISERROR(FIND(""shelf"",A54))=FALSE,((D54/1000)*(C54/1000))*VLOOKUP(KitchenCarcassMaterial,SheetsData,8,0),IF(ISERROR(FIND(""lost corner"",A54))=FALSE,VLOOKUP(LEFT(A54,FIND("" "",A54))&amp;""carcass ""&amp;VALUE(REGEXREPLACE(A54,""[^[:digit:"&amp;"]]"", """")),KitchensData,5,0)+((((B54/1000)*(C54/1000))+((B54/1000)*(60/1000)))*VLOOKUP(KitchenCarcassMaterial,SheetsData,8,0)),IF(ISERROR(FIND(""carcass"",A54))=FALSE,(((((B54/1000)*2)*(D54/1000))+(((C54/1000)*2)*(D54/1000)))*VLOOKUP(KitchenCarcassMater"&amp;"ial,SheetsData,8,0))+((B54/1000)*(C54/1000))*VLOOKUP(LEFT(KitchenCarcassMaterial,FIND(""("",KitchenCarcassMaterial)-1)&amp;IF(OR(ISERROR(FIND(""ply"",KitchenCarcassMaterial))=FALSE,ISERROR(FIND(""H/F"",KitchenCarcassMaterial))=FALSE),""(9mm)"",""(10mm)""),She"&amp;"etsData,8,0),IF(OR(ISERROR(FIND(""Plinth"",A54))=FALSE,ISERROR(FIND(""Cornice (flat)"",A54))=FALSE),((B54/1000)*(C54/1000))*VLOOKUP(""H/F (18mm)"",SheetsData,8,0),IF(ISERROR(FIND(""Cornice (stacked)"",A54))=FALSE,((0.08*(C54/1000))*2)*VLOOKUP(""H/F (22mm)"&amp;""",SheetsData,8,0),IF(ISERROR(FIND(""Base end panel"",A54))=FALSE,VLOOKUP(KitchenDoorMaterial,SheetsData,5,0)/3,IF(ISERROR(FIND(""Wall end panel"",A54))=FALSE,VLOOKUP(KitchenDoorMaterial,SheetsData,5,0)/9,IF(ISERROR(FIND(""Tower end panel"",A54))=FALSE,VL"&amp;"OOKUP(KitchenDoorMaterial,SheetsData,5,0),IF(ISERROR(FIND(""Fillers"",A54))=FALSE,(((0.06*(C54/1000))*2)*VLOOKUP(""H/F (18mm)"",SheetsData,8,0))+(((0.06*(C54/1000))*2)*VLOOKUP(""H/F (9mm)"",SheetsData,8,0)),IF(ISERROR(FIND(""corner post"",A54))=FALSE,(((B"&amp;"54/1000)*0.05)*2)*VLOOKUP(KitchenDoorMaterial,SheetsData,8,0),IF(ISERROR(FIND(""Pelmet"",A54))=FALSE,((((B54/1000)*(C54/1000))*2)*VLOOKUP(""H/F (18mm)"",SheetsData,8,0)),IF(ISERROR(FIND(""door"",A54))=TRUE,""Check description"",IF(KitchenDoorStyle=""Flat"&amp;""",((B54/1000)*(C54/1000))*VLOOKUP(KitchenDoorMaterial,SheetsData,8,0),IF(LEFT(KitchenDoorStyle,5)=""Panel"",(((((B54/1000)*2)*0.08)+((((C54/1000)-0.16)*2)*0.08))*VLOOKUP(""H/F (22mm)"",SheetsData,8,0))+(((B54/1000)-0.14)*((C54/1000)-0.14)*VLOOKUP(""H/F ("&amp;"9mm)"",SheetsData,8,0)),IF(KitchenDoorStyle=""In-frame flat"",((((((B54/1000)*0.019)*0.038)+((((C54-38)/1000)*0.038)*0.038))*2)*VLOOKUP(""Tulip (solid m3)"",SolidData,5,0))+(((B54-76)/1000)*((C54-38)/1000))*VLOOKUP(""H/F (22mm)"",SheetsData,8,0),IF(LEFT(K"&amp;"itchenDoorStyle,14)=""In-frame panel"",(((((((B54/1000)*0.019)*0.038)+((((C54-38)/1000)*0.038)*0.038))*2)*VLOOKUP(""Tulip (solid m3)"",SolidData,5,0))+(((((((B54-76)/1000)*2)*0.08)+(((((C54-198)/1000)*2)*0.08)))*VLOOKUP(""H/F (22mm)"",SheetsData,8,0))+((("&amp;"B54-216)/1000)*((C54-178)/1000)*VLOOKUP(""H/F (9mm)"",SheetsData,8,0)))))))))))))))))))))))))))))))))"),5.983270626175759)</f>
        <v>5.983270626</v>
      </c>
      <c r="F54" s="152">
        <f>IFERROR(__xludf.DUMMYFUNCTION("IF(OR(A54="""",AND(ISERROR(FIND(""drawer box"",A54))=FALSE,KitchenDrawerType=""Solid dovetail"")),"""",IF(ISERROR(FIND(""bins"",A54))=FALSE,VLOOKUP(""Base carcass 600"",KitchensData,6,0),IF(OR(ISERROR(FIND(""larder"",A54))=FALSE,ISERROR(FIND(""unit"",A54)"&amp;")=FALSE),VLOOKUP(LEFT(A54,FIND("" "",A54))&amp;""carcass ""&amp;RIGHT(A54,LEN(A54)-len(regexextract(A54,"".* ""))),KitchensData,6,0),IF(ISERROR(FIND(""drawer front"",A54))=FALSE,IF(ISERROR(FIND(""veneer"",KitchenCarcassMaterial))=TRUE,0,(((B54+C54)/1000)*2)*VLOOK"&amp;"UP(""Edge banding (per M)"",SheetsData,5,0)),IF(ISERROR(FIND(""drawer box"",A54))=FALSE,IF(ISERROR(FIND(""veneer"",KitchenCarcassMaterial))=TRUE,0,(((C54+D54)/1000)*2)*VLOOKUP(""Edge banding (per M)"",SheetsData,5,0)),IF(ISERROR(FIND(""shelf"",A54))=FALSE"&amp;",IF(ISERROR(FIND(""veneer"",KitchenCarcassMaterial))=TRUE,0,(C54/1000)*VLOOKUP(""Edge banding (per M)"",SheetsData,5,0)),IF(AND(ISERROR(FIND(""carcass"",A54))=FALSE,ISERROR(FIND(""shelf"",A54))=TRUE),IF(ISERROR(FIND(""veneer"",KitchenCarcassMaterial))=TRU"&amp;"E,0,((2*(B54+C54))/1000)*VLOOKUP(""Edge banding (per M)"",SheetsData,5,0)),IF(ISERROR(FIND(""door"",A54))=TRUE,"""",IF(ISERROR(FIND(""veneer"",KitchenDoorMaterial))=TRUE,"""",((2*(B54+C54))/1000)*VLOOKUP(""Edge banding (per M)"",SheetsData,5,0))))))))))"),0.0)</f>
        <v>0</v>
      </c>
      <c r="G54" s="153" t="str">
        <f>IF(A54="","",IF(ISERROR(FIND("bins",A54))=FALSE,VLOOKUP("Base carcass 600",KitchensData,7,0),IF(OR(ISERROR(FIND("larder",A54))=FALSE,ISERROR(FIND("fridge/freezer",A54))=FALSE,ISERROR(FIND("double oven",A54))=FALSE,ISERROR(FIND("single oven",A54))=FALSE),VLOOKUP(LEFT(A54,FIND(" ",A54))&amp;"carcass "&amp;RIGHT(A54,LEN(A54)-(LEN(A54)-3)),KitchensData,7,0),IF(AND(ISERROR(FIND("carcass",A54))=FALSE,ISERROR(FIND("shelf",A54))=TRUE),IF(OR(ISERROR(FIND("Base",A54))=FALSE,ISERROR(FIND("Tower",A54))=FALSE),IF(OR(ISERROR(FIND("1200",A54))=FALSE, ISERROR(FIND("lost corner",A54))=FALSE),6*VLOOKUP("Plinth foot (2 Parts 80mm)",FurnitureData,5,0),4*VLOOKUP("Plinth foot (2 Parts 80mm)",FurnitureData,5,0)),""),""))))</f>
        <v/>
      </c>
      <c r="H54" s="115" t="str">
        <f>IF(OR(A54="",ISERROR(FIND("door",A54))=TRUE),"",IF(ISERROR(FIND("Wall",A54))=FALSE,VLOOKUP("Hinges &amp; plates (Hettich thick door)",FurnitureData,5,0)*2,IF(ISERROR(FIND("Base",A54))=FALSE,VLOOKUP("Hinges &amp; plates (Hettich thick door)",FurnitureData,5,0)*3,IF(ISERROR(FIND("Boiler",A54))=FALSE,VLOOKUP("Hinges &amp; plates (Hettich thick door)",FurnitureData,5,0)*4,IF(ISERROR(FIND("Tower",A54))=FALSE,VLOOKUP("Hinges &amp; plates (Hettich thick door)",FurnitureData,5,0)*5)))))</f>
        <v/>
      </c>
      <c r="I54" s="153">
        <f>IF(ISERROR(FIND("shelf",A54))=FALSE,(VLOOKUP("Shelf pegs",FurnitureData,5,0)/100)*4,"")</f>
        <v>0.2624</v>
      </c>
      <c r="J54" s="152" t="str">
        <f>IF(OR(ISERROR(FIND("fridge/freezer",A54))=FALSE,ISERROR(FIND("larder",A54))=FALSE,AND(ISERROR(FIND("Base",A54))=FALSE,ISERROR(FIND("bins",A54))=TRUE,ISERROR(FIND("no shelves",A54))=TRUE,OR(ISERROR(FIND("carcass",A54))=FALSE,ISERROR(FIND("unit",A54))=FALSE))),VLOOKUP("Deep shelf "&amp;C54,KitchensData,18,0),IF(AND(ISERROR(FIND("Wall",A54))=FALSE,ISERROR(FIND("carcass",A54))=FALSE),2*VLOOKUP("Shallow shelf "&amp;C54,KitchensData,18,0),IF(AND(ISERROR(FIND("Tower",A54))=FALSE,ISERROR(FIND("oven",A54))=FALSE),4*VLOOKUP("Deep shelf "&amp;C54,KitchensData,18,0),IF(AND(ISERROR(FIND("Tower",A54))=FALSE,ISERROR(FIND("carcass",A54))=FALSE),5*VLOOKUP("Deep shelf "&amp;C54,KitchensData,18,0),""))))</f>
        <v/>
      </c>
      <c r="K54" s="152" t="str">
        <f>IF(ISERROR(FIND("sink",A54))=FALSE,VLOOKUP("Sink liner - Aluminium "&amp;RIGHT(A54,LEN(A54)-22)&amp;"mm",ExceptionalData,5,0),IF(ISERROR(FIND("bins",A54))=FALSE,VLOOKUP("Drawer runners and clip set for bin unit (500) Dynapro",FurnitureData,5,0)+(2*VLOOKUP("Bin (42L Anthracite)",FurnitureData,5,0)),IF(ISERROR(FIND("larder",A54))=FALSE,VLOOKUP("Pull out larder unit 600mm",FurnitureData,5,0),IF(AND(ISERROR(FIND("drawer box",A54))=FALSE,ISERROR(FIND("internal",A54))=TRUE),VLOOKUP("Drawer runners and clip set (550) Dynapro",FurnitureData,5,0),IF(ISERROR(FIND("internal drawer box",A54))=FALSE,VLOOKUP("Drawer runners and clip set (450) Dynapro",FurnitureData,5,0),"")))))</f>
        <v/>
      </c>
      <c r="L54" s="152">
        <f t="shared" si="3"/>
        <v>6.245670626</v>
      </c>
      <c r="M54" s="154">
        <f>IFERROR(__xludf.DUMMYFUNCTION("IF(A54="""","""",IF(OR(ISERROR(FIND(""larder"",A54))=FALSE,ISERROR(FIND(""unit"",A54))=FALSE),VLOOKUP(LEFT(A54,FIND("" "",A54))&amp;""carcass ""&amp;RIGHT(A54,LEN(A54)-len(regexextract(A54,"".* ""))),KitchensData,13,0),IF(ISERROR(FIND(""bins"",A54))=FALSE,0.95,IF"&amp;"(ISERROR(FIND(""Cutlery insert 600"",A54))=FALSE,1.3,IF(ISERROR(FIND(""Cutlery insert 1200"",A54))=FALSE,2,IF(ISERROR(FIND(""Pan/tray rack 600"",A54))=FALSE,3.25,IF(ISERROR(FIND(""Pan/tray rack 1200"",A54))=FALSE,5.9,IF(ISERROR(FIND(""split"",A54))=FALSE,"&amp;"(((C54/1000)*0.022)*2)+VLOOKUP(SUBSTITUTE(A54,"" split"",""""),KitchensData,13,0),IF(AND(ISERROR(FIND(""drawer front"",A54))=FALSE,KitchenDoorStyle=""Flat""),(((B54/1000)*(C54/1000))*2)+((((B54+C54)/1000)*2)*0.022),IF(AND(ISERROR(FIND(""drawer front"",A54"&amp;"))=FALSE,LEFT(KitchenDoorStyle,5)=""Panel""),(((B54/1000)*(C54/1000))*2)+((((B54+C54)/1000)*2)*0.022)+((((C54/1000)-0.16)*0.013)*2)+((((D54/1000)-0.16)*0.013)*2),IF(AND(ISERROR(FIND(""drawer front"",A54))=FALSE,KitchenDoorStyle=""In-frame flat""),((((B54-"&amp;"76)/1000)*((C54-38)/1000))*2)+(MID(KitchenDoorMaterial,FIND(""("",KitchenDoorMaterial)+1,2)/1000)*((((B54-76)+(C54-38))/1000)*2)+(((B54/1000)*0.032)*2)+((((B54-76)/1000)*0.032)*2)+(((B54/1000)*0.019)*4)+(((C54/1000)*0.032)*2)+((((C54-38)/1000)*0.032)*2)+("&amp;"((C54/1000)*0.038)*4),IF(AND(ISERROR(FIND(""drawer front"",A54))=FALSE,LEFT(KitchenDoorStyle,14)=""In-frame panel""),((((B54-76)/1000)*((C54-38)/1000))*2)+((MID(KitchenDoorMaterial,FIND(""("",KitchenDoorMaterial)+1,2)/1000)*((((B54-76)+(C54-38))/1000)*2))"&amp;"+((((B54-236)/1000)+((C54-198)/1000)*2)*0.013)+(((B54/1000)*0.032)*2)+((((B54-76)/1000)*0.032)*2)+(((B54/1000)*0.019)*4)+(((C54/1000)*0.032)*2)+((((C54-38)/1000)*0.032)*2)+(((C54/1000)*0.038)*4),IF(ISERROR(FIND(""drawer box"",A54))=FALSE,((((B54/1000)*(D5"&amp;"4/1000))+((B54/1000)*(C54/1000)))*4)+((((D54/1000)+(C54/1000))*0.016)*4)+(((C54/1000)*(D54/1000))*2),IF(OR(ISERROR(FIND(""shelf"",A54))=FALSE,ISERROR(FIND(""spacer"",A54))=FALSE,,ISERROR(FIND(""filler panel"",A54))=FALSE),(((C54/1000)*(D54/1000))*2)+((((C"&amp;"54+D54)*2)/1000)*0.022),IF(ISERROR(FIND(""lost corner"",A54))=FALSE,(((B54/1000)*(C54/1000))*2)+((B54/1000)*(C54/1000))+((B54/1000)*((C54/2)/1000))+((((B54/1000)*0.025)+((C54/1000)*0.025))*2),IF(ISERROR(FIND(""carcass"",A54))=FALSE,(((C54/1000)*(D54/1000)"&amp;")*2)+(((B54/1000)*(D54/1000))*2)+((B54/1000)*(C54/1000))+((((B54/1000)*0.025)+((C54/1000)*0.025))*2),IF(AND(ISERROR(FIND(""door"",A54))=FALSE,KitchenDoorStyle=""Flat""),(((B54/1000)*(C54/1000))*2)+(MID(KitchenDoorMaterial,FIND(""("",KitchenDoorMaterial)+1"&amp;",2)/1000)*(((B54+C54)/1000)*2),IF(AND(ISERROR(FIND(""door"",A54))=FALSE,LEFT(KitchenDoorStyle,5)=""Panel""),(((B54/1000)*(C54/1000))*2)+((MID(KitchenDoorMaterial,FIND(""("",KitchenDoorMaterial)+1,2)/1000)*(((B54+C54)/1000)*2))+(((((B54-160)+(C54-160))*2)/"&amp;"1000)*(0.013)),IF(AND(ISERROR(FIND(""door"",A54))=FALSE,KitchenDoorStyle=""In-frame flat""),((((B54-76)/1000)*((C54-38)/1000))*2)+(MID(KitchenDoorMaterial,FIND(""("",KitchenDoorMaterial)+1,2)/1000)*((((B54-76)+(C54-38))/1000)*2)+(((B54/1000)*0.032)*2)+((("&amp;"(B54-76)/1000)*0.032)*2)+(((B54/1000)*0.019)*4)+(((C54/1000)*0.032)*2)+((((C54-38)/1000)*0.032)*2)+(((C54/1000)*0.038)*4),IF(AND(ISERROR(FIND(""door"",A54))=FALSE,LEFT(KitchenDoorStyle,14)=""In-frame panel""),((((B54-76)/1000)*((C54-38)/1000))*2)+((MID(Ki"&amp;"tchenDoorMaterial,FIND(""("",KitchenDoorMaterial)+1,2)/1000)*((((B54-76)+(C54-38))/1000)*2))+((((B54-236)/1000)+((C54-198)/1000)*2)*0.013)+(((B54/1000)*0.032)*2)+((((B54-76)/1000)*0.032)*2)+(((B54/1000)*0.019)*4)+(((C54/1000)*0.032)*2)+((((C54-38)/1000)*0"&amp;".032)*2)+(((C54/1000)*0.038)*4),IF(ISERROR(FIND(""Plinth"",A54))=FALSE,((B54/1000)*(C54/1000))+(((C54/1000)*0.018)*2)+(((B54/1000)*0.018)*2),IF(ISERROR(FIND(""Cornice"",A54))=FALSE,(((C54/1000)*0.1)*2)+(((C54/1000)*0.044)*2)+(((B54/1000)*0.08)*2),IF(ISERR"&amp;"OR(FIND(""Base end panel"",A54))=FALSE,((B54/1000)*(C54/1000))+(0.022*((B54/1000)+((C54/1000)*2)))+((B54/1000)*0.05),IF(ISERROR(FIND(""Wall end panel"",A54))=FALSE,((B54/1000)*(C54/1000))+(0.022*((B54/1000)+((C54/1000)*2)))+((B54/1000)*0.05),IF(ISERROR(FI"&amp;"ND(""Tower end panel"",A54))=FALSE,((B54/1000)*(C54/1000))+(0.022*((B54/1000)+((C54/1000)*2)))+((B54/1000)*0.05),IF(ISERROR(FIND(""Fillers"",A54))=FALSE,((C54/1000)*0.06)+((C54/1000)*0.069)+((0.06*0.018)*2)+((0.06*0.009)*2)+((C54/1000)*0.009)+((C54/1000)*"&amp;"0.018),IF(ISERROR(FIND(""corner post"",A54))=FALSE,(((B54/1000*0.05)*2)+((B54/1000)*0.022)*2)+((B54/1000)*0.072)+((B54/1000)*0.05)+((0.072*0.022)*2)+((0.05*0.022)*2),IF(ISERROR(FIND(""Pelmet"",A54))=FALSE,((C54/1000)*0.05)+((C54/1000)*0.068)+((0.05*0.018)"&amp;"*4)+(((C54/1000)*0.018))*2))))))))))))))))))))))))))))"),0.39959999999999996)</f>
        <v>0.3996</v>
      </c>
      <c r="N54" s="152">
        <f>IF(M54="","",IF(AND(ISERROR(FIND("carcass",A54))=TRUE,ISERROR(FIND("unit",A54))=TRUE,ISERROR(FIND("insert",A54))=TRUE,ISERROR(FIND("rack",A54))=TRUE,ISERROR(FIND("box",A54))=TRUE,ISERROR(FIND("shelf",#REF!))=TRUE),VLOOKUP(KitchenDoorFinish,Finishing!$A$2:$K$10,9,0)*M54,VLOOKUP(KitchenCarcassFinish,Finishing!$A$2:$K$40,9,0)*M54))</f>
        <v>2.997</v>
      </c>
      <c r="O54" s="155">
        <v>0.5</v>
      </c>
      <c r="P54" s="155">
        <v>0.5</v>
      </c>
      <c r="Q54" s="152">
        <f>IF(OR(O54="",P54=""),"",((O54*X54)*(VLOOKUP("Workshop",Labour!$A$3:$E$20,4,0)/8))+((P54*AE54)*(VLOOKUP("Finishing",Labour!$A$3:$E$20,4,0)/8)))</f>
        <v>35.875</v>
      </c>
      <c r="R54" s="152">
        <f t="shared" si="4"/>
        <v>45.11767063</v>
      </c>
      <c r="S54" s="156">
        <f>IF(OR(O54="",P54=""),"",IF(OR(ISERROR(FIND("carcass",$A54))=FALSE,ISERROR(FIND("unit",$A54))=FALSE),VLOOKUP(KitchenCarcassMaterial,FixedListsCarcassMaterial,2,0),0))</f>
        <v>0</v>
      </c>
      <c r="T54" s="156">
        <f>IF(OR(O54="",P54=""),"",IF(ISERROR(FIND("door",$A54))=FALSE,VLOOKUP(KitchenDoorStyle,FixedListsDoorStyle,2,0),0))</f>
        <v>0</v>
      </c>
      <c r="U54" s="156">
        <f>IF(OR(O54="",P54=""),"",IF(ISERROR(FIND("door",$A54))=FALSE,VLOOKUP(KitchenDoorMaterial,FixedListsDoorMaterial,2,0),0))</f>
        <v>0</v>
      </c>
      <c r="V54" s="156">
        <f>IF(OR(O54="",P54=""),"",IF(ISERROR(FIND("drawer",$A54))=FALSE,VLOOKUP(KitchenDrawerType,FixedListsDrawerType,2,0),0))</f>
        <v>0</v>
      </c>
      <c r="W54" s="156">
        <f>IF(OR(O54="",P54=""),"",IF(OR(S54&gt;0, T54&gt;0,V54&gt;0),VLOOKUP(KitchenHandleType,FixedListsHandleType,2,FALSE)*IF(KitchenHandleType="Simple",0,IF(S54&gt;0,VLOOKUP(KitchenHandleType,FixedListsHandleType,4,FALSE),IF(OR(T54&gt;0,V54&gt;0),1-VLOOKUP(KitchenHandleType,FixedListsHandleType,4,FALSE),"Error"))),0))</f>
        <v>0</v>
      </c>
      <c r="X54" s="156">
        <f t="shared" si="5"/>
        <v>1</v>
      </c>
      <c r="Y54" s="156">
        <f>IF(OR(O54="",P54=""),"",IF(OR(ISERROR(FIND("carcass",$A54))=FALSE,ISERROR(FIND("unit",$A54))=FALSE),VLOOKUP(KitchenCarcassMaterial,FixedListsCarcassMaterial,3,0),0))</f>
        <v>0</v>
      </c>
      <c r="Z54" s="156">
        <f>IF(OR(O54="",P54=""),"",IF(ISERROR(FIND("door",$A54))=FALSE,VLOOKUP(KitchenDoorStyle,FixedListsDoorStyle,3,0),0))</f>
        <v>0</v>
      </c>
      <c r="AA54" s="156">
        <f>IF(OR(O54="",P54=""),"",IF(ISERROR(FIND("door",$A54))=FALSE,VLOOKUP(KitchenDoorMaterial,FixedListsDoorMaterial,3,0),0))</f>
        <v>0</v>
      </c>
      <c r="AB54" s="156">
        <f>IF(OR(O54="",P54=""),"",IF(ISERROR(FIND("drawer",$A54))=FALSE,VLOOKUP(KitchenDrawerType,FixedListsDrawerType,3,0),0))</f>
        <v>0</v>
      </c>
      <c r="AC54" s="156">
        <f>IF(OR(O54="",P54=""),"",IF(OR(Y54&gt;0,Z54&gt;0,AB54&gt;0),VLOOKUP(KitchenHandleType,FixedListsHandleType,3,FALSE),0))</f>
        <v>0</v>
      </c>
      <c r="AD54" s="156">
        <f>IF(OR(O54="",P54=""),"",IF(OR(ISERROR(FIND("carcass",$A54))=FALSE,ISERROR(FIND("unit",$A54))=FALSE),VLOOKUP(KitchenCarcassFinish,FixedListsFinishes,3,0),IF(OR(ISERROR(FIND("door",$A54))=FALSE,ISERROR(FIND("Plinth",$A54))=FALSE,ISERROR(FIND("Cornice",$A54))=FALSE,ISERROR(FIND("Fillers",$A54))=FALSE,ISERROR(FIND("Pelmet",$A54))=FALSE,ISERROR(FIND("panel",$A54))=FALSE,ISERROR(FIND("post",$A54))=FALSE),VLOOKUP(KitchenDoorFinish,FixedListsFinishes,3,0),IF(OR(ISERROR(FIND("drawer",$A54))=FALSE,ISERROR(FIND("insert",$A54))=FALSE,ISERROR(FIND("rck",$A54))=FALSE),VLOOKUP(KitchenCarcassFinish,FixedListsFinishes,3,0),0))))</f>
        <v>0</v>
      </c>
      <c r="AE54" s="156">
        <f t="shared" si="6"/>
        <v>1</v>
      </c>
      <c r="AF54" s="157" t="str">
        <f>IF(AND(KitchenHandleType="Channel",OR(ISERROR(FIND("arcass",$A54))=FALSE,ISERROR(FIND("unit",$A54))=FALSE)),IF(ISERROR(FIND("Tower",$A54))=TRUE,IF(KitchenHandleFinish="Match carcass",IF(ISERROR(FIND("Walnut",KitchenCarcassMaterial))=FALSE,(0.035*0.075*($C54/1000))*VLOOKUP("Walnut (solid m3)",SolidData,4,FALSE),IF(ISERROR(FIND("Oak",KitchenCarcassMaterial))=FALSE,(0.035*0.075*($C54/1000))*VLOOKUP("Oak (solid m3)",SolidData,4,FALSE),IF(ISERROR(FIND("ply",KitchenCarcassMaterial))=FALSE,(0.1*($C54/1000))*VLOOKUP("Birch ply (24mm)",SheetsData,7,FALSE),IF(ISERROR(FIND("H/F",KitchenCarcassMaterial))=FALSE,(0.1*($C54/1000))*VLOOKUP("H/F (22mm)",SheetsData,7,FALSE),"Carcass - not tower - new material")))),IF(KitchenHandleFinish="Match door",IF(ISERROR(FIND("Walnut",KitchenDoorMaterial))=FALSE,(0.035*0.075*($C54/1000))*VLOOKUP("Walnut (solid m3)",SolidData,4,FALSE),IF(ISERROR(FIND("Oak",KitchenDoorMaterial))=FALSE,(0.035*0.075*($C54/1000))*VLOOKUP("Oak (solid m3)",SolidData,4,FALSE),IF(ISERROR(FIND("ply",KitchenDoorMaterial))=FALSE,(0.1*($C54/1000))*VLOOKUP("Birch ply (24mm)",SheetsData,7,FALSE),IF(ISERROR(FIND("H/F",KitchenCarcassMaterial))=FALSE,(0.1*($C54/1000))*VLOOKUP("H/F (22mm)",SheetsData,7,FALSE),"Door - not tower - new material")))),"Channel - not tower - handle set to other")),IF(ISERROR(FIND("Tower",$A54))=FALSE,IF(KitchenHandleFinish="Match carcass",IF(ISERROR(FIND("Walnut",KitchenCarcassMaterial))=FALSE,(0.035*0.075*($B54/1000))*VLOOKUP("Walnut (solid m3)",SolidData,4,FALSE),IF(ISERROR(FIND("Oak",KitchenCarcassMaterial))=FALSE,(0.035*0.075*($B54/1000))*VLOOKUP("Oak (solid m3)",SolidData,4,FALSE),IF(ISERROR(FIND("ply",KitchenCarcassMaterial))=FALSE,(0.1*($B54/1000))*VLOOKUP("Birch ply (24mm)",SheetsData,7,FALSE),IF(ISERROR(FIND("H/F",KitchenCarcassMaterial))=FALSE,(0.1*($C54/1000))*VLOOKUP("H/F (22mm)",SheetsData,7,FALSE),"Carcass - tower - new material")))),IF(KitchenHandleFinish="Match door",IF(ISERROR(FIND("Walnut",KitchenDoorMaterial))=FALSE,(0.035*0.075*($B54/1000))*VLOOKUP("Walnut (solid m3)",SolidData,4,FALSE),IF(ISERROR(FIND("Oak",KitchenDoorMaterial))=FALSE,(0.035*0.075*($B54/1000))*VLOOKUP("Oak (solid m3)",SolidData,4,FALSE),IF(ISERROR(FIND("ply",KitchenDoorMaterial))=FALSE,(0.1*($B54/1000))*VLOOKUP("Birch ply (24mm)",SheetData,7,FALSE),IF(ISERROR(FIND("H/F",KitchenCarcassMaterial))=FALSE,(0.1*($C54/1000))*VLOOKUP("H/F (22mm)",SheetsData,7,FALSE),"Door - tower - new material")))),"Channel - tower - handle set to other")))),"")</f>
        <v/>
      </c>
    </row>
    <row r="55">
      <c r="A55" s="150" t="s">
        <v>163</v>
      </c>
      <c r="B55" s="115" t="str">
        <f t="shared" si="1"/>
        <v/>
      </c>
      <c r="C55" s="115" t="str">
        <f>IFERROR(__xludf.DUMMYFUNCTION("IF(A55="""","""",IF(OR(RIGHT(A55,LEN(A55)-len(regexextract(A55,"".* "")))=""1200"",RIGHT(A55,LEN(A55)-len(regexextract(A55,"".* "")))=""600"",RIGHT(A55,LEN(A55)-len(regexextract(A55,"".* "")))=""400"",RIGHT(A55,LEN(A55)-len(regexextract(A55,"".* "")))=""3"&amp;"00"",RIGHT(A55,LEN(A55)-len(regexextract(A55,"".* "")))=""700"",RIGHT(A55,LEN(A55)-len(regexextract(A55,"".* "")))=""2400"",RIGHT(A55,LEN(A55)-len(regexextract(A55,"".* "")))=""650"",RIGHT(A55,LEN(A55)-len(regexextract(A55,"".* "")))=""350"",RIGHT(A55,LEN"&amp;"(A55)-len(regexextract(A55,"".* "")))=""50""),RIGHT(A55,LEN(A55)-len(regexextract(A55,"".* ""))),IF(OR(ISERROR(FIND(""spacer"",A55))=FALSE,ISERROR(FIND(""filler panel"",A55))=FALSE),""1000"",""Unexpected size in description"")))"),"400")</f>
        <v>400</v>
      </c>
      <c r="D55" s="151">
        <f t="shared" si="2"/>
        <v>600</v>
      </c>
      <c r="E55" s="152">
        <f>IFERROR(__xludf.DUMMYFUNCTION("IF(OR(A55="""",AND(ISERROR(FIND(""drawer box"",A55))=FALSE,KitchenDrawerType="""")),"""",IF(OR(ISERROR(FIND(""larder"",A55))=FALSE,ISERROR(FIND(""fridge/freezer"",A55))=FALSE,ISERROR(FIND(""double oven"",A55))=FALSE,ISERROR(FIND(""single oven"",A55))=FALS"&amp;"E),VLOOKUP(LEFT(A55,FIND("" "",A55))&amp;""carcass ""&amp;RIGHT(A55,LEN(A55)-(LEN(A55)-3)),KitchensData,5,0),IF(ISERROR(FIND(""sink"",A55))=FALSE,VLOOKUP(LEFT(A55,FIND("" "",A55))&amp;""carcass ""&amp;VALUE(REGEXREPLACE(A55,""[^[:digit:]]"", """")),KitchensData,5,0)+(((C"&amp;"55/1000)*(300/1000))*VLOOKUP(KitchenCarcassMaterial,SheetsData,8,0)),IF(ISERROR(FIND(""bins"",A55))=FALSE,IF(ISERROR(FIND(""veneer"",KitchenCarcassMaterial))=FALSE,VLOOKUP(""Base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600"",A55))=FALSE,IF(ISERROR(FIND(""veneer"""&amp;",KitchenCarcassMaterial))=FALSE,0.54*(VLOOKUP(LEFT(KitchenCarcassMaterial,FIND(""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1200"",A55))=FALSE,"&amp;"IF(ISERROR(FIND(""veneer"",KitchenCarcassMaterial))=FALSE,0.84*(VLOOKUP(LEFT(KitchenCarcassMaterial,FIND(""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600"",A55))=FALSE,IF(ISERROR(FIND(""veneer"",KitchenCarcassMaterial))=FALSE,1.44*(VLOOKUP(LEFT(KitchenCarcassMaterial,FIND(""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1200"",A55))=FALSE,IF(ISERROR(FIND(""veneer"",KitchenCarcassMaterial))=FALSE,2.7*(VLOOKUP(LEFT(KitchenCarcassMaterial,FIND(""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front"",A55))=FALSE,((B55/1000)*(C55/1000))*VLOOKUP(KitchenDoorMaterial,SheetsData,8,0),IF(AND(KitchenDrawerType=""Match carcass"",ISERROR(FIND(""drawer box"",A55))=FALSE),(((((B55/1000)*(C55/1000))+((B55/1000"&amp;")*(D55/1000)))*2)*VLOOKUP(KitchenCarcassMaterial,SheetsData,8,0))+(((C55/1000)*(D55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box"",A55))=FALSE),(((((B55/1000)*(C55/1000))+((B55/1000)*(D55/1000)))*2)*(16/1000)*VLOOKUP(LEFT(KitchenCarcassMaterial,FIND("" "&amp;""",KitchenCarcassMaterial))&amp;""(solid m3)"",SolidData,5,0))+(((C55/1000)*(D55/1000))*VLOOKUP(LEFT(KitchenCarcassMaterial,FIND(""("",KitchenCarcassMaterial)-1)&amp;IF(OR(ISERROR(FIND(""ply"",KitchenCarcassMaterial))=FALSE,ISERROR(FIND(""H/F"",KitchenCarcassMate"&amp;"rial))=FALSE),""(9mm)"",""(10mm)""),SheetsData,8,0)),IF(ISERROR(FIND(""spacer"",A55))=FALSE,((D55/1000)*(C55/1000))*VLOOKUP(""Poplar ply (18mm)"",SheetsData,8,0),IF(ISERROR(FIND(""filler panel"",A55))=FALSE,((B55/1000)*(C55/1000))*VLOOKUP(KitchenDoorMater"&amp;"ial,SheetsData,8,0),IF(ISERROR(FIND(""shelf"",A55))=FALSE,((D55/1000)*(C55/1000))*VLOOKUP(KitchenCarcassMaterial,SheetsData,8,0),IF(ISERROR(FIND(""lost corner"",A55))=FALSE,VLOOKUP(LEFT(A55,FIND("" "",A55))&amp;""carcass ""&amp;VALUE(REGEXREPLACE(A55,""[^[:digit:"&amp;"]]"", """")),KitchensData,5,0)+((((B55/1000)*(C55/1000))+((B55/1000)*(60/1000)))*VLOOKUP(KitchenCarcassMaterial,SheetsData,8,0)),IF(ISERROR(FIND(""carcass"",A55))=FALSE,(((((B55/1000)*2)*(D55/1000))+(((C55/1000)*2)*(D55/1000)))*VLOOKUP(KitchenCarcassMater"&amp;"ial,SheetsData,8,0))+((B55/1000)*(C55/1000))*VLOOKUP(LEFT(KitchenCarcassMaterial,FIND(""("",KitchenCarcassMaterial)-1)&amp;IF(OR(ISERROR(FIND(""ply"",KitchenCarcassMaterial))=FALSE,ISERROR(FIND(""H/F"",KitchenCarcassMaterial))=FALSE),""(9mm)"",""(10mm)""),She"&amp;"etsData,8,0),IF(OR(ISERROR(FIND(""Plinth"",A55))=FALSE,ISERROR(FIND(""Cornice (flat)"",A55))=FALSE),((B55/1000)*(C55/1000))*VLOOKUP(""H/F (18mm)"",SheetsData,8,0),IF(ISERROR(FIND(""Cornice (stacked)"",A55))=FALSE,((0.08*(C55/1000))*2)*VLOOKUP(""H/F (22mm)"&amp;""",SheetsData,8,0),IF(ISERROR(FIND(""Base end panel"",A55))=FALSE,VLOOKUP(KitchenDoorMaterial,SheetsData,5,0)/3,IF(ISERROR(FIND(""Wall end panel"",A55))=FALSE,VLOOKUP(KitchenDoorMaterial,SheetsData,5,0)/9,IF(ISERROR(FIND(""Tower end panel"",A55))=FALSE,VL"&amp;"OOKUP(KitchenDoorMaterial,SheetsData,5,0),IF(ISERROR(FIND(""Fillers"",A55))=FALSE,(((0.06*(C55/1000))*2)*VLOOKUP(""H/F (18mm)"",SheetsData,8,0))+(((0.06*(C55/1000))*2)*VLOOKUP(""H/F (9mm)"",SheetsData,8,0)),IF(ISERROR(FIND(""corner post"",A55))=FALSE,(((B"&amp;"55/1000)*0.05)*2)*VLOOKUP(KitchenDoorMaterial,SheetsData,8,0),IF(ISERROR(FIND(""Pelmet"",A55))=FALSE,((((B55/1000)*(C55/1000))*2)*VLOOKUP(""H/F (18mm)"",SheetsData,8,0)),IF(ISERROR(FIND(""door"",A55))=TRUE,""Check description"",IF(KitchenDoorStyle=""Flat"&amp;""",((B55/1000)*(C55/1000))*VLOOKUP(KitchenDoorMaterial,SheetsData,8,0),IF(LEFT(KitchenDoorStyle,5)=""Panel"",(((((B55/1000)*2)*0.08)+((((C55/1000)-0.16)*2)*0.08))*VLOOKUP(""H/F (22mm)"",SheetsData,8,0))+(((B55/1000)-0.14)*((C55/1000)-0.14)*VLOOKUP(""H/F ("&amp;"9mm)"",SheetsData,8,0)),IF(KitchenDoorStyle=""In-frame flat"",((((((B55/1000)*0.019)*0.038)+((((C55-38)/1000)*0.038)*0.038))*2)*VLOOKUP(""Tulip (solid m3)"",SolidData,5,0))+(((B55-76)/1000)*((C55-38)/1000))*VLOOKUP(""H/F (22mm)"",SheetsData,8,0),IF(LEFT(K"&amp;"itchenDoorStyle,14)=""In-frame panel"",(((((((B55/1000)*0.019)*0.038)+((((C55-38)/1000)*0.038)*0.038))*2)*VLOOKUP(""Tulip (solid m3)"",SolidData,5,0))+(((((((B55-76)/1000)*2)*0.08)+(((((C55-198)/1000)*2)*0.08)))*VLOOKUP(""H/F (22mm)"",SheetsData,8,0))+((("&amp;"B55-216)/1000)*((C55-178)/1000)*VLOOKUP(""H/F (9mm)"",SheetsData,8,0)))))))))))))))))))))))))))))))))"),7.977694168234346)</f>
        <v>7.977694168</v>
      </c>
      <c r="F55" s="152">
        <f>IFERROR(__xludf.DUMMYFUNCTION("IF(OR(A55="""",AND(ISERROR(FIND(""drawer box"",A55))=FALSE,KitchenDrawerType=""Solid dovetail"")),"""",IF(ISERROR(FIND(""bins"",A55))=FALSE,VLOOKUP(""Base carcass 600"",KitchensData,6,0),IF(OR(ISERROR(FIND(""larder"",A55))=FALSE,ISERROR(FIND(""unit"",A55)"&amp;")=FALSE),VLOOKUP(LEFT(A55,FIND("" "",A55))&amp;""carcass ""&amp;RIGHT(A55,LEN(A55)-len(regexextract(A55,"".* ""))),KitchensData,6,0),IF(ISERROR(FIND(""drawer front"",A55))=FALSE,IF(ISERROR(FIND(""veneer"",KitchenCarcassMaterial))=TRUE,0,(((B55+C55)/1000)*2)*VLOOK"&amp;"UP(""Edge banding (per M)"",SheetsData,5,0)),IF(ISERROR(FIND(""drawer box"",A55))=FALSE,IF(ISERROR(FIND(""veneer"",KitchenCarcassMaterial))=TRUE,0,(((C55+D55)/1000)*2)*VLOOKUP(""Edge banding (per M)"",SheetsData,5,0)),IF(ISERROR(FIND(""shelf"",A55))=FALSE"&amp;",IF(ISERROR(FIND(""veneer"",KitchenCarcassMaterial))=TRUE,0,(C55/1000)*VLOOKUP(""Edge banding (per M)"",SheetsData,5,0)),IF(AND(ISERROR(FIND(""carcass"",A55))=FALSE,ISERROR(FIND(""shelf"",A55))=TRUE),IF(ISERROR(FIND(""veneer"",KitchenCarcassMaterial))=TRU"&amp;"E,0,((2*(B55+C55))/1000)*VLOOKUP(""Edge banding (per M)"",SheetsData,5,0)),IF(ISERROR(FIND(""door"",A55))=TRUE,"""",IF(ISERROR(FIND(""veneer"",KitchenDoorMaterial))=TRUE,"""",((2*(B55+C55))/1000)*VLOOKUP(""Edge banding (per M)"",SheetsData,5,0))))))))))"),0.0)</f>
        <v>0</v>
      </c>
      <c r="G55" s="153" t="str">
        <f>IF(A55="","",IF(ISERROR(FIND("bins",A55))=FALSE,VLOOKUP("Base carcass 600",KitchensData,7,0),IF(OR(ISERROR(FIND("larder",A55))=FALSE,ISERROR(FIND("fridge/freezer",A55))=FALSE,ISERROR(FIND("double oven",A55))=FALSE,ISERROR(FIND("single oven",A55))=FALSE),VLOOKUP(LEFT(A55,FIND(" ",A55))&amp;"carcass "&amp;RIGHT(A55,LEN(A55)-(LEN(A55)-3)),KitchensData,7,0),IF(AND(ISERROR(FIND("carcass",A55))=FALSE,ISERROR(FIND("shelf",A55))=TRUE),IF(OR(ISERROR(FIND("Base",A55))=FALSE,ISERROR(FIND("Tower",A55))=FALSE),IF(OR(ISERROR(FIND("1200",A55))=FALSE, ISERROR(FIND("lost corner",A55))=FALSE),6*VLOOKUP("Plinth foot (2 Parts 80mm)",FurnitureData,5,0),4*VLOOKUP("Plinth foot (2 Parts 80mm)",FurnitureData,5,0)),""),""))))</f>
        <v/>
      </c>
      <c r="H55" s="115" t="str">
        <f>IF(OR(A55="",ISERROR(FIND("door",A55))=TRUE),"",IF(ISERROR(FIND("Wall",A55))=FALSE,VLOOKUP("Hinges &amp; plates (Hettich thick door)",FurnitureData,5,0)*2,IF(ISERROR(FIND("Base",A55))=FALSE,VLOOKUP("Hinges &amp; plates (Hettich thick door)",FurnitureData,5,0)*3,IF(ISERROR(FIND("Boiler",A55))=FALSE,VLOOKUP("Hinges &amp; plates (Hettich thick door)",FurnitureData,5,0)*4,IF(ISERROR(FIND("Tower",A55))=FALSE,VLOOKUP("Hinges &amp; plates (Hettich thick door)",FurnitureData,5,0)*5)))))</f>
        <v/>
      </c>
      <c r="I55" s="153">
        <f>IF(ISERROR(FIND("shelf",A55))=FALSE,(VLOOKUP("Shelf pegs",FurnitureData,5,0)/100)*4,"")</f>
        <v>0.2624</v>
      </c>
      <c r="J55" s="152" t="str">
        <f>IF(OR(ISERROR(FIND("fridge/freezer",A55))=FALSE,ISERROR(FIND("larder",A55))=FALSE,AND(ISERROR(FIND("Base",A55))=FALSE,ISERROR(FIND("bins",A55))=TRUE,ISERROR(FIND("no shelves",A55))=TRUE,OR(ISERROR(FIND("carcass",A55))=FALSE,ISERROR(FIND("unit",A55))=FALSE))),VLOOKUP("Deep shelf "&amp;C55,KitchensData,18,0),IF(AND(ISERROR(FIND("Wall",A55))=FALSE,ISERROR(FIND("carcass",A55))=FALSE),2*VLOOKUP("Shallow shelf "&amp;C55,KitchensData,18,0),IF(AND(ISERROR(FIND("Tower",A55))=FALSE,ISERROR(FIND("oven",A55))=FALSE),4*VLOOKUP("Deep shelf "&amp;C55,KitchensData,18,0),IF(AND(ISERROR(FIND("Tower",A55))=FALSE,ISERROR(FIND("carcass",A55))=FALSE),5*VLOOKUP("Deep shelf "&amp;C55,KitchensData,18,0),""))))</f>
        <v/>
      </c>
      <c r="K55" s="152" t="str">
        <f>IF(ISERROR(FIND("sink",A55))=FALSE,VLOOKUP("Sink liner - Aluminium "&amp;RIGHT(A55,LEN(A55)-22)&amp;"mm",ExceptionalData,5,0),IF(ISERROR(FIND("bins",A55))=FALSE,VLOOKUP("Drawer runners and clip set for bin unit (500) Dynapro",FurnitureData,5,0)+(2*VLOOKUP("Bin (42L Anthracite)",FurnitureData,5,0)),IF(ISERROR(FIND("larder",A55))=FALSE,VLOOKUP("Pull out larder unit 600mm",FurnitureData,5,0),IF(AND(ISERROR(FIND("drawer box",A55))=FALSE,ISERROR(FIND("internal",A55))=TRUE),VLOOKUP("Drawer runners and clip set (550) Dynapro",FurnitureData,5,0),IF(ISERROR(FIND("internal drawer box",A55))=FALSE,VLOOKUP("Drawer runners and clip set (450) Dynapro",FurnitureData,5,0),"")))))</f>
        <v/>
      </c>
      <c r="L55" s="152">
        <f t="shared" si="3"/>
        <v>8.240094168</v>
      </c>
      <c r="M55" s="154">
        <f>IFERROR(__xludf.DUMMYFUNCTION("IF(A55="""","""",IF(OR(ISERROR(FIND(""larder"",A55))=FALSE,ISERROR(FIND(""unit"",A55))=FALSE),VLOOKUP(LEFT(A55,FIND("" "",A55))&amp;""carcass ""&amp;RIGHT(A55,LEN(A55)-len(regexextract(A55,"".* ""))),KitchensData,13,0),IF(ISERROR(FIND(""bins"",A55))=FALSE,0.95,IF"&amp;"(ISERROR(FIND(""Cutlery insert 600"",A55))=FALSE,1.3,IF(ISERROR(FIND(""Cutlery insert 1200"",A55))=FALSE,2,IF(ISERROR(FIND(""Pan/tray rack 600"",A55))=FALSE,3.25,IF(ISERROR(FIND(""Pan/tray rack 1200"",A55))=FALSE,5.9,IF(ISERROR(FIND(""split"",A55))=FALSE,"&amp;"(((C55/1000)*0.022)*2)+VLOOKUP(SUBSTITUTE(A55,"" split"",""""),KitchensData,13,0),IF(AND(ISERROR(FIND(""drawer front"",A55))=FALSE,KitchenDoorStyle=""Flat""),(((B55/1000)*(C55/1000))*2)+((((B55+C55)/1000)*2)*0.022),IF(AND(ISERROR(FIND(""drawer front"",A55"&amp;"))=FALSE,LEFT(KitchenDoorStyle,5)=""Panel""),(((B55/1000)*(C55/1000))*2)+((((B55+C55)/1000)*2)*0.022)+((((C55/1000)-0.16)*0.013)*2)+((((D55/1000)-0.16)*0.013)*2),IF(AND(ISERROR(FIND(""drawer front"",A55))=FALSE,KitchenDoorStyle=""In-frame flat""),((((B55-"&amp;"76)/1000)*((C55-38)/1000))*2)+(MID(KitchenDoorMaterial,FIND(""("",KitchenDoorMaterial)+1,2)/1000)*((((B55-76)+(C55-38))/1000)*2)+(((B55/1000)*0.032)*2)+((((B55-76)/1000)*0.032)*2)+(((B55/1000)*0.019)*4)+(((C55/1000)*0.032)*2)+((((C55-38)/1000)*0.032)*2)+("&amp;"((C55/1000)*0.038)*4),IF(AND(ISERROR(FIND(""drawer front"",A55))=FALSE,LEFT(KitchenDoorStyle,14)=""In-frame panel""),((((B55-76)/1000)*((C55-38)/1000))*2)+((MID(KitchenDoorMaterial,FIND(""("",KitchenDoorMaterial)+1,2)/1000)*((((B55-76)+(C55-38))/1000)*2))"&amp;"+((((B55-236)/1000)+((C55-198)/1000)*2)*0.013)+(((B55/1000)*0.032)*2)+((((B55-76)/1000)*0.032)*2)+(((B55/1000)*0.019)*4)+(((C55/1000)*0.032)*2)+((((C55-38)/1000)*0.032)*2)+(((C55/1000)*0.038)*4),IF(ISERROR(FIND(""drawer box"",A55))=FALSE,((((B55/1000)*(D5"&amp;"5/1000))+((B55/1000)*(C55/1000)))*4)+((((D55/1000)+(C55/1000))*0.016)*4)+(((C55/1000)*(D55/1000))*2),IF(OR(ISERROR(FIND(""shelf"",A55))=FALSE,ISERROR(FIND(""spacer"",A55))=FALSE,,ISERROR(FIND(""filler panel"",A55))=FALSE),(((C55/1000)*(D55/1000))*2)+((((C"&amp;"55+D55)*2)/1000)*0.022),IF(ISERROR(FIND(""lost corner"",A55))=FALSE,(((B55/1000)*(C55/1000))*2)+((B55/1000)*(C55/1000))+((B55/1000)*((C55/2)/1000))+((((B55/1000)*0.025)+((C55/1000)*0.025))*2),IF(ISERROR(FIND(""carcass"",A55))=FALSE,(((C55/1000)*(D55/1000)"&amp;")*2)+(((B55/1000)*(D55/1000))*2)+((B55/1000)*(C55/1000))+((((B55/1000)*0.025)+((C55/1000)*0.025))*2),IF(AND(ISERROR(FIND(""door"",A55))=FALSE,KitchenDoorStyle=""Flat""),(((B55/1000)*(C55/1000))*2)+(MID(KitchenDoorMaterial,FIND(""("",KitchenDoorMaterial)+1"&amp;",2)/1000)*(((B55+C55)/1000)*2),IF(AND(ISERROR(FIND(""door"",A55))=FALSE,LEFT(KitchenDoorStyle,5)=""Panel""),(((B55/1000)*(C55/1000))*2)+((MID(KitchenDoorMaterial,FIND(""("",KitchenDoorMaterial)+1,2)/1000)*(((B55+C55)/1000)*2))+(((((B55-160)+(C55-160))*2)/"&amp;"1000)*(0.013)),IF(AND(ISERROR(FIND(""door"",A55))=FALSE,KitchenDoorStyle=""In-frame flat""),((((B55-76)/1000)*((C55-38)/1000))*2)+(MID(KitchenDoorMaterial,FIND(""("",KitchenDoorMaterial)+1,2)/1000)*((((B55-76)+(C55-38))/1000)*2)+(((B55/1000)*0.032)*2)+((("&amp;"(B55-76)/1000)*0.032)*2)+(((B55/1000)*0.019)*4)+(((C55/1000)*0.032)*2)+((((C55-38)/1000)*0.032)*2)+(((C55/1000)*0.038)*4),IF(AND(ISERROR(FIND(""door"",A55))=FALSE,LEFT(KitchenDoorStyle,14)=""In-frame panel""),((((B55-76)/1000)*((C55-38)/1000))*2)+((MID(Ki"&amp;"tchenDoorMaterial,FIND(""("",KitchenDoorMaterial)+1,2)/1000)*((((B55-76)+(C55-38))/1000)*2))+((((B55-236)/1000)+((C55-198)/1000)*2)*0.013)+(((B55/1000)*0.032)*2)+((((B55-76)/1000)*0.032)*2)+(((B55/1000)*0.019)*4)+(((C55/1000)*0.032)*2)+((((C55-38)/1000)*0"&amp;".032)*2)+(((C55/1000)*0.038)*4),IF(ISERROR(FIND(""Plinth"",A55))=FALSE,((B55/1000)*(C55/1000))+(((C55/1000)*0.018)*2)+(((B55/1000)*0.018)*2),IF(ISERROR(FIND(""Cornice"",A55))=FALSE,(((C55/1000)*0.1)*2)+(((C55/1000)*0.044)*2)+(((B55/1000)*0.08)*2),IF(ISERR"&amp;"OR(FIND(""Base end panel"",A55))=FALSE,((B55/1000)*(C55/1000))+(0.022*((B55/1000)+((C55/1000)*2)))+((B55/1000)*0.05),IF(ISERROR(FIND(""Wall end panel"",A55))=FALSE,((B55/1000)*(C55/1000))+(0.022*((B55/1000)+((C55/1000)*2)))+((B55/1000)*0.05),IF(ISERROR(FI"&amp;"ND(""Tower end panel"",A55))=FALSE,((B55/1000)*(C55/1000))+(0.022*((B55/1000)+((C55/1000)*2)))+((B55/1000)*0.05),IF(ISERROR(FIND(""Fillers"",A55))=FALSE,((C55/1000)*0.06)+((C55/1000)*0.069)+((0.06*0.018)*2)+((0.06*0.009)*2)+((C55/1000)*0.009)+((C55/1000)*"&amp;"0.018),IF(ISERROR(FIND(""corner post"",A55))=FALSE,(((B55/1000*0.05)*2)+((B55/1000)*0.022)*2)+((B55/1000)*0.072)+((B55/1000)*0.05)+((0.072*0.022)*2)+((0.05*0.022)*2),IF(ISERROR(FIND(""Pelmet"",A55))=FALSE,((C55/1000)*0.05)+((C55/1000)*0.068)+((0.05*0.018)"&amp;"*4)+(((C55/1000)*0.018))*2))))))))))))))))))))))))))))"),0.524)</f>
        <v>0.524</v>
      </c>
      <c r="N55" s="152">
        <f>IF(M55="","",IF(AND(ISERROR(FIND("carcass",A55))=TRUE,ISERROR(FIND("unit",A55))=TRUE,ISERROR(FIND("insert",A55))=TRUE,ISERROR(FIND("rack",A55))=TRUE,ISERROR(FIND("box",A55))=TRUE,ISERROR(FIND("shelf",#REF!))=TRUE),VLOOKUP(KitchenDoorFinish,Finishing!$A$2:$K$10,9,0)*M55,VLOOKUP(KitchenCarcassFinish,Finishing!$A$2:$K$40,9,0)*M55))</f>
        <v>3.93</v>
      </c>
      <c r="O55" s="155">
        <v>0.5</v>
      </c>
      <c r="P55" s="155">
        <v>0.5</v>
      </c>
      <c r="Q55" s="152">
        <f>IF(OR(O55="",P55=""),"",((O55*X55)*(VLOOKUP("Workshop",Labour!$A$3:$E$20,4,0)/8))+((P55*AE55)*(VLOOKUP("Finishing",Labour!$A$3:$E$20,4,0)/8)))</f>
        <v>35.875</v>
      </c>
      <c r="R55" s="152">
        <f t="shared" si="4"/>
        <v>48.04509417</v>
      </c>
      <c r="S55" s="156">
        <f>IF(OR(O55="",P55=""),"",IF(OR(ISERROR(FIND("carcass",$A55))=FALSE,ISERROR(FIND("unit",$A55))=FALSE),VLOOKUP(KitchenCarcassMaterial,FixedListsCarcassMaterial,2,0),0))</f>
        <v>0</v>
      </c>
      <c r="T55" s="156">
        <f>IF(OR(O55="",P55=""),"",IF(ISERROR(FIND("door",$A55))=FALSE,VLOOKUP(KitchenDoorStyle,FixedListsDoorStyle,2,0),0))</f>
        <v>0</v>
      </c>
      <c r="U55" s="156">
        <f>IF(OR(O55="",P55=""),"",IF(ISERROR(FIND("door",$A55))=FALSE,VLOOKUP(KitchenDoorMaterial,FixedListsDoorMaterial,2,0),0))</f>
        <v>0</v>
      </c>
      <c r="V55" s="156">
        <f>IF(OR(O55="",P55=""),"",IF(ISERROR(FIND("drawer",$A55))=FALSE,VLOOKUP(KitchenDrawerType,FixedListsDrawerType,2,0),0))</f>
        <v>0</v>
      </c>
      <c r="W55" s="156">
        <f>IF(OR(O55="",P55=""),"",IF(OR(S55&gt;0, T55&gt;0,V55&gt;0),VLOOKUP(KitchenHandleType,FixedListsHandleType,2,FALSE)*IF(KitchenHandleType="Simple",0,IF(S55&gt;0,VLOOKUP(KitchenHandleType,FixedListsHandleType,4,FALSE),IF(OR(T55&gt;0,V55&gt;0),1-VLOOKUP(KitchenHandleType,FixedListsHandleType,4,FALSE),"Error"))),0))</f>
        <v>0</v>
      </c>
      <c r="X55" s="156">
        <f t="shared" si="5"/>
        <v>1</v>
      </c>
      <c r="Y55" s="156">
        <f>IF(OR(O55="",P55=""),"",IF(OR(ISERROR(FIND("carcass",$A55))=FALSE,ISERROR(FIND("unit",$A55))=FALSE),VLOOKUP(KitchenCarcassMaterial,FixedListsCarcassMaterial,3,0),0))</f>
        <v>0</v>
      </c>
      <c r="Z55" s="156">
        <f>IF(OR(O55="",P55=""),"",IF(ISERROR(FIND("door",$A55))=FALSE,VLOOKUP(KitchenDoorStyle,FixedListsDoorStyle,3,0),0))</f>
        <v>0</v>
      </c>
      <c r="AA55" s="156">
        <f>IF(OR(O55="",P55=""),"",IF(ISERROR(FIND("door",$A55))=FALSE,VLOOKUP(KitchenDoorMaterial,FixedListsDoorMaterial,3,0),0))</f>
        <v>0</v>
      </c>
      <c r="AB55" s="156">
        <f>IF(OR(O55="",P55=""),"",IF(ISERROR(FIND("drawer",$A55))=FALSE,VLOOKUP(KitchenDrawerType,FixedListsDrawerType,3,0),0))</f>
        <v>0</v>
      </c>
      <c r="AC55" s="156">
        <f>IF(OR(O55="",P55=""),"",IF(OR(Y55&gt;0,Z55&gt;0,AB55&gt;0),VLOOKUP(KitchenHandleType,FixedListsHandleType,3,FALSE),0))</f>
        <v>0</v>
      </c>
      <c r="AD55" s="156">
        <f>IF(OR(O55="",P55=""),"",IF(OR(ISERROR(FIND("carcass",$A55))=FALSE,ISERROR(FIND("unit",$A55))=FALSE),VLOOKUP(KitchenCarcassFinish,FixedListsFinishes,3,0),IF(OR(ISERROR(FIND("door",$A55))=FALSE,ISERROR(FIND("Plinth",$A55))=FALSE,ISERROR(FIND("Cornice",$A55))=FALSE,ISERROR(FIND("Fillers",$A55))=FALSE,ISERROR(FIND("Pelmet",$A55))=FALSE,ISERROR(FIND("panel",$A55))=FALSE,ISERROR(FIND("post",$A55))=FALSE),VLOOKUP(KitchenDoorFinish,FixedListsFinishes,3,0),IF(OR(ISERROR(FIND("drawer",$A55))=FALSE,ISERROR(FIND("insert",$A55))=FALSE,ISERROR(FIND("rck",$A55))=FALSE),VLOOKUP(KitchenCarcassFinish,FixedListsFinishes,3,0),0))))</f>
        <v>0</v>
      </c>
      <c r="AE55" s="156">
        <f t="shared" si="6"/>
        <v>1</v>
      </c>
      <c r="AF55" s="157" t="str">
        <f>IF(AND(KitchenHandleType="Channel",OR(ISERROR(FIND("arcass",$A55))=FALSE,ISERROR(FIND("unit",$A55))=FALSE)),IF(ISERROR(FIND("Tower",$A55))=TRUE,IF(KitchenHandleFinish="Match carcass",IF(ISERROR(FIND("Walnut",KitchenCarcassMaterial))=FALSE,(0.035*0.075*($C55/1000))*VLOOKUP("Walnut (solid m3)",SolidData,4,FALSE),IF(ISERROR(FIND("Oak",KitchenCarcassMaterial))=FALSE,(0.035*0.075*($C55/1000))*VLOOKUP("Oak (solid m3)",SolidData,4,FALSE),IF(ISERROR(FIND("ply",KitchenCarcassMaterial))=FALSE,(0.1*($C55/1000))*VLOOKUP("Birch ply (24mm)",SheetsData,7,FALSE),IF(ISERROR(FIND("H/F",KitchenCarcassMaterial))=FALSE,(0.1*($C55/1000))*VLOOKUP("H/F (22mm)",SheetsData,7,FALSE),"Carcass - not tower - new material")))),IF(KitchenHandleFinish="Match door",IF(ISERROR(FIND("Walnut",KitchenDoorMaterial))=FALSE,(0.035*0.075*($C55/1000))*VLOOKUP("Walnut (solid m3)",SolidData,4,FALSE),IF(ISERROR(FIND("Oak",KitchenDoorMaterial))=FALSE,(0.035*0.075*($C55/1000))*VLOOKUP("Oak (solid m3)",SolidData,4,FALSE),IF(ISERROR(FIND("ply",KitchenDoorMaterial))=FALSE,(0.1*($C55/1000))*VLOOKUP("Birch ply (24mm)",SheetsData,7,FALSE),IF(ISERROR(FIND("H/F",KitchenCarcassMaterial))=FALSE,(0.1*($C55/1000))*VLOOKUP("H/F (22mm)",SheetsData,7,FALSE),"Door - not tower - new material")))),"Channel - not tower - handle set to other")),IF(ISERROR(FIND("Tower",$A55))=FALSE,IF(KitchenHandleFinish="Match carcass",IF(ISERROR(FIND("Walnut",KitchenCarcassMaterial))=FALSE,(0.035*0.075*($B55/1000))*VLOOKUP("Walnut (solid m3)",SolidData,4,FALSE),IF(ISERROR(FIND("Oak",KitchenCarcassMaterial))=FALSE,(0.035*0.075*($B55/1000))*VLOOKUP("Oak (solid m3)",SolidData,4,FALSE),IF(ISERROR(FIND("ply",KitchenCarcassMaterial))=FALSE,(0.1*($B55/1000))*VLOOKUP("Birch ply (24mm)",SheetsData,7,FALSE),IF(ISERROR(FIND("H/F",KitchenCarcassMaterial))=FALSE,(0.1*($C55/1000))*VLOOKUP("H/F (22mm)",SheetsData,7,FALSE),"Carcass - tower - new material")))),IF(KitchenHandleFinish="Match door",IF(ISERROR(FIND("Walnut",KitchenDoorMaterial))=FALSE,(0.035*0.075*($B55/1000))*VLOOKUP("Walnut (solid m3)",SolidData,4,FALSE),IF(ISERROR(FIND("Oak",KitchenDoorMaterial))=FALSE,(0.035*0.075*($B55/1000))*VLOOKUP("Oak (solid m3)",SolidData,4,FALSE),IF(ISERROR(FIND("ply",KitchenDoorMaterial))=FALSE,(0.1*($B55/1000))*VLOOKUP("Birch ply (24mm)",SheetData,7,FALSE),IF(ISERROR(FIND("H/F",KitchenCarcassMaterial))=FALSE,(0.1*($C55/1000))*VLOOKUP("H/F (22mm)",SheetsData,7,FALSE),"Door - tower - new material")))),"Channel - tower - handle set to other")))),"")</f>
        <v/>
      </c>
    </row>
    <row r="56">
      <c r="A56" s="150" t="s">
        <v>164</v>
      </c>
      <c r="B56" s="115" t="str">
        <f t="shared" si="1"/>
        <v/>
      </c>
      <c r="C56" s="115" t="str">
        <f>IFERROR(__xludf.DUMMYFUNCTION("IF(A56="""","""",IF(OR(RIGHT(A56,LEN(A56)-len(regexextract(A56,"".* "")))=""1200"",RIGHT(A56,LEN(A56)-len(regexextract(A56,"".* "")))=""600"",RIGHT(A56,LEN(A56)-len(regexextract(A56,"".* "")))=""400"",RIGHT(A56,LEN(A56)-len(regexextract(A56,"".* "")))=""3"&amp;"00"",RIGHT(A56,LEN(A56)-len(regexextract(A56,"".* "")))=""700"",RIGHT(A56,LEN(A56)-len(regexextract(A56,"".* "")))=""2400"",RIGHT(A56,LEN(A56)-len(regexextract(A56,"".* "")))=""650"",RIGHT(A56,LEN(A56)-len(regexextract(A56,"".* "")))=""350"",RIGHT(A56,LEN"&amp;"(A56)-len(regexextract(A56,"".* "")))=""50""),RIGHT(A56,LEN(A56)-len(regexextract(A56,"".* ""))),IF(OR(ISERROR(FIND(""spacer"",A56))=FALSE,ISERROR(FIND(""filler panel"",A56))=FALSE),""1000"",""Unexpected size in description"")))"),"600")</f>
        <v>600</v>
      </c>
      <c r="D56" s="151">
        <f t="shared" si="2"/>
        <v>600</v>
      </c>
      <c r="E56" s="152">
        <f>IFERROR(__xludf.DUMMYFUNCTION("IF(OR(A56="""",AND(ISERROR(FIND(""drawer box"",A56))=FALSE,KitchenDrawerType="""")),"""",IF(OR(ISERROR(FIND(""larder"",A56))=FALSE,ISERROR(FIND(""fridge/freezer"",A56))=FALSE,ISERROR(FIND(""double oven"",A56))=FALSE,ISERROR(FIND(""single oven"",A56))=FALS"&amp;"E),VLOOKUP(LEFT(A56,FIND("" "",A56))&amp;""carcass ""&amp;RIGHT(A56,LEN(A56)-(LEN(A56)-3)),KitchensData,5,0),IF(ISERROR(FIND(""sink"",A56))=FALSE,VLOOKUP(LEFT(A56,FIND("" "",A56))&amp;""carcass ""&amp;VALUE(REGEXREPLACE(A56,""[^[:digit:]]"", """")),KitchensData,5,0)+(((C"&amp;"56/1000)*(300/1000))*VLOOKUP(KitchenCarcassMaterial,SheetsData,8,0)),IF(ISERROR(FIND(""bins"",A56))=FALSE,IF(ISERROR(FIND(""veneer"",KitchenCarcassMaterial))=FALSE,VLOOKUP(""Base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600"",A56))=FALSE,IF(ISERROR(FIND(""veneer"""&amp;",KitchenCarcassMaterial))=FALSE,0.54*(VLOOKUP(LEFT(KitchenCarcassMaterial,FIND(""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1200"",A56))=FALSE,"&amp;"IF(ISERROR(FIND(""veneer"",KitchenCarcassMaterial))=FALSE,0.84*(VLOOKUP(LEFT(KitchenCarcassMaterial,FIND(""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600"",A56))=FALSE,IF(ISERROR(FIND(""veneer"",KitchenCarcassMaterial))=FALSE,1.44*(VLOOKUP(LEFT(KitchenCarcassMaterial,FIND(""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1200"",A56))=FALSE,IF(ISERROR(FIND(""veneer"",KitchenCarcassMaterial))=FALSE,2.7*(VLOOKUP(LEFT(KitchenCarcassMaterial,FIND(""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front"",A56))=FALSE,((B56/1000)*(C56/1000))*VLOOKUP(KitchenDoorMaterial,SheetsData,8,0),IF(AND(KitchenDrawerType=""Match carcass"",ISERROR(FIND(""drawer box"",A56))=FALSE),(((((B56/1000)*(C56/1000))+((B56/1000"&amp;")*(D56/1000)))*2)*VLOOKUP(KitchenCarcassMaterial,SheetsData,8,0))+(((C56/1000)*(D56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box"",A56))=FALSE),(((((B56/1000)*(C56/1000))+((B56/1000)*(D56/1000)))*2)*(16/1000)*VLOOKUP(LEFT(KitchenCarcassMaterial,FIND("" "&amp;""",KitchenCarcassMaterial))&amp;""(solid m3)"",SolidData,5,0))+(((C56/1000)*(D56/1000))*VLOOKUP(LEFT(KitchenCarcassMaterial,FIND(""("",KitchenCarcassMaterial)-1)&amp;IF(OR(ISERROR(FIND(""ply"",KitchenCarcassMaterial))=FALSE,ISERROR(FIND(""H/F"",KitchenCarcassMate"&amp;"rial))=FALSE),""(9mm)"",""(10mm)""),SheetsData,8,0)),IF(ISERROR(FIND(""spacer"",A56))=FALSE,((D56/1000)*(C56/1000))*VLOOKUP(""Poplar ply (18mm)"",SheetsData,8,0),IF(ISERROR(FIND(""filler panel"",A56))=FALSE,((B56/1000)*(C56/1000))*VLOOKUP(KitchenDoorMater"&amp;"ial,SheetsData,8,0),IF(ISERROR(FIND(""shelf"",A56))=FALSE,((D56/1000)*(C56/1000))*VLOOKUP(KitchenCarcassMaterial,SheetsData,8,0),IF(ISERROR(FIND(""lost corner"",A56))=FALSE,VLOOKUP(LEFT(A56,FIND("" "",A56))&amp;""carcass ""&amp;VALUE(REGEXREPLACE(A56,""[^[:digit:"&amp;"]]"", """")),KitchensData,5,0)+((((B56/1000)*(C56/1000))+((B56/1000)*(60/1000)))*VLOOKUP(KitchenCarcassMaterial,SheetsData,8,0)),IF(ISERROR(FIND(""carcass"",A56))=FALSE,(((((B56/1000)*2)*(D56/1000))+(((C56/1000)*2)*(D56/1000)))*VLOOKUP(KitchenCarcassMater"&amp;"ial,SheetsData,8,0))+((B56/1000)*(C56/1000))*VLOOKUP(LEFT(KitchenCarcassMaterial,FIND(""("",KitchenCarcassMaterial)-1)&amp;IF(OR(ISERROR(FIND(""ply"",KitchenCarcassMaterial))=FALSE,ISERROR(FIND(""H/F"",KitchenCarcassMaterial))=FALSE),""(9mm)"",""(10mm)""),She"&amp;"etsData,8,0),IF(OR(ISERROR(FIND(""Plinth"",A56))=FALSE,ISERROR(FIND(""Cornice (flat)"",A56))=FALSE),((B56/1000)*(C56/1000))*VLOOKUP(""H/F (18mm)"",SheetsData,8,0),IF(ISERROR(FIND(""Cornice (stacked)"",A56))=FALSE,((0.08*(C56/1000))*2)*VLOOKUP(""H/F (22mm)"&amp;""",SheetsData,8,0),IF(ISERROR(FIND(""Base end panel"",A56))=FALSE,VLOOKUP(KitchenDoorMaterial,SheetsData,5,0)/3,IF(ISERROR(FIND(""Wall end panel"",A56))=FALSE,VLOOKUP(KitchenDoorMaterial,SheetsData,5,0)/9,IF(ISERROR(FIND(""Tower end panel"",A56))=FALSE,VL"&amp;"OOKUP(KitchenDoorMaterial,SheetsData,5,0),IF(ISERROR(FIND(""Fillers"",A56))=FALSE,(((0.06*(C56/1000))*2)*VLOOKUP(""H/F (18mm)"",SheetsData,8,0))+(((0.06*(C56/1000))*2)*VLOOKUP(""H/F (9mm)"",SheetsData,8,0)),IF(ISERROR(FIND(""corner post"",A56))=FALSE,(((B"&amp;"56/1000)*0.05)*2)*VLOOKUP(KitchenDoorMaterial,SheetsData,8,0),IF(ISERROR(FIND(""Pelmet"",A56))=FALSE,((((B56/1000)*(C56/1000))*2)*VLOOKUP(""H/F (18mm)"",SheetsData,8,0)),IF(ISERROR(FIND(""door"",A56))=TRUE,""Check description"",IF(KitchenDoorStyle=""Flat"&amp;""",((B56/1000)*(C56/1000))*VLOOKUP(KitchenDoorMaterial,SheetsData,8,0),IF(LEFT(KitchenDoorStyle,5)=""Panel"",(((((B56/1000)*2)*0.08)+((((C56/1000)-0.16)*2)*0.08))*VLOOKUP(""H/F (22mm)"",SheetsData,8,0))+(((B56/1000)-0.14)*((C56/1000)-0.14)*VLOOKUP(""H/F ("&amp;"9mm)"",SheetsData,8,0)),IF(KitchenDoorStyle=""In-frame flat"",((((((B56/1000)*0.019)*0.038)+((((C56-38)/1000)*0.038)*0.038))*2)*VLOOKUP(""Tulip (solid m3)"",SolidData,5,0))+(((B56-76)/1000)*((C56-38)/1000))*VLOOKUP(""H/F (22mm)"",SheetsData,8,0),IF(LEFT(K"&amp;"itchenDoorStyle,14)=""In-frame panel"",(((((((B56/1000)*0.019)*0.038)+((((C56-38)/1000)*0.038)*0.038))*2)*VLOOKUP(""Tulip (solid m3)"",SolidData,5,0))+(((((((B56-76)/1000)*2)*0.08)+(((((C56-198)/1000)*2)*0.08)))*VLOOKUP(""H/F (22mm)"",SheetsData,8,0))+((("&amp;"B56-216)/1000)*((C56-178)/1000)*VLOOKUP(""H/F (9mm)"",SheetsData,8,0)))))))))))))))))))))))))))))))))"),11.966541252351519)</f>
        <v>11.96654125</v>
      </c>
      <c r="F56" s="152">
        <f>IFERROR(__xludf.DUMMYFUNCTION("IF(OR(A56="""",AND(ISERROR(FIND(""drawer box"",A56))=FALSE,KitchenDrawerType=""Solid dovetail"")),"""",IF(ISERROR(FIND(""bins"",A56))=FALSE,VLOOKUP(""Base carcass 600"",KitchensData,6,0),IF(OR(ISERROR(FIND(""larder"",A56))=FALSE,ISERROR(FIND(""unit"",A56)"&amp;")=FALSE),VLOOKUP(LEFT(A56,FIND("" "",A56))&amp;""carcass ""&amp;RIGHT(A56,LEN(A56)-len(regexextract(A56,"".* ""))),KitchensData,6,0),IF(ISERROR(FIND(""drawer front"",A56))=FALSE,IF(ISERROR(FIND(""veneer"",KitchenCarcassMaterial))=TRUE,0,(((B56+C56)/1000)*2)*VLOOK"&amp;"UP(""Edge banding (per M)"",SheetsData,5,0)),IF(ISERROR(FIND(""drawer box"",A56))=FALSE,IF(ISERROR(FIND(""veneer"",KitchenCarcassMaterial))=TRUE,0,(((C56+D56)/1000)*2)*VLOOKUP(""Edge banding (per M)"",SheetsData,5,0)),IF(ISERROR(FIND(""shelf"",A56))=FALSE"&amp;",IF(ISERROR(FIND(""veneer"",KitchenCarcassMaterial))=TRUE,0,(C56/1000)*VLOOKUP(""Edge banding (per M)"",SheetsData,5,0)),IF(AND(ISERROR(FIND(""carcass"",A56))=FALSE,ISERROR(FIND(""shelf"",A56))=TRUE),IF(ISERROR(FIND(""veneer"",KitchenCarcassMaterial))=TRU"&amp;"E,0,((2*(B56+C56))/1000)*VLOOKUP(""Edge banding (per M)"",SheetsData,5,0)),IF(ISERROR(FIND(""door"",A56))=TRUE,"""",IF(ISERROR(FIND(""veneer"",KitchenDoorMaterial))=TRUE,"""",((2*(B56+C56))/1000)*VLOOKUP(""Edge banding (per M)"",SheetsData,5,0))))))))))"),0.0)</f>
        <v>0</v>
      </c>
      <c r="G56" s="153" t="str">
        <f>IF(A56="","",IF(ISERROR(FIND("bins",A56))=FALSE,VLOOKUP("Base carcass 600",KitchensData,7,0),IF(OR(ISERROR(FIND("larder",A56))=FALSE,ISERROR(FIND("fridge/freezer",A56))=FALSE,ISERROR(FIND("double oven",A56))=FALSE,ISERROR(FIND("single oven",A56))=FALSE),VLOOKUP(LEFT(A56,FIND(" ",A56))&amp;"carcass "&amp;RIGHT(A56,LEN(A56)-(LEN(A56)-3)),KitchensData,7,0),IF(AND(ISERROR(FIND("carcass",A56))=FALSE,ISERROR(FIND("shelf",A56))=TRUE),IF(OR(ISERROR(FIND("Base",A56))=FALSE,ISERROR(FIND("Tower",A56))=FALSE),IF(OR(ISERROR(FIND("1200",A56))=FALSE, ISERROR(FIND("lost corner",A56))=FALSE),6*VLOOKUP("Plinth foot (2 Parts 80mm)",FurnitureData,5,0),4*VLOOKUP("Plinth foot (2 Parts 80mm)",FurnitureData,5,0)),""),""))))</f>
        <v/>
      </c>
      <c r="H56" s="115" t="str">
        <f>IF(OR(A56="",ISERROR(FIND("door",A56))=TRUE),"",IF(ISERROR(FIND("Wall",A56))=FALSE,VLOOKUP("Hinges &amp; plates (Hettich thick door)",FurnitureData,5,0)*2,IF(ISERROR(FIND("Base",A56))=FALSE,VLOOKUP("Hinges &amp; plates (Hettich thick door)",FurnitureData,5,0)*3,IF(ISERROR(FIND("Boiler",A56))=FALSE,VLOOKUP("Hinges &amp; plates (Hettich thick door)",FurnitureData,5,0)*4,IF(ISERROR(FIND("Tower",A56))=FALSE,VLOOKUP("Hinges &amp; plates (Hettich thick door)",FurnitureData,5,0)*5)))))</f>
        <v/>
      </c>
      <c r="I56" s="153">
        <f>IF(ISERROR(FIND("shelf",A56))=FALSE,(VLOOKUP("Shelf pegs",FurnitureData,5,0)/100)*4,"")</f>
        <v>0.2624</v>
      </c>
      <c r="J56" s="152" t="str">
        <f>IF(OR(ISERROR(FIND("fridge/freezer",A56))=FALSE,ISERROR(FIND("larder",A56))=FALSE,AND(ISERROR(FIND("Base",A56))=FALSE,ISERROR(FIND("bins",A56))=TRUE,ISERROR(FIND("no shelves",A56))=TRUE,OR(ISERROR(FIND("carcass",A56))=FALSE,ISERROR(FIND("unit",A56))=FALSE))),VLOOKUP("Deep shelf "&amp;C56,KitchensData,18,0),IF(AND(ISERROR(FIND("Wall",A56))=FALSE,ISERROR(FIND("carcass",A56))=FALSE),2*VLOOKUP("Shallow shelf "&amp;C56,KitchensData,18,0),IF(AND(ISERROR(FIND("Tower",A56))=FALSE,ISERROR(FIND("oven",A56))=FALSE),4*VLOOKUP("Deep shelf "&amp;C56,KitchensData,18,0),IF(AND(ISERROR(FIND("Tower",A56))=FALSE,ISERROR(FIND("carcass",A56))=FALSE),5*VLOOKUP("Deep shelf "&amp;C56,KitchensData,18,0),""))))</f>
        <v/>
      </c>
      <c r="K56" s="152" t="str">
        <f>IF(ISERROR(FIND("sink",A56))=FALSE,VLOOKUP("Sink liner - Aluminium "&amp;RIGHT(A56,LEN(A56)-22)&amp;"mm",ExceptionalData,5,0),IF(ISERROR(FIND("bins",A56))=FALSE,VLOOKUP("Drawer runners and clip set for bin unit (500) Dynapro",FurnitureData,5,0)+(2*VLOOKUP("Bin (42L Anthracite)",FurnitureData,5,0)),IF(ISERROR(FIND("larder",A56))=FALSE,VLOOKUP("Pull out larder unit 600mm",FurnitureData,5,0),IF(AND(ISERROR(FIND("drawer box",A56))=FALSE,ISERROR(FIND("internal",A56))=TRUE),VLOOKUP("Drawer runners and clip set (550) Dynapro",FurnitureData,5,0),IF(ISERROR(FIND("internal drawer box",A56))=FALSE,VLOOKUP("Drawer runners and clip set (450) Dynapro",FurnitureData,5,0),"")))))</f>
        <v/>
      </c>
      <c r="L56" s="152">
        <f t="shared" si="3"/>
        <v>12.22894125</v>
      </c>
      <c r="M56" s="154">
        <f>IFERROR(__xludf.DUMMYFUNCTION("IF(A56="""","""",IF(OR(ISERROR(FIND(""larder"",A56))=FALSE,ISERROR(FIND(""unit"",A56))=FALSE),VLOOKUP(LEFT(A56,FIND("" "",A56))&amp;""carcass ""&amp;RIGHT(A56,LEN(A56)-len(regexextract(A56,"".* ""))),KitchensData,13,0),IF(ISERROR(FIND(""bins"",A56))=FALSE,0.95,IF"&amp;"(ISERROR(FIND(""Cutlery insert 600"",A56))=FALSE,1.3,IF(ISERROR(FIND(""Cutlery insert 1200"",A56))=FALSE,2,IF(ISERROR(FIND(""Pan/tray rack 600"",A56))=FALSE,3.25,IF(ISERROR(FIND(""Pan/tray rack 1200"",A56))=FALSE,5.9,IF(ISERROR(FIND(""split"",A56))=FALSE,"&amp;"(((C56/1000)*0.022)*2)+VLOOKUP(SUBSTITUTE(A56,"" split"",""""),KitchensData,13,0),IF(AND(ISERROR(FIND(""drawer front"",A56))=FALSE,KitchenDoorStyle=""Flat""),(((B56/1000)*(C56/1000))*2)+((((B56+C56)/1000)*2)*0.022),IF(AND(ISERROR(FIND(""drawer front"",A56"&amp;"))=FALSE,LEFT(KitchenDoorStyle,5)=""Panel""),(((B56/1000)*(C56/1000))*2)+((((B56+C56)/1000)*2)*0.022)+((((C56/1000)-0.16)*0.013)*2)+((((D56/1000)-0.16)*0.013)*2),IF(AND(ISERROR(FIND(""drawer front"",A56))=FALSE,KitchenDoorStyle=""In-frame flat""),((((B56-"&amp;"76)/1000)*((C56-38)/1000))*2)+(MID(KitchenDoorMaterial,FIND(""("",KitchenDoorMaterial)+1,2)/1000)*((((B56-76)+(C56-38))/1000)*2)+(((B56/1000)*0.032)*2)+((((B56-76)/1000)*0.032)*2)+(((B56/1000)*0.019)*4)+(((C56/1000)*0.032)*2)+((((C56-38)/1000)*0.032)*2)+("&amp;"((C56/1000)*0.038)*4),IF(AND(ISERROR(FIND(""drawer front"",A56))=FALSE,LEFT(KitchenDoorStyle,14)=""In-frame panel""),((((B56-76)/1000)*((C56-38)/1000))*2)+((MID(KitchenDoorMaterial,FIND(""("",KitchenDoorMaterial)+1,2)/1000)*((((B56-76)+(C56-38))/1000)*2))"&amp;"+((((B56-236)/1000)+((C56-198)/1000)*2)*0.013)+(((B56/1000)*0.032)*2)+((((B56-76)/1000)*0.032)*2)+(((B56/1000)*0.019)*4)+(((C56/1000)*0.032)*2)+((((C56-38)/1000)*0.032)*2)+(((C56/1000)*0.038)*4),IF(ISERROR(FIND(""drawer box"",A56))=FALSE,((((B56/1000)*(D5"&amp;"6/1000))+((B56/1000)*(C56/1000)))*4)+((((D56/1000)+(C56/1000))*0.016)*4)+(((C56/1000)*(D56/1000))*2),IF(OR(ISERROR(FIND(""shelf"",A56))=FALSE,ISERROR(FIND(""spacer"",A56))=FALSE,,ISERROR(FIND(""filler panel"",A56))=FALSE),(((C56/1000)*(D56/1000))*2)+((((C"&amp;"56+D56)*2)/1000)*0.022),IF(ISERROR(FIND(""lost corner"",A56))=FALSE,(((B56/1000)*(C56/1000))*2)+((B56/1000)*(C56/1000))+((B56/1000)*((C56/2)/1000))+((((B56/1000)*0.025)+((C56/1000)*0.025))*2),IF(ISERROR(FIND(""carcass"",A56))=FALSE,(((C56/1000)*(D56/1000)"&amp;")*2)+(((B56/1000)*(D56/1000))*2)+((B56/1000)*(C56/1000))+((((B56/1000)*0.025)+((C56/1000)*0.025))*2),IF(AND(ISERROR(FIND(""door"",A56))=FALSE,KitchenDoorStyle=""Flat""),(((B56/1000)*(C56/1000))*2)+(MID(KitchenDoorMaterial,FIND(""("",KitchenDoorMaterial)+1"&amp;",2)/1000)*(((B56+C56)/1000)*2),IF(AND(ISERROR(FIND(""door"",A56))=FALSE,LEFT(KitchenDoorStyle,5)=""Panel""),(((B56/1000)*(C56/1000))*2)+((MID(KitchenDoorMaterial,FIND(""("",KitchenDoorMaterial)+1,2)/1000)*(((B56+C56)/1000)*2))+(((((B56-160)+(C56-160))*2)/"&amp;"1000)*(0.013)),IF(AND(ISERROR(FIND(""door"",A56))=FALSE,KitchenDoorStyle=""In-frame flat""),((((B56-76)/1000)*((C56-38)/1000))*2)+(MID(KitchenDoorMaterial,FIND(""("",KitchenDoorMaterial)+1,2)/1000)*((((B56-76)+(C56-38))/1000)*2)+(((B56/1000)*0.032)*2)+((("&amp;"(B56-76)/1000)*0.032)*2)+(((B56/1000)*0.019)*4)+(((C56/1000)*0.032)*2)+((((C56-38)/1000)*0.032)*2)+(((C56/1000)*0.038)*4),IF(AND(ISERROR(FIND(""door"",A56))=FALSE,LEFT(KitchenDoorStyle,14)=""In-frame panel""),((((B56-76)/1000)*((C56-38)/1000))*2)+((MID(Ki"&amp;"tchenDoorMaterial,FIND(""("",KitchenDoorMaterial)+1,2)/1000)*((((B56-76)+(C56-38))/1000)*2))+((((B56-236)/1000)+((C56-198)/1000)*2)*0.013)+(((B56/1000)*0.032)*2)+((((B56-76)/1000)*0.032)*2)+(((B56/1000)*0.019)*4)+(((C56/1000)*0.032)*2)+((((C56-38)/1000)*0"&amp;".032)*2)+(((C56/1000)*0.038)*4),IF(ISERROR(FIND(""Plinth"",A56))=FALSE,((B56/1000)*(C56/1000))+(((C56/1000)*0.018)*2)+(((B56/1000)*0.018)*2),IF(ISERROR(FIND(""Cornice"",A56))=FALSE,(((C56/1000)*0.1)*2)+(((C56/1000)*0.044)*2)+(((B56/1000)*0.08)*2),IF(ISERR"&amp;"OR(FIND(""Base end panel"",A56))=FALSE,((B56/1000)*(C56/1000))+(0.022*((B56/1000)+((C56/1000)*2)))+((B56/1000)*0.05),IF(ISERROR(FIND(""Wall end panel"",A56))=FALSE,((B56/1000)*(C56/1000))+(0.022*((B56/1000)+((C56/1000)*2)))+((B56/1000)*0.05),IF(ISERROR(FI"&amp;"ND(""Tower end panel"",A56))=FALSE,((B56/1000)*(C56/1000))+(0.022*((B56/1000)+((C56/1000)*2)))+((B56/1000)*0.05),IF(ISERROR(FIND(""Fillers"",A56))=FALSE,((C56/1000)*0.06)+((C56/1000)*0.069)+((0.06*0.018)*2)+((0.06*0.009)*2)+((C56/1000)*0.009)+((C56/1000)*"&amp;"0.018),IF(ISERROR(FIND(""corner post"",A56))=FALSE,(((B56/1000*0.05)*2)+((B56/1000)*0.022)*2)+((B56/1000)*0.072)+((B56/1000)*0.05)+((0.072*0.022)*2)+((0.05*0.022)*2),IF(ISERROR(FIND(""Pelmet"",A56))=FALSE,((C56/1000)*0.05)+((C56/1000)*0.068)+((0.05*0.018)"&amp;"*4)+(((C56/1000)*0.018))*2))))))))))))))))))))))))))))"),0.7727999999999999)</f>
        <v>0.7728</v>
      </c>
      <c r="N56" s="152">
        <f>IF(M56="","",IF(AND(ISERROR(FIND("carcass",A56))=TRUE,ISERROR(FIND("unit",A56))=TRUE,ISERROR(FIND("insert",A56))=TRUE,ISERROR(FIND("rack",A56))=TRUE,ISERROR(FIND("box",A56))=TRUE,ISERROR(FIND("shelf",#REF!))=TRUE),VLOOKUP(KitchenDoorFinish,Finishing!$A$2:$K$10,9,0)*M56,VLOOKUP(KitchenCarcassFinish,Finishing!$A$2:$K$40,9,0)*M56))</f>
        <v>5.796</v>
      </c>
      <c r="O56" s="155">
        <v>0.5</v>
      </c>
      <c r="P56" s="155">
        <v>0.5</v>
      </c>
      <c r="Q56" s="152">
        <f>IF(OR(O56="",P56=""),"",((O56*X56)*(VLOOKUP("Workshop",Labour!$A$3:$E$20,4,0)/8))+((P56*AE56)*(VLOOKUP("Finishing",Labour!$A$3:$E$20,4,0)/8)))</f>
        <v>35.875</v>
      </c>
      <c r="R56" s="152">
        <f t="shared" si="4"/>
        <v>53.89994125</v>
      </c>
      <c r="S56" s="156">
        <f>IF(OR(O56="",P56=""),"",IF(OR(ISERROR(FIND("carcass",$A56))=FALSE,ISERROR(FIND("unit",$A56))=FALSE),VLOOKUP(KitchenCarcassMaterial,FixedListsCarcassMaterial,2,0),0))</f>
        <v>0</v>
      </c>
      <c r="T56" s="156">
        <f>IF(OR(O56="",P56=""),"",IF(ISERROR(FIND("door",$A56))=FALSE,VLOOKUP(KitchenDoorStyle,FixedListsDoorStyle,2,0),0))</f>
        <v>0</v>
      </c>
      <c r="U56" s="156">
        <f>IF(OR(O56="",P56=""),"",IF(ISERROR(FIND("door",$A56))=FALSE,VLOOKUP(KitchenDoorMaterial,FixedListsDoorMaterial,2,0),0))</f>
        <v>0</v>
      </c>
      <c r="V56" s="156">
        <f>IF(OR(O56="",P56=""),"",IF(ISERROR(FIND("drawer",$A56))=FALSE,VLOOKUP(KitchenDrawerType,FixedListsDrawerType,2,0),0))</f>
        <v>0</v>
      </c>
      <c r="W56" s="156">
        <f>IF(OR(O56="",P56=""),"",IF(OR(S56&gt;0, T56&gt;0,V56&gt;0),VLOOKUP(KitchenHandleType,FixedListsHandleType,2,FALSE)*IF(KitchenHandleType="Simple",0,IF(S56&gt;0,VLOOKUP(KitchenHandleType,FixedListsHandleType,4,FALSE),IF(OR(T56&gt;0,V56&gt;0),1-VLOOKUP(KitchenHandleType,FixedListsHandleType,4,FALSE),"Error"))),0))</f>
        <v>0</v>
      </c>
      <c r="X56" s="156">
        <f t="shared" si="5"/>
        <v>1</v>
      </c>
      <c r="Y56" s="156">
        <f>IF(OR(O56="",P56=""),"",IF(OR(ISERROR(FIND("carcass",$A56))=FALSE,ISERROR(FIND("unit",$A56))=FALSE),VLOOKUP(KitchenCarcassMaterial,FixedListsCarcassMaterial,3,0),0))</f>
        <v>0</v>
      </c>
      <c r="Z56" s="156">
        <f>IF(OR(O56="",P56=""),"",IF(ISERROR(FIND("door",$A56))=FALSE,VLOOKUP(KitchenDoorStyle,FixedListsDoorStyle,3,0),0))</f>
        <v>0</v>
      </c>
      <c r="AA56" s="156">
        <f>IF(OR(O56="",P56=""),"",IF(ISERROR(FIND("door",$A56))=FALSE,VLOOKUP(KitchenDoorMaterial,FixedListsDoorMaterial,3,0),0))</f>
        <v>0</v>
      </c>
      <c r="AB56" s="156">
        <f>IF(OR(O56="",P56=""),"",IF(ISERROR(FIND("drawer",$A56))=FALSE,VLOOKUP(KitchenDrawerType,FixedListsDrawerType,3,0),0))</f>
        <v>0</v>
      </c>
      <c r="AC56" s="156">
        <f>IF(OR(O56="",P56=""),"",IF(OR(Y56&gt;0,Z56&gt;0,AB56&gt;0),VLOOKUP(KitchenHandleType,FixedListsHandleType,3,FALSE),0))</f>
        <v>0</v>
      </c>
      <c r="AD56" s="156">
        <f>IF(OR(O56="",P56=""),"",IF(OR(ISERROR(FIND("carcass",$A56))=FALSE,ISERROR(FIND("unit",$A56))=FALSE),VLOOKUP(KitchenCarcassFinish,FixedListsFinishes,3,0),IF(OR(ISERROR(FIND("door",$A56))=FALSE,ISERROR(FIND("Plinth",$A56))=FALSE,ISERROR(FIND("Cornice",$A56))=FALSE,ISERROR(FIND("Fillers",$A56))=FALSE,ISERROR(FIND("Pelmet",$A56))=FALSE,ISERROR(FIND("panel",$A56))=FALSE,ISERROR(FIND("post",$A56))=FALSE),VLOOKUP(KitchenDoorFinish,FixedListsFinishes,3,0),IF(OR(ISERROR(FIND("drawer",$A56))=FALSE,ISERROR(FIND("insert",$A56))=FALSE,ISERROR(FIND("rck",$A56))=FALSE),VLOOKUP(KitchenCarcassFinish,FixedListsFinishes,3,0),0))))</f>
        <v>0</v>
      </c>
      <c r="AE56" s="156">
        <f t="shared" si="6"/>
        <v>1</v>
      </c>
      <c r="AF56" s="157" t="str">
        <f>IF(AND(KitchenHandleType="Channel",OR(ISERROR(FIND("arcass",$A56))=FALSE,ISERROR(FIND("unit",$A56))=FALSE)),IF(ISERROR(FIND("Tower",$A56))=TRUE,IF(KitchenHandleFinish="Match carcass",IF(ISERROR(FIND("Walnut",KitchenCarcassMaterial))=FALSE,(0.035*0.075*($C56/1000))*VLOOKUP("Walnut (solid m3)",SolidData,4,FALSE),IF(ISERROR(FIND("Oak",KitchenCarcassMaterial))=FALSE,(0.035*0.075*($C56/1000))*VLOOKUP("Oak (solid m3)",SolidData,4,FALSE),IF(ISERROR(FIND("ply",KitchenCarcassMaterial))=FALSE,(0.1*($C56/1000))*VLOOKUP("Birch ply (24mm)",SheetsData,7,FALSE),IF(ISERROR(FIND("H/F",KitchenCarcassMaterial))=FALSE,(0.1*($C56/1000))*VLOOKUP("H/F (22mm)",SheetsData,7,FALSE),"Carcass - not tower - new material")))),IF(KitchenHandleFinish="Match door",IF(ISERROR(FIND("Walnut",KitchenDoorMaterial))=FALSE,(0.035*0.075*($C56/1000))*VLOOKUP("Walnut (solid m3)",SolidData,4,FALSE),IF(ISERROR(FIND("Oak",KitchenDoorMaterial))=FALSE,(0.035*0.075*($C56/1000))*VLOOKUP("Oak (solid m3)",SolidData,4,FALSE),IF(ISERROR(FIND("ply",KitchenDoorMaterial))=FALSE,(0.1*($C56/1000))*VLOOKUP("Birch ply (24mm)",SheetsData,7,FALSE),IF(ISERROR(FIND("H/F",KitchenCarcassMaterial))=FALSE,(0.1*($C56/1000))*VLOOKUP("H/F (22mm)",SheetsData,7,FALSE),"Door - not tower - new material")))),"Channel - not tower - handle set to other")),IF(ISERROR(FIND("Tower",$A56))=FALSE,IF(KitchenHandleFinish="Match carcass",IF(ISERROR(FIND("Walnut",KitchenCarcassMaterial))=FALSE,(0.035*0.075*($B56/1000))*VLOOKUP("Walnut (solid m3)",SolidData,4,FALSE),IF(ISERROR(FIND("Oak",KitchenCarcassMaterial))=FALSE,(0.035*0.075*($B56/1000))*VLOOKUP("Oak (solid m3)",SolidData,4,FALSE),IF(ISERROR(FIND("ply",KitchenCarcassMaterial))=FALSE,(0.1*($B56/1000))*VLOOKUP("Birch ply (24mm)",SheetsData,7,FALSE),IF(ISERROR(FIND("H/F",KitchenCarcassMaterial))=FALSE,(0.1*($C56/1000))*VLOOKUP("H/F (22mm)",SheetsData,7,FALSE),"Carcass - tower - new material")))),IF(KitchenHandleFinish="Match door",IF(ISERROR(FIND("Walnut",KitchenDoorMaterial))=FALSE,(0.035*0.075*($B56/1000))*VLOOKUP("Walnut (solid m3)",SolidData,4,FALSE),IF(ISERROR(FIND("Oak",KitchenDoorMaterial))=FALSE,(0.035*0.075*($B56/1000))*VLOOKUP("Oak (solid m3)",SolidData,4,FALSE),IF(ISERROR(FIND("ply",KitchenDoorMaterial))=FALSE,(0.1*($B56/1000))*VLOOKUP("Birch ply (24mm)",SheetData,7,FALSE),IF(ISERROR(FIND("H/F",KitchenCarcassMaterial))=FALSE,(0.1*($C56/1000))*VLOOKUP("H/F (22mm)",SheetsData,7,FALSE),"Door - tower - new material")))),"Channel - tower - handle set to other")))),"")</f>
        <v/>
      </c>
    </row>
    <row r="57">
      <c r="A57" s="150" t="s">
        <v>165</v>
      </c>
      <c r="B57" s="115" t="str">
        <f t="shared" si="1"/>
        <v/>
      </c>
      <c r="C57" s="115" t="str">
        <f>IFERROR(__xludf.DUMMYFUNCTION("IF(A57="""","""",IF(OR(RIGHT(A57,LEN(A57)-len(regexextract(A57,"".* "")))=""1200"",RIGHT(A57,LEN(A57)-len(regexextract(A57,"".* "")))=""600"",RIGHT(A57,LEN(A57)-len(regexextract(A57,"".* "")))=""400"",RIGHT(A57,LEN(A57)-len(regexextract(A57,"".* "")))=""3"&amp;"00"",RIGHT(A57,LEN(A57)-len(regexextract(A57,"".* "")))=""700"",RIGHT(A57,LEN(A57)-len(regexextract(A57,"".* "")))=""2400"",RIGHT(A57,LEN(A57)-len(regexextract(A57,"".* "")))=""650"",RIGHT(A57,LEN(A57)-len(regexextract(A57,"".* "")))=""350"",RIGHT(A57,LEN"&amp;"(A57)-len(regexextract(A57,"".* "")))=""50""),RIGHT(A57,LEN(A57)-len(regexextract(A57,"".* ""))),IF(OR(ISERROR(FIND(""spacer"",A57))=FALSE,ISERROR(FIND(""filler panel"",A57))=FALSE),""1000"",""Unexpected size in description"")))"),"1200")</f>
        <v>1200</v>
      </c>
      <c r="D57" s="151">
        <f t="shared" si="2"/>
        <v>600</v>
      </c>
      <c r="E57" s="152">
        <f>IFERROR(__xludf.DUMMYFUNCTION("IF(OR(A57="""",AND(ISERROR(FIND(""drawer box"",A57))=FALSE,KitchenDrawerType="""")),"""",IF(OR(ISERROR(FIND(""larder"",A57))=FALSE,ISERROR(FIND(""fridge/freezer"",A57))=FALSE,ISERROR(FIND(""double oven"",A57))=FALSE,ISERROR(FIND(""single oven"",A57))=FALS"&amp;"E),VLOOKUP(LEFT(A57,FIND("" "",A57))&amp;""carcass ""&amp;RIGHT(A57,LEN(A57)-(LEN(A57)-3)),KitchensData,5,0),IF(ISERROR(FIND(""sink"",A57))=FALSE,VLOOKUP(LEFT(A57,FIND("" "",A57))&amp;""carcass ""&amp;VALUE(REGEXREPLACE(A57,""[^[:digit:]]"", """")),KitchensData,5,0)+(((C"&amp;"57/1000)*(300/1000))*VLOOKUP(KitchenCarcassMaterial,SheetsData,8,0)),IF(ISERROR(FIND(""bins"",A57))=FALSE,IF(ISERROR(FIND(""veneer"",KitchenCarcassMaterial))=FALSE,VLOOKUP(""Base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600"",A57))=FALSE,IF(ISERROR(FIND(""veneer"""&amp;",KitchenCarcassMaterial))=FALSE,0.54*(VLOOKUP(LEFT(KitchenCarcassMaterial,FIND(""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1200"",A57))=FALSE,"&amp;"IF(ISERROR(FIND(""veneer"",KitchenCarcassMaterial))=FALSE,0.84*(VLOOKUP(LEFT(KitchenCarcassMaterial,FIND(""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600"",A57))=FALSE,IF(ISERROR(FIND(""veneer"",KitchenCarcassMaterial))=FALSE,1.44*(VLOOKUP(LEFT(KitchenCarcassMaterial,FIND(""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1200"",A57))=FALSE,IF(ISERROR(FIND(""veneer"",KitchenCarcassMaterial))=FALSE,2.7*(VLOOKUP(LEFT(KitchenCarcassMaterial,FIND(""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front"",A57))=FALSE,((B57/1000)*(C57/1000))*VLOOKUP(KitchenDoorMaterial,SheetsData,8,0),IF(AND(KitchenDrawerType=""Match carcass"",ISERROR(FIND(""drawer box"",A57))=FALSE),(((((B57/1000)*(C57/1000))+((B57/1000"&amp;")*(D57/1000)))*2)*VLOOKUP(KitchenCarcassMaterial,SheetsData,8,0))+(((C57/1000)*(D57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box"",A57))=FALSE),(((((B57/1000)*(C57/1000))+((B57/1000)*(D57/1000)))*2)*(16/1000)*VLOOKUP(LEFT(KitchenCarcassMaterial,FIND("" "&amp;""",KitchenCarcassMaterial))&amp;""(solid m3)"",SolidData,5,0))+(((C57/1000)*(D57/1000))*VLOOKUP(LEFT(KitchenCarcassMaterial,FIND(""("",KitchenCarcassMaterial)-1)&amp;IF(OR(ISERROR(FIND(""ply"",KitchenCarcassMaterial))=FALSE,ISERROR(FIND(""H/F"",KitchenCarcassMate"&amp;"rial))=FALSE),""(9mm)"",""(10mm)""),SheetsData,8,0)),IF(ISERROR(FIND(""spacer"",A57))=FALSE,((D57/1000)*(C57/1000))*VLOOKUP(""Poplar ply (18mm)"",SheetsData,8,0),IF(ISERROR(FIND(""filler panel"",A57))=FALSE,((B57/1000)*(C57/1000))*VLOOKUP(KitchenDoorMater"&amp;"ial,SheetsData,8,0),IF(ISERROR(FIND(""shelf"",A57))=FALSE,((D57/1000)*(C57/1000))*VLOOKUP(KitchenCarcassMaterial,SheetsData,8,0),IF(ISERROR(FIND(""lost corner"",A57))=FALSE,VLOOKUP(LEFT(A57,FIND("" "",A57))&amp;""carcass ""&amp;VALUE(REGEXREPLACE(A57,""[^[:digit:"&amp;"]]"", """")),KitchensData,5,0)+((((B57/1000)*(C57/1000))+((B57/1000)*(60/1000)))*VLOOKUP(KitchenCarcassMaterial,SheetsData,8,0)),IF(ISERROR(FIND(""carcass"",A57))=FALSE,(((((B57/1000)*2)*(D57/1000))+(((C57/1000)*2)*(D57/1000)))*VLOOKUP(KitchenCarcassMater"&amp;"ial,SheetsData,8,0))+((B57/1000)*(C57/1000))*VLOOKUP(LEFT(KitchenCarcassMaterial,FIND(""("",KitchenCarcassMaterial)-1)&amp;IF(OR(ISERROR(FIND(""ply"",KitchenCarcassMaterial))=FALSE,ISERROR(FIND(""H/F"",KitchenCarcassMaterial))=FALSE),""(9mm)"",""(10mm)""),She"&amp;"etsData,8,0),IF(OR(ISERROR(FIND(""Plinth"",A57))=FALSE,ISERROR(FIND(""Cornice (flat)"",A57))=FALSE),((B57/1000)*(C57/1000))*VLOOKUP(""H/F (18mm)"",SheetsData,8,0),IF(ISERROR(FIND(""Cornice (stacked)"",A57))=FALSE,((0.08*(C57/1000))*2)*VLOOKUP(""H/F (22mm)"&amp;""",SheetsData,8,0),IF(ISERROR(FIND(""Base end panel"",A57))=FALSE,VLOOKUP(KitchenDoorMaterial,SheetsData,5,0)/3,IF(ISERROR(FIND(""Wall end panel"",A57))=FALSE,VLOOKUP(KitchenDoorMaterial,SheetsData,5,0)/9,IF(ISERROR(FIND(""Tower end panel"",A57))=FALSE,VL"&amp;"OOKUP(KitchenDoorMaterial,SheetsData,5,0),IF(ISERROR(FIND(""Fillers"",A57))=FALSE,(((0.06*(C57/1000))*2)*VLOOKUP(""H/F (18mm)"",SheetsData,8,0))+(((0.06*(C57/1000))*2)*VLOOKUP(""H/F (9mm)"",SheetsData,8,0)),IF(ISERROR(FIND(""corner post"",A57))=FALSE,(((B"&amp;"57/1000)*0.05)*2)*VLOOKUP(KitchenDoorMaterial,SheetsData,8,0),IF(ISERROR(FIND(""Pelmet"",A57))=FALSE,((((B57/1000)*(C57/1000))*2)*VLOOKUP(""H/F (18mm)"",SheetsData,8,0)),IF(ISERROR(FIND(""door"",A57))=TRUE,""Check description"",IF(KitchenDoorStyle=""Flat"&amp;""",((B57/1000)*(C57/1000))*VLOOKUP(KitchenDoorMaterial,SheetsData,8,0),IF(LEFT(KitchenDoorStyle,5)=""Panel"",(((((B57/1000)*2)*0.08)+((((C57/1000)-0.16)*2)*0.08))*VLOOKUP(""H/F (22mm)"",SheetsData,8,0))+(((B57/1000)-0.14)*((C57/1000)-0.14)*VLOOKUP(""H/F ("&amp;"9mm)"",SheetsData,8,0)),IF(KitchenDoorStyle=""In-frame flat"",((((((B57/1000)*0.019)*0.038)+((((C57-38)/1000)*0.038)*0.038))*2)*VLOOKUP(""Tulip (solid m3)"",SolidData,5,0))+(((B57-76)/1000)*((C57-38)/1000))*VLOOKUP(""H/F (22mm)"",SheetsData,8,0),IF(LEFT(K"&amp;"itchenDoorStyle,14)=""In-frame panel"",(((((((B57/1000)*0.019)*0.038)+((((C57-38)/1000)*0.038)*0.038))*2)*VLOOKUP(""Tulip (solid m3)"",SolidData,5,0))+(((((((B57-76)/1000)*2)*0.08)+(((((C57-198)/1000)*2)*0.08)))*VLOOKUP(""H/F (22mm)"",SheetsData,8,0))+((("&amp;"B57-216)/1000)*((C57-178)/1000)*VLOOKUP(""H/F (9mm)"",SheetsData,8,0)))))))))))))))))))))))))))))))))"),23.933082504703037)</f>
        <v>23.9330825</v>
      </c>
      <c r="F57" s="152">
        <f>IFERROR(__xludf.DUMMYFUNCTION("IF(OR(A57="""",AND(ISERROR(FIND(""drawer box"",A57))=FALSE,KitchenDrawerType=""Solid dovetail"")),"""",IF(ISERROR(FIND(""bins"",A57))=FALSE,VLOOKUP(""Base carcass 600"",KitchensData,6,0),IF(OR(ISERROR(FIND(""larder"",A57))=FALSE,ISERROR(FIND(""unit"",A57)"&amp;")=FALSE),VLOOKUP(LEFT(A57,FIND("" "",A57))&amp;""carcass ""&amp;RIGHT(A57,LEN(A57)-len(regexextract(A57,"".* ""))),KitchensData,6,0),IF(ISERROR(FIND(""drawer front"",A57))=FALSE,IF(ISERROR(FIND(""veneer"",KitchenCarcassMaterial))=TRUE,0,(((B57+C57)/1000)*2)*VLOOK"&amp;"UP(""Edge banding (per M)"",SheetsData,5,0)),IF(ISERROR(FIND(""drawer box"",A57))=FALSE,IF(ISERROR(FIND(""veneer"",KitchenCarcassMaterial))=TRUE,0,(((C57+D57)/1000)*2)*VLOOKUP(""Edge banding (per M)"",SheetsData,5,0)),IF(ISERROR(FIND(""shelf"",A57))=FALSE"&amp;",IF(ISERROR(FIND(""veneer"",KitchenCarcassMaterial))=TRUE,0,(C57/1000)*VLOOKUP(""Edge banding (per M)"",SheetsData,5,0)),IF(AND(ISERROR(FIND(""carcass"",A57))=FALSE,ISERROR(FIND(""shelf"",A57))=TRUE),IF(ISERROR(FIND(""veneer"",KitchenCarcassMaterial))=TRU"&amp;"E,0,((2*(B57+C57))/1000)*VLOOKUP(""Edge banding (per M)"",SheetsData,5,0)),IF(ISERROR(FIND(""door"",A57))=TRUE,"""",IF(ISERROR(FIND(""veneer"",KitchenDoorMaterial))=TRUE,"""",((2*(B57+C57))/1000)*VLOOKUP(""Edge banding (per M)"",SheetsData,5,0))))))))))"),0.0)</f>
        <v>0</v>
      </c>
      <c r="G57" s="153" t="str">
        <f>IF(A57="","",IF(ISERROR(FIND("bins",A57))=FALSE,VLOOKUP("Base carcass 600",KitchensData,7,0),IF(OR(ISERROR(FIND("larder",A57))=FALSE,ISERROR(FIND("fridge/freezer",A57))=FALSE,ISERROR(FIND("double oven",A57))=FALSE,ISERROR(FIND("single oven",A57))=FALSE),VLOOKUP(LEFT(A57,FIND(" ",A57))&amp;"carcass "&amp;RIGHT(A57,LEN(A57)-(LEN(A57)-3)),KitchensData,7,0),IF(AND(ISERROR(FIND("carcass",A57))=FALSE,ISERROR(FIND("shelf",A57))=TRUE),IF(OR(ISERROR(FIND("Base",A57))=FALSE,ISERROR(FIND("Tower",A57))=FALSE),IF(OR(ISERROR(FIND("1200",A57))=FALSE, ISERROR(FIND("lost corner",A57))=FALSE),6*VLOOKUP("Plinth foot (2 Parts 80mm)",FurnitureData,5,0),4*VLOOKUP("Plinth foot (2 Parts 80mm)",FurnitureData,5,0)),""),""))))</f>
        <v/>
      </c>
      <c r="H57" s="115" t="str">
        <f>IF(OR(A57="",ISERROR(FIND("door",A57))=TRUE),"",IF(ISERROR(FIND("Wall",A57))=FALSE,VLOOKUP("Hinges &amp; plates (Hettich thick door)",FurnitureData,5,0)*2,IF(ISERROR(FIND("Base",A57))=FALSE,VLOOKUP("Hinges &amp; plates (Hettich thick door)",FurnitureData,5,0)*3,IF(ISERROR(FIND("Boiler",A57))=FALSE,VLOOKUP("Hinges &amp; plates (Hettich thick door)",FurnitureData,5,0)*4,IF(ISERROR(FIND("Tower",A57))=FALSE,VLOOKUP("Hinges &amp; plates (Hettich thick door)",FurnitureData,5,0)*5)))))</f>
        <v/>
      </c>
      <c r="I57" s="153">
        <f>IF(ISERROR(FIND("shelf",A57))=FALSE,(VLOOKUP("Shelf pegs",FurnitureData,5,0)/100)*4,"")</f>
        <v>0.2624</v>
      </c>
      <c r="J57" s="152" t="str">
        <f>IF(OR(ISERROR(FIND("fridge/freezer",A57))=FALSE,ISERROR(FIND("larder",A57))=FALSE,AND(ISERROR(FIND("Base",A57))=FALSE,ISERROR(FIND("bins",A57))=TRUE,ISERROR(FIND("no shelves",A57))=TRUE,OR(ISERROR(FIND("carcass",A57))=FALSE,ISERROR(FIND("unit",A57))=FALSE))),VLOOKUP("Deep shelf "&amp;C57,KitchensData,18,0),IF(AND(ISERROR(FIND("Wall",A57))=FALSE,ISERROR(FIND("carcass",A57))=FALSE),2*VLOOKUP("Shallow shelf "&amp;C57,KitchensData,18,0),IF(AND(ISERROR(FIND("Tower",A57))=FALSE,ISERROR(FIND("oven",A57))=FALSE),4*VLOOKUP("Deep shelf "&amp;C57,KitchensData,18,0),IF(AND(ISERROR(FIND("Tower",A57))=FALSE,ISERROR(FIND("carcass",A57))=FALSE),5*VLOOKUP("Deep shelf "&amp;C57,KitchensData,18,0),""))))</f>
        <v/>
      </c>
      <c r="K57" s="152" t="str">
        <f>IF(ISERROR(FIND("sink",A57))=FALSE,VLOOKUP("Sink liner - Aluminium "&amp;RIGHT(A57,LEN(A57)-22)&amp;"mm",ExceptionalData,5,0),IF(ISERROR(FIND("bins",A57))=FALSE,VLOOKUP("Drawer runners and clip set for bin unit (500) Dynapro",FurnitureData,5,0)+(2*VLOOKUP("Bin (42L Anthracite)",FurnitureData,5,0)),IF(ISERROR(FIND("larder",A57))=FALSE,VLOOKUP("Pull out larder unit 600mm",FurnitureData,5,0),IF(AND(ISERROR(FIND("drawer box",A57))=FALSE,ISERROR(FIND("internal",A57))=TRUE),VLOOKUP("Drawer runners and clip set (550) Dynapro",FurnitureData,5,0),IF(ISERROR(FIND("internal drawer box",A57))=FALSE,VLOOKUP("Drawer runners and clip set (450) Dynapro",FurnitureData,5,0),"")))))</f>
        <v/>
      </c>
      <c r="L57" s="152">
        <f t="shared" si="3"/>
        <v>24.1954825</v>
      </c>
      <c r="M57" s="154">
        <f>IFERROR(__xludf.DUMMYFUNCTION("IF(A57="""","""",IF(OR(ISERROR(FIND(""larder"",A57))=FALSE,ISERROR(FIND(""unit"",A57))=FALSE),VLOOKUP(LEFT(A57,FIND("" "",A57))&amp;""carcass ""&amp;RIGHT(A57,LEN(A57)-len(regexextract(A57,"".* ""))),KitchensData,13,0),IF(ISERROR(FIND(""bins"",A57))=FALSE,0.95,IF"&amp;"(ISERROR(FIND(""Cutlery insert 600"",A57))=FALSE,1.3,IF(ISERROR(FIND(""Cutlery insert 1200"",A57))=FALSE,2,IF(ISERROR(FIND(""Pan/tray rack 600"",A57))=FALSE,3.25,IF(ISERROR(FIND(""Pan/tray rack 1200"",A57))=FALSE,5.9,IF(ISERROR(FIND(""split"",A57))=FALSE,"&amp;"(((C57/1000)*0.022)*2)+VLOOKUP(SUBSTITUTE(A57,"" split"",""""),KitchensData,13,0),IF(AND(ISERROR(FIND(""drawer front"",A57))=FALSE,KitchenDoorStyle=""Flat""),(((B57/1000)*(C57/1000))*2)+((((B57+C57)/1000)*2)*0.022),IF(AND(ISERROR(FIND(""drawer front"",A57"&amp;"))=FALSE,LEFT(KitchenDoorStyle,5)=""Panel""),(((B57/1000)*(C57/1000))*2)+((((B57+C57)/1000)*2)*0.022)+((((C57/1000)-0.16)*0.013)*2)+((((D57/1000)-0.16)*0.013)*2),IF(AND(ISERROR(FIND(""drawer front"",A57))=FALSE,KitchenDoorStyle=""In-frame flat""),((((B57-"&amp;"76)/1000)*((C57-38)/1000))*2)+(MID(KitchenDoorMaterial,FIND(""("",KitchenDoorMaterial)+1,2)/1000)*((((B57-76)+(C57-38))/1000)*2)+(((B57/1000)*0.032)*2)+((((B57-76)/1000)*0.032)*2)+(((B57/1000)*0.019)*4)+(((C57/1000)*0.032)*2)+((((C57-38)/1000)*0.032)*2)+("&amp;"((C57/1000)*0.038)*4),IF(AND(ISERROR(FIND(""drawer front"",A57))=FALSE,LEFT(KitchenDoorStyle,14)=""In-frame panel""),((((B57-76)/1000)*((C57-38)/1000))*2)+((MID(KitchenDoorMaterial,FIND(""("",KitchenDoorMaterial)+1,2)/1000)*((((B57-76)+(C57-38))/1000)*2))"&amp;"+((((B57-236)/1000)+((C57-198)/1000)*2)*0.013)+(((B57/1000)*0.032)*2)+((((B57-76)/1000)*0.032)*2)+(((B57/1000)*0.019)*4)+(((C57/1000)*0.032)*2)+((((C57-38)/1000)*0.032)*2)+(((C57/1000)*0.038)*4),IF(ISERROR(FIND(""drawer box"",A57))=FALSE,((((B57/1000)*(D5"&amp;"7/1000))+((B57/1000)*(C57/1000)))*4)+((((D57/1000)+(C57/1000))*0.016)*4)+(((C57/1000)*(D57/1000))*2),IF(OR(ISERROR(FIND(""shelf"",A57))=FALSE,ISERROR(FIND(""spacer"",A57))=FALSE,,ISERROR(FIND(""filler panel"",A57))=FALSE),(((C57/1000)*(D57/1000))*2)+((((C"&amp;"57+D57)*2)/1000)*0.022),IF(ISERROR(FIND(""lost corner"",A57))=FALSE,(((B57/1000)*(C57/1000))*2)+((B57/1000)*(C57/1000))+((B57/1000)*((C57/2)/1000))+((((B57/1000)*0.025)+((C57/1000)*0.025))*2),IF(ISERROR(FIND(""carcass"",A57))=FALSE,(((C57/1000)*(D57/1000)"&amp;")*2)+(((B57/1000)*(D57/1000))*2)+((B57/1000)*(C57/1000))+((((B57/1000)*0.025)+((C57/1000)*0.025))*2),IF(AND(ISERROR(FIND(""door"",A57))=FALSE,KitchenDoorStyle=""Flat""),(((B57/1000)*(C57/1000))*2)+(MID(KitchenDoorMaterial,FIND(""("",KitchenDoorMaterial)+1"&amp;",2)/1000)*(((B57+C57)/1000)*2),IF(AND(ISERROR(FIND(""door"",A57))=FALSE,LEFT(KitchenDoorStyle,5)=""Panel""),(((B57/1000)*(C57/1000))*2)+((MID(KitchenDoorMaterial,FIND(""("",KitchenDoorMaterial)+1,2)/1000)*(((B57+C57)/1000)*2))+(((((B57-160)+(C57-160))*2)/"&amp;"1000)*(0.013)),IF(AND(ISERROR(FIND(""door"",A57))=FALSE,KitchenDoorStyle=""In-frame flat""),((((B57-76)/1000)*((C57-38)/1000))*2)+(MID(KitchenDoorMaterial,FIND(""("",KitchenDoorMaterial)+1,2)/1000)*((((B57-76)+(C57-38))/1000)*2)+(((B57/1000)*0.032)*2)+((("&amp;"(B57-76)/1000)*0.032)*2)+(((B57/1000)*0.019)*4)+(((C57/1000)*0.032)*2)+((((C57-38)/1000)*0.032)*2)+(((C57/1000)*0.038)*4),IF(AND(ISERROR(FIND(""door"",A57))=FALSE,LEFT(KitchenDoorStyle,14)=""In-frame panel""),((((B57-76)/1000)*((C57-38)/1000))*2)+((MID(Ki"&amp;"tchenDoorMaterial,FIND(""("",KitchenDoorMaterial)+1,2)/1000)*((((B57-76)+(C57-38))/1000)*2))+((((B57-236)/1000)+((C57-198)/1000)*2)*0.013)+(((B57/1000)*0.032)*2)+((((B57-76)/1000)*0.032)*2)+(((B57/1000)*0.019)*4)+(((C57/1000)*0.032)*2)+((((C57-38)/1000)*0"&amp;".032)*2)+(((C57/1000)*0.038)*4),IF(ISERROR(FIND(""Plinth"",A57))=FALSE,((B57/1000)*(C57/1000))+(((C57/1000)*0.018)*2)+(((B57/1000)*0.018)*2),IF(ISERROR(FIND(""Cornice"",A57))=FALSE,(((C57/1000)*0.1)*2)+(((C57/1000)*0.044)*2)+(((B57/1000)*0.08)*2),IF(ISERR"&amp;"OR(FIND(""Base end panel"",A57))=FALSE,((B57/1000)*(C57/1000))+(0.022*((B57/1000)+((C57/1000)*2)))+((B57/1000)*0.05),IF(ISERROR(FIND(""Wall end panel"",A57))=FALSE,((B57/1000)*(C57/1000))+(0.022*((B57/1000)+((C57/1000)*2)))+((B57/1000)*0.05),IF(ISERROR(FI"&amp;"ND(""Tower end panel"",A57))=FALSE,((B57/1000)*(C57/1000))+(0.022*((B57/1000)+((C57/1000)*2)))+((B57/1000)*0.05),IF(ISERROR(FIND(""Fillers"",A57))=FALSE,((C57/1000)*0.06)+((C57/1000)*0.069)+((0.06*0.018)*2)+((0.06*0.009)*2)+((C57/1000)*0.009)+((C57/1000)*"&amp;"0.018),IF(ISERROR(FIND(""corner post"",A57))=FALSE,(((B57/1000*0.05)*2)+((B57/1000)*0.022)*2)+((B57/1000)*0.072)+((B57/1000)*0.05)+((0.072*0.022)*2)+((0.05*0.022)*2),IF(ISERROR(FIND(""Pelmet"",A57))=FALSE,((C57/1000)*0.05)+((C57/1000)*0.068)+((0.05*0.018)"&amp;"*4)+(((C57/1000)*0.018))*2))))))))))))))))))))))))))))"),1.5191999999999999)</f>
        <v>1.5192</v>
      </c>
      <c r="N57" s="152">
        <f>IF(M57="","",IF(AND(ISERROR(FIND("carcass",A57))=TRUE,ISERROR(FIND("unit",A57))=TRUE,ISERROR(FIND("insert",A57))=TRUE,ISERROR(FIND("rack",A57))=TRUE,ISERROR(FIND("box",A57))=TRUE,ISERROR(FIND("shelf",#REF!))=TRUE),VLOOKUP(KitchenDoorFinish,Finishing!$A$2:$K$10,9,0)*M57,VLOOKUP(KitchenCarcassFinish,Finishing!$A$2:$K$40,9,0)*M57))</f>
        <v>11.394</v>
      </c>
      <c r="O57" s="155">
        <v>0.5</v>
      </c>
      <c r="P57" s="155">
        <v>0.5</v>
      </c>
      <c r="Q57" s="152">
        <f>IF(OR(O57="",P57=""),"",((O57*X57)*(VLOOKUP("Workshop",Labour!$A$3:$E$20,4,0)/8))+((P57*AE57)*(VLOOKUP("Finishing",Labour!$A$3:$E$20,4,0)/8)))</f>
        <v>35.875</v>
      </c>
      <c r="R57" s="152">
        <f t="shared" si="4"/>
        <v>71.4644825</v>
      </c>
      <c r="S57" s="156">
        <f>IF(OR(O57="",P57=""),"",IF(OR(ISERROR(FIND("carcass",$A57))=FALSE,ISERROR(FIND("unit",$A57))=FALSE),VLOOKUP(KitchenCarcassMaterial,FixedListsCarcassMaterial,2,0),0))</f>
        <v>0</v>
      </c>
      <c r="T57" s="156">
        <f>IF(OR(O57="",P57=""),"",IF(ISERROR(FIND("door",$A57))=FALSE,VLOOKUP(KitchenDoorStyle,FixedListsDoorStyle,2,0),0))</f>
        <v>0</v>
      </c>
      <c r="U57" s="156">
        <f>IF(OR(O57="",P57=""),"",IF(ISERROR(FIND("door",$A57))=FALSE,VLOOKUP(KitchenDoorMaterial,FixedListsDoorMaterial,2,0),0))</f>
        <v>0</v>
      </c>
      <c r="V57" s="156">
        <f>IF(OR(O57="",P57=""),"",IF(ISERROR(FIND("drawer",$A57))=FALSE,VLOOKUP(KitchenDrawerType,FixedListsDrawerType,2,0),0))</f>
        <v>0</v>
      </c>
      <c r="W57" s="156">
        <f>IF(OR(O57="",P57=""),"",IF(OR(S57&gt;0, T57&gt;0,V57&gt;0),VLOOKUP(KitchenHandleType,FixedListsHandleType,2,FALSE)*IF(KitchenHandleType="Simple",0,IF(S57&gt;0,VLOOKUP(KitchenHandleType,FixedListsHandleType,4,FALSE),IF(OR(T57&gt;0,V57&gt;0),1-VLOOKUP(KitchenHandleType,FixedListsHandleType,4,FALSE),"Error"))),0))</f>
        <v>0</v>
      </c>
      <c r="X57" s="156">
        <f t="shared" si="5"/>
        <v>1</v>
      </c>
      <c r="Y57" s="156">
        <f>IF(OR(O57="",P57=""),"",IF(OR(ISERROR(FIND("carcass",$A57))=FALSE,ISERROR(FIND("unit",$A57))=FALSE),VLOOKUP(KitchenCarcassMaterial,FixedListsCarcassMaterial,3,0),0))</f>
        <v>0</v>
      </c>
      <c r="Z57" s="156">
        <f>IF(OR(O57="",P57=""),"",IF(ISERROR(FIND("door",$A57))=FALSE,VLOOKUP(KitchenDoorStyle,FixedListsDoorStyle,3,0),0))</f>
        <v>0</v>
      </c>
      <c r="AA57" s="156">
        <f>IF(OR(O57="",P57=""),"",IF(ISERROR(FIND("door",$A57))=FALSE,VLOOKUP(KitchenDoorMaterial,FixedListsDoorMaterial,3,0),0))</f>
        <v>0</v>
      </c>
      <c r="AB57" s="156">
        <f>IF(OR(O57="",P57=""),"",IF(ISERROR(FIND("drawer",$A57))=FALSE,VLOOKUP(KitchenDrawerType,FixedListsDrawerType,3,0),0))</f>
        <v>0</v>
      </c>
      <c r="AC57" s="156">
        <f>IF(OR(O57="",P57=""),"",IF(OR(Y57&gt;0,Z57&gt;0,AB57&gt;0),VLOOKUP(KitchenHandleType,FixedListsHandleType,3,FALSE),0))</f>
        <v>0</v>
      </c>
      <c r="AD57" s="156">
        <f>IF(OR(O57="",P57=""),"",IF(OR(ISERROR(FIND("carcass",$A57))=FALSE,ISERROR(FIND("unit",$A57))=FALSE),VLOOKUP(KitchenCarcassFinish,FixedListsFinishes,3,0),IF(OR(ISERROR(FIND("door",$A57))=FALSE,ISERROR(FIND("Plinth",$A57))=FALSE,ISERROR(FIND("Cornice",$A57))=FALSE,ISERROR(FIND("Fillers",$A57))=FALSE,ISERROR(FIND("Pelmet",$A57))=FALSE,ISERROR(FIND("panel",$A57))=FALSE,ISERROR(FIND("post",$A57))=FALSE),VLOOKUP(KitchenDoorFinish,FixedListsFinishes,3,0),IF(OR(ISERROR(FIND("drawer",$A57))=FALSE,ISERROR(FIND("insert",$A57))=FALSE,ISERROR(FIND("rck",$A57))=FALSE),VLOOKUP(KitchenCarcassFinish,FixedListsFinishes,3,0),0))))</f>
        <v>0</v>
      </c>
      <c r="AE57" s="156">
        <f t="shared" si="6"/>
        <v>1</v>
      </c>
      <c r="AF57" s="157" t="str">
        <f>IF(AND(KitchenHandleType="Channel",OR(ISERROR(FIND("arcass",$A57))=FALSE,ISERROR(FIND("unit",$A57))=FALSE)),IF(ISERROR(FIND("Tower",$A57))=TRUE,IF(KitchenHandleFinish="Match carcass",IF(ISERROR(FIND("Walnut",KitchenCarcassMaterial))=FALSE,(0.035*0.075*($C57/1000))*VLOOKUP("Walnut (solid m3)",SolidData,4,FALSE),IF(ISERROR(FIND("Oak",KitchenCarcassMaterial))=FALSE,(0.035*0.075*($C57/1000))*VLOOKUP("Oak (solid m3)",SolidData,4,FALSE),IF(ISERROR(FIND("ply",KitchenCarcassMaterial))=FALSE,(0.1*($C57/1000))*VLOOKUP("Birch ply (24mm)",SheetsData,7,FALSE),IF(ISERROR(FIND("H/F",KitchenCarcassMaterial))=FALSE,(0.1*($C57/1000))*VLOOKUP("H/F (22mm)",SheetsData,7,FALSE),"Carcass - not tower - new material")))),IF(KitchenHandleFinish="Match door",IF(ISERROR(FIND("Walnut",KitchenDoorMaterial))=FALSE,(0.035*0.075*($C57/1000))*VLOOKUP("Walnut (solid m3)",SolidData,4,FALSE),IF(ISERROR(FIND("Oak",KitchenDoorMaterial))=FALSE,(0.035*0.075*($C57/1000))*VLOOKUP("Oak (solid m3)",SolidData,4,FALSE),IF(ISERROR(FIND("ply",KitchenDoorMaterial))=FALSE,(0.1*($C57/1000))*VLOOKUP("Birch ply (24mm)",SheetsData,7,FALSE),IF(ISERROR(FIND("H/F",KitchenCarcassMaterial))=FALSE,(0.1*($C57/1000))*VLOOKUP("H/F (22mm)",SheetsData,7,FALSE),"Door - not tower - new material")))),"Channel - not tower - handle set to other")),IF(ISERROR(FIND("Tower",$A57))=FALSE,IF(KitchenHandleFinish="Match carcass",IF(ISERROR(FIND("Walnut",KitchenCarcassMaterial))=FALSE,(0.035*0.075*($B57/1000))*VLOOKUP("Walnut (solid m3)",SolidData,4,FALSE),IF(ISERROR(FIND("Oak",KitchenCarcassMaterial))=FALSE,(0.035*0.075*($B57/1000))*VLOOKUP("Oak (solid m3)",SolidData,4,FALSE),IF(ISERROR(FIND("ply",KitchenCarcassMaterial))=FALSE,(0.1*($B57/1000))*VLOOKUP("Birch ply (24mm)",SheetsData,7,FALSE),IF(ISERROR(FIND("H/F",KitchenCarcassMaterial))=FALSE,(0.1*($C57/1000))*VLOOKUP("H/F (22mm)",SheetsData,7,FALSE),"Carcass - tower - new material")))),IF(KitchenHandleFinish="Match door",IF(ISERROR(FIND("Walnut",KitchenDoorMaterial))=FALSE,(0.035*0.075*($B57/1000))*VLOOKUP("Walnut (solid m3)",SolidData,4,FALSE),IF(ISERROR(FIND("Oak",KitchenDoorMaterial))=FALSE,(0.035*0.075*($B57/1000))*VLOOKUP("Oak (solid m3)",SolidData,4,FALSE),IF(ISERROR(FIND("ply",KitchenDoorMaterial))=FALSE,(0.1*($B57/1000))*VLOOKUP("Birch ply (24mm)",SheetData,7,FALSE),IF(ISERROR(FIND("H/F",KitchenCarcassMaterial))=FALSE,(0.1*($C57/1000))*VLOOKUP("H/F (22mm)",SheetsData,7,FALSE),"Door - tower - new material")))),"Channel - tower - handle set to other")))),"")</f>
        <v/>
      </c>
    </row>
    <row r="58">
      <c r="A58" s="150" t="s">
        <v>166</v>
      </c>
      <c r="B58" s="115" t="str">
        <f t="shared" si="1"/>
        <v/>
      </c>
      <c r="C58" s="115" t="str">
        <f>IFERROR(__xludf.DUMMYFUNCTION("IF(A58="""","""",IF(OR(RIGHT(A58,LEN(A58)-len(regexextract(A58,"".* "")))=""1200"",RIGHT(A58,LEN(A58)-len(regexextract(A58,"".* "")))=""600"",RIGHT(A58,LEN(A58)-len(regexextract(A58,"".* "")))=""400"",RIGHT(A58,LEN(A58)-len(regexextract(A58,"".* "")))=""3"&amp;"00"",RIGHT(A58,LEN(A58)-len(regexextract(A58,"".* "")))=""700"",RIGHT(A58,LEN(A58)-len(regexextract(A58,"".* "")))=""2400"",RIGHT(A58,LEN(A58)-len(regexextract(A58,"".* "")))=""650"",RIGHT(A58,LEN(A58)-len(regexextract(A58,"".* "")))=""350"",RIGHT(A58,LEN"&amp;"(A58)-len(regexextract(A58,"".* "")))=""50""),RIGHT(A58,LEN(A58)-len(regexextract(A58,"".* ""))),IF(OR(ISERROR(FIND(""spacer"",A58))=FALSE,ISERROR(FIND(""filler panel"",A58))=FALSE),""1000"",""Unexpected size in description"")))"),"300")</f>
        <v>300</v>
      </c>
      <c r="D58" s="151">
        <f t="shared" si="2"/>
        <v>300</v>
      </c>
      <c r="E58" s="152">
        <f>IFERROR(__xludf.DUMMYFUNCTION("IF(OR(A58="""",AND(ISERROR(FIND(""drawer box"",A58))=FALSE,KitchenDrawerType="""")),"""",IF(OR(ISERROR(FIND(""larder"",A58))=FALSE,ISERROR(FIND(""fridge/freezer"",A58))=FALSE,ISERROR(FIND(""double oven"",A58))=FALSE,ISERROR(FIND(""single oven"",A58))=FALS"&amp;"E),VLOOKUP(LEFT(A58,FIND("" "",A58))&amp;""carcass ""&amp;RIGHT(A58,LEN(A58)-(LEN(A58)-3)),KitchensData,5,0),IF(ISERROR(FIND(""sink"",A58))=FALSE,VLOOKUP(LEFT(A58,FIND("" "",A58))&amp;""carcass ""&amp;VALUE(REGEXREPLACE(A58,""[^[:digit:]]"", """")),KitchensData,5,0)+(((C"&amp;"58/1000)*(300/1000))*VLOOKUP(KitchenCarcassMaterial,SheetsData,8,0)),IF(ISERROR(FIND(""bins"",A58))=FALSE,IF(ISERROR(FIND(""veneer"",KitchenCarcassMaterial))=FALSE,VLOOKUP(""Base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600"",A58))=FALSE,IF(ISERROR(FIND(""veneer"""&amp;",KitchenCarcassMaterial))=FALSE,0.54*(VLOOKUP(LEFT(KitchenCarcassMaterial,FIND(""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1200"",A58))=FALSE,"&amp;"IF(ISERROR(FIND(""veneer"",KitchenCarcassMaterial))=FALSE,0.84*(VLOOKUP(LEFT(KitchenCarcassMaterial,FIND(""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600"",A58))=FALSE,IF(ISERROR(FIND(""veneer"",KitchenCarcassMaterial))=FALSE,1.44*(VLOOKUP(LEFT(KitchenCarcassMaterial,FIND(""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1200"",A58))=FALSE,IF(ISERROR(FIND(""veneer"",KitchenCarcassMaterial))=FALSE,2.7*(VLOOKUP(LEFT(KitchenCarcassMaterial,FIND(""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front"",A58))=FALSE,((B58/1000)*(C58/1000))*VLOOKUP(KitchenDoorMaterial,SheetsData,8,0),IF(AND(KitchenDrawerType=""Match carcass"",ISERROR(FIND(""drawer box"",A58))=FALSE),(((((B58/1000)*(C58/1000))+((B58/1000"&amp;")*(D58/1000)))*2)*VLOOKUP(KitchenCarcassMaterial,SheetsData,8,0))+(((C58/1000)*(D58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box"",A58))=FALSE),(((((B58/1000)*(C58/1000))+((B58/1000)*(D58/1000)))*2)*(16/1000)*VLOOKUP(LEFT(KitchenCarcassMaterial,FIND("" "&amp;""",KitchenCarcassMaterial))&amp;""(solid m3)"",SolidData,5,0))+(((C58/1000)*(D58/1000))*VLOOKUP(LEFT(KitchenCarcassMaterial,FIND(""("",KitchenCarcassMaterial)-1)&amp;IF(OR(ISERROR(FIND(""ply"",KitchenCarcassMaterial))=FALSE,ISERROR(FIND(""H/F"",KitchenCarcassMate"&amp;"rial))=FALSE),""(9mm)"",""(10mm)""),SheetsData,8,0)),IF(ISERROR(FIND(""spacer"",A58))=FALSE,((D58/1000)*(C58/1000))*VLOOKUP(""Poplar ply (18mm)"",SheetsData,8,0),IF(ISERROR(FIND(""filler panel"",A58))=FALSE,((B58/1000)*(C58/1000))*VLOOKUP(KitchenDoorMater"&amp;"ial,SheetsData,8,0),IF(ISERROR(FIND(""shelf"",A58))=FALSE,((D58/1000)*(C58/1000))*VLOOKUP(KitchenCarcassMaterial,SheetsData,8,0),IF(ISERROR(FIND(""lost corner"",A58))=FALSE,VLOOKUP(LEFT(A58,FIND("" "",A58))&amp;""carcass ""&amp;VALUE(REGEXREPLACE(A58,""[^[:digit:"&amp;"]]"", """")),KitchensData,5,0)+((((B58/1000)*(C58/1000))+((B58/1000)*(60/1000)))*VLOOKUP(KitchenCarcassMaterial,SheetsData,8,0)),IF(ISERROR(FIND(""carcass"",A58))=FALSE,(((((B58/1000)*2)*(D58/1000))+(((C58/1000)*2)*(D58/1000)))*VLOOKUP(KitchenCarcassMater"&amp;"ial,SheetsData,8,0))+((B58/1000)*(C58/1000))*VLOOKUP(LEFT(KitchenCarcassMaterial,FIND(""("",KitchenCarcassMaterial)-1)&amp;IF(OR(ISERROR(FIND(""ply"",KitchenCarcassMaterial))=FALSE,ISERROR(FIND(""H/F"",KitchenCarcassMaterial))=FALSE),""(9mm)"",""(10mm)""),She"&amp;"etsData,8,0),IF(OR(ISERROR(FIND(""Plinth"",A58))=FALSE,ISERROR(FIND(""Cornice (flat)"",A58))=FALSE),((B58/1000)*(C58/1000))*VLOOKUP(""H/F (18mm)"",SheetsData,8,0),IF(ISERROR(FIND(""Cornice (stacked)"",A58))=FALSE,((0.08*(C58/1000))*2)*VLOOKUP(""H/F (22mm)"&amp;""",SheetsData,8,0),IF(ISERROR(FIND(""Base end panel"",A58))=FALSE,VLOOKUP(KitchenDoorMaterial,SheetsData,5,0)/3,IF(ISERROR(FIND(""Wall end panel"",A58))=FALSE,VLOOKUP(KitchenDoorMaterial,SheetsData,5,0)/9,IF(ISERROR(FIND(""Tower end panel"",A58))=FALSE,VL"&amp;"OOKUP(KitchenDoorMaterial,SheetsData,5,0),IF(ISERROR(FIND(""Fillers"",A58))=FALSE,(((0.06*(C58/1000))*2)*VLOOKUP(""H/F (18mm)"",SheetsData,8,0))+(((0.06*(C58/1000))*2)*VLOOKUP(""H/F (9mm)"",SheetsData,8,0)),IF(ISERROR(FIND(""corner post"",A58))=FALSE,(((B"&amp;"58/1000)*0.05)*2)*VLOOKUP(KitchenDoorMaterial,SheetsData,8,0),IF(ISERROR(FIND(""Pelmet"",A58))=FALSE,((((B58/1000)*(C58/1000))*2)*VLOOKUP(""H/F (18mm)"",SheetsData,8,0)),IF(ISERROR(FIND(""door"",A58))=TRUE,""Check description"",IF(KitchenDoorStyle=""Flat"&amp;""",((B58/1000)*(C58/1000))*VLOOKUP(KitchenDoorMaterial,SheetsData,8,0),IF(LEFT(KitchenDoorStyle,5)=""Panel"",(((((B58/1000)*2)*0.08)+((((C58/1000)-0.16)*2)*0.08))*VLOOKUP(""H/F (22mm)"",SheetsData,8,0))+(((B58/1000)-0.14)*((C58/1000)-0.14)*VLOOKUP(""H/F ("&amp;"9mm)"",SheetsData,8,0)),IF(KitchenDoorStyle=""In-frame flat"",((((((B58/1000)*0.019)*0.038)+((((C58-38)/1000)*0.038)*0.038))*2)*VLOOKUP(""Tulip (solid m3)"",SolidData,5,0))+(((B58-76)/1000)*((C58-38)/1000))*VLOOKUP(""H/F (22mm)"",SheetsData,8,0),IF(LEFT(K"&amp;"itchenDoorStyle,14)=""In-frame panel"",(((((((B58/1000)*0.019)*0.038)+((((C58-38)/1000)*0.038)*0.038))*2)*VLOOKUP(""Tulip (solid m3)"",SolidData,5,0))+(((((((B58-76)/1000)*2)*0.08)+(((((C58-198)/1000)*2)*0.08)))*VLOOKUP(""H/F (22mm)"",SheetsData,8,0))+((("&amp;"B58-216)/1000)*((C58-178)/1000)*VLOOKUP(""H/F (9mm)"",SheetsData,8,0)))))))))))))))))))))))))))))))))"),2.9916353130878797)</f>
        <v>2.991635313</v>
      </c>
      <c r="F58" s="152">
        <f>IFERROR(__xludf.DUMMYFUNCTION("IF(OR(A58="""",AND(ISERROR(FIND(""drawer box"",A58))=FALSE,KitchenDrawerType=""Solid dovetail"")),"""",IF(ISERROR(FIND(""bins"",A58))=FALSE,VLOOKUP(""Base carcass 600"",KitchensData,6,0),IF(OR(ISERROR(FIND(""larder"",A58))=FALSE,ISERROR(FIND(""unit"",A58)"&amp;")=FALSE),VLOOKUP(LEFT(A58,FIND("" "",A58))&amp;""carcass ""&amp;RIGHT(A58,LEN(A58)-len(regexextract(A58,"".* ""))),KitchensData,6,0),IF(ISERROR(FIND(""drawer front"",A58))=FALSE,IF(ISERROR(FIND(""veneer"",KitchenCarcassMaterial))=TRUE,0,(((B58+C58)/1000)*2)*VLOOK"&amp;"UP(""Edge banding (per M)"",SheetsData,5,0)),IF(ISERROR(FIND(""drawer box"",A58))=FALSE,IF(ISERROR(FIND(""veneer"",KitchenCarcassMaterial))=TRUE,0,(((C58+D58)/1000)*2)*VLOOKUP(""Edge banding (per M)"",SheetsData,5,0)),IF(ISERROR(FIND(""shelf"",A58))=FALSE"&amp;",IF(ISERROR(FIND(""veneer"",KitchenCarcassMaterial))=TRUE,0,(C58/1000)*VLOOKUP(""Edge banding (per M)"",SheetsData,5,0)),IF(AND(ISERROR(FIND(""carcass"",A58))=FALSE,ISERROR(FIND(""shelf"",A58))=TRUE),IF(ISERROR(FIND(""veneer"",KitchenCarcassMaterial))=TRU"&amp;"E,0,((2*(B58+C58))/1000)*VLOOKUP(""Edge banding (per M)"",SheetsData,5,0)),IF(ISERROR(FIND(""door"",A58))=TRUE,"""",IF(ISERROR(FIND(""veneer"",KitchenDoorMaterial))=TRUE,"""",((2*(B58+C58))/1000)*VLOOKUP(""Edge banding (per M)"",SheetsData,5,0))))))))))"),0.0)</f>
        <v>0</v>
      </c>
      <c r="G58" s="153" t="str">
        <f>IF(A58="","",IF(ISERROR(FIND("bins",A58))=FALSE,VLOOKUP("Base carcass 600",KitchensData,7,0),IF(OR(ISERROR(FIND("larder",A58))=FALSE,ISERROR(FIND("fridge/freezer",A58))=FALSE,ISERROR(FIND("double oven",A58))=FALSE,ISERROR(FIND("single oven",A58))=FALSE),VLOOKUP(LEFT(A58,FIND(" ",A58))&amp;"carcass "&amp;RIGHT(A58,LEN(A58)-(LEN(A58)-3)),KitchensData,7,0),IF(AND(ISERROR(FIND("carcass",A58))=FALSE,ISERROR(FIND("shelf",A58))=TRUE),IF(OR(ISERROR(FIND("Base",A58))=FALSE,ISERROR(FIND("Tower",A58))=FALSE),IF(OR(ISERROR(FIND("1200",A58))=FALSE, ISERROR(FIND("lost corner",A58))=FALSE),6*VLOOKUP("Plinth foot (2 Parts 80mm)",FurnitureData,5,0),4*VLOOKUP("Plinth foot (2 Parts 80mm)",FurnitureData,5,0)),""),""))))</f>
        <v/>
      </c>
      <c r="H58" s="115" t="str">
        <f>IF(OR(A58="",ISERROR(FIND("door",A58))=TRUE),"",IF(ISERROR(FIND("Wall",A58))=FALSE,VLOOKUP("Hinges &amp; plates (Hettich thick door)",FurnitureData,5,0)*2,IF(ISERROR(FIND("Base",A58))=FALSE,VLOOKUP("Hinges &amp; plates (Hettich thick door)",FurnitureData,5,0)*3,IF(ISERROR(FIND("Boiler",A58))=FALSE,VLOOKUP("Hinges &amp; plates (Hettich thick door)",FurnitureData,5,0)*4,IF(ISERROR(FIND("Tower",A58))=FALSE,VLOOKUP("Hinges &amp; plates (Hettich thick door)",FurnitureData,5,0)*5)))))</f>
        <v/>
      </c>
      <c r="I58" s="153">
        <f>IF(ISERROR(FIND("shelf",A58))=FALSE,(VLOOKUP("Shelf pegs",FurnitureData,5,0)/100)*4,"")</f>
        <v>0.2624</v>
      </c>
      <c r="J58" s="152" t="str">
        <f>IF(OR(ISERROR(FIND("fridge/freezer",A58))=FALSE,ISERROR(FIND("larder",A58))=FALSE,AND(ISERROR(FIND("Base",A58))=FALSE,ISERROR(FIND("bins",A58))=TRUE,ISERROR(FIND("no shelves",A58))=TRUE,OR(ISERROR(FIND("carcass",A58))=FALSE,ISERROR(FIND("unit",A58))=FALSE))),VLOOKUP("Deep shelf "&amp;C58,KitchensData,18,0),IF(AND(ISERROR(FIND("Wall",A58))=FALSE,ISERROR(FIND("carcass",A58))=FALSE),2*VLOOKUP("Shallow shelf "&amp;C58,KitchensData,18,0),IF(AND(ISERROR(FIND("Tower",A58))=FALSE,ISERROR(FIND("oven",A58))=FALSE),4*VLOOKUP("Deep shelf "&amp;C58,KitchensData,18,0),IF(AND(ISERROR(FIND("Tower",A58))=FALSE,ISERROR(FIND("carcass",A58))=FALSE),5*VLOOKUP("Deep shelf "&amp;C58,KitchensData,18,0),""))))</f>
        <v/>
      </c>
      <c r="K58" s="152" t="str">
        <f>IF(ISERROR(FIND("sink",A58))=FALSE,VLOOKUP("Sink liner - Aluminium "&amp;RIGHT(A58,LEN(A58)-22)&amp;"mm",ExceptionalData,5,0),IF(ISERROR(FIND("bins",A58))=FALSE,VLOOKUP("Drawer runners and clip set for bin unit (500) Dynapro",FurnitureData,5,0)+(2*VLOOKUP("Bin (42L Anthracite)",FurnitureData,5,0)),IF(ISERROR(FIND("larder",A58))=FALSE,VLOOKUP("Pull out larder unit 600mm",FurnitureData,5,0),IF(AND(ISERROR(FIND("drawer box",A58))=FALSE,ISERROR(FIND("internal",A58))=TRUE),VLOOKUP("Drawer runners and clip set (550) Dynapro",FurnitureData,5,0),IF(ISERROR(FIND("internal drawer box",A58))=FALSE,VLOOKUP("Drawer runners and clip set (450) Dynapro",FurnitureData,5,0),"")))))</f>
        <v/>
      </c>
      <c r="L58" s="152">
        <f t="shared" si="3"/>
        <v>3.254035313</v>
      </c>
      <c r="M58" s="154">
        <f>IFERROR(__xludf.DUMMYFUNCTION("IF(A58="""","""",IF(OR(ISERROR(FIND(""larder"",A58))=FALSE,ISERROR(FIND(""unit"",A58))=FALSE),VLOOKUP(LEFT(A58,FIND("" "",A58))&amp;""carcass ""&amp;RIGHT(A58,LEN(A58)-len(regexextract(A58,"".* ""))),KitchensData,13,0),IF(ISERROR(FIND(""bins"",A58))=FALSE,0.95,IF"&amp;"(ISERROR(FIND(""Cutlery insert 600"",A58))=FALSE,1.3,IF(ISERROR(FIND(""Cutlery insert 1200"",A58))=FALSE,2,IF(ISERROR(FIND(""Pan/tray rack 600"",A58))=FALSE,3.25,IF(ISERROR(FIND(""Pan/tray rack 1200"",A58))=FALSE,5.9,IF(ISERROR(FIND(""split"",A58))=FALSE,"&amp;"(((C58/1000)*0.022)*2)+VLOOKUP(SUBSTITUTE(A58,"" split"",""""),KitchensData,13,0),IF(AND(ISERROR(FIND(""drawer front"",A58))=FALSE,KitchenDoorStyle=""Flat""),(((B58/1000)*(C58/1000))*2)+((((B58+C58)/1000)*2)*0.022),IF(AND(ISERROR(FIND(""drawer front"",A58"&amp;"))=FALSE,LEFT(KitchenDoorStyle,5)=""Panel""),(((B58/1000)*(C58/1000))*2)+((((B58+C58)/1000)*2)*0.022)+((((C58/1000)-0.16)*0.013)*2)+((((D58/1000)-0.16)*0.013)*2),IF(AND(ISERROR(FIND(""drawer front"",A58))=FALSE,KitchenDoorStyle=""In-frame flat""),((((B58-"&amp;"76)/1000)*((C58-38)/1000))*2)+(MID(KitchenDoorMaterial,FIND(""("",KitchenDoorMaterial)+1,2)/1000)*((((B58-76)+(C58-38))/1000)*2)+(((B58/1000)*0.032)*2)+((((B58-76)/1000)*0.032)*2)+(((B58/1000)*0.019)*4)+(((C58/1000)*0.032)*2)+((((C58-38)/1000)*0.032)*2)+("&amp;"((C58/1000)*0.038)*4),IF(AND(ISERROR(FIND(""drawer front"",A58))=FALSE,LEFT(KitchenDoorStyle,14)=""In-frame panel""),((((B58-76)/1000)*((C58-38)/1000))*2)+((MID(KitchenDoorMaterial,FIND(""("",KitchenDoorMaterial)+1,2)/1000)*((((B58-76)+(C58-38))/1000)*2))"&amp;"+((((B58-236)/1000)+((C58-198)/1000)*2)*0.013)+(((B58/1000)*0.032)*2)+((((B58-76)/1000)*0.032)*2)+(((B58/1000)*0.019)*4)+(((C58/1000)*0.032)*2)+((((C58-38)/1000)*0.032)*2)+(((C58/1000)*0.038)*4),IF(ISERROR(FIND(""drawer box"",A58))=FALSE,((((B58/1000)*(D5"&amp;"8/1000))+((B58/1000)*(C58/1000)))*4)+((((D58/1000)+(C58/1000))*0.016)*4)+(((C58/1000)*(D58/1000))*2),IF(OR(ISERROR(FIND(""shelf"",A58))=FALSE,ISERROR(FIND(""spacer"",A58))=FALSE,,ISERROR(FIND(""filler panel"",A58))=FALSE),(((C58/1000)*(D58/1000))*2)+((((C"&amp;"58+D58)*2)/1000)*0.022),IF(ISERROR(FIND(""lost corner"",A58))=FALSE,(((B58/1000)*(C58/1000))*2)+((B58/1000)*(C58/1000))+((B58/1000)*((C58/2)/1000))+((((B58/1000)*0.025)+((C58/1000)*0.025))*2),IF(ISERROR(FIND(""carcass"",A58))=FALSE,(((C58/1000)*(D58/1000)"&amp;")*2)+(((B58/1000)*(D58/1000))*2)+((B58/1000)*(C58/1000))+((((B58/1000)*0.025)+((C58/1000)*0.025))*2),IF(AND(ISERROR(FIND(""door"",A58))=FALSE,KitchenDoorStyle=""Flat""),(((B58/1000)*(C58/1000))*2)+(MID(KitchenDoorMaterial,FIND(""("",KitchenDoorMaterial)+1"&amp;",2)/1000)*(((B58+C58)/1000)*2),IF(AND(ISERROR(FIND(""door"",A58))=FALSE,LEFT(KitchenDoorStyle,5)=""Panel""),(((B58/1000)*(C58/1000))*2)+((MID(KitchenDoorMaterial,FIND(""("",KitchenDoorMaterial)+1,2)/1000)*(((B58+C58)/1000)*2))+(((((B58-160)+(C58-160))*2)/"&amp;"1000)*(0.013)),IF(AND(ISERROR(FIND(""door"",A58))=FALSE,KitchenDoorStyle=""In-frame flat""),((((B58-76)/1000)*((C58-38)/1000))*2)+(MID(KitchenDoorMaterial,FIND(""("",KitchenDoorMaterial)+1,2)/1000)*((((B58-76)+(C58-38))/1000)*2)+(((B58/1000)*0.032)*2)+((("&amp;"(B58-76)/1000)*0.032)*2)+(((B58/1000)*0.019)*4)+(((C58/1000)*0.032)*2)+((((C58-38)/1000)*0.032)*2)+(((C58/1000)*0.038)*4),IF(AND(ISERROR(FIND(""door"",A58))=FALSE,LEFT(KitchenDoorStyle,14)=""In-frame panel""),((((B58-76)/1000)*((C58-38)/1000))*2)+((MID(Ki"&amp;"tchenDoorMaterial,FIND(""("",KitchenDoorMaterial)+1,2)/1000)*((((B58-76)+(C58-38))/1000)*2))+((((B58-236)/1000)+((C58-198)/1000)*2)*0.013)+(((B58/1000)*0.032)*2)+((((B58-76)/1000)*0.032)*2)+(((B58/1000)*0.019)*4)+(((C58/1000)*0.032)*2)+((((C58-38)/1000)*0"&amp;".032)*2)+(((C58/1000)*0.038)*4),IF(ISERROR(FIND(""Plinth"",A58))=FALSE,((B58/1000)*(C58/1000))+(((C58/1000)*0.018)*2)+(((B58/1000)*0.018)*2),IF(ISERROR(FIND(""Cornice"",A58))=FALSE,(((C58/1000)*0.1)*2)+(((C58/1000)*0.044)*2)+(((B58/1000)*0.08)*2),IF(ISERR"&amp;"OR(FIND(""Base end panel"",A58))=FALSE,((B58/1000)*(C58/1000))+(0.022*((B58/1000)+((C58/1000)*2)))+((B58/1000)*0.05),IF(ISERROR(FIND(""Wall end panel"",A58))=FALSE,((B58/1000)*(C58/1000))+(0.022*((B58/1000)+((C58/1000)*2)))+((B58/1000)*0.05),IF(ISERROR(FI"&amp;"ND(""Tower end panel"",A58))=FALSE,((B58/1000)*(C58/1000))+(0.022*((B58/1000)+((C58/1000)*2)))+((B58/1000)*0.05),IF(ISERROR(FIND(""Fillers"",A58))=FALSE,((C58/1000)*0.06)+((C58/1000)*0.069)+((0.06*0.018)*2)+((0.06*0.009)*2)+((C58/1000)*0.009)+((C58/1000)*"&amp;"0.018),IF(ISERROR(FIND(""corner post"",A58))=FALSE,(((B58/1000*0.05)*2)+((B58/1000)*0.022)*2)+((B58/1000)*0.072)+((B58/1000)*0.05)+((0.072*0.022)*2)+((0.05*0.022)*2),IF(ISERROR(FIND(""Pelmet"",A58))=FALSE,((C58/1000)*0.05)+((C58/1000)*0.068)+((0.05*0.018)"&amp;"*4)+(((C58/1000)*0.018))*2))))))))))))))))))))))))))))"),0.2064)</f>
        <v>0.2064</v>
      </c>
      <c r="N58" s="152">
        <f>IF(M58="","",IF(AND(ISERROR(FIND("carcass",A58))=TRUE,ISERROR(FIND("unit",A58))=TRUE,ISERROR(FIND("insert",A58))=TRUE,ISERROR(FIND("rack",A58))=TRUE,ISERROR(FIND("box",A58))=TRUE,ISERROR(FIND("shelf",#REF!))=TRUE),VLOOKUP(KitchenDoorFinish,Finishing!$A$2:$K$10,9,0)*M58,VLOOKUP(KitchenCarcassFinish,Finishing!$A$2:$K$40,9,0)*M58))</f>
        <v>1.548</v>
      </c>
      <c r="O58" s="155">
        <v>0.5</v>
      </c>
      <c r="P58" s="155">
        <v>0.5</v>
      </c>
      <c r="Q58" s="152">
        <f>IF(OR(O58="",P58=""),"",((O58*X58)*(VLOOKUP("Workshop",Labour!$A$3:$E$20,4,0)/8))+((P58*AE58)*(VLOOKUP("Finishing",Labour!$A$3:$E$20,4,0)/8)))</f>
        <v>35.875</v>
      </c>
      <c r="R58" s="152">
        <f t="shared" si="4"/>
        <v>40.67703531</v>
      </c>
      <c r="S58" s="156">
        <f>IF(OR(O58="",P58=""),"",IF(OR(ISERROR(FIND("carcass",$A58))=FALSE,ISERROR(FIND("unit",$A58))=FALSE),VLOOKUP(KitchenCarcassMaterial,FixedListsCarcassMaterial,2,0),0))</f>
        <v>0</v>
      </c>
      <c r="T58" s="156">
        <f>IF(OR(O58="",P58=""),"",IF(ISERROR(FIND("door",$A58))=FALSE,VLOOKUP(KitchenDoorStyle,FixedListsDoorStyle,2,0),0))</f>
        <v>0</v>
      </c>
      <c r="U58" s="156">
        <f>IF(OR(O58="",P58=""),"",IF(ISERROR(FIND("door",$A58))=FALSE,VLOOKUP(KitchenDoorMaterial,FixedListsDoorMaterial,2,0),0))</f>
        <v>0</v>
      </c>
      <c r="V58" s="156">
        <f>IF(OR(O58="",P58=""),"",IF(ISERROR(FIND("drawer",$A58))=FALSE,VLOOKUP(KitchenDrawerType,FixedListsDrawerType,2,0),0))</f>
        <v>0</v>
      </c>
      <c r="W58" s="156">
        <f>IF(OR(O58="",P58=""),"",IF(OR(S58&gt;0, T58&gt;0,V58&gt;0),VLOOKUP(KitchenHandleType,FixedListsHandleType,2,FALSE)*IF(KitchenHandleType="Simple",0,IF(S58&gt;0,VLOOKUP(KitchenHandleType,FixedListsHandleType,4,FALSE),IF(OR(T58&gt;0,V58&gt;0),1-VLOOKUP(KitchenHandleType,FixedListsHandleType,4,FALSE),"Error"))),0))</f>
        <v>0</v>
      </c>
      <c r="X58" s="156">
        <f t="shared" si="5"/>
        <v>1</v>
      </c>
      <c r="Y58" s="156">
        <f>IF(OR(O58="",P58=""),"",IF(OR(ISERROR(FIND("carcass",$A58))=FALSE,ISERROR(FIND("unit",$A58))=FALSE),VLOOKUP(KitchenCarcassMaterial,FixedListsCarcassMaterial,3,0),0))</f>
        <v>0</v>
      </c>
      <c r="Z58" s="156">
        <f>IF(OR(O58="",P58=""),"",IF(ISERROR(FIND("door",$A58))=FALSE,VLOOKUP(KitchenDoorStyle,FixedListsDoorStyle,3,0),0))</f>
        <v>0</v>
      </c>
      <c r="AA58" s="156">
        <f>IF(OR(O58="",P58=""),"",IF(ISERROR(FIND("door",$A58))=FALSE,VLOOKUP(KitchenDoorMaterial,FixedListsDoorMaterial,3,0),0))</f>
        <v>0</v>
      </c>
      <c r="AB58" s="156">
        <f>IF(OR(O58="",P58=""),"",IF(ISERROR(FIND("drawer",$A58))=FALSE,VLOOKUP(KitchenDrawerType,FixedListsDrawerType,3,0),0))</f>
        <v>0</v>
      </c>
      <c r="AC58" s="156">
        <f>IF(OR(O58="",P58=""),"",IF(OR(Y58&gt;0,Z58&gt;0,AB58&gt;0),VLOOKUP(KitchenHandleType,FixedListsHandleType,3,FALSE),0))</f>
        <v>0</v>
      </c>
      <c r="AD58" s="156">
        <f>IF(OR(O58="",P58=""),"",IF(OR(ISERROR(FIND("carcass",$A58))=FALSE,ISERROR(FIND("unit",$A58))=FALSE),VLOOKUP(KitchenCarcassFinish,FixedListsFinishes,3,0),IF(OR(ISERROR(FIND("door",$A58))=FALSE,ISERROR(FIND("Plinth",$A58))=FALSE,ISERROR(FIND("Cornice",$A58))=FALSE,ISERROR(FIND("Fillers",$A58))=FALSE,ISERROR(FIND("Pelmet",$A58))=FALSE,ISERROR(FIND("panel",$A58))=FALSE,ISERROR(FIND("post",$A58))=FALSE),VLOOKUP(KitchenDoorFinish,FixedListsFinishes,3,0),IF(OR(ISERROR(FIND("drawer",$A58))=FALSE,ISERROR(FIND("insert",$A58))=FALSE,ISERROR(FIND("rck",$A58))=FALSE),VLOOKUP(KitchenCarcassFinish,FixedListsFinishes,3,0),0))))</f>
        <v>0</v>
      </c>
      <c r="AE58" s="156">
        <f t="shared" si="6"/>
        <v>1</v>
      </c>
      <c r="AF58" s="157" t="str">
        <f>IF(AND(KitchenHandleType="Channel",OR(ISERROR(FIND("arcass",$A58))=FALSE,ISERROR(FIND("unit",$A58))=FALSE)),IF(ISERROR(FIND("Tower",$A58))=TRUE,IF(KitchenHandleFinish="Match carcass",IF(ISERROR(FIND("Walnut",KitchenCarcassMaterial))=FALSE,(0.035*0.075*($C58/1000))*VLOOKUP("Walnut (solid m3)",SolidData,4,FALSE),IF(ISERROR(FIND("Oak",KitchenCarcassMaterial))=FALSE,(0.035*0.075*($C58/1000))*VLOOKUP("Oak (solid m3)",SolidData,4,FALSE),IF(ISERROR(FIND("ply",KitchenCarcassMaterial))=FALSE,(0.1*($C58/1000))*VLOOKUP("Birch ply (24mm)",SheetsData,7,FALSE),IF(ISERROR(FIND("H/F",KitchenCarcassMaterial))=FALSE,(0.1*($C58/1000))*VLOOKUP("H/F (22mm)",SheetsData,7,FALSE),"Carcass - not tower - new material")))),IF(KitchenHandleFinish="Match door",IF(ISERROR(FIND("Walnut",KitchenDoorMaterial))=FALSE,(0.035*0.075*($C58/1000))*VLOOKUP("Walnut (solid m3)",SolidData,4,FALSE),IF(ISERROR(FIND("Oak",KitchenDoorMaterial))=FALSE,(0.035*0.075*($C58/1000))*VLOOKUP("Oak (solid m3)",SolidData,4,FALSE),IF(ISERROR(FIND("ply",KitchenDoorMaterial))=FALSE,(0.1*($C58/1000))*VLOOKUP("Birch ply (24mm)",SheetsData,7,FALSE),IF(ISERROR(FIND("H/F",KitchenCarcassMaterial))=FALSE,(0.1*($C58/1000))*VLOOKUP("H/F (22mm)",SheetsData,7,FALSE),"Door - not tower - new material")))),"Channel - not tower - handle set to other")),IF(ISERROR(FIND("Tower",$A58))=FALSE,IF(KitchenHandleFinish="Match carcass",IF(ISERROR(FIND("Walnut",KitchenCarcassMaterial))=FALSE,(0.035*0.075*($B58/1000))*VLOOKUP("Walnut (solid m3)",SolidData,4,FALSE),IF(ISERROR(FIND("Oak",KitchenCarcassMaterial))=FALSE,(0.035*0.075*($B58/1000))*VLOOKUP("Oak (solid m3)",SolidData,4,FALSE),IF(ISERROR(FIND("ply",KitchenCarcassMaterial))=FALSE,(0.1*($B58/1000))*VLOOKUP("Birch ply (24mm)",SheetsData,7,FALSE),IF(ISERROR(FIND("H/F",KitchenCarcassMaterial))=FALSE,(0.1*($C58/1000))*VLOOKUP("H/F (22mm)",SheetsData,7,FALSE),"Carcass - tower - new material")))),IF(KitchenHandleFinish="Match door",IF(ISERROR(FIND("Walnut",KitchenDoorMaterial))=FALSE,(0.035*0.075*($B58/1000))*VLOOKUP("Walnut (solid m3)",SolidData,4,FALSE),IF(ISERROR(FIND("Oak",KitchenDoorMaterial))=FALSE,(0.035*0.075*($B58/1000))*VLOOKUP("Oak (solid m3)",SolidData,4,FALSE),IF(ISERROR(FIND("ply",KitchenDoorMaterial))=FALSE,(0.1*($B58/1000))*VLOOKUP("Birch ply (24mm)",SheetData,7,FALSE),IF(ISERROR(FIND("H/F",KitchenCarcassMaterial))=FALSE,(0.1*($C58/1000))*VLOOKUP("H/F (22mm)",SheetsData,7,FALSE),"Door - tower - new material")))),"Channel - tower - handle set to other")))),"")</f>
        <v/>
      </c>
    </row>
    <row r="59">
      <c r="A59" s="150" t="s">
        <v>167</v>
      </c>
      <c r="B59" s="115" t="str">
        <f t="shared" si="1"/>
        <v/>
      </c>
      <c r="C59" s="115" t="str">
        <f>IFERROR(__xludf.DUMMYFUNCTION("IF(A59="""","""",IF(OR(RIGHT(A59,LEN(A59)-len(regexextract(A59,"".* "")))=""1200"",RIGHT(A59,LEN(A59)-len(regexextract(A59,"".* "")))=""600"",RIGHT(A59,LEN(A59)-len(regexextract(A59,"".* "")))=""400"",RIGHT(A59,LEN(A59)-len(regexextract(A59,"".* "")))=""3"&amp;"00"",RIGHT(A59,LEN(A59)-len(regexextract(A59,"".* "")))=""700"",RIGHT(A59,LEN(A59)-len(regexextract(A59,"".* "")))=""2400"",RIGHT(A59,LEN(A59)-len(regexextract(A59,"".* "")))=""650"",RIGHT(A59,LEN(A59)-len(regexextract(A59,"".* "")))=""350"",RIGHT(A59,LEN"&amp;"(A59)-len(regexextract(A59,"".* "")))=""50""),RIGHT(A59,LEN(A59)-len(regexextract(A59,"".* ""))),IF(OR(ISERROR(FIND(""spacer"",A59))=FALSE,ISERROR(FIND(""filler panel"",A59))=FALSE),""1000"",""Unexpected size in description"")))"),"400")</f>
        <v>400</v>
      </c>
      <c r="D59" s="151">
        <f t="shared" si="2"/>
        <v>300</v>
      </c>
      <c r="E59" s="152">
        <f>IFERROR(__xludf.DUMMYFUNCTION("IF(OR(A59="""",AND(ISERROR(FIND(""drawer box"",A59))=FALSE,KitchenDrawerType="""")),"""",IF(OR(ISERROR(FIND(""larder"",A59))=FALSE,ISERROR(FIND(""fridge/freezer"",A59))=FALSE,ISERROR(FIND(""double oven"",A59))=FALSE,ISERROR(FIND(""single oven"",A59))=FALS"&amp;"E),VLOOKUP(LEFT(A59,FIND("" "",A59))&amp;""carcass ""&amp;RIGHT(A59,LEN(A59)-(LEN(A59)-3)),KitchensData,5,0),IF(ISERROR(FIND(""sink"",A59))=FALSE,VLOOKUP(LEFT(A59,FIND("" "",A59))&amp;""carcass ""&amp;VALUE(REGEXREPLACE(A59,""[^[:digit:]]"", """")),KitchensData,5,0)+(((C"&amp;"59/1000)*(300/1000))*VLOOKUP(KitchenCarcassMaterial,SheetsData,8,0)),IF(ISERROR(FIND(""bins"",A59))=FALSE,IF(ISERROR(FIND(""veneer"",KitchenCarcassMaterial))=FALSE,VLOOKUP(""Base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600"",A59))=FALSE,IF(ISERROR(FIND(""veneer"""&amp;",KitchenCarcassMaterial))=FALSE,0.54*(VLOOKUP(LEFT(KitchenCarcassMaterial,FIND(""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1200"",A59))=FALSE,"&amp;"IF(ISERROR(FIND(""veneer"",KitchenCarcassMaterial))=FALSE,0.84*(VLOOKUP(LEFT(KitchenCarcassMaterial,FIND(""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600"",A59))=FALSE,IF(ISERROR(FIND(""veneer"",KitchenCarcassMaterial))=FALSE,1.44*(VLOOKUP(LEFT(KitchenCarcassMaterial,FIND(""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1200"",A59))=FALSE,IF(ISERROR(FIND(""veneer"",KitchenCarcassMaterial))=FALSE,2.7*(VLOOKUP(LEFT(KitchenCarcassMaterial,FIND(""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front"",A59))=FALSE,((B59/1000)*(C59/1000))*VLOOKUP(KitchenDoorMaterial,SheetsData,8,0),IF(AND(KitchenDrawerType=""Match carcass"",ISERROR(FIND(""drawer box"",A59))=FALSE),(((((B59/1000)*(C59/1000))+((B59/1000"&amp;")*(D59/1000)))*2)*VLOOKUP(KitchenCarcassMaterial,SheetsData,8,0))+(((C59/1000)*(D59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box"",A59))=FALSE),(((((B59/1000)*(C59/1000))+((B59/1000)*(D59/1000)))*2)*(16/1000)*VLOOKUP(LEFT(KitchenCarcassMaterial,FIND("" "&amp;""",KitchenCarcassMaterial))&amp;""(solid m3)"",SolidData,5,0))+(((C59/1000)*(D59/1000))*VLOOKUP(LEFT(KitchenCarcassMaterial,FIND(""("",KitchenCarcassMaterial)-1)&amp;IF(OR(ISERROR(FIND(""ply"",KitchenCarcassMaterial))=FALSE,ISERROR(FIND(""H/F"",KitchenCarcassMate"&amp;"rial))=FALSE),""(9mm)"",""(10mm)""),SheetsData,8,0)),IF(ISERROR(FIND(""spacer"",A59))=FALSE,((D59/1000)*(C59/1000))*VLOOKUP(""Poplar ply (18mm)"",SheetsData,8,0),IF(ISERROR(FIND(""filler panel"",A59))=FALSE,((B59/1000)*(C59/1000))*VLOOKUP(KitchenDoorMater"&amp;"ial,SheetsData,8,0),IF(ISERROR(FIND(""shelf"",A59))=FALSE,((D59/1000)*(C59/1000))*VLOOKUP(KitchenCarcassMaterial,SheetsData,8,0),IF(ISERROR(FIND(""lost corner"",A59))=FALSE,VLOOKUP(LEFT(A59,FIND("" "",A59))&amp;""carcass ""&amp;VALUE(REGEXREPLACE(A59,""[^[:digit:"&amp;"]]"", """")),KitchensData,5,0)+((((B59/1000)*(C59/1000))+((B59/1000)*(60/1000)))*VLOOKUP(KitchenCarcassMaterial,SheetsData,8,0)),IF(ISERROR(FIND(""carcass"",A59))=FALSE,(((((B59/1000)*2)*(D59/1000))+(((C59/1000)*2)*(D59/1000)))*VLOOKUP(KitchenCarcassMater"&amp;"ial,SheetsData,8,0))+((B59/1000)*(C59/1000))*VLOOKUP(LEFT(KitchenCarcassMaterial,FIND(""("",KitchenCarcassMaterial)-1)&amp;IF(OR(ISERROR(FIND(""ply"",KitchenCarcassMaterial))=FALSE,ISERROR(FIND(""H/F"",KitchenCarcassMaterial))=FALSE),""(9mm)"",""(10mm)""),She"&amp;"etsData,8,0),IF(OR(ISERROR(FIND(""Plinth"",A59))=FALSE,ISERROR(FIND(""Cornice (flat)"",A59))=FALSE),((B59/1000)*(C59/1000))*VLOOKUP(""H/F (18mm)"",SheetsData,8,0),IF(ISERROR(FIND(""Cornice (stacked)"",A59))=FALSE,((0.08*(C59/1000))*2)*VLOOKUP(""H/F (22mm)"&amp;""",SheetsData,8,0),IF(ISERROR(FIND(""Base end panel"",A59))=FALSE,VLOOKUP(KitchenDoorMaterial,SheetsData,5,0)/3,IF(ISERROR(FIND(""Wall end panel"",A59))=FALSE,VLOOKUP(KitchenDoorMaterial,SheetsData,5,0)/9,IF(ISERROR(FIND(""Tower end panel"",A59))=FALSE,VL"&amp;"OOKUP(KitchenDoorMaterial,SheetsData,5,0),IF(ISERROR(FIND(""Fillers"",A59))=FALSE,(((0.06*(C59/1000))*2)*VLOOKUP(""H/F (18mm)"",SheetsData,8,0))+(((0.06*(C59/1000))*2)*VLOOKUP(""H/F (9mm)"",SheetsData,8,0)),IF(ISERROR(FIND(""corner post"",A59))=FALSE,(((B"&amp;"59/1000)*0.05)*2)*VLOOKUP(KitchenDoorMaterial,SheetsData,8,0),IF(ISERROR(FIND(""Pelmet"",A59))=FALSE,((((B59/1000)*(C59/1000))*2)*VLOOKUP(""H/F (18mm)"",SheetsData,8,0)),IF(ISERROR(FIND(""door"",A59))=TRUE,""Check description"",IF(KitchenDoorStyle=""Flat"&amp;""",((B59/1000)*(C59/1000))*VLOOKUP(KitchenDoorMaterial,SheetsData,8,0),IF(LEFT(KitchenDoorStyle,5)=""Panel"",(((((B59/1000)*2)*0.08)+((((C59/1000)-0.16)*2)*0.08))*VLOOKUP(""H/F (22mm)"",SheetsData,8,0))+(((B59/1000)-0.14)*((C59/1000)-0.14)*VLOOKUP(""H/F ("&amp;"9mm)"",SheetsData,8,0)),IF(KitchenDoorStyle=""In-frame flat"",((((((B59/1000)*0.019)*0.038)+((((C59-38)/1000)*0.038)*0.038))*2)*VLOOKUP(""Tulip (solid m3)"",SolidData,5,0))+(((B59-76)/1000)*((C59-38)/1000))*VLOOKUP(""H/F (22mm)"",SheetsData,8,0),IF(LEFT(K"&amp;"itchenDoorStyle,14)=""In-frame panel"",(((((((B59/1000)*0.019)*0.038)+((((C59-38)/1000)*0.038)*0.038))*2)*VLOOKUP(""Tulip (solid m3)"",SolidData,5,0))+(((((((B59-76)/1000)*2)*0.08)+(((((C59-198)/1000)*2)*0.08)))*VLOOKUP(""H/F (22mm)"",SheetsData,8,0))+((("&amp;"B59-216)/1000)*((C59-178)/1000)*VLOOKUP(""H/F (9mm)"",SheetsData,8,0)))))))))))))))))))))))))))))))))"),3.988847084117173)</f>
        <v>3.988847084</v>
      </c>
      <c r="F59" s="152">
        <f>IFERROR(__xludf.DUMMYFUNCTION("IF(OR(A59="""",AND(ISERROR(FIND(""drawer box"",A59))=FALSE,KitchenDrawerType=""Solid dovetail"")),"""",IF(ISERROR(FIND(""bins"",A59))=FALSE,VLOOKUP(""Base carcass 600"",KitchensData,6,0),IF(OR(ISERROR(FIND(""larder"",A59))=FALSE,ISERROR(FIND(""unit"",A59)"&amp;")=FALSE),VLOOKUP(LEFT(A59,FIND("" "",A59))&amp;""carcass ""&amp;RIGHT(A59,LEN(A59)-len(regexextract(A59,"".* ""))),KitchensData,6,0),IF(ISERROR(FIND(""drawer front"",A59))=FALSE,IF(ISERROR(FIND(""veneer"",KitchenCarcassMaterial))=TRUE,0,(((B59+C59)/1000)*2)*VLOOK"&amp;"UP(""Edge banding (per M)"",SheetsData,5,0)),IF(ISERROR(FIND(""drawer box"",A59))=FALSE,IF(ISERROR(FIND(""veneer"",KitchenCarcassMaterial))=TRUE,0,(((C59+D59)/1000)*2)*VLOOKUP(""Edge banding (per M)"",SheetsData,5,0)),IF(ISERROR(FIND(""shelf"",A59))=FALSE"&amp;",IF(ISERROR(FIND(""veneer"",KitchenCarcassMaterial))=TRUE,0,(C59/1000)*VLOOKUP(""Edge banding (per M)"",SheetsData,5,0)),IF(AND(ISERROR(FIND(""carcass"",A59))=FALSE,ISERROR(FIND(""shelf"",A59))=TRUE),IF(ISERROR(FIND(""veneer"",KitchenCarcassMaterial))=TRU"&amp;"E,0,((2*(B59+C59))/1000)*VLOOKUP(""Edge banding (per M)"",SheetsData,5,0)),IF(ISERROR(FIND(""door"",A59))=TRUE,"""",IF(ISERROR(FIND(""veneer"",KitchenDoorMaterial))=TRUE,"""",((2*(B59+C59))/1000)*VLOOKUP(""Edge banding (per M)"",SheetsData,5,0))))))))))"),0.0)</f>
        <v>0</v>
      </c>
      <c r="G59" s="153" t="str">
        <f>IF(A59="","",IF(ISERROR(FIND("bins",A59))=FALSE,VLOOKUP("Base carcass 600",KitchensData,7,0),IF(OR(ISERROR(FIND("larder",A59))=FALSE,ISERROR(FIND("fridge/freezer",A59))=FALSE,ISERROR(FIND("double oven",A59))=FALSE,ISERROR(FIND("single oven",A59))=FALSE),VLOOKUP(LEFT(A59,FIND(" ",A59))&amp;"carcass "&amp;RIGHT(A59,LEN(A59)-(LEN(A59)-3)),KitchensData,7,0),IF(AND(ISERROR(FIND("carcass",A59))=FALSE,ISERROR(FIND("shelf",A59))=TRUE),IF(OR(ISERROR(FIND("Base",A59))=FALSE,ISERROR(FIND("Tower",A59))=FALSE),IF(OR(ISERROR(FIND("1200",A59))=FALSE, ISERROR(FIND("lost corner",A59))=FALSE),6*VLOOKUP("Plinth foot (2 Parts 80mm)",FurnitureData,5,0),4*VLOOKUP("Plinth foot (2 Parts 80mm)",FurnitureData,5,0)),""),""))))</f>
        <v/>
      </c>
      <c r="H59" s="115" t="str">
        <f>IF(OR(A59="",ISERROR(FIND("door",A59))=TRUE),"",IF(ISERROR(FIND("Wall",A59))=FALSE,VLOOKUP("Hinges &amp; plates (Hettich thick door)",FurnitureData,5,0)*2,IF(ISERROR(FIND("Base",A59))=FALSE,VLOOKUP("Hinges &amp; plates (Hettich thick door)",FurnitureData,5,0)*3,IF(ISERROR(FIND("Boiler",A59))=FALSE,VLOOKUP("Hinges &amp; plates (Hettich thick door)",FurnitureData,5,0)*4,IF(ISERROR(FIND("Tower",A59))=FALSE,VLOOKUP("Hinges &amp; plates (Hettich thick door)",FurnitureData,5,0)*5)))))</f>
        <v/>
      </c>
      <c r="I59" s="153">
        <f>IF(ISERROR(FIND("shelf",A59))=FALSE,(VLOOKUP("Shelf pegs",FurnitureData,5,0)/100)*4,"")</f>
        <v>0.2624</v>
      </c>
      <c r="J59" s="152" t="str">
        <f>IF(OR(ISERROR(FIND("fridge/freezer",A59))=FALSE,ISERROR(FIND("larder",A59))=FALSE,AND(ISERROR(FIND("Base",A59))=FALSE,ISERROR(FIND("bins",A59))=TRUE,ISERROR(FIND("no shelves",A59))=TRUE,OR(ISERROR(FIND("carcass",A59))=FALSE,ISERROR(FIND("unit",A59))=FALSE))),VLOOKUP("Deep shelf "&amp;C59,KitchensData,18,0),IF(AND(ISERROR(FIND("Wall",A59))=FALSE,ISERROR(FIND("carcass",A59))=FALSE),2*VLOOKUP("Shallow shelf "&amp;C59,KitchensData,18,0),IF(AND(ISERROR(FIND("Tower",A59))=FALSE,ISERROR(FIND("oven",A59))=FALSE),4*VLOOKUP("Deep shelf "&amp;C59,KitchensData,18,0),IF(AND(ISERROR(FIND("Tower",A59))=FALSE,ISERROR(FIND("carcass",A59))=FALSE),5*VLOOKUP("Deep shelf "&amp;C59,KitchensData,18,0),""))))</f>
        <v/>
      </c>
      <c r="K59" s="152" t="str">
        <f>IF(ISERROR(FIND("sink",A59))=FALSE,VLOOKUP("Sink liner - Aluminium "&amp;RIGHT(A59,LEN(A59)-22)&amp;"mm",ExceptionalData,5,0),IF(ISERROR(FIND("bins",A59))=FALSE,VLOOKUP("Drawer runners and clip set for bin unit (500) Dynapro",FurnitureData,5,0)+(2*VLOOKUP("Bin (42L Anthracite)",FurnitureData,5,0)),IF(ISERROR(FIND("larder",A59))=FALSE,VLOOKUP("Pull out larder unit 600mm",FurnitureData,5,0),IF(AND(ISERROR(FIND("drawer box",A59))=FALSE,ISERROR(FIND("internal",A59))=TRUE),VLOOKUP("Drawer runners and clip set (550) Dynapro",FurnitureData,5,0),IF(ISERROR(FIND("internal drawer box",A59))=FALSE,VLOOKUP("Drawer runners and clip set (450) Dynapro",FurnitureData,5,0),"")))))</f>
        <v/>
      </c>
      <c r="L59" s="152">
        <f t="shared" si="3"/>
        <v>4.251247084</v>
      </c>
      <c r="M59" s="154">
        <f>IFERROR(__xludf.DUMMYFUNCTION("IF(A59="""","""",IF(OR(ISERROR(FIND(""larder"",A59))=FALSE,ISERROR(FIND(""unit"",A59))=FALSE),VLOOKUP(LEFT(A59,FIND("" "",A59))&amp;""carcass ""&amp;RIGHT(A59,LEN(A59)-len(regexextract(A59,"".* ""))),KitchensData,13,0),IF(ISERROR(FIND(""bins"",A59))=FALSE,0.95,IF"&amp;"(ISERROR(FIND(""Cutlery insert 600"",A59))=FALSE,1.3,IF(ISERROR(FIND(""Cutlery insert 1200"",A59))=FALSE,2,IF(ISERROR(FIND(""Pan/tray rack 600"",A59))=FALSE,3.25,IF(ISERROR(FIND(""Pan/tray rack 1200"",A59))=FALSE,5.9,IF(ISERROR(FIND(""split"",A59))=FALSE,"&amp;"(((C59/1000)*0.022)*2)+VLOOKUP(SUBSTITUTE(A59,"" split"",""""),KitchensData,13,0),IF(AND(ISERROR(FIND(""drawer front"",A59))=FALSE,KitchenDoorStyle=""Flat""),(((B59/1000)*(C59/1000))*2)+((((B59+C59)/1000)*2)*0.022),IF(AND(ISERROR(FIND(""drawer front"",A59"&amp;"))=FALSE,LEFT(KitchenDoorStyle,5)=""Panel""),(((B59/1000)*(C59/1000))*2)+((((B59+C59)/1000)*2)*0.022)+((((C59/1000)-0.16)*0.013)*2)+((((D59/1000)-0.16)*0.013)*2),IF(AND(ISERROR(FIND(""drawer front"",A59))=FALSE,KitchenDoorStyle=""In-frame flat""),((((B59-"&amp;"76)/1000)*((C59-38)/1000))*2)+(MID(KitchenDoorMaterial,FIND(""("",KitchenDoorMaterial)+1,2)/1000)*((((B59-76)+(C59-38))/1000)*2)+(((B59/1000)*0.032)*2)+((((B59-76)/1000)*0.032)*2)+(((B59/1000)*0.019)*4)+(((C59/1000)*0.032)*2)+((((C59-38)/1000)*0.032)*2)+("&amp;"((C59/1000)*0.038)*4),IF(AND(ISERROR(FIND(""drawer front"",A59))=FALSE,LEFT(KitchenDoorStyle,14)=""In-frame panel""),((((B59-76)/1000)*((C59-38)/1000))*2)+((MID(KitchenDoorMaterial,FIND(""("",KitchenDoorMaterial)+1,2)/1000)*((((B59-76)+(C59-38))/1000)*2))"&amp;"+((((B59-236)/1000)+((C59-198)/1000)*2)*0.013)+(((B59/1000)*0.032)*2)+((((B59-76)/1000)*0.032)*2)+(((B59/1000)*0.019)*4)+(((C59/1000)*0.032)*2)+((((C59-38)/1000)*0.032)*2)+(((C59/1000)*0.038)*4),IF(ISERROR(FIND(""drawer box"",A59))=FALSE,((((B59/1000)*(D5"&amp;"9/1000))+((B59/1000)*(C59/1000)))*4)+((((D59/1000)+(C59/1000))*0.016)*4)+(((C59/1000)*(D59/1000))*2),IF(OR(ISERROR(FIND(""shelf"",A59))=FALSE,ISERROR(FIND(""spacer"",A59))=FALSE,,ISERROR(FIND(""filler panel"",A59))=FALSE),(((C59/1000)*(D59/1000))*2)+((((C"&amp;"59+D59)*2)/1000)*0.022),IF(ISERROR(FIND(""lost corner"",A59))=FALSE,(((B59/1000)*(C59/1000))*2)+((B59/1000)*(C59/1000))+((B59/1000)*((C59/2)/1000))+((((B59/1000)*0.025)+((C59/1000)*0.025))*2),IF(ISERROR(FIND(""carcass"",A59))=FALSE,(((C59/1000)*(D59/1000)"&amp;")*2)+(((B59/1000)*(D59/1000))*2)+((B59/1000)*(C59/1000))+((((B59/1000)*0.025)+((C59/1000)*0.025))*2),IF(AND(ISERROR(FIND(""door"",A59))=FALSE,KitchenDoorStyle=""Flat""),(((B59/1000)*(C59/1000))*2)+(MID(KitchenDoorMaterial,FIND(""("",KitchenDoorMaterial)+1"&amp;",2)/1000)*(((B59+C59)/1000)*2),IF(AND(ISERROR(FIND(""door"",A59))=FALSE,LEFT(KitchenDoorStyle,5)=""Panel""),(((B59/1000)*(C59/1000))*2)+((MID(KitchenDoorMaterial,FIND(""("",KitchenDoorMaterial)+1,2)/1000)*(((B59+C59)/1000)*2))+(((((B59-160)+(C59-160))*2)/"&amp;"1000)*(0.013)),IF(AND(ISERROR(FIND(""door"",A59))=FALSE,KitchenDoorStyle=""In-frame flat""),((((B59-76)/1000)*((C59-38)/1000))*2)+(MID(KitchenDoorMaterial,FIND(""("",KitchenDoorMaterial)+1,2)/1000)*((((B59-76)+(C59-38))/1000)*2)+(((B59/1000)*0.032)*2)+((("&amp;"(B59-76)/1000)*0.032)*2)+(((B59/1000)*0.019)*4)+(((C59/1000)*0.032)*2)+((((C59-38)/1000)*0.032)*2)+(((C59/1000)*0.038)*4),IF(AND(ISERROR(FIND(""door"",A59))=FALSE,LEFT(KitchenDoorStyle,14)=""In-frame panel""),((((B59-76)/1000)*((C59-38)/1000))*2)+((MID(Ki"&amp;"tchenDoorMaterial,FIND(""("",KitchenDoorMaterial)+1,2)/1000)*((((B59-76)+(C59-38))/1000)*2))+((((B59-236)/1000)+((C59-198)/1000)*2)*0.013)+(((B59/1000)*0.032)*2)+((((B59-76)/1000)*0.032)*2)+(((B59/1000)*0.019)*4)+(((C59/1000)*0.032)*2)+((((C59-38)/1000)*0"&amp;".032)*2)+(((C59/1000)*0.038)*4),IF(ISERROR(FIND(""Plinth"",A59))=FALSE,((B59/1000)*(C59/1000))+(((C59/1000)*0.018)*2)+(((B59/1000)*0.018)*2),IF(ISERROR(FIND(""Cornice"",A59))=FALSE,(((C59/1000)*0.1)*2)+(((C59/1000)*0.044)*2)+(((B59/1000)*0.08)*2),IF(ISERR"&amp;"OR(FIND(""Base end panel"",A59))=FALSE,((B59/1000)*(C59/1000))+(0.022*((B59/1000)+((C59/1000)*2)))+((B59/1000)*0.05),IF(ISERROR(FIND(""Wall end panel"",A59))=FALSE,((B59/1000)*(C59/1000))+(0.022*((B59/1000)+((C59/1000)*2)))+((B59/1000)*0.05),IF(ISERROR(FI"&amp;"ND(""Tower end panel"",A59))=FALSE,((B59/1000)*(C59/1000))+(0.022*((B59/1000)+((C59/1000)*2)))+((B59/1000)*0.05),IF(ISERROR(FIND(""Fillers"",A59))=FALSE,((C59/1000)*0.06)+((C59/1000)*0.069)+((0.06*0.018)*2)+((0.06*0.009)*2)+((C59/1000)*0.009)+((C59/1000)*"&amp;"0.018),IF(ISERROR(FIND(""corner post"",A59))=FALSE,(((B59/1000*0.05)*2)+((B59/1000)*0.022)*2)+((B59/1000)*0.072)+((B59/1000)*0.05)+((0.072*0.022)*2)+((0.05*0.022)*2),IF(ISERROR(FIND(""Pelmet"",A59))=FALSE,((C59/1000)*0.05)+((C59/1000)*0.068)+((0.05*0.018)"&amp;"*4)+(((C59/1000)*0.018))*2))))))))))))))))))))))))))))"),0.2708)</f>
        <v>0.2708</v>
      </c>
      <c r="N59" s="152">
        <f>IF(M59="","",IF(AND(ISERROR(FIND("carcass",A59))=TRUE,ISERROR(FIND("unit",A59))=TRUE,ISERROR(FIND("insert",A59))=TRUE,ISERROR(FIND("rack",A59))=TRUE,ISERROR(FIND("box",A59))=TRUE,ISERROR(FIND("shelf",#REF!))=TRUE),VLOOKUP(KitchenDoorFinish,Finishing!$A$2:$K$10,9,0)*M59,VLOOKUP(KitchenCarcassFinish,Finishing!$A$2:$K$40,9,0)*M59))</f>
        <v>2.031</v>
      </c>
      <c r="O59" s="155">
        <v>0.5</v>
      </c>
      <c r="P59" s="155">
        <v>0.5</v>
      </c>
      <c r="Q59" s="152">
        <f>IF(OR(O59="",P59=""),"",((O59*X59)*(VLOOKUP("Workshop",Labour!$A$3:$E$20,4,0)/8))+((P59*AE59)*(VLOOKUP("Finishing",Labour!$A$3:$E$20,4,0)/8)))</f>
        <v>35.875</v>
      </c>
      <c r="R59" s="152">
        <f t="shared" si="4"/>
        <v>42.15724708</v>
      </c>
      <c r="S59" s="156">
        <f>IF(OR(O59="",P59=""),"",IF(OR(ISERROR(FIND("carcass",$A59))=FALSE,ISERROR(FIND("unit",$A59))=FALSE),VLOOKUP(KitchenCarcassMaterial,FixedListsCarcassMaterial,2,0),0))</f>
        <v>0</v>
      </c>
      <c r="T59" s="156">
        <f>IF(OR(O59="",P59=""),"",IF(ISERROR(FIND("door",$A59))=FALSE,VLOOKUP(KitchenDoorStyle,FixedListsDoorStyle,2,0),0))</f>
        <v>0</v>
      </c>
      <c r="U59" s="156">
        <f>IF(OR(O59="",P59=""),"",IF(ISERROR(FIND("door",$A59))=FALSE,VLOOKUP(KitchenDoorMaterial,FixedListsDoorMaterial,2,0),0))</f>
        <v>0</v>
      </c>
      <c r="V59" s="156">
        <f>IF(OR(O59="",P59=""),"",IF(ISERROR(FIND("drawer",$A59))=FALSE,VLOOKUP(KitchenDrawerType,FixedListsDrawerType,2,0),0))</f>
        <v>0</v>
      </c>
      <c r="W59" s="156">
        <f>IF(OR(O59="",P59=""),"",IF(OR(S59&gt;0, T59&gt;0,V59&gt;0),VLOOKUP(KitchenHandleType,FixedListsHandleType,2,FALSE)*IF(KitchenHandleType="Simple",0,IF(S59&gt;0,VLOOKUP(KitchenHandleType,FixedListsHandleType,4,FALSE),IF(OR(T59&gt;0,V59&gt;0),1-VLOOKUP(KitchenHandleType,FixedListsHandleType,4,FALSE),"Error"))),0))</f>
        <v>0</v>
      </c>
      <c r="X59" s="156">
        <f t="shared" si="5"/>
        <v>1</v>
      </c>
      <c r="Y59" s="156">
        <f>IF(OR(O59="",P59=""),"",IF(OR(ISERROR(FIND("carcass",$A59))=FALSE,ISERROR(FIND("unit",$A59))=FALSE),VLOOKUP(KitchenCarcassMaterial,FixedListsCarcassMaterial,3,0),0))</f>
        <v>0</v>
      </c>
      <c r="Z59" s="156">
        <f>IF(OR(O59="",P59=""),"",IF(ISERROR(FIND("door",$A59))=FALSE,VLOOKUP(KitchenDoorStyle,FixedListsDoorStyle,3,0),0))</f>
        <v>0</v>
      </c>
      <c r="AA59" s="156">
        <f>IF(OR(O59="",P59=""),"",IF(ISERROR(FIND("door",$A59))=FALSE,VLOOKUP(KitchenDoorMaterial,FixedListsDoorMaterial,3,0),0))</f>
        <v>0</v>
      </c>
      <c r="AB59" s="156">
        <f>IF(OR(O59="",P59=""),"",IF(ISERROR(FIND("drawer",$A59))=FALSE,VLOOKUP(KitchenDrawerType,FixedListsDrawerType,3,0),0))</f>
        <v>0</v>
      </c>
      <c r="AC59" s="156">
        <f>IF(OR(O59="",P59=""),"",IF(OR(Y59&gt;0,Z59&gt;0,AB59&gt;0),VLOOKUP(KitchenHandleType,FixedListsHandleType,3,FALSE),0))</f>
        <v>0</v>
      </c>
      <c r="AD59" s="156">
        <f>IF(OR(O59="",P59=""),"",IF(OR(ISERROR(FIND("carcass",$A59))=FALSE,ISERROR(FIND("unit",$A59))=FALSE),VLOOKUP(KitchenCarcassFinish,FixedListsFinishes,3,0),IF(OR(ISERROR(FIND("door",$A59))=FALSE,ISERROR(FIND("Plinth",$A59))=FALSE,ISERROR(FIND("Cornice",$A59))=FALSE,ISERROR(FIND("Fillers",$A59))=FALSE,ISERROR(FIND("Pelmet",$A59))=FALSE,ISERROR(FIND("panel",$A59))=FALSE,ISERROR(FIND("post",$A59))=FALSE),VLOOKUP(KitchenDoorFinish,FixedListsFinishes,3,0),IF(OR(ISERROR(FIND("drawer",$A59))=FALSE,ISERROR(FIND("insert",$A59))=FALSE,ISERROR(FIND("rck",$A59))=FALSE),VLOOKUP(KitchenCarcassFinish,FixedListsFinishes,3,0),0))))</f>
        <v>0</v>
      </c>
      <c r="AE59" s="156">
        <f t="shared" si="6"/>
        <v>1</v>
      </c>
      <c r="AF59" s="157" t="str">
        <f>IF(AND(KitchenHandleType="Channel",OR(ISERROR(FIND("arcass",$A59))=FALSE,ISERROR(FIND("unit",$A59))=FALSE)),IF(ISERROR(FIND("Tower",$A59))=TRUE,IF(KitchenHandleFinish="Match carcass",IF(ISERROR(FIND("Walnut",KitchenCarcassMaterial))=FALSE,(0.035*0.075*($C59/1000))*VLOOKUP("Walnut (solid m3)",SolidData,4,FALSE),IF(ISERROR(FIND("Oak",KitchenCarcassMaterial))=FALSE,(0.035*0.075*($C59/1000))*VLOOKUP("Oak (solid m3)",SolidData,4,FALSE),IF(ISERROR(FIND("ply",KitchenCarcassMaterial))=FALSE,(0.1*($C59/1000))*VLOOKUP("Birch ply (24mm)",SheetsData,7,FALSE),IF(ISERROR(FIND("H/F",KitchenCarcassMaterial))=FALSE,(0.1*($C59/1000))*VLOOKUP("H/F (22mm)",SheetsData,7,FALSE),"Carcass - not tower - new material")))),IF(KitchenHandleFinish="Match door",IF(ISERROR(FIND("Walnut",KitchenDoorMaterial))=FALSE,(0.035*0.075*($C59/1000))*VLOOKUP("Walnut (solid m3)",SolidData,4,FALSE),IF(ISERROR(FIND("Oak",KitchenDoorMaterial))=FALSE,(0.035*0.075*($C59/1000))*VLOOKUP("Oak (solid m3)",SolidData,4,FALSE),IF(ISERROR(FIND("ply",KitchenDoorMaterial))=FALSE,(0.1*($C59/1000))*VLOOKUP("Birch ply (24mm)",SheetsData,7,FALSE),IF(ISERROR(FIND("H/F",KitchenCarcassMaterial))=FALSE,(0.1*($C59/1000))*VLOOKUP("H/F (22mm)",SheetsData,7,FALSE),"Door - not tower - new material")))),"Channel - not tower - handle set to other")),IF(ISERROR(FIND("Tower",$A59))=FALSE,IF(KitchenHandleFinish="Match carcass",IF(ISERROR(FIND("Walnut",KitchenCarcassMaterial))=FALSE,(0.035*0.075*($B59/1000))*VLOOKUP("Walnut (solid m3)",SolidData,4,FALSE),IF(ISERROR(FIND("Oak",KitchenCarcassMaterial))=FALSE,(0.035*0.075*($B59/1000))*VLOOKUP("Oak (solid m3)",SolidData,4,FALSE),IF(ISERROR(FIND("ply",KitchenCarcassMaterial))=FALSE,(0.1*($B59/1000))*VLOOKUP("Birch ply (24mm)",SheetsData,7,FALSE),IF(ISERROR(FIND("H/F",KitchenCarcassMaterial))=FALSE,(0.1*($C59/1000))*VLOOKUP("H/F (22mm)",SheetsData,7,FALSE),"Carcass - tower - new material")))),IF(KitchenHandleFinish="Match door",IF(ISERROR(FIND("Walnut",KitchenDoorMaterial))=FALSE,(0.035*0.075*($B59/1000))*VLOOKUP("Walnut (solid m3)",SolidData,4,FALSE),IF(ISERROR(FIND("Oak",KitchenDoorMaterial))=FALSE,(0.035*0.075*($B59/1000))*VLOOKUP("Oak (solid m3)",SolidData,4,FALSE),IF(ISERROR(FIND("ply",KitchenDoorMaterial))=FALSE,(0.1*($B59/1000))*VLOOKUP("Birch ply (24mm)",SheetData,7,FALSE),IF(ISERROR(FIND("H/F",KitchenCarcassMaterial))=FALSE,(0.1*($C59/1000))*VLOOKUP("H/F (22mm)",SheetsData,7,FALSE),"Door - tower - new material")))),"Channel - tower - handle set to other")))),"")</f>
        <v/>
      </c>
    </row>
    <row r="60">
      <c r="A60" s="150" t="s">
        <v>168</v>
      </c>
      <c r="B60" s="115" t="str">
        <f t="shared" si="1"/>
        <v/>
      </c>
      <c r="C60" s="115" t="str">
        <f>IFERROR(__xludf.DUMMYFUNCTION("IF(A60="""","""",IF(OR(RIGHT(A60,LEN(A60)-len(regexextract(A60,"".* "")))=""1200"",RIGHT(A60,LEN(A60)-len(regexextract(A60,"".* "")))=""600"",RIGHT(A60,LEN(A60)-len(regexextract(A60,"".* "")))=""400"",RIGHT(A60,LEN(A60)-len(regexextract(A60,"".* "")))=""3"&amp;"00"",RIGHT(A60,LEN(A60)-len(regexextract(A60,"".* "")))=""700"",RIGHT(A60,LEN(A60)-len(regexextract(A60,"".* "")))=""2400"",RIGHT(A60,LEN(A60)-len(regexextract(A60,"".* "")))=""650"",RIGHT(A60,LEN(A60)-len(regexextract(A60,"".* "")))=""350"",RIGHT(A60,LEN"&amp;"(A60)-len(regexextract(A60,"".* "")))=""50""),RIGHT(A60,LEN(A60)-len(regexextract(A60,"".* ""))),IF(OR(ISERROR(FIND(""spacer"",A60))=FALSE,ISERROR(FIND(""filler panel"",A60))=FALSE),""1000"",""Unexpected size in description"")))"),"600")</f>
        <v>600</v>
      </c>
      <c r="D60" s="151">
        <f t="shared" si="2"/>
        <v>300</v>
      </c>
      <c r="E60" s="152">
        <f>IFERROR(__xludf.DUMMYFUNCTION("IF(OR(A60="""",AND(ISERROR(FIND(""drawer box"",A60))=FALSE,KitchenDrawerType="""")),"""",IF(OR(ISERROR(FIND(""larder"",A60))=FALSE,ISERROR(FIND(""fridge/freezer"",A60))=FALSE,ISERROR(FIND(""double oven"",A60))=FALSE,ISERROR(FIND(""single oven"",A60))=FALS"&amp;"E),VLOOKUP(LEFT(A60,FIND("" "",A60))&amp;""carcass ""&amp;RIGHT(A60,LEN(A60)-(LEN(A60)-3)),KitchensData,5,0),IF(ISERROR(FIND(""sink"",A60))=FALSE,VLOOKUP(LEFT(A60,FIND("" "",A60))&amp;""carcass ""&amp;VALUE(REGEXREPLACE(A60,""[^[:digit:]]"", """")),KitchensData,5,0)+(((C"&amp;"60/1000)*(300/1000))*VLOOKUP(KitchenCarcassMaterial,SheetsData,8,0)),IF(ISERROR(FIND(""bins"",A60))=FALSE,IF(ISERROR(FIND(""veneer"",KitchenCarcassMaterial))=FALSE,VLOOKUP(""Base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600"",A60))=FALSE,IF(ISERROR(FIND(""veneer"""&amp;",KitchenCarcassMaterial))=FALSE,0.54*(VLOOKUP(LEFT(KitchenCarcassMaterial,FIND(""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1200"",A60))=FALSE,"&amp;"IF(ISERROR(FIND(""veneer"",KitchenCarcassMaterial))=FALSE,0.84*(VLOOKUP(LEFT(KitchenCarcassMaterial,FIND(""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600"",A60))=FALSE,IF(ISERROR(FIND(""veneer"",KitchenCarcassMaterial))=FALSE,1.44*(VLOOKUP(LEFT(KitchenCarcassMaterial,FIND(""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1200"",A60))=FALSE,IF(ISERROR(FIND(""veneer"",KitchenCarcassMaterial))=FALSE,2.7*(VLOOKUP(LEFT(KitchenCarcassMaterial,FIND(""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front"",A60))=FALSE,((B60/1000)*(C60/1000))*VLOOKUP(KitchenDoorMaterial,SheetsData,8,0),IF(AND(KitchenDrawerType=""Match carcass"",ISERROR(FIND(""drawer box"",A60))=FALSE),(((((B60/1000)*(C60/1000))+((B60/1000"&amp;")*(D60/1000)))*2)*VLOOKUP(KitchenCarcassMaterial,SheetsData,8,0))+(((C60/1000)*(D60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box"",A60))=FALSE),(((((B60/1000)*(C60/1000))+((B60/1000)*(D60/1000)))*2)*(16/1000)*VLOOKUP(LEFT(KitchenCarcassMaterial,FIND("" "&amp;""",KitchenCarcassMaterial))&amp;""(solid m3)"",SolidData,5,0))+(((C60/1000)*(D60/1000))*VLOOKUP(LEFT(KitchenCarcassMaterial,FIND(""("",KitchenCarcassMaterial)-1)&amp;IF(OR(ISERROR(FIND(""ply"",KitchenCarcassMaterial))=FALSE,ISERROR(FIND(""H/F"",KitchenCarcassMate"&amp;"rial))=FALSE),""(9mm)"",""(10mm)""),SheetsData,8,0)),IF(ISERROR(FIND(""spacer"",A60))=FALSE,((D60/1000)*(C60/1000))*VLOOKUP(""Poplar ply (18mm)"",SheetsData,8,0),IF(ISERROR(FIND(""filler panel"",A60))=FALSE,((B60/1000)*(C60/1000))*VLOOKUP(KitchenDoorMater"&amp;"ial,SheetsData,8,0),IF(ISERROR(FIND(""shelf"",A60))=FALSE,((D60/1000)*(C60/1000))*VLOOKUP(KitchenCarcassMaterial,SheetsData,8,0),IF(ISERROR(FIND(""lost corner"",A60))=FALSE,VLOOKUP(LEFT(A60,FIND("" "",A60))&amp;""carcass ""&amp;VALUE(REGEXREPLACE(A60,""[^[:digit:"&amp;"]]"", """")),KitchensData,5,0)+((((B60/1000)*(C60/1000))+((B60/1000)*(60/1000)))*VLOOKUP(KitchenCarcassMaterial,SheetsData,8,0)),IF(ISERROR(FIND(""carcass"",A60))=FALSE,(((((B60/1000)*2)*(D60/1000))+(((C60/1000)*2)*(D60/1000)))*VLOOKUP(KitchenCarcassMater"&amp;"ial,SheetsData,8,0))+((B60/1000)*(C60/1000))*VLOOKUP(LEFT(KitchenCarcassMaterial,FIND(""("",KitchenCarcassMaterial)-1)&amp;IF(OR(ISERROR(FIND(""ply"",KitchenCarcassMaterial))=FALSE,ISERROR(FIND(""H/F"",KitchenCarcassMaterial))=FALSE),""(9mm)"",""(10mm)""),She"&amp;"etsData,8,0),IF(OR(ISERROR(FIND(""Plinth"",A60))=FALSE,ISERROR(FIND(""Cornice (flat)"",A60))=FALSE),((B60/1000)*(C60/1000))*VLOOKUP(""H/F (18mm)"",SheetsData,8,0),IF(ISERROR(FIND(""Cornice (stacked)"",A60))=FALSE,((0.08*(C60/1000))*2)*VLOOKUP(""H/F (22mm)"&amp;""",SheetsData,8,0),IF(ISERROR(FIND(""Base end panel"",A60))=FALSE,VLOOKUP(KitchenDoorMaterial,SheetsData,5,0)/3,IF(ISERROR(FIND(""Wall end panel"",A60))=FALSE,VLOOKUP(KitchenDoorMaterial,SheetsData,5,0)/9,IF(ISERROR(FIND(""Tower end panel"",A60))=FALSE,VL"&amp;"OOKUP(KitchenDoorMaterial,SheetsData,5,0),IF(ISERROR(FIND(""Fillers"",A60))=FALSE,(((0.06*(C60/1000))*2)*VLOOKUP(""H/F (18mm)"",SheetsData,8,0))+(((0.06*(C60/1000))*2)*VLOOKUP(""H/F (9mm)"",SheetsData,8,0)),IF(ISERROR(FIND(""corner post"",A60))=FALSE,(((B"&amp;"60/1000)*0.05)*2)*VLOOKUP(KitchenDoorMaterial,SheetsData,8,0),IF(ISERROR(FIND(""Pelmet"",A60))=FALSE,((((B60/1000)*(C60/1000))*2)*VLOOKUP(""H/F (18mm)"",SheetsData,8,0)),IF(ISERROR(FIND(""door"",A60))=TRUE,""Check description"",IF(KitchenDoorStyle=""Flat"&amp;""",((B60/1000)*(C60/1000))*VLOOKUP(KitchenDoorMaterial,SheetsData,8,0),IF(LEFT(KitchenDoorStyle,5)=""Panel"",(((((B60/1000)*2)*0.08)+((((C60/1000)-0.16)*2)*0.08))*VLOOKUP(""H/F (22mm)"",SheetsData,8,0))+(((B60/1000)-0.14)*((C60/1000)-0.14)*VLOOKUP(""H/F ("&amp;"9mm)"",SheetsData,8,0)),IF(KitchenDoorStyle=""In-frame flat"",((((((B60/1000)*0.019)*0.038)+((((C60-38)/1000)*0.038)*0.038))*2)*VLOOKUP(""Tulip (solid m3)"",SolidData,5,0))+(((B60-76)/1000)*((C60-38)/1000))*VLOOKUP(""H/F (22mm)"",SheetsData,8,0),IF(LEFT(K"&amp;"itchenDoorStyle,14)=""In-frame panel"",(((((((B60/1000)*0.019)*0.038)+((((C60-38)/1000)*0.038)*0.038))*2)*VLOOKUP(""Tulip (solid m3)"",SolidData,5,0))+(((((((B60-76)/1000)*2)*0.08)+(((((C60-198)/1000)*2)*0.08)))*VLOOKUP(""H/F (22mm)"",SheetsData,8,0))+((("&amp;"B60-216)/1000)*((C60-178)/1000)*VLOOKUP(""H/F (9mm)"",SheetsData,8,0)))))))))))))))))))))))))))))))))"),5.983270626175759)</f>
        <v>5.983270626</v>
      </c>
      <c r="F60" s="152">
        <f>IFERROR(__xludf.DUMMYFUNCTION("IF(OR(A60="""",AND(ISERROR(FIND(""drawer box"",A60))=FALSE,KitchenDrawerType=""Solid dovetail"")),"""",IF(ISERROR(FIND(""bins"",A60))=FALSE,VLOOKUP(""Base carcass 600"",KitchensData,6,0),IF(OR(ISERROR(FIND(""larder"",A60))=FALSE,ISERROR(FIND(""unit"",A60)"&amp;")=FALSE),VLOOKUP(LEFT(A60,FIND("" "",A60))&amp;""carcass ""&amp;RIGHT(A60,LEN(A60)-len(regexextract(A60,"".* ""))),KitchensData,6,0),IF(ISERROR(FIND(""drawer front"",A60))=FALSE,IF(ISERROR(FIND(""veneer"",KitchenCarcassMaterial))=TRUE,0,(((B60+C60)/1000)*2)*VLOOK"&amp;"UP(""Edge banding (per M)"",SheetsData,5,0)),IF(ISERROR(FIND(""drawer box"",A60))=FALSE,IF(ISERROR(FIND(""veneer"",KitchenCarcassMaterial))=TRUE,0,(((C60+D60)/1000)*2)*VLOOKUP(""Edge banding (per M)"",SheetsData,5,0)),IF(ISERROR(FIND(""shelf"",A60))=FALSE"&amp;",IF(ISERROR(FIND(""veneer"",KitchenCarcassMaterial))=TRUE,0,(C60/1000)*VLOOKUP(""Edge banding (per M)"",SheetsData,5,0)),IF(AND(ISERROR(FIND(""carcass"",A60))=FALSE,ISERROR(FIND(""shelf"",A60))=TRUE),IF(ISERROR(FIND(""veneer"",KitchenCarcassMaterial))=TRU"&amp;"E,0,((2*(B60+C60))/1000)*VLOOKUP(""Edge banding (per M)"",SheetsData,5,0)),IF(ISERROR(FIND(""door"",A60))=TRUE,"""",IF(ISERROR(FIND(""veneer"",KitchenDoorMaterial))=TRUE,"""",((2*(B60+C60))/1000)*VLOOKUP(""Edge banding (per M)"",SheetsData,5,0))))))))))"),0.0)</f>
        <v>0</v>
      </c>
      <c r="G60" s="153" t="str">
        <f>IF(A60="","",IF(ISERROR(FIND("bins",A60))=FALSE,VLOOKUP("Base carcass 600",KitchensData,7,0),IF(OR(ISERROR(FIND("larder",A60))=FALSE,ISERROR(FIND("fridge/freezer",A60))=FALSE,ISERROR(FIND("double oven",A60))=FALSE,ISERROR(FIND("single oven",A60))=FALSE),VLOOKUP(LEFT(A60,FIND(" ",A60))&amp;"carcass "&amp;RIGHT(A60,LEN(A60)-(LEN(A60)-3)),KitchensData,7,0),IF(AND(ISERROR(FIND("carcass",A60))=FALSE,ISERROR(FIND("shelf",A60))=TRUE),IF(OR(ISERROR(FIND("Base",A60))=FALSE,ISERROR(FIND("Tower",A60))=FALSE),IF(OR(ISERROR(FIND("1200",A60))=FALSE, ISERROR(FIND("lost corner",A60))=FALSE),6*VLOOKUP("Plinth foot (2 Parts 80mm)",FurnitureData,5,0),4*VLOOKUP("Plinth foot (2 Parts 80mm)",FurnitureData,5,0)),""),""))))</f>
        <v/>
      </c>
      <c r="H60" s="115" t="str">
        <f>IF(OR(A60="",ISERROR(FIND("door",A60))=TRUE),"",IF(ISERROR(FIND("Wall",A60))=FALSE,VLOOKUP("Hinges &amp; plates (Hettich thick door)",FurnitureData,5,0)*2,IF(ISERROR(FIND("Base",A60))=FALSE,VLOOKUP("Hinges &amp; plates (Hettich thick door)",FurnitureData,5,0)*3,IF(ISERROR(FIND("Boiler",A60))=FALSE,VLOOKUP("Hinges &amp; plates (Hettich thick door)",FurnitureData,5,0)*4,IF(ISERROR(FIND("Tower",A60))=FALSE,VLOOKUP("Hinges &amp; plates (Hettich thick door)",FurnitureData,5,0)*5)))))</f>
        <v/>
      </c>
      <c r="I60" s="153">
        <f>IF(ISERROR(FIND("shelf",A60))=FALSE,(VLOOKUP("Shelf pegs",FurnitureData,5,0)/100)*4,"")</f>
        <v>0.2624</v>
      </c>
      <c r="J60" s="152" t="str">
        <f>IF(OR(ISERROR(FIND("fridge/freezer",A60))=FALSE,ISERROR(FIND("larder",A60))=FALSE,AND(ISERROR(FIND("Base",A60))=FALSE,ISERROR(FIND("bins",A60))=TRUE,ISERROR(FIND("no shelves",A60))=TRUE,OR(ISERROR(FIND("carcass",A60))=FALSE,ISERROR(FIND("unit",A60))=FALSE))),VLOOKUP("Deep shelf "&amp;C60,KitchensData,18,0),IF(AND(ISERROR(FIND("Wall",A60))=FALSE,ISERROR(FIND("carcass",A60))=FALSE),2*VLOOKUP("Shallow shelf "&amp;C60,KitchensData,18,0),IF(AND(ISERROR(FIND("Tower",A60))=FALSE,ISERROR(FIND("oven",A60))=FALSE),4*VLOOKUP("Deep shelf "&amp;C60,KitchensData,18,0),IF(AND(ISERROR(FIND("Tower",A60))=FALSE,ISERROR(FIND("carcass",A60))=FALSE),5*VLOOKUP("Deep shelf "&amp;C60,KitchensData,18,0),""))))</f>
        <v/>
      </c>
      <c r="K60" s="152" t="str">
        <f>IF(ISERROR(FIND("sink",A60))=FALSE,VLOOKUP("Sink liner - Aluminium "&amp;RIGHT(A60,LEN(A60)-22)&amp;"mm",ExceptionalData,5,0),IF(ISERROR(FIND("bins",A60))=FALSE,VLOOKUP("Drawer runners and clip set for bin unit (500) Dynapro",FurnitureData,5,0)+(2*VLOOKUP("Bin (42L Anthracite)",FurnitureData,5,0)),IF(ISERROR(FIND("larder",A60))=FALSE,VLOOKUP("Pull out larder unit 600mm",FurnitureData,5,0),IF(AND(ISERROR(FIND("drawer box",A60))=FALSE,ISERROR(FIND("internal",A60))=TRUE),VLOOKUP("Drawer runners and clip set (550) Dynapro",FurnitureData,5,0),IF(ISERROR(FIND("internal drawer box",A60))=FALSE,VLOOKUP("Drawer runners and clip set (450) Dynapro",FurnitureData,5,0),"")))))</f>
        <v/>
      </c>
      <c r="L60" s="152">
        <f t="shared" si="3"/>
        <v>6.245670626</v>
      </c>
      <c r="M60" s="154">
        <f>IFERROR(__xludf.DUMMYFUNCTION("IF(A60="""","""",IF(OR(ISERROR(FIND(""larder"",A60))=FALSE,ISERROR(FIND(""unit"",A60))=FALSE),VLOOKUP(LEFT(A60,FIND("" "",A60))&amp;""carcass ""&amp;RIGHT(A60,LEN(A60)-len(regexextract(A60,"".* ""))),KitchensData,13,0),IF(ISERROR(FIND(""bins"",A60))=FALSE,0.95,IF"&amp;"(ISERROR(FIND(""Cutlery insert 600"",A60))=FALSE,1.3,IF(ISERROR(FIND(""Cutlery insert 1200"",A60))=FALSE,2,IF(ISERROR(FIND(""Pan/tray rack 600"",A60))=FALSE,3.25,IF(ISERROR(FIND(""Pan/tray rack 1200"",A60))=FALSE,5.9,IF(ISERROR(FIND(""split"",A60))=FALSE,"&amp;"(((C60/1000)*0.022)*2)+VLOOKUP(SUBSTITUTE(A60,"" split"",""""),KitchensData,13,0),IF(AND(ISERROR(FIND(""drawer front"",A60))=FALSE,KitchenDoorStyle=""Flat""),(((B60/1000)*(C60/1000))*2)+((((B60+C60)/1000)*2)*0.022),IF(AND(ISERROR(FIND(""drawer front"",A60"&amp;"))=FALSE,LEFT(KitchenDoorStyle,5)=""Panel""),(((B60/1000)*(C60/1000))*2)+((((B60+C60)/1000)*2)*0.022)+((((C60/1000)-0.16)*0.013)*2)+((((D60/1000)-0.16)*0.013)*2),IF(AND(ISERROR(FIND(""drawer front"",A60))=FALSE,KitchenDoorStyle=""In-frame flat""),((((B60-"&amp;"76)/1000)*((C60-38)/1000))*2)+(MID(KitchenDoorMaterial,FIND(""("",KitchenDoorMaterial)+1,2)/1000)*((((B60-76)+(C60-38))/1000)*2)+(((B60/1000)*0.032)*2)+((((B60-76)/1000)*0.032)*2)+(((B60/1000)*0.019)*4)+(((C60/1000)*0.032)*2)+((((C60-38)/1000)*0.032)*2)+("&amp;"((C60/1000)*0.038)*4),IF(AND(ISERROR(FIND(""drawer front"",A60))=FALSE,LEFT(KitchenDoorStyle,14)=""In-frame panel""),((((B60-76)/1000)*((C60-38)/1000))*2)+((MID(KitchenDoorMaterial,FIND(""("",KitchenDoorMaterial)+1,2)/1000)*((((B60-76)+(C60-38))/1000)*2))"&amp;"+((((B60-236)/1000)+((C60-198)/1000)*2)*0.013)+(((B60/1000)*0.032)*2)+((((B60-76)/1000)*0.032)*2)+(((B60/1000)*0.019)*4)+(((C60/1000)*0.032)*2)+((((C60-38)/1000)*0.032)*2)+(((C60/1000)*0.038)*4),IF(ISERROR(FIND(""drawer box"",A60))=FALSE,((((B60/1000)*(D6"&amp;"0/1000))+((B60/1000)*(C60/1000)))*4)+((((D60/1000)+(C60/1000))*0.016)*4)+(((C60/1000)*(D60/1000))*2),IF(OR(ISERROR(FIND(""shelf"",A60))=FALSE,ISERROR(FIND(""spacer"",A60))=FALSE,,ISERROR(FIND(""filler panel"",A60))=FALSE),(((C60/1000)*(D60/1000))*2)+((((C"&amp;"60+D60)*2)/1000)*0.022),IF(ISERROR(FIND(""lost corner"",A60))=FALSE,(((B60/1000)*(C60/1000))*2)+((B60/1000)*(C60/1000))+((B60/1000)*((C60/2)/1000))+((((B60/1000)*0.025)+((C60/1000)*0.025))*2),IF(ISERROR(FIND(""carcass"",A60))=FALSE,(((C60/1000)*(D60/1000)"&amp;")*2)+(((B60/1000)*(D60/1000))*2)+((B60/1000)*(C60/1000))+((((B60/1000)*0.025)+((C60/1000)*0.025))*2),IF(AND(ISERROR(FIND(""door"",A60))=FALSE,KitchenDoorStyle=""Flat""),(((B60/1000)*(C60/1000))*2)+(MID(KitchenDoorMaterial,FIND(""("",KitchenDoorMaterial)+1"&amp;",2)/1000)*(((B60+C60)/1000)*2),IF(AND(ISERROR(FIND(""door"",A60))=FALSE,LEFT(KitchenDoorStyle,5)=""Panel""),(((B60/1000)*(C60/1000))*2)+((MID(KitchenDoorMaterial,FIND(""("",KitchenDoorMaterial)+1,2)/1000)*(((B60+C60)/1000)*2))+(((((B60-160)+(C60-160))*2)/"&amp;"1000)*(0.013)),IF(AND(ISERROR(FIND(""door"",A60))=FALSE,KitchenDoorStyle=""In-frame flat""),((((B60-76)/1000)*((C60-38)/1000))*2)+(MID(KitchenDoorMaterial,FIND(""("",KitchenDoorMaterial)+1,2)/1000)*((((B60-76)+(C60-38))/1000)*2)+(((B60/1000)*0.032)*2)+((("&amp;"(B60-76)/1000)*0.032)*2)+(((B60/1000)*0.019)*4)+(((C60/1000)*0.032)*2)+((((C60-38)/1000)*0.032)*2)+(((C60/1000)*0.038)*4),IF(AND(ISERROR(FIND(""door"",A60))=FALSE,LEFT(KitchenDoorStyle,14)=""In-frame panel""),((((B60-76)/1000)*((C60-38)/1000))*2)+((MID(Ki"&amp;"tchenDoorMaterial,FIND(""("",KitchenDoorMaterial)+1,2)/1000)*((((B60-76)+(C60-38))/1000)*2))+((((B60-236)/1000)+((C60-198)/1000)*2)*0.013)+(((B60/1000)*0.032)*2)+((((B60-76)/1000)*0.032)*2)+(((B60/1000)*0.019)*4)+(((C60/1000)*0.032)*2)+((((C60-38)/1000)*0"&amp;".032)*2)+(((C60/1000)*0.038)*4),IF(ISERROR(FIND(""Plinth"",A60))=FALSE,((B60/1000)*(C60/1000))+(((C60/1000)*0.018)*2)+(((B60/1000)*0.018)*2),IF(ISERROR(FIND(""Cornice"",A60))=FALSE,(((C60/1000)*0.1)*2)+(((C60/1000)*0.044)*2)+(((B60/1000)*0.08)*2),IF(ISERR"&amp;"OR(FIND(""Base end panel"",A60))=FALSE,((B60/1000)*(C60/1000))+(0.022*((B60/1000)+((C60/1000)*2)))+((B60/1000)*0.05),IF(ISERROR(FIND(""Wall end panel"",A60))=FALSE,((B60/1000)*(C60/1000))+(0.022*((B60/1000)+((C60/1000)*2)))+((B60/1000)*0.05),IF(ISERROR(FI"&amp;"ND(""Tower end panel"",A60))=FALSE,((B60/1000)*(C60/1000))+(0.022*((B60/1000)+((C60/1000)*2)))+((B60/1000)*0.05),IF(ISERROR(FIND(""Fillers"",A60))=FALSE,((C60/1000)*0.06)+((C60/1000)*0.069)+((0.06*0.018)*2)+((0.06*0.009)*2)+((C60/1000)*0.009)+((C60/1000)*"&amp;"0.018),IF(ISERROR(FIND(""corner post"",A60))=FALSE,(((B60/1000*0.05)*2)+((B60/1000)*0.022)*2)+((B60/1000)*0.072)+((B60/1000)*0.05)+((0.072*0.022)*2)+((0.05*0.022)*2),IF(ISERROR(FIND(""Pelmet"",A60))=FALSE,((C60/1000)*0.05)+((C60/1000)*0.068)+((0.05*0.018)"&amp;"*4)+(((C60/1000)*0.018))*2))))))))))))))))))))))))))))"),0.39959999999999996)</f>
        <v>0.3996</v>
      </c>
      <c r="N60" s="152">
        <f>IF(M60="","",IF(AND(ISERROR(FIND("carcass",A60))=TRUE,ISERROR(FIND("unit",A60))=TRUE,ISERROR(FIND("insert",A60))=TRUE,ISERROR(FIND("rack",A60))=TRUE,ISERROR(FIND("box",A60))=TRUE,ISERROR(FIND("shelf",#REF!))=TRUE),VLOOKUP(KitchenDoorFinish,Finishing!$A$2:$K$10,9,0)*M60,VLOOKUP(KitchenCarcassFinish,Finishing!$A$2:$K$40,9,0)*M60))</f>
        <v>2.997</v>
      </c>
      <c r="O60" s="155">
        <v>0.5</v>
      </c>
      <c r="P60" s="155">
        <v>0.5</v>
      </c>
      <c r="Q60" s="152">
        <f>IF(OR(O60="",P60=""),"",((O60*X60)*(VLOOKUP("Workshop",Labour!$A$3:$E$20,4,0)/8))+((P60*AE60)*(VLOOKUP("Finishing",Labour!$A$3:$E$20,4,0)/8)))</f>
        <v>35.875</v>
      </c>
      <c r="R60" s="152">
        <f t="shared" si="4"/>
        <v>45.11767063</v>
      </c>
      <c r="S60" s="156">
        <f>IF(OR(O60="",P60=""),"",IF(OR(ISERROR(FIND("carcass",$A60))=FALSE,ISERROR(FIND("unit",$A60))=FALSE),VLOOKUP(KitchenCarcassMaterial,FixedListsCarcassMaterial,2,0),0))</f>
        <v>0</v>
      </c>
      <c r="T60" s="156">
        <f>IF(OR(O60="",P60=""),"",IF(ISERROR(FIND("door",$A60))=FALSE,VLOOKUP(KitchenDoorStyle,FixedListsDoorStyle,2,0),0))</f>
        <v>0</v>
      </c>
      <c r="U60" s="156">
        <f>IF(OR(O60="",P60=""),"",IF(ISERROR(FIND("door",$A60))=FALSE,VLOOKUP(KitchenDoorMaterial,FixedListsDoorMaterial,2,0),0))</f>
        <v>0</v>
      </c>
      <c r="V60" s="156">
        <f>IF(OR(O60="",P60=""),"",IF(ISERROR(FIND("drawer",$A60))=FALSE,VLOOKUP(KitchenDrawerType,FixedListsDrawerType,2,0),0))</f>
        <v>0</v>
      </c>
      <c r="W60" s="156">
        <f>IF(OR(O60="",P60=""),"",IF(OR(S60&gt;0, T60&gt;0,V60&gt;0),VLOOKUP(KitchenHandleType,FixedListsHandleType,2,FALSE)*IF(KitchenHandleType="Simple",0,IF(S60&gt;0,VLOOKUP(KitchenHandleType,FixedListsHandleType,4,FALSE),IF(OR(T60&gt;0,V60&gt;0),1-VLOOKUP(KitchenHandleType,FixedListsHandleType,4,FALSE),"Error"))),0))</f>
        <v>0</v>
      </c>
      <c r="X60" s="156">
        <f t="shared" si="5"/>
        <v>1</v>
      </c>
      <c r="Y60" s="156">
        <f>IF(OR(O60="",P60=""),"",IF(OR(ISERROR(FIND("carcass",$A60))=FALSE,ISERROR(FIND("unit",$A60))=FALSE),VLOOKUP(KitchenCarcassMaterial,FixedListsCarcassMaterial,3,0),0))</f>
        <v>0</v>
      </c>
      <c r="Z60" s="156">
        <f>IF(OR(O60="",P60=""),"",IF(ISERROR(FIND("door",$A60))=FALSE,VLOOKUP(KitchenDoorStyle,FixedListsDoorStyle,3,0),0))</f>
        <v>0</v>
      </c>
      <c r="AA60" s="156">
        <f>IF(OR(O60="",P60=""),"",IF(ISERROR(FIND("door",$A60))=FALSE,VLOOKUP(KitchenDoorMaterial,FixedListsDoorMaterial,3,0),0))</f>
        <v>0</v>
      </c>
      <c r="AB60" s="156">
        <f>IF(OR(O60="",P60=""),"",IF(ISERROR(FIND("drawer",$A60))=FALSE,VLOOKUP(KitchenDrawerType,FixedListsDrawerType,3,0),0))</f>
        <v>0</v>
      </c>
      <c r="AC60" s="156">
        <f>IF(OR(O60="",P60=""),"",IF(OR(Y60&gt;0,Z60&gt;0,AB60&gt;0),VLOOKUP(KitchenHandleType,FixedListsHandleType,3,FALSE),0))</f>
        <v>0</v>
      </c>
      <c r="AD60" s="156">
        <f>IF(OR(O60="",P60=""),"",IF(OR(ISERROR(FIND("carcass",$A60))=FALSE,ISERROR(FIND("unit",$A60))=FALSE),VLOOKUP(KitchenCarcassFinish,FixedListsFinishes,3,0),IF(OR(ISERROR(FIND("door",$A60))=FALSE,ISERROR(FIND("Plinth",$A60))=FALSE,ISERROR(FIND("Cornice",$A60))=FALSE,ISERROR(FIND("Fillers",$A60))=FALSE,ISERROR(FIND("Pelmet",$A60))=FALSE,ISERROR(FIND("panel",$A60))=FALSE,ISERROR(FIND("post",$A60))=FALSE),VLOOKUP(KitchenDoorFinish,FixedListsFinishes,3,0),IF(OR(ISERROR(FIND("drawer",$A60))=FALSE,ISERROR(FIND("insert",$A60))=FALSE,ISERROR(FIND("rck",$A60))=FALSE),VLOOKUP(KitchenCarcassFinish,FixedListsFinishes,3,0),0))))</f>
        <v>0</v>
      </c>
      <c r="AE60" s="156">
        <f t="shared" si="6"/>
        <v>1</v>
      </c>
      <c r="AF60" s="157" t="str">
        <f>IF(AND(KitchenHandleType="Channel",OR(ISERROR(FIND("arcass",$A60))=FALSE,ISERROR(FIND("unit",$A60))=FALSE)),IF(ISERROR(FIND("Tower",$A60))=TRUE,IF(KitchenHandleFinish="Match carcass",IF(ISERROR(FIND("Walnut",KitchenCarcassMaterial))=FALSE,(0.035*0.075*($C60/1000))*VLOOKUP("Walnut (solid m3)",SolidData,4,FALSE),IF(ISERROR(FIND("Oak",KitchenCarcassMaterial))=FALSE,(0.035*0.075*($C60/1000))*VLOOKUP("Oak (solid m3)",SolidData,4,FALSE),IF(ISERROR(FIND("ply",KitchenCarcassMaterial))=FALSE,(0.1*($C60/1000))*VLOOKUP("Birch ply (24mm)",SheetsData,7,FALSE),IF(ISERROR(FIND("H/F",KitchenCarcassMaterial))=FALSE,(0.1*($C60/1000))*VLOOKUP("H/F (22mm)",SheetsData,7,FALSE),"Carcass - not tower - new material")))),IF(KitchenHandleFinish="Match door",IF(ISERROR(FIND("Walnut",KitchenDoorMaterial))=FALSE,(0.035*0.075*($C60/1000))*VLOOKUP("Walnut (solid m3)",SolidData,4,FALSE),IF(ISERROR(FIND("Oak",KitchenDoorMaterial))=FALSE,(0.035*0.075*($C60/1000))*VLOOKUP("Oak (solid m3)",SolidData,4,FALSE),IF(ISERROR(FIND("ply",KitchenDoorMaterial))=FALSE,(0.1*($C60/1000))*VLOOKUP("Birch ply (24mm)",SheetsData,7,FALSE),IF(ISERROR(FIND("H/F",KitchenCarcassMaterial))=FALSE,(0.1*($C60/1000))*VLOOKUP("H/F (22mm)",SheetsData,7,FALSE),"Door - not tower - new material")))),"Channel - not tower - handle set to other")),IF(ISERROR(FIND("Tower",$A60))=FALSE,IF(KitchenHandleFinish="Match carcass",IF(ISERROR(FIND("Walnut",KitchenCarcassMaterial))=FALSE,(0.035*0.075*($B60/1000))*VLOOKUP("Walnut (solid m3)",SolidData,4,FALSE),IF(ISERROR(FIND("Oak",KitchenCarcassMaterial))=FALSE,(0.035*0.075*($B60/1000))*VLOOKUP("Oak (solid m3)",SolidData,4,FALSE),IF(ISERROR(FIND("ply",KitchenCarcassMaterial))=FALSE,(0.1*($B60/1000))*VLOOKUP("Birch ply (24mm)",SheetsData,7,FALSE),IF(ISERROR(FIND("H/F",KitchenCarcassMaterial))=FALSE,(0.1*($C60/1000))*VLOOKUP("H/F (22mm)",SheetsData,7,FALSE),"Carcass - tower - new material")))),IF(KitchenHandleFinish="Match door",IF(ISERROR(FIND("Walnut",KitchenDoorMaterial))=FALSE,(0.035*0.075*($B60/1000))*VLOOKUP("Walnut (solid m3)",SolidData,4,FALSE),IF(ISERROR(FIND("Oak",KitchenDoorMaterial))=FALSE,(0.035*0.075*($B60/1000))*VLOOKUP("Oak (solid m3)",SolidData,4,FALSE),IF(ISERROR(FIND("ply",KitchenDoorMaterial))=FALSE,(0.1*($B60/1000))*VLOOKUP("Birch ply (24mm)",SheetData,7,FALSE),IF(ISERROR(FIND("H/F",KitchenCarcassMaterial))=FALSE,(0.1*($C60/1000))*VLOOKUP("H/F (22mm)",SheetsData,7,FALSE),"Door - tower - new material")))),"Channel - tower - handle set to other")))),"")</f>
        <v/>
      </c>
    </row>
    <row r="61">
      <c r="A61" s="150" t="s">
        <v>169</v>
      </c>
      <c r="B61" s="115" t="str">
        <f t="shared" si="1"/>
        <v/>
      </c>
      <c r="C61" s="115" t="str">
        <f>IFERROR(__xludf.DUMMYFUNCTION("IF(A61="""","""",IF(OR(RIGHT(A61,LEN(A61)-len(regexextract(A61,"".* "")))=""1200"",RIGHT(A61,LEN(A61)-len(regexextract(A61,"".* "")))=""600"",RIGHT(A61,LEN(A61)-len(regexextract(A61,"".* "")))=""400"",RIGHT(A61,LEN(A61)-len(regexextract(A61,"".* "")))=""3"&amp;"00"",RIGHT(A61,LEN(A61)-len(regexextract(A61,"".* "")))=""700"",RIGHT(A61,LEN(A61)-len(regexextract(A61,"".* "")))=""2400"",RIGHT(A61,LEN(A61)-len(regexextract(A61,"".* "")))=""650"",RIGHT(A61,LEN(A61)-len(regexextract(A61,"".* "")))=""350"",RIGHT(A61,LEN"&amp;"(A61)-len(regexextract(A61,"".* "")))=""50""),RIGHT(A61,LEN(A61)-len(regexextract(A61,"".* ""))),IF(OR(ISERROR(FIND(""spacer"",A61))=FALSE,ISERROR(FIND(""filler panel"",A61))=FALSE),""1000"",""Unexpected size in description"")))"),"1200")</f>
        <v>1200</v>
      </c>
      <c r="D61" s="151">
        <f t="shared" si="2"/>
        <v>300</v>
      </c>
      <c r="E61" s="152">
        <f>IFERROR(__xludf.DUMMYFUNCTION("IF(OR(A61="""",AND(ISERROR(FIND(""drawer box"",A61))=FALSE,KitchenDrawerType="""")),"""",IF(OR(ISERROR(FIND(""larder"",A61))=FALSE,ISERROR(FIND(""fridge/freezer"",A61))=FALSE,ISERROR(FIND(""double oven"",A61))=FALSE,ISERROR(FIND(""single oven"",A61))=FALS"&amp;"E),VLOOKUP(LEFT(A61,FIND("" "",A61))&amp;""carcass ""&amp;RIGHT(A61,LEN(A61)-(LEN(A61)-3)),KitchensData,5,0),IF(ISERROR(FIND(""sink"",A61))=FALSE,VLOOKUP(LEFT(A61,FIND("" "",A61))&amp;""carcass ""&amp;VALUE(REGEXREPLACE(A61,""[^[:digit:]]"", """")),KitchensData,5,0)+(((C"&amp;"61/1000)*(300/1000))*VLOOKUP(KitchenCarcassMaterial,SheetsData,8,0)),IF(ISERROR(FIND(""bins"",A61))=FALSE,IF(ISERROR(FIND(""veneer"",KitchenCarcassMaterial))=FALSE,VLOOKUP(""Base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600"",A61))=FALSE,IF(ISERROR(FIND(""veneer"""&amp;",KitchenCarcassMaterial))=FALSE,0.54*(VLOOKUP(LEFT(KitchenCarcassMaterial,FIND(""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1200"",A61))=FALSE,"&amp;"IF(ISERROR(FIND(""veneer"",KitchenCarcassMaterial))=FALSE,0.84*(VLOOKUP(LEFT(KitchenCarcassMaterial,FIND(""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600"",A61))=FALSE,IF(ISERROR(FIND(""veneer"",KitchenCarcassMaterial))=FALSE,1.44*(VLOOKUP(LEFT(KitchenCarcassMaterial,FIND(""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1200"",A61))=FALSE,IF(ISERROR(FIND(""veneer"",KitchenCarcassMaterial))=FALSE,2.7*(VLOOKUP(LEFT(KitchenCarcassMaterial,FIND(""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front"",A61))=FALSE,((B61/1000)*(C61/1000))*VLOOKUP(KitchenDoorMaterial,SheetsData,8,0),IF(AND(KitchenDrawerType=""Match carcass"",ISERROR(FIND(""drawer box"",A61))=FALSE),(((((B61/1000)*(C61/1000))+((B61/1000"&amp;")*(D61/1000)))*2)*VLOOKUP(KitchenCarcassMaterial,SheetsData,8,0))+(((C61/1000)*(D61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box"",A61))=FALSE),(((((B61/1000)*(C61/1000))+((B61/1000)*(D61/1000)))*2)*(16/1000)*VLOOKUP(LEFT(KitchenCarcassMaterial,FIND("" "&amp;""",KitchenCarcassMaterial))&amp;""(solid m3)"",SolidData,5,0))+(((C61/1000)*(D61/1000))*VLOOKUP(LEFT(KitchenCarcassMaterial,FIND(""("",KitchenCarcassMaterial)-1)&amp;IF(OR(ISERROR(FIND(""ply"",KitchenCarcassMaterial))=FALSE,ISERROR(FIND(""H/F"",KitchenCarcassMate"&amp;"rial))=FALSE),""(9mm)"",""(10mm)""),SheetsData,8,0)),IF(ISERROR(FIND(""spacer"",A61))=FALSE,((D61/1000)*(C61/1000))*VLOOKUP(""Poplar ply (18mm)"",SheetsData,8,0),IF(ISERROR(FIND(""filler panel"",A61))=FALSE,((B61/1000)*(C61/1000))*VLOOKUP(KitchenDoorMater"&amp;"ial,SheetsData,8,0),IF(ISERROR(FIND(""shelf"",A61))=FALSE,((D61/1000)*(C61/1000))*VLOOKUP(KitchenCarcassMaterial,SheetsData,8,0),IF(ISERROR(FIND(""lost corner"",A61))=FALSE,VLOOKUP(LEFT(A61,FIND("" "",A61))&amp;""carcass ""&amp;VALUE(REGEXREPLACE(A61,""[^[:digit:"&amp;"]]"", """")),KitchensData,5,0)+((((B61/1000)*(C61/1000))+((B61/1000)*(60/1000)))*VLOOKUP(KitchenCarcassMaterial,SheetsData,8,0)),IF(ISERROR(FIND(""carcass"",A61))=FALSE,(((((B61/1000)*2)*(D61/1000))+(((C61/1000)*2)*(D61/1000)))*VLOOKUP(KitchenCarcassMater"&amp;"ial,SheetsData,8,0))+((B61/1000)*(C61/1000))*VLOOKUP(LEFT(KitchenCarcassMaterial,FIND(""("",KitchenCarcassMaterial)-1)&amp;IF(OR(ISERROR(FIND(""ply"",KitchenCarcassMaterial))=FALSE,ISERROR(FIND(""H/F"",KitchenCarcassMaterial))=FALSE),""(9mm)"",""(10mm)""),She"&amp;"etsData,8,0),IF(OR(ISERROR(FIND(""Plinth"",A61))=FALSE,ISERROR(FIND(""Cornice (flat)"",A61))=FALSE),((B61/1000)*(C61/1000))*VLOOKUP(""H/F (18mm)"",SheetsData,8,0),IF(ISERROR(FIND(""Cornice (stacked)"",A61))=FALSE,((0.08*(C61/1000))*2)*VLOOKUP(""H/F (22mm)"&amp;""",SheetsData,8,0),IF(ISERROR(FIND(""Base end panel"",A61))=FALSE,VLOOKUP(KitchenDoorMaterial,SheetsData,5,0)/3,IF(ISERROR(FIND(""Wall end panel"",A61))=FALSE,VLOOKUP(KitchenDoorMaterial,SheetsData,5,0)/9,IF(ISERROR(FIND(""Tower end panel"",A61))=FALSE,VL"&amp;"OOKUP(KitchenDoorMaterial,SheetsData,5,0),IF(ISERROR(FIND(""Fillers"",A61))=FALSE,(((0.06*(C61/1000))*2)*VLOOKUP(""H/F (18mm)"",SheetsData,8,0))+(((0.06*(C61/1000))*2)*VLOOKUP(""H/F (9mm)"",SheetsData,8,0)),IF(ISERROR(FIND(""corner post"",A61))=FALSE,(((B"&amp;"61/1000)*0.05)*2)*VLOOKUP(KitchenDoorMaterial,SheetsData,8,0),IF(ISERROR(FIND(""Pelmet"",A61))=FALSE,((((B61/1000)*(C61/1000))*2)*VLOOKUP(""H/F (18mm)"",SheetsData,8,0)),IF(ISERROR(FIND(""door"",A61))=TRUE,""Check description"",IF(KitchenDoorStyle=""Flat"&amp;""",((B61/1000)*(C61/1000))*VLOOKUP(KitchenDoorMaterial,SheetsData,8,0),IF(LEFT(KitchenDoorStyle,5)=""Panel"",(((((B61/1000)*2)*0.08)+((((C61/1000)-0.16)*2)*0.08))*VLOOKUP(""H/F (22mm)"",SheetsData,8,0))+(((B61/1000)-0.14)*((C61/1000)-0.14)*VLOOKUP(""H/F ("&amp;"9mm)"",SheetsData,8,0)),IF(KitchenDoorStyle=""In-frame flat"",((((((B61/1000)*0.019)*0.038)+((((C61-38)/1000)*0.038)*0.038))*2)*VLOOKUP(""Tulip (solid m3)"",SolidData,5,0))+(((B61-76)/1000)*((C61-38)/1000))*VLOOKUP(""H/F (22mm)"",SheetsData,8,0),IF(LEFT(K"&amp;"itchenDoorStyle,14)=""In-frame panel"",(((((((B61/1000)*0.019)*0.038)+((((C61-38)/1000)*0.038)*0.038))*2)*VLOOKUP(""Tulip (solid m3)"",SolidData,5,0))+(((((((B61-76)/1000)*2)*0.08)+(((((C61-198)/1000)*2)*0.08)))*VLOOKUP(""H/F (22mm)"",SheetsData,8,0))+((("&amp;"B61-216)/1000)*((C61-178)/1000)*VLOOKUP(""H/F (9mm)"",SheetsData,8,0)))))))))))))))))))))))))))))))))"),11.966541252351519)</f>
        <v>11.96654125</v>
      </c>
      <c r="F61" s="152">
        <f>IFERROR(__xludf.DUMMYFUNCTION("IF(OR(A61="""",AND(ISERROR(FIND(""drawer box"",A61))=FALSE,KitchenDrawerType=""Solid dovetail"")),"""",IF(ISERROR(FIND(""bins"",A61))=FALSE,VLOOKUP(""Base carcass 600"",KitchensData,6,0),IF(OR(ISERROR(FIND(""larder"",A61))=FALSE,ISERROR(FIND(""unit"",A61)"&amp;")=FALSE),VLOOKUP(LEFT(A61,FIND("" "",A61))&amp;""carcass ""&amp;RIGHT(A61,LEN(A61)-len(regexextract(A61,"".* ""))),KitchensData,6,0),IF(ISERROR(FIND(""drawer front"",A61))=FALSE,IF(ISERROR(FIND(""veneer"",KitchenCarcassMaterial))=TRUE,0,(((B61+C61)/1000)*2)*VLOOK"&amp;"UP(""Edge banding (per M)"",SheetsData,5,0)),IF(ISERROR(FIND(""drawer box"",A61))=FALSE,IF(ISERROR(FIND(""veneer"",KitchenCarcassMaterial))=TRUE,0,(((C61+D61)/1000)*2)*VLOOKUP(""Edge banding (per M)"",SheetsData,5,0)),IF(ISERROR(FIND(""shelf"",A61))=FALSE"&amp;",IF(ISERROR(FIND(""veneer"",KitchenCarcassMaterial))=TRUE,0,(C61/1000)*VLOOKUP(""Edge banding (per M)"",SheetsData,5,0)),IF(AND(ISERROR(FIND(""carcass"",A61))=FALSE,ISERROR(FIND(""shelf"",A61))=TRUE),IF(ISERROR(FIND(""veneer"",KitchenCarcassMaterial))=TRU"&amp;"E,0,((2*(B61+C61))/1000)*VLOOKUP(""Edge banding (per M)"",SheetsData,5,0)),IF(ISERROR(FIND(""door"",A61))=TRUE,"""",IF(ISERROR(FIND(""veneer"",KitchenDoorMaterial))=TRUE,"""",((2*(B61+C61))/1000)*VLOOKUP(""Edge banding (per M)"",SheetsData,5,0))))))))))"),0.0)</f>
        <v>0</v>
      </c>
      <c r="G61" s="153" t="str">
        <f>IF(A61="","",IF(ISERROR(FIND("bins",A61))=FALSE,VLOOKUP("Base carcass 600",KitchensData,7,0),IF(OR(ISERROR(FIND("larder",A61))=FALSE,ISERROR(FIND("fridge/freezer",A61))=FALSE,ISERROR(FIND("double oven",A61))=FALSE,ISERROR(FIND("single oven",A61))=FALSE),VLOOKUP(LEFT(A61,FIND(" ",A61))&amp;"carcass "&amp;RIGHT(A61,LEN(A61)-(LEN(A61)-3)),KitchensData,7,0),IF(AND(ISERROR(FIND("carcass",A61))=FALSE,ISERROR(FIND("shelf",A61))=TRUE),IF(OR(ISERROR(FIND("Base",A61))=FALSE,ISERROR(FIND("Tower",A61))=FALSE),IF(OR(ISERROR(FIND("1200",A61))=FALSE, ISERROR(FIND("lost corner",A61))=FALSE),6*VLOOKUP("Plinth foot (2 Parts 80mm)",FurnitureData,5,0),4*VLOOKUP("Plinth foot (2 Parts 80mm)",FurnitureData,5,0)),""),""))))</f>
        <v/>
      </c>
      <c r="H61" s="115" t="str">
        <f>IF(OR(A61="",ISERROR(FIND("door",A61))=TRUE),"",IF(ISERROR(FIND("Wall",A61))=FALSE,VLOOKUP("Hinges &amp; plates (Hettich thick door)",FurnitureData,5,0)*2,IF(ISERROR(FIND("Base",A61))=FALSE,VLOOKUP("Hinges &amp; plates (Hettich thick door)",FurnitureData,5,0)*3,IF(ISERROR(FIND("Boiler",A61))=FALSE,VLOOKUP("Hinges &amp; plates (Hettich thick door)",FurnitureData,5,0)*4,IF(ISERROR(FIND("Tower",A61))=FALSE,VLOOKUP("Hinges &amp; plates (Hettich thick door)",FurnitureData,5,0)*5)))))</f>
        <v/>
      </c>
      <c r="I61" s="153">
        <f>IF(ISERROR(FIND("shelf",A61))=FALSE,(VLOOKUP("Shelf pegs",FurnitureData,5,0)/100)*4,"")</f>
        <v>0.2624</v>
      </c>
      <c r="J61" s="152" t="str">
        <f>IF(OR(ISERROR(FIND("fridge/freezer",A61))=FALSE,ISERROR(FIND("larder",A61))=FALSE,AND(ISERROR(FIND("Base",A61))=FALSE,ISERROR(FIND("bins",A61))=TRUE,ISERROR(FIND("no shelves",A61))=TRUE,OR(ISERROR(FIND("carcass",A61))=FALSE,ISERROR(FIND("unit",A61))=FALSE))),VLOOKUP("Deep shelf "&amp;C61,KitchensData,18,0),IF(AND(ISERROR(FIND("Wall",A61))=FALSE,ISERROR(FIND("carcass",A61))=FALSE),2*VLOOKUP("Shallow shelf "&amp;C61,KitchensData,18,0),IF(AND(ISERROR(FIND("Tower",A61))=FALSE,ISERROR(FIND("oven",A61))=FALSE),4*VLOOKUP("Deep shelf "&amp;C61,KitchensData,18,0),IF(AND(ISERROR(FIND("Tower",A61))=FALSE,ISERROR(FIND("carcass",A61))=FALSE),5*VLOOKUP("Deep shelf "&amp;C61,KitchensData,18,0),""))))</f>
        <v/>
      </c>
      <c r="K61" s="152" t="str">
        <f>IF(ISERROR(FIND("sink",A61))=FALSE,VLOOKUP("Sink liner - Aluminium "&amp;RIGHT(A61,LEN(A61)-22)&amp;"mm",ExceptionalData,5,0),IF(ISERROR(FIND("bins",A61))=FALSE,VLOOKUP("Drawer runners and clip set for bin unit (500) Dynapro",FurnitureData,5,0)+(2*VLOOKUP("Bin (42L Anthracite)",FurnitureData,5,0)),IF(ISERROR(FIND("larder",A61))=FALSE,VLOOKUP("Pull out larder unit 600mm",FurnitureData,5,0),IF(AND(ISERROR(FIND("drawer box",A61))=FALSE,ISERROR(FIND("internal",A61))=TRUE),VLOOKUP("Drawer runners and clip set (550) Dynapro",FurnitureData,5,0),IF(ISERROR(FIND("internal drawer box",A61))=FALSE,VLOOKUP("Drawer runners and clip set (450) Dynapro",FurnitureData,5,0),"")))))</f>
        <v/>
      </c>
      <c r="L61" s="152">
        <f t="shared" si="3"/>
        <v>12.22894125</v>
      </c>
      <c r="M61" s="154">
        <f>IFERROR(__xludf.DUMMYFUNCTION("IF(A61="""","""",IF(OR(ISERROR(FIND(""larder"",A61))=FALSE,ISERROR(FIND(""unit"",A61))=FALSE),VLOOKUP(LEFT(A61,FIND("" "",A61))&amp;""carcass ""&amp;RIGHT(A61,LEN(A61)-len(regexextract(A61,"".* ""))),KitchensData,13,0),IF(ISERROR(FIND(""bins"",A61))=FALSE,0.95,IF"&amp;"(ISERROR(FIND(""Cutlery insert 600"",A61))=FALSE,1.3,IF(ISERROR(FIND(""Cutlery insert 1200"",A61))=FALSE,2,IF(ISERROR(FIND(""Pan/tray rack 600"",A61))=FALSE,3.25,IF(ISERROR(FIND(""Pan/tray rack 1200"",A61))=FALSE,5.9,IF(ISERROR(FIND(""split"",A61))=FALSE,"&amp;"(((C61/1000)*0.022)*2)+VLOOKUP(SUBSTITUTE(A61,"" split"",""""),KitchensData,13,0),IF(AND(ISERROR(FIND(""drawer front"",A61))=FALSE,KitchenDoorStyle=""Flat""),(((B61/1000)*(C61/1000))*2)+((((B61+C61)/1000)*2)*0.022),IF(AND(ISERROR(FIND(""drawer front"",A61"&amp;"))=FALSE,LEFT(KitchenDoorStyle,5)=""Panel""),(((B61/1000)*(C61/1000))*2)+((((B61+C61)/1000)*2)*0.022)+((((C61/1000)-0.16)*0.013)*2)+((((D61/1000)-0.16)*0.013)*2),IF(AND(ISERROR(FIND(""drawer front"",A61))=FALSE,KitchenDoorStyle=""In-frame flat""),((((B61-"&amp;"76)/1000)*((C61-38)/1000))*2)+(MID(KitchenDoorMaterial,FIND(""("",KitchenDoorMaterial)+1,2)/1000)*((((B61-76)+(C61-38))/1000)*2)+(((B61/1000)*0.032)*2)+((((B61-76)/1000)*0.032)*2)+(((B61/1000)*0.019)*4)+(((C61/1000)*0.032)*2)+((((C61-38)/1000)*0.032)*2)+("&amp;"((C61/1000)*0.038)*4),IF(AND(ISERROR(FIND(""drawer front"",A61))=FALSE,LEFT(KitchenDoorStyle,14)=""In-frame panel""),((((B61-76)/1000)*((C61-38)/1000))*2)+((MID(KitchenDoorMaterial,FIND(""("",KitchenDoorMaterial)+1,2)/1000)*((((B61-76)+(C61-38))/1000)*2))"&amp;"+((((B61-236)/1000)+((C61-198)/1000)*2)*0.013)+(((B61/1000)*0.032)*2)+((((B61-76)/1000)*0.032)*2)+(((B61/1000)*0.019)*4)+(((C61/1000)*0.032)*2)+((((C61-38)/1000)*0.032)*2)+(((C61/1000)*0.038)*4),IF(ISERROR(FIND(""drawer box"",A61))=FALSE,((((B61/1000)*(D6"&amp;"1/1000))+((B61/1000)*(C61/1000)))*4)+((((D61/1000)+(C61/1000))*0.016)*4)+(((C61/1000)*(D61/1000))*2),IF(OR(ISERROR(FIND(""shelf"",A61))=FALSE,ISERROR(FIND(""spacer"",A61))=FALSE,,ISERROR(FIND(""filler panel"",A61))=FALSE),(((C61/1000)*(D61/1000))*2)+((((C"&amp;"61+D61)*2)/1000)*0.022),IF(ISERROR(FIND(""lost corner"",A61))=FALSE,(((B61/1000)*(C61/1000))*2)+((B61/1000)*(C61/1000))+((B61/1000)*((C61/2)/1000))+((((B61/1000)*0.025)+((C61/1000)*0.025))*2),IF(ISERROR(FIND(""carcass"",A61))=FALSE,(((C61/1000)*(D61/1000)"&amp;")*2)+(((B61/1000)*(D61/1000))*2)+((B61/1000)*(C61/1000))+((((B61/1000)*0.025)+((C61/1000)*0.025))*2),IF(AND(ISERROR(FIND(""door"",A61))=FALSE,KitchenDoorStyle=""Flat""),(((B61/1000)*(C61/1000))*2)+(MID(KitchenDoorMaterial,FIND(""("",KitchenDoorMaterial)+1"&amp;",2)/1000)*(((B61+C61)/1000)*2),IF(AND(ISERROR(FIND(""door"",A61))=FALSE,LEFT(KitchenDoorStyle,5)=""Panel""),(((B61/1000)*(C61/1000))*2)+((MID(KitchenDoorMaterial,FIND(""("",KitchenDoorMaterial)+1,2)/1000)*(((B61+C61)/1000)*2))+(((((B61-160)+(C61-160))*2)/"&amp;"1000)*(0.013)),IF(AND(ISERROR(FIND(""door"",A61))=FALSE,KitchenDoorStyle=""In-frame flat""),((((B61-76)/1000)*((C61-38)/1000))*2)+(MID(KitchenDoorMaterial,FIND(""("",KitchenDoorMaterial)+1,2)/1000)*((((B61-76)+(C61-38))/1000)*2)+(((B61/1000)*0.032)*2)+((("&amp;"(B61-76)/1000)*0.032)*2)+(((B61/1000)*0.019)*4)+(((C61/1000)*0.032)*2)+((((C61-38)/1000)*0.032)*2)+(((C61/1000)*0.038)*4),IF(AND(ISERROR(FIND(""door"",A61))=FALSE,LEFT(KitchenDoorStyle,14)=""In-frame panel""),((((B61-76)/1000)*((C61-38)/1000))*2)+((MID(Ki"&amp;"tchenDoorMaterial,FIND(""("",KitchenDoorMaterial)+1,2)/1000)*((((B61-76)+(C61-38))/1000)*2))+((((B61-236)/1000)+((C61-198)/1000)*2)*0.013)+(((B61/1000)*0.032)*2)+((((B61-76)/1000)*0.032)*2)+(((B61/1000)*0.019)*4)+(((C61/1000)*0.032)*2)+((((C61-38)/1000)*0"&amp;".032)*2)+(((C61/1000)*0.038)*4),IF(ISERROR(FIND(""Plinth"",A61))=FALSE,((B61/1000)*(C61/1000))+(((C61/1000)*0.018)*2)+(((B61/1000)*0.018)*2),IF(ISERROR(FIND(""Cornice"",A61))=FALSE,(((C61/1000)*0.1)*2)+(((C61/1000)*0.044)*2)+(((B61/1000)*0.08)*2),IF(ISERR"&amp;"OR(FIND(""Base end panel"",A61))=FALSE,((B61/1000)*(C61/1000))+(0.022*((B61/1000)+((C61/1000)*2)))+((B61/1000)*0.05),IF(ISERROR(FIND(""Wall end panel"",A61))=FALSE,((B61/1000)*(C61/1000))+(0.022*((B61/1000)+((C61/1000)*2)))+((B61/1000)*0.05),IF(ISERROR(FI"&amp;"ND(""Tower end panel"",A61))=FALSE,((B61/1000)*(C61/1000))+(0.022*((B61/1000)+((C61/1000)*2)))+((B61/1000)*0.05),IF(ISERROR(FIND(""Fillers"",A61))=FALSE,((C61/1000)*0.06)+((C61/1000)*0.069)+((0.06*0.018)*2)+((0.06*0.009)*2)+((C61/1000)*0.009)+((C61/1000)*"&amp;"0.018),IF(ISERROR(FIND(""corner post"",A61))=FALSE,(((B61/1000*0.05)*2)+((B61/1000)*0.022)*2)+((B61/1000)*0.072)+((B61/1000)*0.05)+((0.072*0.022)*2)+((0.05*0.022)*2),IF(ISERROR(FIND(""Pelmet"",A61))=FALSE,((C61/1000)*0.05)+((C61/1000)*0.068)+((0.05*0.018)"&amp;"*4)+(((C61/1000)*0.018))*2))))))))))))))))))))))))))))"),0.786)</f>
        <v>0.786</v>
      </c>
      <c r="N61" s="152">
        <f>IF(M61="","",IF(AND(ISERROR(FIND("carcass",A61))=TRUE,ISERROR(FIND("unit",A61))=TRUE,ISERROR(FIND("insert",A61))=TRUE,ISERROR(FIND("rack",A61))=TRUE,ISERROR(FIND("box",A61))=TRUE,ISERROR(FIND("shelf",#REF!))=TRUE),VLOOKUP(KitchenDoorFinish,Finishing!$A$2:$K$10,9,0)*M61,VLOOKUP(KitchenCarcassFinish,Finishing!$A$2:$K$40,9,0)*M61))</f>
        <v>5.895</v>
      </c>
      <c r="O61" s="155">
        <v>0.5</v>
      </c>
      <c r="P61" s="155">
        <v>0.5</v>
      </c>
      <c r="Q61" s="152">
        <f>IF(OR(O61="",P61=""),"",((O61*X61)*(VLOOKUP("Workshop",Labour!$A$3:$E$20,4,0)/8))+((P61*AE61)*(VLOOKUP("Finishing",Labour!$A$3:$E$20,4,0)/8)))</f>
        <v>35.875</v>
      </c>
      <c r="R61" s="152">
        <f t="shared" si="4"/>
        <v>53.99894125</v>
      </c>
      <c r="S61" s="156">
        <f>IF(OR(O61="",P61=""),"",IF(OR(ISERROR(FIND("carcass",$A61))=FALSE,ISERROR(FIND("unit",$A61))=FALSE),VLOOKUP(KitchenCarcassMaterial,FixedListsCarcassMaterial,2,0),0))</f>
        <v>0</v>
      </c>
      <c r="T61" s="156">
        <f>IF(OR(O61="",P61=""),"",IF(ISERROR(FIND("door",$A61))=FALSE,VLOOKUP(KitchenDoorStyle,FixedListsDoorStyle,2,0),0))</f>
        <v>0</v>
      </c>
      <c r="U61" s="156">
        <f>IF(OR(O61="",P61=""),"",IF(ISERROR(FIND("door",$A61))=FALSE,VLOOKUP(KitchenDoorMaterial,FixedListsDoorMaterial,2,0),0))</f>
        <v>0</v>
      </c>
      <c r="V61" s="156">
        <f>IF(OR(O61="",P61=""),"",IF(ISERROR(FIND("drawer",$A61))=FALSE,VLOOKUP(KitchenDrawerType,FixedListsDrawerType,2,0),0))</f>
        <v>0</v>
      </c>
      <c r="W61" s="156">
        <f>IF(OR(O61="",P61=""),"",IF(OR(S61&gt;0, T61&gt;0,V61&gt;0),VLOOKUP(KitchenHandleType,FixedListsHandleType,2,FALSE)*IF(KitchenHandleType="Simple",0,IF(S61&gt;0,VLOOKUP(KitchenHandleType,FixedListsHandleType,4,FALSE),IF(OR(T61&gt;0,V61&gt;0),1-VLOOKUP(KitchenHandleType,FixedListsHandleType,4,FALSE),"Error"))),0))</f>
        <v>0</v>
      </c>
      <c r="X61" s="156">
        <f t="shared" si="5"/>
        <v>1</v>
      </c>
      <c r="Y61" s="156">
        <f>IF(OR(O61="",P61=""),"",IF(OR(ISERROR(FIND("carcass",$A61))=FALSE,ISERROR(FIND("unit",$A61))=FALSE),VLOOKUP(KitchenCarcassMaterial,FixedListsCarcassMaterial,3,0),0))</f>
        <v>0</v>
      </c>
      <c r="Z61" s="156">
        <f>IF(OR(O61="",P61=""),"",IF(ISERROR(FIND("door",$A61))=FALSE,VLOOKUP(KitchenDoorStyle,FixedListsDoorStyle,3,0),0))</f>
        <v>0</v>
      </c>
      <c r="AA61" s="156">
        <f>IF(OR(O61="",P61=""),"",IF(ISERROR(FIND("door",$A61))=FALSE,VLOOKUP(KitchenDoorMaterial,FixedListsDoorMaterial,3,0),0))</f>
        <v>0</v>
      </c>
      <c r="AB61" s="156">
        <f>IF(OR(O61="",P61=""),"",IF(ISERROR(FIND("drawer",$A61))=FALSE,VLOOKUP(KitchenDrawerType,FixedListsDrawerType,3,0),0))</f>
        <v>0</v>
      </c>
      <c r="AC61" s="156">
        <f>IF(OR(O61="",P61=""),"",IF(OR(Y61&gt;0,Z61&gt;0,AB61&gt;0),VLOOKUP(KitchenHandleType,FixedListsHandleType,3,FALSE),0))</f>
        <v>0</v>
      </c>
      <c r="AD61" s="156">
        <f>IF(OR(O61="",P61=""),"",IF(OR(ISERROR(FIND("carcass",$A61))=FALSE,ISERROR(FIND("unit",$A61))=FALSE),VLOOKUP(KitchenCarcassFinish,FixedListsFinishes,3,0),IF(OR(ISERROR(FIND("door",$A61))=FALSE,ISERROR(FIND("Plinth",$A61))=FALSE,ISERROR(FIND("Cornice",$A61))=FALSE,ISERROR(FIND("Fillers",$A61))=FALSE,ISERROR(FIND("Pelmet",$A61))=FALSE,ISERROR(FIND("panel",$A61))=FALSE,ISERROR(FIND("post",$A61))=FALSE),VLOOKUP(KitchenDoorFinish,FixedListsFinishes,3,0),IF(OR(ISERROR(FIND("drawer",$A61))=FALSE,ISERROR(FIND("insert",$A61))=FALSE,ISERROR(FIND("rck",$A61))=FALSE),VLOOKUP(KitchenCarcassFinish,FixedListsFinishes,3,0),0))))</f>
        <v>0</v>
      </c>
      <c r="AE61" s="156">
        <f t="shared" si="6"/>
        <v>1</v>
      </c>
      <c r="AF61" s="157" t="str">
        <f>IF(AND(KitchenHandleType="Channel",OR(ISERROR(FIND("arcass",$A61))=FALSE,ISERROR(FIND("unit",$A61))=FALSE)),IF(ISERROR(FIND("Tower",$A61))=TRUE,IF(KitchenHandleFinish="Match carcass",IF(ISERROR(FIND("Walnut",KitchenCarcassMaterial))=FALSE,(0.035*0.075*($C61/1000))*VLOOKUP("Walnut (solid m3)",SolidData,4,FALSE),IF(ISERROR(FIND("Oak",KitchenCarcassMaterial))=FALSE,(0.035*0.075*($C61/1000))*VLOOKUP("Oak (solid m3)",SolidData,4,FALSE),IF(ISERROR(FIND("ply",KitchenCarcassMaterial))=FALSE,(0.1*($C61/1000))*VLOOKUP("Birch ply (24mm)",SheetsData,7,FALSE),IF(ISERROR(FIND("H/F",KitchenCarcassMaterial))=FALSE,(0.1*($C61/1000))*VLOOKUP("H/F (22mm)",SheetsData,7,FALSE),"Carcass - not tower - new material")))),IF(KitchenHandleFinish="Match door",IF(ISERROR(FIND("Walnut",KitchenDoorMaterial))=FALSE,(0.035*0.075*($C61/1000))*VLOOKUP("Walnut (solid m3)",SolidData,4,FALSE),IF(ISERROR(FIND("Oak",KitchenDoorMaterial))=FALSE,(0.035*0.075*($C61/1000))*VLOOKUP("Oak (solid m3)",SolidData,4,FALSE),IF(ISERROR(FIND("ply",KitchenDoorMaterial))=FALSE,(0.1*($C61/1000))*VLOOKUP("Birch ply (24mm)",SheetsData,7,FALSE),IF(ISERROR(FIND("H/F",KitchenCarcassMaterial))=FALSE,(0.1*($C61/1000))*VLOOKUP("H/F (22mm)",SheetsData,7,FALSE),"Door - not tower - new material")))),"Channel - not tower - handle set to other")),IF(ISERROR(FIND("Tower",$A61))=FALSE,IF(KitchenHandleFinish="Match carcass",IF(ISERROR(FIND("Walnut",KitchenCarcassMaterial))=FALSE,(0.035*0.075*($B61/1000))*VLOOKUP("Walnut (solid m3)",SolidData,4,FALSE),IF(ISERROR(FIND("Oak",KitchenCarcassMaterial))=FALSE,(0.035*0.075*($B61/1000))*VLOOKUP("Oak (solid m3)",SolidData,4,FALSE),IF(ISERROR(FIND("ply",KitchenCarcassMaterial))=FALSE,(0.1*($B61/1000))*VLOOKUP("Birch ply (24mm)",SheetsData,7,FALSE),IF(ISERROR(FIND("H/F",KitchenCarcassMaterial))=FALSE,(0.1*($C61/1000))*VLOOKUP("H/F (22mm)",SheetsData,7,FALSE),"Carcass - tower - new material")))),IF(KitchenHandleFinish="Match door",IF(ISERROR(FIND("Walnut",KitchenDoorMaterial))=FALSE,(0.035*0.075*($B61/1000))*VLOOKUP("Walnut (solid m3)",SolidData,4,FALSE),IF(ISERROR(FIND("Oak",KitchenDoorMaterial))=FALSE,(0.035*0.075*($B61/1000))*VLOOKUP("Oak (solid m3)",SolidData,4,FALSE),IF(ISERROR(FIND("ply",KitchenDoorMaterial))=FALSE,(0.1*($B61/1000))*VLOOKUP("Birch ply (24mm)",SheetData,7,FALSE),IF(ISERROR(FIND("H/F",KitchenCarcassMaterial))=FALSE,(0.1*($C61/1000))*VLOOKUP("H/F (22mm)",SheetsData,7,FALSE),"Door - tower - new material")))),"Channel - tower - handle set to other")))),"")</f>
        <v/>
      </c>
    </row>
    <row r="62">
      <c r="A62" s="150" t="s">
        <v>170</v>
      </c>
      <c r="B62" s="115">
        <f t="shared" si="1"/>
        <v>44</v>
      </c>
      <c r="C62" s="115" t="str">
        <f>IFERROR(__xludf.DUMMYFUNCTION("IF(A62="""","""",IF(OR(RIGHT(A62,LEN(A62)-len(regexextract(A62,"".* "")))=""1200"",RIGHT(A62,LEN(A62)-len(regexextract(A62,"".* "")))=""600"",RIGHT(A62,LEN(A62)-len(regexextract(A62,"".* "")))=""400"",RIGHT(A62,LEN(A62)-len(regexextract(A62,"".* "")))=""3"&amp;"00"",RIGHT(A62,LEN(A62)-len(regexextract(A62,"".* "")))=""700"",RIGHT(A62,LEN(A62)-len(regexextract(A62,"".* "")))=""2400"",RIGHT(A62,LEN(A62)-len(regexextract(A62,"".* "")))=""650"",RIGHT(A62,LEN(A62)-len(regexextract(A62,"".* "")))=""350"",RIGHT(A62,LEN"&amp;"(A62)-len(regexextract(A62,"".* "")))=""50""),RIGHT(A62,LEN(A62)-len(regexextract(A62,"".* ""))),IF(OR(ISERROR(FIND(""spacer"",A62))=FALSE,ISERROR(FIND(""filler panel"",A62))=FALSE),""1000"",""Unexpected size in description"")))"),"2400")</f>
        <v>2400</v>
      </c>
      <c r="D62" s="151" t="str">
        <f t="shared" si="2"/>
        <v/>
      </c>
      <c r="E62" s="152">
        <f>IFERROR(__xludf.DUMMYFUNCTION("IF(OR(A62="""",AND(ISERROR(FIND(""drawer box"",A62))=FALSE,KitchenDrawerType="""")),"""",IF(OR(ISERROR(FIND(""larder"",A62))=FALSE,ISERROR(FIND(""fridge/freezer"",A62))=FALSE,ISERROR(FIND(""double oven"",A62))=FALSE,ISERROR(FIND(""single oven"",A62))=FALS"&amp;"E),VLOOKUP(LEFT(A62,FIND("" "",A62))&amp;""carcass ""&amp;RIGHT(A62,LEN(A62)-(LEN(A62)-3)),KitchensData,5,0),IF(ISERROR(FIND(""sink"",A62))=FALSE,VLOOKUP(LEFT(A62,FIND("" "",A62))&amp;""carcass ""&amp;VALUE(REGEXREPLACE(A62,""[^[:digit:]]"", """")),KitchensData,5,0)+(((C"&amp;"62/1000)*(300/1000))*VLOOKUP(KitchenCarcassMaterial,SheetsData,8,0)),IF(ISERROR(FIND(""bins"",A62))=FALSE,IF(ISERROR(FIND(""veneer"",KitchenCarcassMaterial))=FALSE,VLOOKUP(""Base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600"",A62))=FALSE,IF(ISERROR(FIND(""veneer"""&amp;",KitchenCarcassMaterial))=FALSE,0.54*(VLOOKUP(LEFT(KitchenCarcassMaterial,FIND(""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1200"",A62))=FALSE,"&amp;"IF(ISERROR(FIND(""veneer"",KitchenCarcassMaterial))=FALSE,0.84*(VLOOKUP(LEFT(KitchenCarcassMaterial,FIND(""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600"",A62))=FALSE,IF(ISERROR(FIND(""veneer"",KitchenCarcassMaterial))=FALSE,1.44*(VLOOKUP(LEFT(KitchenCarcassMaterial,FIND(""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1200"",A62))=FALSE,IF(ISERROR(FIND(""veneer"",KitchenCarcassMaterial))=FALSE,2.7*(VLOOKUP(LEFT(KitchenCarcassMaterial,FIND(""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front"",A62))=FALSE,((B62/1000)*(C62/1000))*VLOOKUP(KitchenDoorMaterial,SheetsData,8,0),IF(AND(KitchenDrawerType=""Match carcass"",ISERROR(FIND(""drawer box"",A62))=FALSE),(((((B62/1000)*(C62/1000))+((B62/1000"&amp;")*(D62/1000)))*2)*VLOOKUP(KitchenCarcassMaterial,SheetsData,8,0))+(((C62/1000)*(D62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box"",A62))=FALSE),(((((B62/1000)*(C62/1000))+((B62/1000)*(D62/1000)))*2)*(16/1000)*VLOOKUP(LEFT(KitchenCarcassMaterial,FIND("" "&amp;""",KitchenCarcassMaterial))&amp;""(solid m3)"",SolidData,5,0))+(((C62/1000)*(D62/1000))*VLOOKUP(LEFT(KitchenCarcassMaterial,FIND(""("",KitchenCarcassMaterial)-1)&amp;IF(OR(ISERROR(FIND(""ply"",KitchenCarcassMaterial))=FALSE,ISERROR(FIND(""H/F"",KitchenCarcassMate"&amp;"rial))=FALSE),""(9mm)"",""(10mm)""),SheetsData,8,0)),IF(ISERROR(FIND(""spacer"",A62))=FALSE,((D62/1000)*(C62/1000))*VLOOKUP(""Poplar ply (18mm)"",SheetsData,8,0),IF(ISERROR(FIND(""filler panel"",A62))=FALSE,((B62/1000)*(C62/1000))*VLOOKUP(KitchenDoorMater"&amp;"ial,SheetsData,8,0),IF(ISERROR(FIND(""shelf"",A62))=FALSE,((D62/1000)*(C62/1000))*VLOOKUP(KitchenCarcassMaterial,SheetsData,8,0),IF(ISERROR(FIND(""lost corner"",A62))=FALSE,VLOOKUP(LEFT(A62,FIND("" "",A62))&amp;""carcass ""&amp;VALUE(REGEXREPLACE(A62,""[^[:digit:"&amp;"]]"", """")),KitchensData,5,0)+((((B62/1000)*(C62/1000))+((B62/1000)*(60/1000)))*VLOOKUP(KitchenCarcassMaterial,SheetsData,8,0)),IF(ISERROR(FIND(""carcass"",A62))=FALSE,(((((B62/1000)*2)*(D62/1000))+(((C62/1000)*2)*(D62/1000)))*VLOOKUP(KitchenCarcassMater"&amp;"ial,SheetsData,8,0))+((B62/1000)*(C62/1000))*VLOOKUP(LEFT(KitchenCarcassMaterial,FIND(""("",KitchenCarcassMaterial)-1)&amp;IF(OR(ISERROR(FIND(""ply"",KitchenCarcassMaterial))=FALSE,ISERROR(FIND(""H/F"",KitchenCarcassMaterial))=FALSE),""(9mm)"",""(10mm)""),She"&amp;"etsData,8,0),IF(OR(ISERROR(FIND(""Plinth"",A62))=FALSE,ISERROR(FIND(""Cornice (flat)"",A62))=FALSE),((B62/1000)*(C62/1000))*VLOOKUP(""H/F (18mm)"",SheetsData,8,0),IF(ISERROR(FIND(""Cornice (stacked)"",A62))=FALSE,((0.08*(C62/1000))*2)*VLOOKUP(""H/F (22mm)"&amp;""",SheetsData,8,0),IF(ISERROR(FIND(""Base end panel"",A62))=FALSE,VLOOKUP(KitchenDoorMaterial,SheetsData,5,0)/3,IF(ISERROR(FIND(""Wall end panel"",A62))=FALSE,VLOOKUP(KitchenDoorMaterial,SheetsData,5,0)/9,IF(ISERROR(FIND(""Tower end panel"",A62))=FALSE,VL"&amp;"OOKUP(KitchenDoorMaterial,SheetsData,5,0),IF(ISERROR(FIND(""Fillers"",A62))=FALSE,(((0.06*(C62/1000))*2)*VLOOKUP(""H/F (18mm)"",SheetsData,8,0))+(((0.06*(C62/1000))*2)*VLOOKUP(""H/F (9mm)"",SheetsData,8,0)),IF(ISERROR(FIND(""corner post"",A62))=FALSE,(((B"&amp;"62/1000)*0.05)*2)*VLOOKUP(KitchenDoorMaterial,SheetsData,8,0),IF(ISERROR(FIND(""Pelmet"",A62))=FALSE,((((B62/1000)*(C62/1000))*2)*VLOOKUP(""H/F (18mm)"",SheetsData,8,0)),IF(ISERROR(FIND(""door"",A62))=TRUE,""Check description"",IF(KitchenDoorStyle=""Flat"&amp;""",((B62/1000)*(C62/1000))*VLOOKUP(KitchenDoorMaterial,SheetsData,8,0),IF(LEFT(KitchenDoorStyle,5)=""Panel"",(((((B62/1000)*2)*0.08)+((((C62/1000)-0.16)*2)*0.08))*VLOOKUP(""H/F (22mm)"",SheetsData,8,0))+(((B62/1000)-0.14)*((C62/1000)-0.14)*VLOOKUP(""H/F ("&amp;"9mm)"",SheetsData,8,0)),IF(KitchenDoorStyle=""In-frame flat"",((((((B62/1000)*0.019)*0.038)+((((C62-38)/1000)*0.038)*0.038))*2)*VLOOKUP(""Tulip (solid m3)"",SolidData,5,0))+(((B62-76)/1000)*((C62-38)/1000))*VLOOKUP(""H/F (22mm)"",SheetsData,8,0),IF(LEFT(K"&amp;"itchenDoorStyle,14)=""In-frame panel"",(((((((B62/1000)*0.019)*0.038)+((((C62-38)/1000)*0.038)*0.038))*2)*VLOOKUP(""Tulip (solid m3)"",SolidData,5,0))+(((((((B62-76)/1000)*2)*0.08)+(((((C62-198)/1000)*2)*0.08)))*VLOOKUP(""H/F (22mm)"",SheetsData,8,0))+((("&amp;"B62-216)/1000)*((C62-178)/1000)*VLOOKUP(""H/F (9mm)"",SheetsData,8,0)))))))))))))))))))))))))))))))))"),1.6300456866433752)</f>
        <v>1.630045687</v>
      </c>
      <c r="F62" s="152" t="str">
        <f>IFERROR(__xludf.DUMMYFUNCTION("IF(OR(A62="""",AND(ISERROR(FIND(""drawer box"",A62))=FALSE,KitchenDrawerType=""Solid dovetail"")),"""",IF(ISERROR(FIND(""bins"",A62))=FALSE,VLOOKUP(""Base carcass 600"",KitchensData,6,0),IF(OR(ISERROR(FIND(""larder"",A62))=FALSE,ISERROR(FIND(""unit"",A62)"&amp;")=FALSE),VLOOKUP(LEFT(A62,FIND("" "",A62))&amp;""carcass ""&amp;RIGHT(A62,LEN(A62)-len(regexextract(A62,"".* ""))),KitchensData,6,0),IF(ISERROR(FIND(""drawer front"",A62))=FALSE,IF(ISERROR(FIND(""veneer"",KitchenCarcassMaterial))=TRUE,0,(((B62+C62)/1000)*2)*VLOOK"&amp;"UP(""Edge banding (per M)"",SheetsData,5,0)),IF(ISERROR(FIND(""drawer box"",A62))=FALSE,IF(ISERROR(FIND(""veneer"",KitchenCarcassMaterial))=TRUE,0,(((C62+D62)/1000)*2)*VLOOKUP(""Edge banding (per M)"",SheetsData,5,0)),IF(ISERROR(FIND(""shelf"",A62))=FALSE"&amp;",IF(ISERROR(FIND(""veneer"",KitchenCarcassMaterial))=TRUE,0,(C62/1000)*VLOOKUP(""Edge banding (per M)"",SheetsData,5,0)),IF(AND(ISERROR(FIND(""carcass"",A62))=FALSE,ISERROR(FIND(""shelf"",A62))=TRUE),IF(ISERROR(FIND(""veneer"",KitchenCarcassMaterial))=TRU"&amp;"E,0,((2*(B62+C62))/1000)*VLOOKUP(""Edge banding (per M)"",SheetsData,5,0)),IF(ISERROR(FIND(""door"",A62))=TRUE,"""",IF(ISERROR(FIND(""veneer"",KitchenDoorMaterial))=TRUE,"""",((2*(B62+C62))/1000)*VLOOKUP(""Edge banding (per M)"",SheetsData,5,0))))))))))"),"")</f>
        <v/>
      </c>
      <c r="G62" s="153" t="str">
        <f>IF(A62="","",IF(ISERROR(FIND("bins",A62))=FALSE,VLOOKUP("Base carcass 600",KitchensData,7,0),IF(OR(ISERROR(FIND("larder",A62))=FALSE,ISERROR(FIND("fridge/freezer",A62))=FALSE,ISERROR(FIND("double oven",A62))=FALSE,ISERROR(FIND("single oven",A62))=FALSE),VLOOKUP(LEFT(A62,FIND(" ",A62))&amp;"carcass "&amp;RIGHT(A62,LEN(A62)-(LEN(A62)-3)),KitchensData,7,0),IF(AND(ISERROR(FIND("carcass",A62))=FALSE,ISERROR(FIND("shelf",A62))=TRUE),IF(OR(ISERROR(FIND("Base",A62))=FALSE,ISERROR(FIND("Tower",A62))=FALSE),IF(OR(ISERROR(FIND("1200",A62))=FALSE, ISERROR(FIND("lost corner",A62))=FALSE),6*VLOOKUP("Plinth foot (2 Parts 80mm)",FurnitureData,5,0),4*VLOOKUP("Plinth foot (2 Parts 80mm)",FurnitureData,5,0)),""),""))))</f>
        <v/>
      </c>
      <c r="H62" s="115" t="str">
        <f>IF(OR(A62="",ISERROR(FIND("door",A62))=TRUE),"",IF(ISERROR(FIND("Wall",A62))=FALSE,VLOOKUP("Hinges &amp; plates (Hettich thick door)",FurnitureData,5,0)*2,IF(ISERROR(FIND("Base",A62))=FALSE,VLOOKUP("Hinges &amp; plates (Hettich thick door)",FurnitureData,5,0)*3,IF(ISERROR(FIND("Boiler",A62))=FALSE,VLOOKUP("Hinges &amp; plates (Hettich thick door)",FurnitureData,5,0)*4,IF(ISERROR(FIND("Tower",A62))=FALSE,VLOOKUP("Hinges &amp; plates (Hettich thick door)",FurnitureData,5,0)*5)))))</f>
        <v/>
      </c>
      <c r="I62" s="115" t="str">
        <f>IF(ISERROR(FIND("shelf",A62))=FALSE,(VLOOKUP("Shelf pegs",FurnitureData,5,0)/100)*4,"")</f>
        <v/>
      </c>
      <c r="J62" s="152" t="str">
        <f>IF(OR(ISERROR(FIND("fridge/freezer",A62))=FALSE,ISERROR(FIND("larder",A62))=FALSE,AND(ISERROR(FIND("Base",A62))=FALSE,ISERROR(FIND("bins",A62))=TRUE,ISERROR(FIND("no shelves",A62))=TRUE,OR(ISERROR(FIND("carcass",A62))=FALSE,ISERROR(FIND("unit",A62))=FALSE))),VLOOKUP("Deep shelf "&amp;C62,KitchensData,18,0),IF(AND(ISERROR(FIND("Wall",A62))=FALSE,ISERROR(FIND("carcass",A62))=FALSE),2*VLOOKUP("Shallow shelf "&amp;C62,KitchensData,18,0),IF(AND(ISERROR(FIND("Tower",A62))=FALSE,ISERROR(FIND("oven",A62))=FALSE),4*VLOOKUP("Deep shelf "&amp;C62,KitchensData,18,0),IF(AND(ISERROR(FIND("Tower",A62))=FALSE,ISERROR(FIND("carcass",A62))=FALSE),5*VLOOKUP("Deep shelf "&amp;C62,KitchensData,18,0),""))))</f>
        <v/>
      </c>
      <c r="K62" s="152" t="str">
        <f>IF(ISERROR(FIND("sink",A62))=FALSE,VLOOKUP("Sink liner - Aluminium "&amp;RIGHT(A62,LEN(A62)-22)&amp;"mm",ExceptionalData,5,0),IF(ISERROR(FIND("bins",A62))=FALSE,VLOOKUP("Drawer runners and clip set for bin unit (500) Dynapro",FurnitureData,5,0)+(2*VLOOKUP("Bin (42L Anthracite)",FurnitureData,5,0)),IF(ISERROR(FIND("larder",A62))=FALSE,VLOOKUP("Pull out larder unit 600mm",FurnitureData,5,0),IF(AND(ISERROR(FIND("drawer box",A62))=FALSE,ISERROR(FIND("internal",A62))=TRUE),VLOOKUP("Drawer runners and clip set (550) Dynapro",FurnitureData,5,0),IF(ISERROR(FIND("internal drawer box",A62))=FALSE,VLOOKUP("Drawer runners and clip set (450) Dynapro",FurnitureData,5,0),"")))))</f>
        <v/>
      </c>
      <c r="L62" s="152">
        <f t="shared" si="3"/>
        <v>1.630045687</v>
      </c>
      <c r="M62" s="154">
        <f>IFERROR(__xludf.DUMMYFUNCTION("IF(A62="""","""",IF(OR(ISERROR(FIND(""larder"",A62))=FALSE,ISERROR(FIND(""unit"",A62))=FALSE),VLOOKUP(LEFT(A62,FIND("" "",A62))&amp;""carcass ""&amp;RIGHT(A62,LEN(A62)-len(regexextract(A62,"".* ""))),KitchensData,13,0),IF(ISERROR(FIND(""bins"",A62))=FALSE,0.95,IF"&amp;"(ISERROR(FIND(""Cutlery insert 600"",A62))=FALSE,1.3,IF(ISERROR(FIND(""Cutlery insert 1200"",A62))=FALSE,2,IF(ISERROR(FIND(""Pan/tray rack 600"",A62))=FALSE,3.25,IF(ISERROR(FIND(""Pan/tray rack 1200"",A62))=FALSE,5.9,IF(ISERROR(FIND(""split"",A62))=FALSE,"&amp;"(((C62/1000)*0.022)*2)+VLOOKUP(SUBSTITUTE(A62,"" split"",""""),KitchensData,13,0),IF(AND(ISERROR(FIND(""drawer front"",A62))=FALSE,KitchenDoorStyle=""Flat""),(((B62/1000)*(C62/1000))*2)+((((B62+C62)/1000)*2)*0.022),IF(AND(ISERROR(FIND(""drawer front"",A62"&amp;"))=FALSE,LEFT(KitchenDoorStyle,5)=""Panel""),(((B62/1000)*(C62/1000))*2)+((((B62+C62)/1000)*2)*0.022)+((((C62/1000)-0.16)*0.013)*2)+((((D62/1000)-0.16)*0.013)*2),IF(AND(ISERROR(FIND(""drawer front"",A62))=FALSE,KitchenDoorStyle=""In-frame flat""),((((B62-"&amp;"76)/1000)*((C62-38)/1000))*2)+(MID(KitchenDoorMaterial,FIND(""("",KitchenDoorMaterial)+1,2)/1000)*((((B62-76)+(C62-38))/1000)*2)+(((B62/1000)*0.032)*2)+((((B62-76)/1000)*0.032)*2)+(((B62/1000)*0.019)*4)+(((C62/1000)*0.032)*2)+((((C62-38)/1000)*0.032)*2)+("&amp;"((C62/1000)*0.038)*4),IF(AND(ISERROR(FIND(""drawer front"",A62))=FALSE,LEFT(KitchenDoorStyle,14)=""In-frame panel""),((((B62-76)/1000)*((C62-38)/1000))*2)+((MID(KitchenDoorMaterial,FIND(""("",KitchenDoorMaterial)+1,2)/1000)*((((B62-76)+(C62-38))/1000)*2))"&amp;"+((((B62-236)/1000)+((C62-198)/1000)*2)*0.013)+(((B62/1000)*0.032)*2)+((((B62-76)/1000)*0.032)*2)+(((B62/1000)*0.019)*4)+(((C62/1000)*0.032)*2)+((((C62-38)/1000)*0.032)*2)+(((C62/1000)*0.038)*4),IF(ISERROR(FIND(""drawer box"",A62))=FALSE,((((B62/1000)*(D6"&amp;"2/1000))+((B62/1000)*(C62/1000)))*4)+((((D62/1000)+(C62/1000))*0.016)*4)+(((C62/1000)*(D62/1000))*2),IF(OR(ISERROR(FIND(""shelf"",A62))=FALSE,ISERROR(FIND(""spacer"",A62))=FALSE,,ISERROR(FIND(""filler panel"",A62))=FALSE),(((C62/1000)*(D62/1000))*2)+((((C"&amp;"62+D62)*2)/1000)*0.022),IF(ISERROR(FIND(""lost corner"",A62))=FALSE,(((B62/1000)*(C62/1000))*2)+((B62/1000)*(C62/1000))+((B62/1000)*((C62/2)/1000))+((((B62/1000)*0.025)+((C62/1000)*0.025))*2),IF(ISERROR(FIND(""carcass"",A62))=FALSE,(((C62/1000)*(D62/1000)"&amp;")*2)+(((B62/1000)*(D62/1000))*2)+((B62/1000)*(C62/1000))+((((B62/1000)*0.025)+((C62/1000)*0.025))*2),IF(AND(ISERROR(FIND(""door"",A62))=FALSE,KitchenDoorStyle=""Flat""),(((B62/1000)*(C62/1000))*2)+(MID(KitchenDoorMaterial,FIND(""("",KitchenDoorMaterial)+1"&amp;",2)/1000)*(((B62+C62)/1000)*2),IF(AND(ISERROR(FIND(""door"",A62))=FALSE,LEFT(KitchenDoorStyle,5)=""Panel""),(((B62/1000)*(C62/1000))*2)+((MID(KitchenDoorMaterial,FIND(""("",KitchenDoorMaterial)+1,2)/1000)*(((B62+C62)/1000)*2))+(((((B62-160)+(C62-160))*2)/"&amp;"1000)*(0.013)),IF(AND(ISERROR(FIND(""door"",A62))=FALSE,KitchenDoorStyle=""In-frame flat""),((((B62-76)/1000)*((C62-38)/1000))*2)+(MID(KitchenDoorMaterial,FIND(""("",KitchenDoorMaterial)+1,2)/1000)*((((B62-76)+(C62-38))/1000)*2)+(((B62/1000)*0.032)*2)+((("&amp;"(B62-76)/1000)*0.032)*2)+(((B62/1000)*0.019)*4)+(((C62/1000)*0.032)*2)+((((C62-38)/1000)*0.032)*2)+(((C62/1000)*0.038)*4),IF(AND(ISERROR(FIND(""door"",A62))=FALSE,LEFT(KitchenDoorStyle,14)=""In-frame panel""),((((B62-76)/1000)*((C62-38)/1000))*2)+((MID(Ki"&amp;"tchenDoorMaterial,FIND(""("",KitchenDoorMaterial)+1,2)/1000)*((((B62-76)+(C62-38))/1000)*2))+((((B62-236)/1000)+((C62-198)/1000)*2)*0.013)+(((B62/1000)*0.032)*2)+((((B62-76)/1000)*0.032)*2)+(((B62/1000)*0.019)*4)+(((C62/1000)*0.032)*2)+((((C62-38)/1000)*0"&amp;".032)*2)+(((C62/1000)*0.038)*4),IF(ISERROR(FIND(""Plinth"",A62))=FALSE,((B62/1000)*(C62/1000))+(((C62/1000)*0.018)*2)+(((B62/1000)*0.018)*2),IF(ISERROR(FIND(""Cornice"",A62))=FALSE,(((C62/1000)*0.1)*2)+(((C62/1000)*0.044)*2)+(((B62/1000)*0.08)*2),IF(ISERR"&amp;"OR(FIND(""Base end panel"",A62))=FALSE,((B62/1000)*(C62/1000))+(0.022*((B62/1000)+((C62/1000)*2)))+((B62/1000)*0.05),IF(ISERROR(FIND(""Wall end panel"",A62))=FALSE,((B62/1000)*(C62/1000))+(0.022*((B62/1000)+((C62/1000)*2)))+((B62/1000)*0.05),IF(ISERROR(FI"&amp;"ND(""Tower end panel"",A62))=FALSE,((B62/1000)*(C62/1000))+(0.022*((B62/1000)+((C62/1000)*2)))+((B62/1000)*0.05),IF(ISERROR(FIND(""Fillers"",A62))=FALSE,((C62/1000)*0.06)+((C62/1000)*0.069)+((0.06*0.018)*2)+((0.06*0.009)*2)+((C62/1000)*0.009)+((C62/1000)*"&amp;"0.018),IF(ISERROR(FIND(""corner post"",A62))=FALSE,(((B62/1000*0.05)*2)+((B62/1000)*0.022)*2)+((B62/1000)*0.072)+((B62/1000)*0.05)+((0.072*0.022)*2)+((0.05*0.022)*2),IF(ISERROR(FIND(""Pelmet"",A62))=FALSE,((C62/1000)*0.05)+((C62/1000)*0.068)+((0.05*0.018)"&amp;"*4)+(((C62/1000)*0.018))*2))))))))))))))))))))))))))))"),0.69824)</f>
        <v>0.69824</v>
      </c>
      <c r="N62" s="152">
        <f>IF(M62="","",IF(AND(ISERROR(FIND("carcass",A62))=TRUE,ISERROR(FIND("unit",A62))=TRUE,ISERROR(FIND("insert",A62))=TRUE,ISERROR(FIND("rack",A62))=TRUE,ISERROR(FIND("box",A62))=TRUE,ISERROR(FIND("shelf",#REF!))=TRUE),VLOOKUP(KitchenDoorFinish,Finishing!$A$2:$K$10,9,0)*M62,VLOOKUP(KitchenCarcassFinish,Finishing!$A$2:$K$40,9,0)*M62))</f>
        <v>5.2368</v>
      </c>
      <c r="O62" s="155">
        <v>0.5</v>
      </c>
      <c r="P62" s="155">
        <v>0.5</v>
      </c>
      <c r="Q62" s="152">
        <f>IF(OR(O62="",P62=""),"",((O62*X62)*(VLOOKUP("Workshop",Labour!$A$3:$E$20,4,0)/8))+((P62*AE62)*(VLOOKUP("Finishing",Labour!$A$3:$E$20,4,0)/8)))</f>
        <v>49.875</v>
      </c>
      <c r="R62" s="152">
        <f t="shared" si="4"/>
        <v>56.74184569</v>
      </c>
      <c r="S62" s="156">
        <f>IF(OR(O62="",P62=""),"",IF(OR(ISERROR(FIND("carcass",$A62))=FALSE,ISERROR(FIND("unit",$A62))=FALSE),VLOOKUP(KitchenCarcassMaterial,FixedListsCarcassMaterial,2,0),0))</f>
        <v>0</v>
      </c>
      <c r="T62" s="156">
        <f>IF(OR(O62="",P62=""),"",IF(ISERROR(FIND("door",$A62))=FALSE,VLOOKUP(KitchenDoorStyle,FixedListsDoorStyle,2,0),0))</f>
        <v>0</v>
      </c>
      <c r="U62" s="156">
        <f>IF(OR(O62="",P62=""),"",IF(ISERROR(FIND("door",$A62))=FALSE,VLOOKUP(KitchenDoorMaterial,FixedListsDoorMaterial,2,0),0))</f>
        <v>0</v>
      </c>
      <c r="V62" s="156">
        <f>IF(OR(O62="",P62=""),"",IF(ISERROR(FIND("drawer",$A62))=FALSE,VLOOKUP(KitchenDrawerType,FixedListsDrawerType,2,0),0))</f>
        <v>0</v>
      </c>
      <c r="W62" s="156">
        <f>IF(OR(O62="",P62=""),"",IF(OR(S62&gt;0, T62&gt;0,V62&gt;0),VLOOKUP(KitchenHandleType,FixedListsHandleType,2,FALSE)*IF(KitchenHandleType="Simple",0,IF(S62&gt;0,VLOOKUP(KitchenHandleType,FixedListsHandleType,4,FALSE),IF(OR(T62&gt;0,V62&gt;0),1-VLOOKUP(KitchenHandleType,FixedListsHandleType,4,FALSE),"Error"))),0))</f>
        <v>0</v>
      </c>
      <c r="X62" s="156">
        <f t="shared" si="5"/>
        <v>1</v>
      </c>
      <c r="Y62" s="156">
        <f>IF(OR(O62="",P62=""),"",IF(OR(ISERROR(FIND("carcass",$A62))=FALSE,ISERROR(FIND("unit",$A62))=FALSE),VLOOKUP(KitchenCarcassMaterial,FixedListsCarcassMaterial,3,0),0))</f>
        <v>0</v>
      </c>
      <c r="Z62" s="156">
        <f>IF(OR(O62="",P62=""),"",IF(ISERROR(FIND("door",$A62))=FALSE,VLOOKUP(KitchenDoorStyle,FixedListsDoorStyle,3,0),0))</f>
        <v>0</v>
      </c>
      <c r="AA62" s="156">
        <f>IF(OR(O62="",P62=""),"",IF(ISERROR(FIND("door",$A62))=FALSE,VLOOKUP(KitchenDoorMaterial,FixedListsDoorMaterial,3,0),0))</f>
        <v>0</v>
      </c>
      <c r="AB62" s="156">
        <f>IF(OR(O62="",P62=""),"",IF(ISERROR(FIND("drawer",$A62))=FALSE,VLOOKUP(KitchenDrawerType,FixedListsDrawerType,3,0),0))</f>
        <v>0</v>
      </c>
      <c r="AC62" s="156">
        <f>IF(OR(O62="",P62=""),"",IF(OR(Y62&gt;0,Z62&gt;0,AB62&gt;0),VLOOKUP(KitchenHandleType,FixedListsHandleType,3,FALSE),0))</f>
        <v>0</v>
      </c>
      <c r="AD62" s="156">
        <f>IF(OR(O62="",P62=""),"",IF(OR(ISERROR(FIND("carcass",$A62))=FALSE,ISERROR(FIND("unit",$A62))=FALSE),VLOOKUP(KitchenCarcassFinish,FixedListsFinishes,3,0),IF(OR(ISERROR(FIND("door",$A62))=FALSE,ISERROR(FIND("Plinth",$A62))=FALSE,ISERROR(FIND("Cornice",$A62))=FALSE,ISERROR(FIND("Fillers",$A62))=FALSE,ISERROR(FIND("Pelmet",$A62))=FALSE,ISERROR(FIND("panel",$A62))=FALSE,ISERROR(FIND("post",$A62))=FALSE),VLOOKUP(KitchenDoorFinish,FixedListsFinishes,3,0),IF(OR(ISERROR(FIND("drawer",$A62))=FALSE,ISERROR(FIND("insert",$A62))=FALSE,ISERROR(FIND("rck",$A62))=FALSE),VLOOKUP(KitchenCarcassFinish,FixedListsFinishes,3,0),0))))</f>
        <v>2</v>
      </c>
      <c r="AE62" s="156">
        <f t="shared" si="6"/>
        <v>2</v>
      </c>
      <c r="AF62" s="157" t="str">
        <f>IF(AND(KitchenHandleType="Channel",OR(ISERROR(FIND("arcass",$A62))=FALSE,ISERROR(FIND("unit",$A62))=FALSE)),IF(ISERROR(FIND("Tower",$A62))=TRUE,IF(KitchenHandleFinish="Match carcass",IF(ISERROR(FIND("Walnut",KitchenCarcassMaterial))=FALSE,(0.035*0.075*($C62/1000))*VLOOKUP("Walnut (solid m3)",SolidData,4,FALSE),IF(ISERROR(FIND("Oak",KitchenCarcassMaterial))=FALSE,(0.035*0.075*($C62/1000))*VLOOKUP("Oak (solid m3)",SolidData,4,FALSE),IF(ISERROR(FIND("ply",KitchenCarcassMaterial))=FALSE,(0.1*($C62/1000))*VLOOKUP("Birch ply (24mm)",SheetsData,7,FALSE),IF(ISERROR(FIND("H/F",KitchenCarcassMaterial))=FALSE,(0.1*($C62/1000))*VLOOKUP("H/F (22mm)",SheetsData,7,FALSE),"Carcass - not tower - new material")))),IF(KitchenHandleFinish="Match door",IF(ISERROR(FIND("Walnut",KitchenDoorMaterial))=FALSE,(0.035*0.075*($C62/1000))*VLOOKUP("Walnut (solid m3)",SolidData,4,FALSE),IF(ISERROR(FIND("Oak",KitchenDoorMaterial))=FALSE,(0.035*0.075*($C62/1000))*VLOOKUP("Oak (solid m3)",SolidData,4,FALSE),IF(ISERROR(FIND("ply",KitchenDoorMaterial))=FALSE,(0.1*($C62/1000))*VLOOKUP("Birch ply (24mm)",SheetsData,7,FALSE),IF(ISERROR(FIND("H/F",KitchenCarcassMaterial))=FALSE,(0.1*($C62/1000))*VLOOKUP("H/F (22mm)",SheetsData,7,FALSE),"Door - not tower - new material")))),"Channel - not tower - handle set to other")),IF(ISERROR(FIND("Tower",$A62))=FALSE,IF(KitchenHandleFinish="Match carcass",IF(ISERROR(FIND("Walnut",KitchenCarcassMaterial))=FALSE,(0.035*0.075*($B62/1000))*VLOOKUP("Walnut (solid m3)",SolidData,4,FALSE),IF(ISERROR(FIND("Oak",KitchenCarcassMaterial))=FALSE,(0.035*0.075*($B62/1000))*VLOOKUP("Oak (solid m3)",SolidData,4,FALSE),IF(ISERROR(FIND("ply",KitchenCarcassMaterial))=FALSE,(0.1*($B62/1000))*VLOOKUP("Birch ply (24mm)",SheetsData,7,FALSE),IF(ISERROR(FIND("H/F",KitchenCarcassMaterial))=FALSE,(0.1*($C62/1000))*VLOOKUP("H/F (22mm)",SheetsData,7,FALSE),"Carcass - tower - new material")))),IF(KitchenHandleFinish="Match door",IF(ISERROR(FIND("Walnut",KitchenDoorMaterial))=FALSE,(0.035*0.075*($B62/1000))*VLOOKUP("Walnut (solid m3)",SolidData,4,FALSE),IF(ISERROR(FIND("Oak",KitchenDoorMaterial))=FALSE,(0.035*0.075*($B62/1000))*VLOOKUP("Oak (solid m3)",SolidData,4,FALSE),IF(ISERROR(FIND("ply",KitchenDoorMaterial))=FALSE,(0.1*($B62/1000))*VLOOKUP("Birch ply (24mm)",SheetData,7,FALSE),IF(ISERROR(FIND("H/F",KitchenCarcassMaterial))=FALSE,(0.1*($C62/1000))*VLOOKUP("H/F (22mm)",SheetsData,7,FALSE),"Door - tower - new material")))),"Channel - tower - handle set to other")))),"")</f>
        <v/>
      </c>
    </row>
    <row r="63">
      <c r="A63" s="150" t="s">
        <v>171</v>
      </c>
      <c r="B63" s="115">
        <f t="shared" si="1"/>
        <v>2200</v>
      </c>
      <c r="C63" s="115" t="str">
        <f>IFERROR(__xludf.DUMMYFUNCTION("IF(A63="""","""",IF(OR(RIGHT(A63,LEN(A63)-len(regexextract(A63,"".* "")))=""1200"",RIGHT(A63,LEN(A63)-len(regexextract(A63,"".* "")))=""600"",RIGHT(A63,LEN(A63)-len(regexextract(A63,"".* "")))=""400"",RIGHT(A63,LEN(A63)-len(regexextract(A63,"".* "")))=""3"&amp;"00"",RIGHT(A63,LEN(A63)-len(regexextract(A63,"".* "")))=""700"",RIGHT(A63,LEN(A63)-len(regexextract(A63,"".* "")))=""2400"",RIGHT(A63,LEN(A63)-len(regexextract(A63,"".* "")))=""650"",RIGHT(A63,LEN(A63)-len(regexextract(A63,"".* "")))=""350"",RIGHT(A63,LEN"&amp;"(A63)-len(regexextract(A63,"".* "")))=""50""),RIGHT(A63,LEN(A63)-len(regexextract(A63,"".* ""))),IF(OR(ISERROR(FIND(""spacer"",A63))=FALSE,ISERROR(FIND(""filler panel"",A63))=FALSE),""1000"",""Unexpected size in description"")))"),"600")</f>
        <v>600</v>
      </c>
      <c r="D63" s="151">
        <f t="shared" si="2"/>
        <v>600</v>
      </c>
      <c r="E63" s="152">
        <f>IFERROR(__xludf.DUMMYFUNCTION("IF(OR(A63="""",AND(ISERROR(FIND(""drawer box"",A63))=FALSE,KitchenDrawerType="""")),"""",IF(OR(ISERROR(FIND(""larder"",A63))=FALSE,ISERROR(FIND(""fridge/freezer"",A63))=FALSE,ISERROR(FIND(""double oven"",A63))=FALSE,ISERROR(FIND(""single oven"",A63))=FALS"&amp;"E),VLOOKUP(LEFT(A63,FIND("" "",A63))&amp;""carcass ""&amp;RIGHT(A63,LEN(A63)-(LEN(A63)-3)),KitchensData,5,0),IF(ISERROR(FIND(""sink"",A63))=FALSE,VLOOKUP(LEFT(A63,FIND("" "",A63))&amp;""carcass ""&amp;VALUE(REGEXREPLACE(A63,""[^[:digit:]]"", """")),KitchensData,5,0)+(((C"&amp;"63/1000)*(300/1000))*VLOOKUP(KitchenCarcassMaterial,SheetsData,8,0)),IF(ISERROR(FIND(""bins"",A63))=FALSE,IF(ISERROR(FIND(""veneer"",KitchenCarcassMaterial))=FALSE,VLOOKUP(""Base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600"",A63))=FALSE,IF(ISERROR(FIND(""veneer"""&amp;",KitchenCarcassMaterial))=FALSE,0.54*(VLOOKUP(LEFT(KitchenCarcassMaterial,FIND(""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1200"",A63))=FALSE,"&amp;"IF(ISERROR(FIND(""veneer"",KitchenCarcassMaterial))=FALSE,0.84*(VLOOKUP(LEFT(KitchenCarcassMaterial,FIND(""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600"",A63))=FALSE,IF(ISERROR(FIND(""veneer"",KitchenCarcassMaterial))=FALSE,1.44*(VLOOKUP(LEFT(KitchenCarcassMaterial,FIND(""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1200"",A63))=FALSE,IF(ISERROR(FIND(""veneer"",KitchenCarcassMaterial))=FALSE,2.7*(VLOOKUP(LEFT(KitchenCarcassMaterial,FIND(""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front"",A63))=FALSE,((B63/1000)*(C63/1000))*VLOOKUP(KitchenDoorMaterial,SheetsData,8,0),IF(AND(KitchenDrawerType=""Match carcass"",ISERROR(FIND(""drawer box"",A63))=FALSE),(((((B63/1000)*(C63/1000))+((B63/1000"&amp;")*(D63/1000)))*2)*VLOOKUP(KitchenCarcassMaterial,SheetsData,8,0))+(((C63/1000)*(D63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box"",A63))=FALSE),(((((B63/1000)*(C63/1000))+((B63/1000)*(D63/1000)))*2)*(16/1000)*VLOOKUP(LEFT(KitchenCarcassMaterial,FIND("" "&amp;""",KitchenCarcassMaterial))&amp;""(solid m3)"",SolidData,5,0))+(((C63/1000)*(D63/1000))*VLOOKUP(LEFT(KitchenCarcassMaterial,FIND(""("",KitchenCarcassMaterial)-1)&amp;IF(OR(ISERROR(FIND(""ply"",KitchenCarcassMaterial))=FALSE,ISERROR(FIND(""H/F"",KitchenCarcassMate"&amp;"rial))=FALSE),""(9mm)"",""(10mm)""),SheetsData,8,0)),IF(ISERROR(FIND(""spacer"",A63))=FALSE,((D63/1000)*(C63/1000))*VLOOKUP(""Poplar ply (18mm)"",SheetsData,8,0),IF(ISERROR(FIND(""filler panel"",A63))=FALSE,((B63/1000)*(C63/1000))*VLOOKUP(KitchenDoorMater"&amp;"ial,SheetsData,8,0),IF(ISERROR(FIND(""shelf"",A63))=FALSE,((D63/1000)*(C63/1000))*VLOOKUP(KitchenCarcassMaterial,SheetsData,8,0),IF(ISERROR(FIND(""lost corner"",A63))=FALSE,VLOOKUP(LEFT(A63,FIND("" "",A63))&amp;""carcass ""&amp;VALUE(REGEXREPLACE(A63,""[^[:digit:"&amp;"]]"", """")),KitchensData,5,0)+((((B63/1000)*(C63/1000))+((B63/1000)*(60/1000)))*VLOOKUP(KitchenCarcassMaterial,SheetsData,8,0)),IF(ISERROR(FIND(""carcass"",A63))=FALSE,(((((B63/1000)*2)*(D63/1000))+(((C63/1000)*2)*(D63/1000)))*VLOOKUP(KitchenCarcassMater"&amp;"ial,SheetsData,8,0))+((B63/1000)*(C63/1000))*VLOOKUP(LEFT(KitchenCarcassMaterial,FIND(""("",KitchenCarcassMaterial)-1)&amp;IF(OR(ISERROR(FIND(""ply"",KitchenCarcassMaterial))=FALSE,ISERROR(FIND(""H/F"",KitchenCarcassMaterial))=FALSE),""(9mm)"",""(10mm)""),She"&amp;"etsData,8,0),IF(OR(ISERROR(FIND(""Plinth"",A63))=FALSE,ISERROR(FIND(""Cornice (flat)"",A63))=FALSE),((B63/1000)*(C63/1000))*VLOOKUP(""H/F (18mm)"",SheetsData,8,0),IF(ISERROR(FIND(""Cornice (stacked)"",A63))=FALSE,((0.08*(C63/1000))*2)*VLOOKUP(""H/F (22mm)"&amp;""",SheetsData,8,0),IF(ISERROR(FIND(""Base end panel"",A63))=FALSE,VLOOKUP(KitchenDoorMaterial,SheetsData,5,0)/3,IF(ISERROR(FIND(""Wall end panel"",A63))=FALSE,VLOOKUP(KitchenDoorMaterial,SheetsData,5,0)/9,IF(ISERROR(FIND(""Tower end panel"",A63))=FALSE,VL"&amp;"OOKUP(KitchenDoorMaterial,SheetsData,5,0),IF(ISERROR(FIND(""Fillers"",A63))=FALSE,(((0.06*(C63/1000))*2)*VLOOKUP(""H/F (18mm)"",SheetsData,8,0))+(((0.06*(C63/1000))*2)*VLOOKUP(""H/F (9mm)"",SheetsData,8,0)),IF(ISERROR(FIND(""corner post"",A63))=FALSE,(((B"&amp;"63/1000)*0.05)*2)*VLOOKUP(KitchenDoorMaterial,SheetsData,8,0),IF(ISERROR(FIND(""Pelmet"",A63))=FALSE,((((B63/1000)*(C63/1000))*2)*VLOOKUP(""H/F (18mm)"",SheetsData,8,0)),IF(ISERROR(FIND(""door"",A63))=TRUE,""Check description"",IF(KitchenDoorStyle=""Flat"&amp;""",((B63/1000)*(C63/1000))*VLOOKUP(KitchenDoorMaterial,SheetsData,8,0),IF(LEFT(KitchenDoorStyle,5)=""Panel"",(((((B63/1000)*2)*0.08)+((((C63/1000)-0.16)*2)*0.08))*VLOOKUP(""H/F (22mm)"",SheetsData,8,0))+(((B63/1000)-0.14)*((C63/1000)-0.14)*VLOOKUP(""H/F ("&amp;"9mm)"",SheetsData,8,0)),IF(KitchenDoorStyle=""In-frame flat"",((((((B63/1000)*0.019)*0.038)+((((C63-38)/1000)*0.038)*0.038))*2)*VLOOKUP(""Tulip (solid m3)"",SolidData,5,0))+(((B63-76)/1000)*((C63-38)/1000))*VLOOKUP(""H/F (22mm)"",SheetsData,8,0),IF(LEFT(K"&amp;"itchenDoorStyle,14)=""In-frame panel"",(((((((B63/1000)*0.019)*0.038)+((((C63-38)/1000)*0.038)*0.038))*2)*VLOOKUP(""Tulip (solid m3)"",SolidData,5,0))+(((((((B63-76)/1000)*2)*0.08)+(((((C63-198)/1000)*2)*0.08)))*VLOOKUP(""H/F (22mm)"",SheetsData,8,0))+((("&amp;"B63-216)/1000)*((C63-178)/1000)*VLOOKUP(""H/F (9mm)"",SheetsData,8,0)))))))))))))))))))))))))))))))))"),140.04501478097288)</f>
        <v>140.0450148</v>
      </c>
      <c r="F63" s="152">
        <f>IFERROR(__xludf.DUMMYFUNCTION("IF(OR(A63="""",AND(ISERROR(FIND(""drawer box"",A63))=FALSE,KitchenDrawerType=""Solid dovetail"")),"""",IF(ISERROR(FIND(""bins"",A63))=FALSE,VLOOKUP(""Base carcass 600"",KitchensData,6,0),IF(OR(ISERROR(FIND(""larder"",A63))=FALSE,ISERROR(FIND(""unit"",A63)"&amp;")=FALSE),VLOOKUP(LEFT(A63,FIND("" "",A63))&amp;""carcass ""&amp;RIGHT(A63,LEN(A63)-len(regexextract(A63,"".* ""))),KitchensData,6,0),IF(ISERROR(FIND(""drawer front"",A63))=FALSE,IF(ISERROR(FIND(""veneer"",KitchenCarcassMaterial))=TRUE,0,(((B63+C63)/1000)*2)*VLOOK"&amp;"UP(""Edge banding (per M)"",SheetsData,5,0)),IF(ISERROR(FIND(""drawer box"",A63))=FALSE,IF(ISERROR(FIND(""veneer"",KitchenCarcassMaterial))=TRUE,0,(((C63+D63)/1000)*2)*VLOOKUP(""Edge banding (per M)"",SheetsData,5,0)),IF(ISERROR(FIND(""shelf"",A63))=FALSE"&amp;",IF(ISERROR(FIND(""veneer"",KitchenCarcassMaterial))=TRUE,0,(C63/1000)*VLOOKUP(""Edge banding (per M)"",SheetsData,5,0)),IF(AND(ISERROR(FIND(""carcass"",A63))=FALSE,ISERROR(FIND(""shelf"",A63))=TRUE),IF(ISERROR(FIND(""veneer"",KitchenCarcassMaterial))=TRU"&amp;"E,0,((2*(B63+C63))/1000)*VLOOKUP(""Edge banding (per M)"",SheetsData,5,0)),IF(ISERROR(FIND(""door"",A63))=TRUE,"""",IF(ISERROR(FIND(""veneer"",KitchenDoorMaterial))=TRUE,"""",((2*(B63+C63))/1000)*VLOOKUP(""Edge banding (per M)"",SheetsData,5,0))))))))))"),0.0)</f>
        <v>0</v>
      </c>
      <c r="G63" s="153">
        <f>IF(A63="","",IF(ISERROR(FIND("bins",A63))=FALSE,VLOOKUP("Base carcass 600",KitchensData,7,0),IF(OR(ISERROR(FIND("larder",A63))=FALSE,ISERROR(FIND("fridge/freezer",A63))=FALSE,ISERROR(FIND("double oven",A63))=FALSE,ISERROR(FIND("single oven",A63))=FALSE),VLOOKUP(LEFT(A63,FIND(" ",A63))&amp;"carcass "&amp;RIGHT(A63,LEN(A63)-(LEN(A63)-3)),KitchensData,7,0),IF(AND(ISERROR(FIND("carcass",A63))=FALSE,ISERROR(FIND("shelf",A63))=TRUE),IF(OR(ISERROR(FIND("Base",A63))=FALSE,ISERROR(FIND("Tower",A63))=FALSE),IF(OR(ISERROR(FIND("1200",A63))=FALSE, ISERROR(FIND("lost corner",A63))=FALSE),6*VLOOKUP("Plinth foot (2 Parts 80mm)",FurnitureData,5,0),4*VLOOKUP("Plinth foot (2 Parts 80mm)",FurnitureData,5,0)),""),""))))</f>
        <v>3.8</v>
      </c>
      <c r="H63" s="115" t="str">
        <f>IF(OR(A63="",ISERROR(FIND("door",A63))=TRUE),"",IF(ISERROR(FIND("Wall",A63))=FALSE,VLOOKUP("Hinges &amp; plates (Hettich thick door)",FurnitureData,5,0)*2,IF(ISERROR(FIND("Base",A63))=FALSE,VLOOKUP("Hinges &amp; plates (Hettich thick door)",FurnitureData,5,0)*3,IF(ISERROR(FIND("Boiler",A63))=FALSE,VLOOKUP("Hinges &amp; plates (Hettich thick door)",FurnitureData,5,0)*4,IF(ISERROR(FIND("Tower",A63))=FALSE,VLOOKUP("Hinges &amp; plates (Hettich thick door)",FurnitureData,5,0)*5)))))</f>
        <v/>
      </c>
      <c r="I63" s="115" t="str">
        <f>IF(ISERROR(FIND("shelf",A63))=FALSE,(VLOOKUP("Shelf pegs",FurnitureData,5,0)/100)*4,"")</f>
        <v/>
      </c>
      <c r="J63" s="152">
        <f>IF(OR(ISERROR(FIND("fridge/freezer",A63))=FALSE,ISERROR(FIND("larder",A63))=FALSE,AND(ISERROR(FIND("Base",A63))=FALSE,ISERROR(FIND("bins",A63))=TRUE,ISERROR(FIND("no shelves",A63))=TRUE,OR(ISERROR(FIND("carcass",A63))=FALSE,ISERROR(FIND("unit",A63))=FALSE))),VLOOKUP("Deep shelf "&amp;C63,KitchensData,18,0),IF(AND(ISERROR(FIND("Wall",A63))=FALSE,ISERROR(FIND("carcass",A63))=FALSE),2*VLOOKUP("Shallow shelf "&amp;C63,KitchensData,18,0),IF(AND(ISERROR(FIND("Tower",A63))=FALSE,ISERROR(FIND("oven",A63))=FALSE),4*VLOOKUP("Deep shelf "&amp;C63,KitchensData,18,0),IF(AND(ISERROR(FIND("Tower",A63))=FALSE,ISERROR(FIND("carcass",A63))=FALSE),5*VLOOKUP("Deep shelf "&amp;C63,KitchensData,18,0),""))))</f>
        <v>53.89994125</v>
      </c>
      <c r="K63" s="152" t="str">
        <f>IF(ISERROR(FIND("sink",A63))=FALSE,VLOOKUP("Sink liner - Aluminium "&amp;RIGHT(A63,LEN(A63)-22)&amp;"mm",ExceptionalData,5,0),IF(ISERROR(FIND("bins",A63))=FALSE,VLOOKUP("Drawer runners and clip set for bin unit (500) Dynapro",FurnitureData,5,0)+(2*VLOOKUP("Bin (42L Anthracite)",FurnitureData,5,0)),IF(ISERROR(FIND("larder",A63))=FALSE,VLOOKUP("Pull out larder unit 600mm",FurnitureData,5,0),IF(AND(ISERROR(FIND("drawer box",A63))=FALSE,ISERROR(FIND("internal",A63))=TRUE),VLOOKUP("Drawer runners and clip set (550) Dynapro",FurnitureData,5,0),IF(ISERROR(FIND("internal drawer box",A63))=FALSE,VLOOKUP("Drawer runners and clip set (450) Dynapro",FurnitureData,5,0),"")))))</f>
        <v/>
      </c>
      <c r="L63" s="152">
        <f t="shared" si="3"/>
        <v>197.744956</v>
      </c>
      <c r="M63" s="154">
        <f>IFERROR(__xludf.DUMMYFUNCTION("IF(A63="""","""",IF(OR(ISERROR(FIND(""larder"",A63))=FALSE,ISERROR(FIND(""unit"",A63))=FALSE),VLOOKUP(LEFT(A63,FIND("" "",A63))&amp;""carcass ""&amp;RIGHT(A63,LEN(A63)-len(regexextract(A63,"".* ""))),KitchensData,13,0),IF(ISERROR(FIND(""bins"",A63))=FALSE,0.95,IF"&amp;"(ISERROR(FIND(""Cutlery insert 600"",A63))=FALSE,1.3,IF(ISERROR(FIND(""Cutlery insert 1200"",A63))=FALSE,2,IF(ISERROR(FIND(""Pan/tray rack 600"",A63))=FALSE,3.25,IF(ISERROR(FIND(""Pan/tray rack 1200"",A63))=FALSE,5.9,IF(ISERROR(FIND(""split"",A63))=FALSE,"&amp;"(((C63/1000)*0.022)*2)+VLOOKUP(SUBSTITUTE(A63,"" split"",""""),KitchensData,13,0),IF(AND(ISERROR(FIND(""drawer front"",A63))=FALSE,KitchenDoorStyle=""Flat""),(((B63/1000)*(C63/1000))*2)+((((B63+C63)/1000)*2)*0.022),IF(AND(ISERROR(FIND(""drawer front"",A63"&amp;"))=FALSE,LEFT(KitchenDoorStyle,5)=""Panel""),(((B63/1000)*(C63/1000))*2)+((((B63+C63)/1000)*2)*0.022)+((((C63/1000)-0.16)*0.013)*2)+((((D63/1000)-0.16)*0.013)*2),IF(AND(ISERROR(FIND(""drawer front"",A63))=FALSE,KitchenDoorStyle=""In-frame flat""),((((B63-"&amp;"76)/1000)*((C63-38)/1000))*2)+(MID(KitchenDoorMaterial,FIND(""("",KitchenDoorMaterial)+1,2)/1000)*((((B63-76)+(C63-38))/1000)*2)+(((B63/1000)*0.032)*2)+((((B63-76)/1000)*0.032)*2)+(((B63/1000)*0.019)*4)+(((C63/1000)*0.032)*2)+((((C63-38)/1000)*0.032)*2)+("&amp;"((C63/1000)*0.038)*4),IF(AND(ISERROR(FIND(""drawer front"",A63))=FALSE,LEFT(KitchenDoorStyle,14)=""In-frame panel""),((((B63-76)/1000)*((C63-38)/1000))*2)+((MID(KitchenDoorMaterial,FIND(""("",KitchenDoorMaterial)+1,2)/1000)*((((B63-76)+(C63-38))/1000)*2))"&amp;"+((((B63-236)/1000)+((C63-198)/1000)*2)*0.013)+(((B63/1000)*0.032)*2)+((((B63-76)/1000)*0.032)*2)+(((B63/1000)*0.019)*4)+(((C63/1000)*0.032)*2)+((((C63-38)/1000)*0.032)*2)+(((C63/1000)*0.038)*4),IF(ISERROR(FIND(""drawer box"",A63))=FALSE,((((B63/1000)*(D6"&amp;"3/1000))+((B63/1000)*(C63/1000)))*4)+((((D63/1000)+(C63/1000))*0.016)*4)+(((C63/1000)*(D63/1000))*2),IF(OR(ISERROR(FIND(""shelf"",A63))=FALSE,ISERROR(FIND(""spacer"",A63))=FALSE,,ISERROR(FIND(""filler panel"",A63))=FALSE),(((C63/1000)*(D63/1000))*2)+((((C"&amp;"63+D63)*2)/1000)*0.022),IF(ISERROR(FIND(""lost corner"",A63))=FALSE,(((B63/1000)*(C63/1000))*2)+((B63/1000)*(C63/1000))+((B63/1000)*((C63/2)/1000))+((((B63/1000)*0.025)+((C63/1000)*0.025))*2),IF(ISERROR(FIND(""carcass"",A63))=FALSE,(((C63/1000)*(D63/1000)"&amp;")*2)+(((B63/1000)*(D63/1000))*2)+((B63/1000)*(C63/1000))+((((B63/1000)*0.025)+((C63/1000)*0.025))*2),IF(AND(ISERROR(FIND(""door"",A63))=FALSE,KitchenDoorStyle=""Flat""),(((B63/1000)*(C63/1000))*2)+(MID(KitchenDoorMaterial,FIND(""("",KitchenDoorMaterial)+1"&amp;",2)/1000)*(((B63+C63)/1000)*2),IF(AND(ISERROR(FIND(""door"",A63))=FALSE,LEFT(KitchenDoorStyle,5)=""Panel""),(((B63/1000)*(C63/1000))*2)+((MID(KitchenDoorMaterial,FIND(""("",KitchenDoorMaterial)+1,2)/1000)*(((B63+C63)/1000)*2))+(((((B63-160)+(C63-160))*2)/"&amp;"1000)*(0.013)),IF(AND(ISERROR(FIND(""door"",A63))=FALSE,KitchenDoorStyle=""In-frame flat""),((((B63-76)/1000)*((C63-38)/1000))*2)+(MID(KitchenDoorMaterial,FIND(""("",KitchenDoorMaterial)+1,2)/1000)*((((B63-76)+(C63-38))/1000)*2)+(((B63/1000)*0.032)*2)+((("&amp;"(B63-76)/1000)*0.032)*2)+(((B63/1000)*0.019)*4)+(((C63/1000)*0.032)*2)+((((C63-38)/1000)*0.032)*2)+(((C63/1000)*0.038)*4),IF(AND(ISERROR(FIND(""door"",A63))=FALSE,LEFT(KitchenDoorStyle,14)=""In-frame panel""),((((B63-76)/1000)*((C63-38)/1000))*2)+((MID(Ki"&amp;"tchenDoorMaterial,FIND(""("",KitchenDoorMaterial)+1,2)/1000)*((((B63-76)+(C63-38))/1000)*2))+((((B63-236)/1000)+((C63-198)/1000)*2)*0.013)+(((B63/1000)*0.032)*2)+((((B63-76)/1000)*0.032)*2)+(((B63/1000)*0.019)*4)+(((C63/1000)*0.032)*2)+((((C63-38)/1000)*0"&amp;".032)*2)+(((C63/1000)*0.038)*4),IF(ISERROR(FIND(""Plinth"",A63))=FALSE,((B63/1000)*(C63/1000))+(((C63/1000)*0.018)*2)+(((B63/1000)*0.018)*2),IF(ISERROR(FIND(""Cornice"",A63))=FALSE,(((C63/1000)*0.1)*2)+(((C63/1000)*0.044)*2)+(((B63/1000)*0.08)*2),IF(ISERR"&amp;"OR(FIND(""Base end panel"",A63))=FALSE,((B63/1000)*(C63/1000))+(0.022*((B63/1000)+((C63/1000)*2)))+((B63/1000)*0.05),IF(ISERROR(FIND(""Wall end panel"",A63))=FALSE,((B63/1000)*(C63/1000))+(0.022*((B63/1000)+((C63/1000)*2)))+((B63/1000)*0.05),IF(ISERROR(FI"&amp;"ND(""Tower end panel"",A63))=FALSE,((B63/1000)*(C63/1000))+(0.022*((B63/1000)+((C63/1000)*2)))+((B63/1000)*0.05),IF(ISERROR(FIND(""Fillers"",A63))=FALSE,((C63/1000)*0.06)+((C63/1000)*0.069)+((0.06*0.018)*2)+((0.06*0.009)*2)+((C63/1000)*0.009)+((C63/1000)*"&amp;"0.018),IF(ISERROR(FIND(""corner post"",A63))=FALSE,(((B63/1000*0.05)*2)+((B63/1000)*0.022)*2)+((B63/1000)*0.072)+((B63/1000)*0.05)+((0.072*0.022)*2)+((0.05*0.022)*2),IF(ISERROR(FIND(""Pelmet"",A63))=FALSE,((C63/1000)*0.05)+((C63/1000)*0.068)+((0.05*0.018)"&amp;"*4)+(((C63/1000)*0.018))*2))))))))))))))))))))))))))))"),4.82)</f>
        <v>4.82</v>
      </c>
      <c r="N63" s="152">
        <f>IF(M63="","",IF(AND(ISERROR(FIND("carcass",A63))=TRUE,ISERROR(FIND("unit",A63))=TRUE,ISERROR(FIND("insert",A63))=TRUE,ISERROR(FIND("rack",A63))=TRUE,ISERROR(FIND("box",A63))=TRUE,ISERROR(FIND("shelf",#REF!))=TRUE),VLOOKUP(KitchenDoorFinish,Finishing!$A$2:$K$10,9,0)*M63,VLOOKUP(KitchenCarcassFinish,Finishing!$A$2:$K$40,9,0)*M63))</f>
        <v>18.075</v>
      </c>
      <c r="O63" s="155">
        <v>0.5</v>
      </c>
      <c r="P63" s="155">
        <v>0.5</v>
      </c>
      <c r="Q63" s="152">
        <f>IF(OR(O63="",P63=""),"",((O63*X63)*(VLOOKUP("Workshop",Labour!$A$3:$E$20,4,0)/8))+((P63*AE63)*(VLOOKUP("Finishing",Labour!$A$3:$E$20,4,0)/8)))</f>
        <v>35.875</v>
      </c>
      <c r="R63" s="152">
        <f t="shared" si="4"/>
        <v>251.694956</v>
      </c>
      <c r="S63" s="156">
        <f>IF(OR(O63="",P63=""),"",IF(OR(ISERROR(FIND("carcass",$A63))=FALSE,ISERROR(FIND("unit",$A63))=FALSE),VLOOKUP(KitchenCarcassMaterial,FixedListsCarcassMaterial,2,0),0))</f>
        <v>1</v>
      </c>
      <c r="T63" s="156">
        <f>IF(OR(O63="",P63=""),"",IF(ISERROR(FIND("door",$A63))=FALSE,VLOOKUP(KitchenDoorStyle,FixedListsDoorStyle,2,0),0))</f>
        <v>0</v>
      </c>
      <c r="U63" s="156">
        <f>IF(OR(O63="",P63=""),"",IF(ISERROR(FIND("door",$A63))=FALSE,VLOOKUP(KitchenDoorMaterial,FixedListsDoorMaterial,2,0),0))</f>
        <v>0</v>
      </c>
      <c r="V63" s="156">
        <f>IF(OR(O63="",P63=""),"",IF(ISERROR(FIND("drawer",$A63))=FALSE,VLOOKUP(KitchenDrawerType,FixedListsDrawerType,2,0),0))</f>
        <v>0</v>
      </c>
      <c r="W63" s="156">
        <f>IF(OR(O63="",P63=""),"",IF(OR(S63&gt;0, T63&gt;0,V63&gt;0),VLOOKUP(KitchenHandleType,FixedListsHandleType,2,FALSE)*IF(KitchenHandleType="Simple",0,IF(S63&gt;0,VLOOKUP(KitchenHandleType,FixedListsHandleType,4,FALSE),IF(OR(T63&gt;0,V63&gt;0),1-VLOOKUP(KitchenHandleType,FixedListsHandleType,4,FALSE),"Error"))),0))</f>
        <v>0</v>
      </c>
      <c r="X63" s="156">
        <f t="shared" si="5"/>
        <v>1</v>
      </c>
      <c r="Y63" s="156">
        <f>IF(OR(O63="",P63=""),"",IF(OR(ISERROR(FIND("carcass",$A63))=FALSE,ISERROR(FIND("unit",$A63))=FALSE),VLOOKUP(KitchenCarcassMaterial,FixedListsCarcassMaterial,3,0),0))</f>
        <v>1</v>
      </c>
      <c r="Z63" s="156">
        <f>IF(OR(O63="",P63=""),"",IF(ISERROR(FIND("door",$A63))=FALSE,VLOOKUP(KitchenDoorStyle,FixedListsDoorStyle,3,0),0))</f>
        <v>0</v>
      </c>
      <c r="AA63" s="156">
        <f>IF(OR(O63="",P63=""),"",IF(ISERROR(FIND("door",$A63))=FALSE,VLOOKUP(KitchenDoorMaterial,FixedListsDoorMaterial,3,0),0))</f>
        <v>0</v>
      </c>
      <c r="AB63" s="156">
        <f>IF(OR(O63="",P63=""),"",IF(ISERROR(FIND("drawer",$A63))=FALSE,VLOOKUP(KitchenDrawerType,FixedListsDrawerType,3,0),0))</f>
        <v>0</v>
      </c>
      <c r="AC63" s="156">
        <f>IF(OR(O63="",P63=""),"",IF(OR(Y63&gt;0,Z63&gt;0,AB63&gt;0),VLOOKUP(KitchenHandleType,FixedListsHandleType,3,FALSE),0))</f>
        <v>1</v>
      </c>
      <c r="AD63" s="156">
        <f>IF(OR(O63="",P63=""),"",IF(OR(ISERROR(FIND("carcass",$A63))=FALSE,ISERROR(FIND("unit",$A63))=FALSE),VLOOKUP(KitchenCarcassFinish,FixedListsFinishes,3,0),IF(OR(ISERROR(FIND("door",$A63))=FALSE,ISERROR(FIND("Plinth",$A63))=FALSE,ISERROR(FIND("Cornice",$A63))=FALSE,ISERROR(FIND("Fillers",$A63))=FALSE,ISERROR(FIND("Pelmet",$A63))=FALSE,ISERROR(FIND("panel",$A63))=FALSE,ISERROR(FIND("post",$A63))=FALSE),VLOOKUP(KitchenDoorFinish,FixedListsFinishes,3,0),IF(OR(ISERROR(FIND("drawer",$A63))=FALSE,ISERROR(FIND("insert",$A63))=FALSE,ISERROR(FIND("rck",$A63))=FALSE),VLOOKUP(KitchenCarcassFinish,FixedListsFinishes,3,0),0))))</f>
        <v>1</v>
      </c>
      <c r="AE63" s="156">
        <f t="shared" si="6"/>
        <v>1</v>
      </c>
      <c r="AF63" s="157" t="str">
        <f>IF(AND(KitchenHandleType="Channel",OR(ISERROR(FIND("arcass",$A63))=FALSE,ISERROR(FIND("unit",$A63))=FALSE)),IF(ISERROR(FIND("Tower",$A63))=TRUE,IF(KitchenHandleFinish="Match carcass",IF(ISERROR(FIND("Walnut",KitchenCarcassMaterial))=FALSE,(0.035*0.075*($C63/1000))*VLOOKUP("Walnut (solid m3)",SolidData,4,FALSE),IF(ISERROR(FIND("Oak",KitchenCarcassMaterial))=FALSE,(0.035*0.075*($C63/1000))*VLOOKUP("Oak (solid m3)",SolidData,4,FALSE),IF(ISERROR(FIND("ply",KitchenCarcassMaterial))=FALSE,(0.1*($C63/1000))*VLOOKUP("Birch ply (24mm)",SheetsData,7,FALSE),IF(ISERROR(FIND("H/F",KitchenCarcassMaterial))=FALSE,(0.1*($C63/1000))*VLOOKUP("H/F (22mm)",SheetsData,7,FALSE),"Carcass - not tower - new material")))),IF(KitchenHandleFinish="Match door",IF(ISERROR(FIND("Walnut",KitchenDoorMaterial))=FALSE,(0.035*0.075*($C63/1000))*VLOOKUP("Walnut (solid m3)",SolidData,4,FALSE),IF(ISERROR(FIND("Oak",KitchenDoorMaterial))=FALSE,(0.035*0.075*($C63/1000))*VLOOKUP("Oak (solid m3)",SolidData,4,FALSE),IF(ISERROR(FIND("ply",KitchenDoorMaterial))=FALSE,(0.1*($C63/1000))*VLOOKUP("Birch ply (24mm)",SheetsData,7,FALSE),IF(ISERROR(FIND("H/F",KitchenCarcassMaterial))=FALSE,(0.1*($C63/1000))*VLOOKUP("H/F (22mm)",SheetsData,7,FALSE),"Door - not tower - new material")))),"Channel - not tower - handle set to other")),IF(ISERROR(FIND("Tower",$A63))=FALSE,IF(KitchenHandleFinish="Match carcass",IF(ISERROR(FIND("Walnut",KitchenCarcassMaterial))=FALSE,(0.035*0.075*($B63/1000))*VLOOKUP("Walnut (solid m3)",SolidData,4,FALSE),IF(ISERROR(FIND("Oak",KitchenCarcassMaterial))=FALSE,(0.035*0.075*($B63/1000))*VLOOKUP("Oak (solid m3)",SolidData,4,FALSE),IF(ISERROR(FIND("ply",KitchenCarcassMaterial))=FALSE,(0.1*($B63/1000))*VLOOKUP("Birch ply (24mm)",SheetsData,7,FALSE),IF(ISERROR(FIND("H/F",KitchenCarcassMaterial))=FALSE,(0.1*($C63/1000))*VLOOKUP("H/F (22mm)",SheetsData,7,FALSE),"Carcass - tower - new material")))),IF(KitchenHandleFinish="Match door",IF(ISERROR(FIND("Walnut",KitchenDoorMaterial))=FALSE,(0.035*0.075*($B63/1000))*VLOOKUP("Walnut (solid m3)",SolidData,4,FALSE),IF(ISERROR(FIND("Oak",KitchenDoorMaterial))=FALSE,(0.035*0.075*($B63/1000))*VLOOKUP("Oak (solid m3)",SolidData,4,FALSE),IF(ISERROR(FIND("ply",KitchenDoorMaterial))=FALSE,(0.1*($B63/1000))*VLOOKUP("Birch ply (24mm)",SheetData,7,FALSE),IF(ISERROR(FIND("H/F",KitchenCarcassMaterial))=FALSE,(0.1*($C63/1000))*VLOOKUP("H/F (22mm)",SheetsData,7,FALSE),"Door - tower - new material")))),"Channel - tower - handle set to other")))),"")</f>
        <v/>
      </c>
    </row>
    <row r="64">
      <c r="A64" s="150" t="s">
        <v>172</v>
      </c>
      <c r="B64" s="115">
        <f t="shared" si="1"/>
        <v>2200</v>
      </c>
      <c r="C64" s="115" t="str">
        <f>IFERROR(__xludf.DUMMYFUNCTION("IF(A64="""","""",IF(OR(RIGHT(A64,LEN(A64)-len(regexextract(A64,"".* "")))=""1200"",RIGHT(A64,LEN(A64)-len(regexextract(A64,"".* "")))=""600"",RIGHT(A64,LEN(A64)-len(regexextract(A64,"".* "")))=""400"",RIGHT(A64,LEN(A64)-len(regexextract(A64,"".* "")))=""3"&amp;"00"",RIGHT(A64,LEN(A64)-len(regexextract(A64,"".* "")))=""700"",RIGHT(A64,LEN(A64)-len(regexextract(A64,"".* "")))=""2400"",RIGHT(A64,LEN(A64)-len(regexextract(A64,"".* "")))=""650"",RIGHT(A64,LEN(A64)-len(regexextract(A64,"".* "")))=""350"",RIGHT(A64,LEN"&amp;"(A64)-len(regexextract(A64,"".* "")))=""50""),RIGHT(A64,LEN(A64)-len(regexextract(A64,"".* ""))),IF(OR(ISERROR(FIND(""spacer"",A64))=FALSE,ISERROR(FIND(""filler panel"",A64))=FALSE),""1000"",""Unexpected size in description"")))"),"600")</f>
        <v>600</v>
      </c>
      <c r="D64" s="151">
        <f t="shared" si="2"/>
        <v>600</v>
      </c>
      <c r="E64" s="152">
        <f>IFERROR(__xludf.DUMMYFUNCTION("IF(OR(A64="""",AND(ISERROR(FIND(""drawer box"",A64))=FALSE,KitchenDrawerType="""")),"""",IF(OR(ISERROR(FIND(""larder"",A64))=FALSE,ISERROR(FIND(""fridge/freezer"",A64))=FALSE,ISERROR(FIND(""double oven"",A64))=FALSE,ISERROR(FIND(""single oven"",A64))=FALS"&amp;"E),VLOOKUP(LEFT(A64,FIND("" "",A64))&amp;""carcass ""&amp;RIGHT(A64,LEN(A64)-(LEN(A64)-3)),KitchensData,5,0),IF(ISERROR(FIND(""sink"",A64))=FALSE,VLOOKUP(LEFT(A64,FIND("" "",A64))&amp;""carcass ""&amp;VALUE(REGEXREPLACE(A64,""[^[:digit:]]"", """")),KitchensData,5,0)+(((C"&amp;"64/1000)*(300/1000))*VLOOKUP(KitchenCarcassMaterial,SheetsData,8,0)),IF(ISERROR(FIND(""bins"",A64))=FALSE,IF(ISERROR(FIND(""veneer"",KitchenCarcassMaterial))=FALSE,VLOOKUP(""Base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600"",A64))=FALSE,IF(ISERROR(FIND(""veneer"""&amp;",KitchenCarcassMaterial))=FALSE,0.54*(VLOOKUP(LEFT(KitchenCarcassMaterial,FIND(""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1200"",A64))=FALSE,"&amp;"IF(ISERROR(FIND(""veneer"",KitchenCarcassMaterial))=FALSE,0.84*(VLOOKUP(LEFT(KitchenCarcassMaterial,FIND(""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600"",A64))=FALSE,IF(ISERROR(FIND(""veneer"",KitchenCarcassMaterial))=FALSE,1.44*(VLOOKUP(LEFT(KitchenCarcassMaterial,FIND(""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1200"",A64))=FALSE,IF(ISERROR(FIND(""veneer"",KitchenCarcassMaterial))=FALSE,2.7*(VLOOKUP(LEFT(KitchenCarcassMaterial,FIND(""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front"",A64))=FALSE,((B64/1000)*(C64/1000))*VLOOKUP(KitchenDoorMaterial,SheetsData,8,0),IF(AND(KitchenDrawerType=""Match carcass"",ISERROR(FIND(""drawer box"",A64))=FALSE),(((((B64/1000)*(C64/1000))+((B64/1000"&amp;")*(D64/1000)))*2)*VLOOKUP(KitchenCarcassMaterial,SheetsData,8,0))+(((C64/1000)*(D64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box"",A64))=FALSE),(((((B64/1000)*(C64/1000))+((B64/1000)*(D64/1000)))*2)*(16/1000)*VLOOKUP(LEFT(KitchenCarcassMaterial,FIND("" "&amp;""",KitchenCarcassMaterial))&amp;""(solid m3)"",SolidData,5,0))+(((C64/1000)*(D64/1000))*VLOOKUP(LEFT(KitchenCarcassMaterial,FIND(""("",KitchenCarcassMaterial)-1)&amp;IF(OR(ISERROR(FIND(""ply"",KitchenCarcassMaterial))=FALSE,ISERROR(FIND(""H/F"",KitchenCarcassMate"&amp;"rial))=FALSE),""(9mm)"",""(10mm)""),SheetsData,8,0)),IF(ISERROR(FIND(""spacer"",A64))=FALSE,((D64/1000)*(C64/1000))*VLOOKUP(""Poplar ply (18mm)"",SheetsData,8,0),IF(ISERROR(FIND(""filler panel"",A64))=FALSE,((B64/1000)*(C64/1000))*VLOOKUP(KitchenDoorMater"&amp;"ial,SheetsData,8,0),IF(ISERROR(FIND(""shelf"",A64))=FALSE,((D64/1000)*(C64/1000))*VLOOKUP(KitchenCarcassMaterial,SheetsData,8,0),IF(ISERROR(FIND(""lost corner"",A64))=FALSE,VLOOKUP(LEFT(A64,FIND("" "",A64))&amp;""carcass ""&amp;VALUE(REGEXREPLACE(A64,""[^[:digit:"&amp;"]]"", """")),KitchensData,5,0)+((((B64/1000)*(C64/1000))+((B64/1000)*(60/1000)))*VLOOKUP(KitchenCarcassMaterial,SheetsData,8,0)),IF(ISERROR(FIND(""carcass"",A64))=FALSE,(((((B64/1000)*2)*(D64/1000))+(((C64/1000)*2)*(D64/1000)))*VLOOKUP(KitchenCarcassMater"&amp;"ial,SheetsData,8,0))+((B64/1000)*(C64/1000))*VLOOKUP(LEFT(KitchenCarcassMaterial,FIND(""("",KitchenCarcassMaterial)-1)&amp;IF(OR(ISERROR(FIND(""ply"",KitchenCarcassMaterial))=FALSE,ISERROR(FIND(""H/F"",KitchenCarcassMaterial))=FALSE),""(9mm)"",""(10mm)""),She"&amp;"etsData,8,0),IF(OR(ISERROR(FIND(""Plinth"",A64))=FALSE,ISERROR(FIND(""Cornice (flat)"",A64))=FALSE),((B64/1000)*(C64/1000))*VLOOKUP(""H/F (18mm)"",SheetsData,8,0),IF(ISERROR(FIND(""Cornice (stacked)"",A64))=FALSE,((0.08*(C64/1000))*2)*VLOOKUP(""H/F (22mm)"&amp;""",SheetsData,8,0),IF(ISERROR(FIND(""Base end panel"",A64))=FALSE,VLOOKUP(KitchenDoorMaterial,SheetsData,5,0)/3,IF(ISERROR(FIND(""Wall end panel"",A64))=FALSE,VLOOKUP(KitchenDoorMaterial,SheetsData,5,0)/9,IF(ISERROR(FIND(""Tower end panel"",A64))=FALSE,VL"&amp;"OOKUP(KitchenDoorMaterial,SheetsData,5,0),IF(ISERROR(FIND(""Fillers"",A64))=FALSE,(((0.06*(C64/1000))*2)*VLOOKUP(""H/F (18mm)"",SheetsData,8,0))+(((0.06*(C64/1000))*2)*VLOOKUP(""H/F (9mm)"",SheetsData,8,0)),IF(ISERROR(FIND(""corner post"",A64))=FALSE,(((B"&amp;"64/1000)*0.05)*2)*VLOOKUP(KitchenDoorMaterial,SheetsData,8,0),IF(ISERROR(FIND(""Pelmet"",A64))=FALSE,((((B64/1000)*(C64/1000))*2)*VLOOKUP(""H/F (18mm)"",SheetsData,8,0)),IF(ISERROR(FIND(""door"",A64))=TRUE,""Check description"",IF(KitchenDoorStyle=""Flat"&amp;""",((B64/1000)*(C64/1000))*VLOOKUP(KitchenDoorMaterial,SheetsData,8,0),IF(LEFT(KitchenDoorStyle,5)=""Panel"",(((((B64/1000)*2)*0.08)+((((C64/1000)-0.16)*2)*0.08))*VLOOKUP(""H/F (22mm)"",SheetsData,8,0))+(((B64/1000)-0.14)*((C64/1000)-0.14)*VLOOKUP(""H/F ("&amp;"9mm)"",SheetsData,8,0)),IF(KitchenDoorStyle=""In-frame flat"",((((((B64/1000)*0.019)*0.038)+((((C64-38)/1000)*0.038)*0.038))*2)*VLOOKUP(""Tulip (solid m3)"",SolidData,5,0))+(((B64-76)/1000)*((C64-38)/1000))*VLOOKUP(""H/F (22mm)"",SheetsData,8,0),IF(LEFT(K"&amp;"itchenDoorStyle,14)=""In-frame panel"",(((((((B64/1000)*0.019)*0.038)+((((C64-38)/1000)*0.038)*0.038))*2)*VLOOKUP(""Tulip (solid m3)"",SolidData,5,0))+(((((((B64-76)/1000)*2)*0.08)+(((((C64-198)/1000)*2)*0.08)))*VLOOKUP(""H/F (22mm)"",SheetsData,8,0))+((("&amp;"B64-216)/1000)*((C64-178)/1000)*VLOOKUP(""H/F (9mm)"",SheetsData,8,0)))))))))))))))))))))))))))))))))"),140.04501478097288)</f>
        <v>140.0450148</v>
      </c>
      <c r="F64" s="152">
        <f>IFERROR(__xludf.DUMMYFUNCTION("IF(OR(A64="""",AND(ISERROR(FIND(""drawer box"",A64))=FALSE,KitchenDrawerType=""Solid dovetail"")),"""",IF(ISERROR(FIND(""bins"",A64))=FALSE,VLOOKUP(""Base carcass 600"",KitchensData,6,0),IF(OR(ISERROR(FIND(""larder"",A64))=FALSE,ISERROR(FIND(""unit"",A64)"&amp;")=FALSE),VLOOKUP(LEFT(A64,FIND("" "",A64))&amp;""carcass ""&amp;RIGHT(A64,LEN(A64)-len(regexextract(A64,"".* ""))),KitchensData,6,0),IF(ISERROR(FIND(""drawer front"",A64))=FALSE,IF(ISERROR(FIND(""veneer"",KitchenCarcassMaterial))=TRUE,0,(((B64+C64)/1000)*2)*VLOOK"&amp;"UP(""Edge banding (per M)"",SheetsData,5,0)),IF(ISERROR(FIND(""drawer box"",A64))=FALSE,IF(ISERROR(FIND(""veneer"",KitchenCarcassMaterial))=TRUE,0,(((C64+D64)/1000)*2)*VLOOKUP(""Edge banding (per M)"",SheetsData,5,0)),IF(ISERROR(FIND(""shelf"",A64))=FALSE"&amp;",IF(ISERROR(FIND(""veneer"",KitchenCarcassMaterial))=TRUE,0,(C64/1000)*VLOOKUP(""Edge banding (per M)"",SheetsData,5,0)),IF(AND(ISERROR(FIND(""carcass"",A64))=FALSE,ISERROR(FIND(""shelf"",A64))=TRUE),IF(ISERROR(FIND(""veneer"",KitchenCarcassMaterial))=TRU"&amp;"E,0,((2*(B64+C64))/1000)*VLOOKUP(""Edge banding (per M)"",SheetsData,5,0)),IF(ISERROR(FIND(""door"",A64))=TRUE,"""",IF(ISERROR(FIND(""veneer"",KitchenDoorMaterial))=TRUE,"""",((2*(B64+C64))/1000)*VLOOKUP(""Edge banding (per M)"",SheetsData,5,0))))))))))"),0.0)</f>
        <v>0</v>
      </c>
      <c r="G64" s="153">
        <f>IF(A64="","",IF(ISERROR(FIND("bins",A64))=FALSE,VLOOKUP("Base carcass 600",KitchensData,7,0),IF(OR(ISERROR(FIND("larder",A64))=FALSE,ISERROR(FIND("fridge/freezer",A64))=FALSE,ISERROR(FIND("double oven",A64))=FALSE,ISERROR(FIND("single oven",A64))=FALSE),VLOOKUP(LEFT(A64,FIND(" ",A64))&amp;"carcass "&amp;RIGHT(A64,LEN(A64)-(LEN(A64)-3)),KitchensData,7,0),IF(AND(ISERROR(FIND("carcass",A64))=FALSE,ISERROR(FIND("shelf",A64))=TRUE),IF(OR(ISERROR(FIND("Base",A64))=FALSE,ISERROR(FIND("Tower",A64))=FALSE),IF(OR(ISERROR(FIND("1200",A64))=FALSE, ISERROR(FIND("lost corner",A64))=FALSE),6*VLOOKUP("Plinth foot (2 Parts 80mm)",FurnitureData,5,0),4*VLOOKUP("Plinth foot (2 Parts 80mm)",FurnitureData,5,0)),""),""))))</f>
        <v>3.8</v>
      </c>
      <c r="H64" s="115" t="str">
        <f>IF(OR(A64="",ISERROR(FIND("door",A64))=TRUE),"",IF(ISERROR(FIND("Wall",A64))=FALSE,VLOOKUP("Hinges &amp; plates (Hettich thick door)",FurnitureData,5,0)*2,IF(ISERROR(FIND("Base",A64))=FALSE,VLOOKUP("Hinges &amp; plates (Hettich thick door)",FurnitureData,5,0)*3,IF(ISERROR(FIND("Boiler",A64))=FALSE,VLOOKUP("Hinges &amp; plates (Hettich thick door)",FurnitureData,5,0)*4,IF(ISERROR(FIND("Tower",A64))=FALSE,VLOOKUP("Hinges &amp; plates (Hettich thick door)",FurnitureData,5,0)*5)))))</f>
        <v/>
      </c>
      <c r="I64" s="115" t="str">
        <f>IF(ISERROR(FIND("shelf",A64))=FALSE,(VLOOKUP("Shelf pegs",FurnitureData,5,0)/100)*4,"")</f>
        <v/>
      </c>
      <c r="J64" s="152">
        <f>IF(OR(ISERROR(FIND("fridge/freezer",A64))=FALSE,ISERROR(FIND("larder",A64))=FALSE,AND(ISERROR(FIND("Base",A64))=FALSE,ISERROR(FIND("bins",A64))=TRUE,ISERROR(FIND("no shelves",A64))=TRUE,OR(ISERROR(FIND("carcass",A64))=FALSE,ISERROR(FIND("unit",A64))=FALSE))),VLOOKUP("Deep shelf "&amp;C64,KitchensData,18,0),IF(AND(ISERROR(FIND("Wall",A64))=FALSE,ISERROR(FIND("carcass",A64))=FALSE),2*VLOOKUP("Shallow shelf "&amp;C64,KitchensData,18,0),IF(AND(ISERROR(FIND("Tower",A64))=FALSE,ISERROR(FIND("oven",A64))=FALSE),4*VLOOKUP("Deep shelf "&amp;C64,KitchensData,18,0),IF(AND(ISERROR(FIND("Tower",A64))=FALSE,ISERROR(FIND("carcass",A64))=FALSE),5*VLOOKUP("Deep shelf "&amp;C64,KitchensData,18,0),""))))</f>
        <v>215.599765</v>
      </c>
      <c r="K64" s="152" t="str">
        <f>IF(ISERROR(FIND("sink",A64))=FALSE,VLOOKUP("Sink liner - Aluminium "&amp;RIGHT(A64,LEN(A64)-22)&amp;"mm",ExceptionalData,5,0),IF(ISERROR(FIND("bins",A64))=FALSE,VLOOKUP("Drawer runners and clip set for bin unit (500) Dynapro",FurnitureData,5,0)+(2*VLOOKUP("Bin (42L Anthracite)",FurnitureData,5,0)),IF(ISERROR(FIND("larder",A64))=FALSE,VLOOKUP("Pull out larder unit 600mm",FurnitureData,5,0),IF(AND(ISERROR(FIND("drawer box",A64))=FALSE,ISERROR(FIND("internal",A64))=TRUE),VLOOKUP("Drawer runners and clip set (550) Dynapro",FurnitureData,5,0),IF(ISERROR(FIND("internal drawer box",A64))=FALSE,VLOOKUP("Drawer runners and clip set (450) Dynapro",FurnitureData,5,0),"")))))</f>
        <v/>
      </c>
      <c r="L64" s="152">
        <f t="shared" si="3"/>
        <v>359.4447798</v>
      </c>
      <c r="M64" s="154">
        <f>IFERROR(__xludf.DUMMYFUNCTION("IF(A64="""","""",IF(OR(ISERROR(FIND(""larder"",A64))=FALSE,ISERROR(FIND(""unit"",A64))=FALSE),VLOOKUP(LEFT(A64,FIND("" "",A64))&amp;""carcass ""&amp;RIGHT(A64,LEN(A64)-len(regexextract(A64,"".* ""))),KitchensData,13,0),IF(ISERROR(FIND(""bins"",A64))=FALSE,0.95,IF"&amp;"(ISERROR(FIND(""Cutlery insert 600"",A64))=FALSE,1.3,IF(ISERROR(FIND(""Cutlery insert 1200"",A64))=FALSE,2,IF(ISERROR(FIND(""Pan/tray rack 600"",A64))=FALSE,3.25,IF(ISERROR(FIND(""Pan/tray rack 1200"",A64))=FALSE,5.9,IF(ISERROR(FIND(""split"",A64))=FALSE,"&amp;"(((C64/1000)*0.022)*2)+VLOOKUP(SUBSTITUTE(A64,"" split"",""""),KitchensData,13,0),IF(AND(ISERROR(FIND(""drawer front"",A64))=FALSE,KitchenDoorStyle=""Flat""),(((B64/1000)*(C64/1000))*2)+((((B64+C64)/1000)*2)*0.022),IF(AND(ISERROR(FIND(""drawer front"",A64"&amp;"))=FALSE,LEFT(KitchenDoorStyle,5)=""Panel""),(((B64/1000)*(C64/1000))*2)+((((B64+C64)/1000)*2)*0.022)+((((C64/1000)-0.16)*0.013)*2)+((((D64/1000)-0.16)*0.013)*2),IF(AND(ISERROR(FIND(""drawer front"",A64))=FALSE,KitchenDoorStyle=""In-frame flat""),((((B64-"&amp;"76)/1000)*((C64-38)/1000))*2)+(MID(KitchenDoorMaterial,FIND(""("",KitchenDoorMaterial)+1,2)/1000)*((((B64-76)+(C64-38))/1000)*2)+(((B64/1000)*0.032)*2)+((((B64-76)/1000)*0.032)*2)+(((B64/1000)*0.019)*4)+(((C64/1000)*0.032)*2)+((((C64-38)/1000)*0.032)*2)+("&amp;"((C64/1000)*0.038)*4),IF(AND(ISERROR(FIND(""drawer front"",A64))=FALSE,LEFT(KitchenDoorStyle,14)=""In-frame panel""),((((B64-76)/1000)*((C64-38)/1000))*2)+((MID(KitchenDoorMaterial,FIND(""("",KitchenDoorMaterial)+1,2)/1000)*((((B64-76)+(C64-38))/1000)*2))"&amp;"+((((B64-236)/1000)+((C64-198)/1000)*2)*0.013)+(((B64/1000)*0.032)*2)+((((B64-76)/1000)*0.032)*2)+(((B64/1000)*0.019)*4)+(((C64/1000)*0.032)*2)+((((C64-38)/1000)*0.032)*2)+(((C64/1000)*0.038)*4),IF(ISERROR(FIND(""drawer box"",A64))=FALSE,((((B64/1000)*(D6"&amp;"4/1000))+((B64/1000)*(C64/1000)))*4)+((((D64/1000)+(C64/1000))*0.016)*4)+(((C64/1000)*(D64/1000))*2),IF(OR(ISERROR(FIND(""shelf"",A64))=FALSE,ISERROR(FIND(""spacer"",A64))=FALSE,,ISERROR(FIND(""filler panel"",A64))=FALSE),(((C64/1000)*(D64/1000))*2)+((((C"&amp;"64+D64)*2)/1000)*0.022),IF(ISERROR(FIND(""lost corner"",A64))=FALSE,(((B64/1000)*(C64/1000))*2)+((B64/1000)*(C64/1000))+((B64/1000)*((C64/2)/1000))+((((B64/1000)*0.025)+((C64/1000)*0.025))*2),IF(ISERROR(FIND(""carcass"",A64))=FALSE,(((C64/1000)*(D64/1000)"&amp;")*2)+(((B64/1000)*(D64/1000))*2)+((B64/1000)*(C64/1000))+((((B64/1000)*0.025)+((C64/1000)*0.025))*2),IF(AND(ISERROR(FIND(""door"",A64))=FALSE,KitchenDoorStyle=""Flat""),(((B64/1000)*(C64/1000))*2)+(MID(KitchenDoorMaterial,FIND(""("",KitchenDoorMaterial)+1"&amp;",2)/1000)*(((B64+C64)/1000)*2),IF(AND(ISERROR(FIND(""door"",A64))=FALSE,LEFT(KitchenDoorStyle,5)=""Panel""),(((B64/1000)*(C64/1000))*2)+((MID(KitchenDoorMaterial,FIND(""("",KitchenDoorMaterial)+1,2)/1000)*(((B64+C64)/1000)*2))+(((((B64-160)+(C64-160))*2)/"&amp;"1000)*(0.013)),IF(AND(ISERROR(FIND(""door"",A64))=FALSE,KitchenDoorStyle=""In-frame flat""),((((B64-76)/1000)*((C64-38)/1000))*2)+(MID(KitchenDoorMaterial,FIND(""("",KitchenDoorMaterial)+1,2)/1000)*((((B64-76)+(C64-38))/1000)*2)+(((B64/1000)*0.032)*2)+((("&amp;"(B64-76)/1000)*0.032)*2)+(((B64/1000)*0.019)*4)+(((C64/1000)*0.032)*2)+((((C64-38)/1000)*0.032)*2)+(((C64/1000)*0.038)*4),IF(AND(ISERROR(FIND(""door"",A64))=FALSE,LEFT(KitchenDoorStyle,14)=""In-frame panel""),((((B64-76)/1000)*((C64-38)/1000))*2)+((MID(Ki"&amp;"tchenDoorMaterial,FIND(""("",KitchenDoorMaterial)+1,2)/1000)*((((B64-76)+(C64-38))/1000)*2))+((((B64-236)/1000)+((C64-198)/1000)*2)*0.013)+(((B64/1000)*0.032)*2)+((((B64-76)/1000)*0.032)*2)+(((B64/1000)*0.019)*4)+(((C64/1000)*0.032)*2)+((((C64-38)/1000)*0"&amp;".032)*2)+(((C64/1000)*0.038)*4),IF(ISERROR(FIND(""Plinth"",A64))=FALSE,((B64/1000)*(C64/1000))+(((C64/1000)*0.018)*2)+(((B64/1000)*0.018)*2),IF(ISERROR(FIND(""Cornice"",A64))=FALSE,(((C64/1000)*0.1)*2)+(((C64/1000)*0.044)*2)+(((B64/1000)*0.08)*2),IF(ISERR"&amp;"OR(FIND(""Base end panel"",A64))=FALSE,((B64/1000)*(C64/1000))+(0.022*((B64/1000)+((C64/1000)*2)))+((B64/1000)*0.05),IF(ISERROR(FIND(""Wall end panel"",A64))=FALSE,((B64/1000)*(C64/1000))+(0.022*((B64/1000)+((C64/1000)*2)))+((B64/1000)*0.05),IF(ISERROR(FI"&amp;"ND(""Tower end panel"",A64))=FALSE,((B64/1000)*(C64/1000))+(0.022*((B64/1000)+((C64/1000)*2)))+((B64/1000)*0.05),IF(ISERROR(FIND(""Fillers"",A64))=FALSE,((C64/1000)*0.06)+((C64/1000)*0.069)+((0.06*0.018)*2)+((0.06*0.009)*2)+((C64/1000)*0.009)+((C64/1000)*"&amp;"0.018),IF(ISERROR(FIND(""corner post"",A64))=FALSE,(((B64/1000*0.05)*2)+((B64/1000)*0.022)*2)+((B64/1000)*0.072)+((B64/1000)*0.05)+((0.072*0.022)*2)+((0.05*0.022)*2),IF(ISERROR(FIND(""Pelmet"",A64))=FALSE,((C64/1000)*0.05)+((C64/1000)*0.068)+((0.05*0.018)"&amp;"*4)+(((C64/1000)*0.018))*2))))))))))))))))))))))))))))"),4.82)</f>
        <v>4.82</v>
      </c>
      <c r="N64" s="152">
        <f>IF(M64="","",IF(AND(ISERROR(FIND("carcass",A64))=TRUE,ISERROR(FIND("unit",A64))=TRUE,ISERROR(FIND("insert",A64))=TRUE,ISERROR(FIND("rack",A64))=TRUE,ISERROR(FIND("box",A64))=TRUE,ISERROR(FIND("shelf",#REF!))=TRUE),VLOOKUP(KitchenDoorFinish,Finishing!$A$2:$K$10,9,0)*M64,VLOOKUP(KitchenCarcassFinish,Finishing!$A$2:$K$40,9,0)*M64))</f>
        <v>18.075</v>
      </c>
      <c r="O64" s="155">
        <v>0.5</v>
      </c>
      <c r="P64" s="155">
        <v>0.5</v>
      </c>
      <c r="Q64" s="152">
        <f>IF(OR(O64="",P64=""),"",((O64*X64)*(VLOOKUP("Workshop",Labour!$A$3:$E$20,4,0)/8))+((P64*AE64)*(VLOOKUP("Finishing",Labour!$A$3:$E$20,4,0)/8)))</f>
        <v>35.875</v>
      </c>
      <c r="R64" s="152">
        <f t="shared" si="4"/>
        <v>413.3947798</v>
      </c>
      <c r="S64" s="156">
        <f>IF(OR(O64="",P64=""),"",IF(OR(ISERROR(FIND("carcass",$A64))=FALSE,ISERROR(FIND("unit",$A64))=FALSE),VLOOKUP(KitchenCarcassMaterial,FixedListsCarcassMaterial,2,0),0))</f>
        <v>1</v>
      </c>
      <c r="T64" s="156">
        <f>IF(OR(O64="",P64=""),"",IF(ISERROR(FIND("door",$A64))=FALSE,VLOOKUP(KitchenDoorStyle,FixedListsDoorStyle,2,0),0))</f>
        <v>0</v>
      </c>
      <c r="U64" s="156">
        <f>IF(OR(O64="",P64=""),"",IF(ISERROR(FIND("door",$A64))=FALSE,VLOOKUP(KitchenDoorMaterial,FixedListsDoorMaterial,2,0),0))</f>
        <v>0</v>
      </c>
      <c r="V64" s="156">
        <f>IF(OR(O64="",P64=""),"",IF(ISERROR(FIND("drawer",$A64))=FALSE,VLOOKUP(KitchenDrawerType,FixedListsDrawerType,2,0),0))</f>
        <v>0</v>
      </c>
      <c r="W64" s="156">
        <f>IF(OR(O64="",P64=""),"",IF(OR(S64&gt;0, T64&gt;0,V64&gt;0),VLOOKUP(KitchenHandleType,FixedListsHandleType,2,FALSE)*IF(KitchenHandleType="Simple",0,IF(S64&gt;0,VLOOKUP(KitchenHandleType,FixedListsHandleType,4,FALSE),IF(OR(T64&gt;0,V64&gt;0),1-VLOOKUP(KitchenHandleType,FixedListsHandleType,4,FALSE),"Error"))),0))</f>
        <v>0</v>
      </c>
      <c r="X64" s="156">
        <f t="shared" si="5"/>
        <v>1</v>
      </c>
      <c r="Y64" s="156">
        <f>IF(OR(O64="",P64=""),"",IF(OR(ISERROR(FIND("carcass",$A64))=FALSE,ISERROR(FIND("unit",$A64))=FALSE),VLOOKUP(KitchenCarcassMaterial,FixedListsCarcassMaterial,3,0),0))</f>
        <v>1</v>
      </c>
      <c r="Z64" s="156">
        <f>IF(OR(O64="",P64=""),"",IF(ISERROR(FIND("door",$A64))=FALSE,VLOOKUP(KitchenDoorStyle,FixedListsDoorStyle,3,0),0))</f>
        <v>0</v>
      </c>
      <c r="AA64" s="156">
        <f>IF(OR(O64="",P64=""),"",IF(ISERROR(FIND("door",$A64))=FALSE,VLOOKUP(KitchenDoorMaterial,FixedListsDoorMaterial,3,0),0))</f>
        <v>0</v>
      </c>
      <c r="AB64" s="156">
        <f>IF(OR(O64="",P64=""),"",IF(ISERROR(FIND("drawer",$A64))=FALSE,VLOOKUP(KitchenDrawerType,FixedListsDrawerType,3,0),0))</f>
        <v>0</v>
      </c>
      <c r="AC64" s="156">
        <f>IF(OR(O64="",P64=""),"",IF(OR(Y64&gt;0,Z64&gt;0,AB64&gt;0),VLOOKUP(KitchenHandleType,FixedListsHandleType,3,FALSE),0))</f>
        <v>1</v>
      </c>
      <c r="AD64" s="156">
        <f>IF(OR(O64="",P64=""),"",IF(OR(ISERROR(FIND("carcass",$A64))=FALSE,ISERROR(FIND("unit",$A64))=FALSE),VLOOKUP(KitchenCarcassFinish,FixedListsFinishes,3,0),IF(OR(ISERROR(FIND("door",$A64))=FALSE,ISERROR(FIND("Plinth",$A64))=FALSE,ISERROR(FIND("Cornice",$A64))=FALSE,ISERROR(FIND("Fillers",$A64))=FALSE,ISERROR(FIND("Pelmet",$A64))=FALSE,ISERROR(FIND("panel",$A64))=FALSE,ISERROR(FIND("post",$A64))=FALSE),VLOOKUP(KitchenDoorFinish,FixedListsFinishes,3,0),IF(OR(ISERROR(FIND("drawer",$A64))=FALSE,ISERROR(FIND("insert",$A64))=FALSE,ISERROR(FIND("rck",$A64))=FALSE),VLOOKUP(KitchenCarcassFinish,FixedListsFinishes,3,0),0))))</f>
        <v>1</v>
      </c>
      <c r="AE64" s="156">
        <f t="shared" si="6"/>
        <v>1</v>
      </c>
      <c r="AF64" s="157" t="str">
        <f>IF(AND(KitchenHandleType="Channel",OR(ISERROR(FIND("arcass",$A64))=FALSE,ISERROR(FIND("unit",$A64))=FALSE)),IF(ISERROR(FIND("Tower",$A64))=TRUE,IF(KitchenHandleFinish="Match carcass",IF(ISERROR(FIND("Walnut",KitchenCarcassMaterial))=FALSE,(0.035*0.075*($C64/1000))*VLOOKUP("Walnut (solid m3)",SolidData,4,FALSE),IF(ISERROR(FIND("Oak",KitchenCarcassMaterial))=FALSE,(0.035*0.075*($C64/1000))*VLOOKUP("Oak (solid m3)",SolidData,4,FALSE),IF(ISERROR(FIND("ply",KitchenCarcassMaterial))=FALSE,(0.1*($C64/1000))*VLOOKUP("Birch ply (24mm)",SheetsData,7,FALSE),IF(ISERROR(FIND("H/F",KitchenCarcassMaterial))=FALSE,(0.1*($C64/1000))*VLOOKUP("H/F (22mm)",SheetsData,7,FALSE),"Carcass - not tower - new material")))),IF(KitchenHandleFinish="Match door",IF(ISERROR(FIND("Walnut",KitchenDoorMaterial))=FALSE,(0.035*0.075*($C64/1000))*VLOOKUP("Walnut (solid m3)",SolidData,4,FALSE),IF(ISERROR(FIND("Oak",KitchenDoorMaterial))=FALSE,(0.035*0.075*($C64/1000))*VLOOKUP("Oak (solid m3)",SolidData,4,FALSE),IF(ISERROR(FIND("ply",KitchenDoorMaterial))=FALSE,(0.1*($C64/1000))*VLOOKUP("Birch ply (24mm)",SheetsData,7,FALSE),IF(ISERROR(FIND("H/F",KitchenCarcassMaterial))=FALSE,(0.1*($C64/1000))*VLOOKUP("H/F (22mm)",SheetsData,7,FALSE),"Door - not tower - new material")))),"Channel - not tower - handle set to other")),IF(ISERROR(FIND("Tower",$A64))=FALSE,IF(KitchenHandleFinish="Match carcass",IF(ISERROR(FIND("Walnut",KitchenCarcassMaterial))=FALSE,(0.035*0.075*($B64/1000))*VLOOKUP("Walnut (solid m3)",SolidData,4,FALSE),IF(ISERROR(FIND("Oak",KitchenCarcassMaterial))=FALSE,(0.035*0.075*($B64/1000))*VLOOKUP("Oak (solid m3)",SolidData,4,FALSE),IF(ISERROR(FIND("ply",KitchenCarcassMaterial))=FALSE,(0.1*($B64/1000))*VLOOKUP("Birch ply (24mm)",SheetsData,7,FALSE),IF(ISERROR(FIND("H/F",KitchenCarcassMaterial))=FALSE,(0.1*($C64/1000))*VLOOKUP("H/F (22mm)",SheetsData,7,FALSE),"Carcass - tower - new material")))),IF(KitchenHandleFinish="Match door",IF(ISERROR(FIND("Walnut",KitchenDoorMaterial))=FALSE,(0.035*0.075*($B64/1000))*VLOOKUP("Walnut (solid m3)",SolidData,4,FALSE),IF(ISERROR(FIND("Oak",KitchenDoorMaterial))=FALSE,(0.035*0.075*($B64/1000))*VLOOKUP("Oak (solid m3)",SolidData,4,FALSE),IF(ISERROR(FIND("ply",KitchenDoorMaterial))=FALSE,(0.1*($B64/1000))*VLOOKUP("Birch ply (24mm)",SheetData,7,FALSE),IF(ISERROR(FIND("H/F",KitchenCarcassMaterial))=FALSE,(0.1*($C64/1000))*VLOOKUP("H/F (22mm)",SheetsData,7,FALSE),"Door - tower - new material")))),"Channel - tower - handle set to other")))),"")</f>
        <v/>
      </c>
    </row>
    <row r="65">
      <c r="A65" s="150" t="s">
        <v>173</v>
      </c>
      <c r="B65" s="115">
        <f t="shared" si="1"/>
        <v>2200</v>
      </c>
      <c r="C65" s="115" t="str">
        <f>IFERROR(__xludf.DUMMYFUNCTION("IF(A65="""","""",IF(OR(RIGHT(A65,LEN(A65)-len(regexextract(A65,"".* "")))=""1200"",RIGHT(A65,LEN(A65)-len(regexextract(A65,"".* "")))=""600"",RIGHT(A65,LEN(A65)-len(regexextract(A65,"".* "")))=""400"",RIGHT(A65,LEN(A65)-len(regexextract(A65,"".* "")))=""3"&amp;"00"",RIGHT(A65,LEN(A65)-len(regexextract(A65,"".* "")))=""700"",RIGHT(A65,LEN(A65)-len(regexextract(A65,"".* "")))=""2400"",RIGHT(A65,LEN(A65)-len(regexextract(A65,"".* "")))=""650"",RIGHT(A65,LEN(A65)-len(regexextract(A65,"".* "")))=""350"",RIGHT(A65,LEN"&amp;"(A65)-len(regexextract(A65,"".* "")))=""50""),RIGHT(A65,LEN(A65)-len(regexextract(A65,"".* ""))),IF(OR(ISERROR(FIND(""spacer"",A65))=FALSE,ISERROR(FIND(""filler panel"",A65))=FALSE),""1000"",""Unexpected size in description"")))"),"600")</f>
        <v>600</v>
      </c>
      <c r="D65" s="151">
        <f t="shared" si="2"/>
        <v>600</v>
      </c>
      <c r="E65" s="152">
        <f>IFERROR(__xludf.DUMMYFUNCTION("IF(OR(A65="""",AND(ISERROR(FIND(""drawer box"",A65))=FALSE,KitchenDrawerType="""")),"""",IF(OR(ISERROR(FIND(""larder"",A65))=FALSE,ISERROR(FIND(""fridge/freezer"",A65))=FALSE,ISERROR(FIND(""double oven"",A65))=FALSE,ISERROR(FIND(""single oven"",A65))=FALS"&amp;"E),VLOOKUP(LEFT(A65,FIND("" "",A65))&amp;""carcass ""&amp;RIGHT(A65,LEN(A65)-(LEN(A65)-3)),KitchensData,5,0),IF(ISERROR(FIND(""sink"",A65))=FALSE,VLOOKUP(LEFT(A65,FIND("" "",A65))&amp;""carcass ""&amp;VALUE(REGEXREPLACE(A65,""[^[:digit:]]"", """")),KitchensData,5,0)+(((C"&amp;"65/1000)*(300/1000))*VLOOKUP(KitchenCarcassMaterial,SheetsData,8,0)),IF(ISERROR(FIND(""bins"",A65))=FALSE,IF(ISERROR(FIND(""veneer"",KitchenCarcassMaterial))=FALSE,VLOOKUP(""Base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600"",A65))=FALSE,IF(ISERROR(FIND(""veneer"""&amp;",KitchenCarcassMaterial))=FALSE,0.54*(VLOOKUP(LEFT(KitchenCarcassMaterial,FIND(""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1200"",A65))=FALSE,"&amp;"IF(ISERROR(FIND(""veneer"",KitchenCarcassMaterial))=FALSE,0.84*(VLOOKUP(LEFT(KitchenCarcassMaterial,FIND(""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600"",A65))=FALSE,IF(ISERROR(FIND(""veneer"",KitchenCarcassMaterial))=FALSE,1.44*(VLOOKUP(LEFT(KitchenCarcassMaterial,FIND(""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1200"",A65))=FALSE,IF(ISERROR(FIND(""veneer"",KitchenCarcassMaterial))=FALSE,2.7*(VLOOKUP(LEFT(KitchenCarcassMaterial,FIND(""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front"",A65))=FALSE,((B65/1000)*(C65/1000))*VLOOKUP(KitchenDoorMaterial,SheetsData,8,0),IF(AND(KitchenDrawerType=""Match carcass"",ISERROR(FIND(""drawer box"",A65))=FALSE),(((((B65/1000)*(C65/1000))+((B65/1000"&amp;")*(D65/1000)))*2)*VLOOKUP(KitchenCarcassMaterial,SheetsData,8,0))+(((C65/1000)*(D65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box"",A65))=FALSE),(((((B65/1000)*(C65/1000))+((B65/1000)*(D65/1000)))*2)*(16/1000)*VLOOKUP(LEFT(KitchenCarcassMaterial,FIND("" "&amp;""",KitchenCarcassMaterial))&amp;""(solid m3)"",SolidData,5,0))+(((C65/1000)*(D65/1000))*VLOOKUP(LEFT(KitchenCarcassMaterial,FIND(""("",KitchenCarcassMaterial)-1)&amp;IF(OR(ISERROR(FIND(""ply"",KitchenCarcassMaterial))=FALSE,ISERROR(FIND(""H/F"",KitchenCarcassMate"&amp;"rial))=FALSE),""(9mm)"",""(10mm)""),SheetsData,8,0)),IF(ISERROR(FIND(""spacer"",A65))=FALSE,((D65/1000)*(C65/1000))*VLOOKUP(""Poplar ply (18mm)"",SheetsData,8,0),IF(ISERROR(FIND(""filler panel"",A65))=FALSE,((B65/1000)*(C65/1000))*VLOOKUP(KitchenDoorMater"&amp;"ial,SheetsData,8,0),IF(ISERROR(FIND(""shelf"",A65))=FALSE,((D65/1000)*(C65/1000))*VLOOKUP(KitchenCarcassMaterial,SheetsData,8,0),IF(ISERROR(FIND(""lost corner"",A65))=FALSE,VLOOKUP(LEFT(A65,FIND("" "",A65))&amp;""carcass ""&amp;VALUE(REGEXREPLACE(A65,""[^[:digit:"&amp;"]]"", """")),KitchensData,5,0)+((((B65/1000)*(C65/1000))+((B65/1000)*(60/1000)))*VLOOKUP(KitchenCarcassMaterial,SheetsData,8,0)),IF(ISERROR(FIND(""carcass"",A65))=FALSE,(((((B65/1000)*2)*(D65/1000))+(((C65/1000)*2)*(D65/1000)))*VLOOKUP(KitchenCarcassMater"&amp;"ial,SheetsData,8,0))+((B65/1000)*(C65/1000))*VLOOKUP(LEFT(KitchenCarcassMaterial,FIND(""("",KitchenCarcassMaterial)-1)&amp;IF(OR(ISERROR(FIND(""ply"",KitchenCarcassMaterial))=FALSE,ISERROR(FIND(""H/F"",KitchenCarcassMaterial))=FALSE),""(9mm)"",""(10mm)""),She"&amp;"etsData,8,0),IF(OR(ISERROR(FIND(""Plinth"",A65))=FALSE,ISERROR(FIND(""Cornice (flat)"",A65))=FALSE),((B65/1000)*(C65/1000))*VLOOKUP(""H/F (18mm)"",SheetsData,8,0),IF(ISERROR(FIND(""Cornice (stacked)"",A65))=FALSE,((0.08*(C65/1000))*2)*VLOOKUP(""H/F (22mm)"&amp;""",SheetsData,8,0),IF(ISERROR(FIND(""Base end panel"",A65))=FALSE,VLOOKUP(KitchenDoorMaterial,SheetsData,5,0)/3,IF(ISERROR(FIND(""Wall end panel"",A65))=FALSE,VLOOKUP(KitchenDoorMaterial,SheetsData,5,0)/9,IF(ISERROR(FIND(""Tower end panel"",A65))=FALSE,VL"&amp;"OOKUP(KitchenDoorMaterial,SheetsData,5,0),IF(ISERROR(FIND(""Fillers"",A65))=FALSE,(((0.06*(C65/1000))*2)*VLOOKUP(""H/F (18mm)"",SheetsData,8,0))+(((0.06*(C65/1000))*2)*VLOOKUP(""H/F (9mm)"",SheetsData,8,0)),IF(ISERROR(FIND(""corner post"",A65))=FALSE,(((B"&amp;"65/1000)*0.05)*2)*VLOOKUP(KitchenDoorMaterial,SheetsData,8,0),IF(ISERROR(FIND(""Pelmet"",A65))=FALSE,((((B65/1000)*(C65/1000))*2)*VLOOKUP(""H/F (18mm)"",SheetsData,8,0)),IF(ISERROR(FIND(""door"",A65))=TRUE,""Check description"",IF(KitchenDoorStyle=""Flat"&amp;""",((B65/1000)*(C65/1000))*VLOOKUP(KitchenDoorMaterial,SheetsData,8,0),IF(LEFT(KitchenDoorStyle,5)=""Panel"",(((((B65/1000)*2)*0.08)+((((C65/1000)-0.16)*2)*0.08))*VLOOKUP(""H/F (22mm)"",SheetsData,8,0))+(((B65/1000)-0.14)*((C65/1000)-0.14)*VLOOKUP(""H/F ("&amp;"9mm)"",SheetsData,8,0)),IF(KitchenDoorStyle=""In-frame flat"",((((((B65/1000)*0.019)*0.038)+((((C65-38)/1000)*0.038)*0.038))*2)*VLOOKUP(""Tulip (solid m3)"",SolidData,5,0))+(((B65-76)/1000)*((C65-38)/1000))*VLOOKUP(""H/F (22mm)"",SheetsData,8,0),IF(LEFT(K"&amp;"itchenDoorStyle,14)=""In-frame panel"",(((((((B65/1000)*0.019)*0.038)+((((C65-38)/1000)*0.038)*0.038))*2)*VLOOKUP(""Tulip (solid m3)"",SolidData,5,0))+(((((((B65-76)/1000)*2)*0.08)+(((((C65-198)/1000)*2)*0.08)))*VLOOKUP(""H/F (22mm)"",SheetsData,8,0))+((("&amp;"B65-216)/1000)*((C65-178)/1000)*VLOOKUP(""H/F (9mm)"",SheetsData,8,0)))))))))))))))))))))))))))))))))"),140.04501478097288)</f>
        <v>140.0450148</v>
      </c>
      <c r="F65" s="152">
        <f>IFERROR(__xludf.DUMMYFUNCTION("IF(OR(A65="""",AND(ISERROR(FIND(""drawer box"",A65))=FALSE,KitchenDrawerType=""Solid dovetail"")),"""",IF(ISERROR(FIND(""bins"",A65))=FALSE,VLOOKUP(""Base carcass 600"",KitchensData,6,0),IF(OR(ISERROR(FIND(""larder"",A65))=FALSE,ISERROR(FIND(""unit"",A65)"&amp;")=FALSE),VLOOKUP(LEFT(A65,FIND("" "",A65))&amp;""carcass ""&amp;RIGHT(A65,LEN(A65)-len(regexextract(A65,"".* ""))),KitchensData,6,0),IF(ISERROR(FIND(""drawer front"",A65))=FALSE,IF(ISERROR(FIND(""veneer"",KitchenCarcassMaterial))=TRUE,0,(((B65+C65)/1000)*2)*VLOOK"&amp;"UP(""Edge banding (per M)"",SheetsData,5,0)),IF(ISERROR(FIND(""drawer box"",A65))=FALSE,IF(ISERROR(FIND(""veneer"",KitchenCarcassMaterial))=TRUE,0,(((C65+D65)/1000)*2)*VLOOKUP(""Edge banding (per M)"",SheetsData,5,0)),IF(ISERROR(FIND(""shelf"",A65))=FALSE"&amp;",IF(ISERROR(FIND(""veneer"",KitchenCarcassMaterial))=TRUE,0,(C65/1000)*VLOOKUP(""Edge banding (per M)"",SheetsData,5,0)),IF(AND(ISERROR(FIND(""carcass"",A65))=FALSE,ISERROR(FIND(""shelf"",A65))=TRUE),IF(ISERROR(FIND(""veneer"",KitchenCarcassMaterial))=TRU"&amp;"E,0,((2*(B65+C65))/1000)*VLOOKUP(""Edge banding (per M)"",SheetsData,5,0)),IF(ISERROR(FIND(""door"",A65))=TRUE,"""",IF(ISERROR(FIND(""veneer"",KitchenDoorMaterial))=TRUE,"""",((2*(B65+C65))/1000)*VLOOKUP(""Edge banding (per M)"",SheetsData,5,0))))))))))"),0.0)</f>
        <v>0</v>
      </c>
      <c r="G65" s="153">
        <f>IF(A65="","",IF(ISERROR(FIND("bins",A65))=FALSE,VLOOKUP("Base carcass 600",KitchensData,7,0),IF(OR(ISERROR(FIND("larder",A65))=FALSE,ISERROR(FIND("fridge/freezer",A65))=FALSE,ISERROR(FIND("double oven",A65))=FALSE,ISERROR(FIND("single oven",A65))=FALSE),VLOOKUP(LEFT(A65,FIND(" ",A65))&amp;"carcass "&amp;RIGHT(A65,LEN(A65)-(LEN(A65)-3)),KitchensData,7,0),IF(AND(ISERROR(FIND("carcass",A65))=FALSE,ISERROR(FIND("shelf",A65))=TRUE),IF(OR(ISERROR(FIND("Base",A65))=FALSE,ISERROR(FIND("Tower",A65))=FALSE),IF(OR(ISERROR(FIND("1200",A65))=FALSE, ISERROR(FIND("lost corner",A65))=FALSE),6*VLOOKUP("Plinth foot (2 Parts 80mm)",FurnitureData,5,0),4*VLOOKUP("Plinth foot (2 Parts 80mm)",FurnitureData,5,0)),""),""))))</f>
        <v>3.8</v>
      </c>
      <c r="H65" s="115" t="str">
        <f>IF(OR(A65="",ISERROR(FIND("door",A65))=TRUE),"",IF(ISERROR(FIND("Wall",A65))=FALSE,VLOOKUP("Hinges &amp; plates (Hettich thick door)",FurnitureData,5,0)*2,IF(ISERROR(FIND("Base",A65))=FALSE,VLOOKUP("Hinges &amp; plates (Hettich thick door)",FurnitureData,5,0)*3,IF(ISERROR(FIND("Boiler",A65))=FALSE,VLOOKUP("Hinges &amp; plates (Hettich thick door)",FurnitureData,5,0)*4,IF(ISERROR(FIND("Tower",A65))=FALSE,VLOOKUP("Hinges &amp; plates (Hettich thick door)",FurnitureData,5,0)*5)))))</f>
        <v/>
      </c>
      <c r="I65" s="115" t="str">
        <f>IF(ISERROR(FIND("shelf",A65))=FALSE,(VLOOKUP("Shelf pegs",FurnitureData,5,0)/100)*4,"")</f>
        <v/>
      </c>
      <c r="J65" s="152">
        <f>IF(OR(ISERROR(FIND("fridge/freezer",A65))=FALSE,ISERROR(FIND("larder",A65))=FALSE,AND(ISERROR(FIND("Base",A65))=FALSE,ISERROR(FIND("bins",A65))=TRUE,ISERROR(FIND("no shelves",A65))=TRUE,OR(ISERROR(FIND("carcass",A65))=FALSE,ISERROR(FIND("unit",A65))=FALSE))),VLOOKUP("Deep shelf "&amp;C65,KitchensData,18,0),IF(AND(ISERROR(FIND("Wall",A65))=FALSE,ISERROR(FIND("carcass",A65))=FALSE),2*VLOOKUP("Shallow shelf "&amp;C65,KitchensData,18,0),IF(AND(ISERROR(FIND("Tower",A65))=FALSE,ISERROR(FIND("oven",A65))=FALSE),4*VLOOKUP("Deep shelf "&amp;C65,KitchensData,18,0),IF(AND(ISERROR(FIND("Tower",A65))=FALSE,ISERROR(FIND("carcass",A65))=FALSE),5*VLOOKUP("Deep shelf "&amp;C65,KitchensData,18,0),""))))</f>
        <v>215.599765</v>
      </c>
      <c r="K65" s="152" t="str">
        <f>IF(ISERROR(FIND("sink",A65))=FALSE,VLOOKUP("Sink liner - Aluminium "&amp;RIGHT(A65,LEN(A65)-22)&amp;"mm",ExceptionalData,5,0),IF(ISERROR(FIND("bins",A65))=FALSE,VLOOKUP("Drawer runners and clip set for bin unit (500) Dynapro",FurnitureData,5,0)+(2*VLOOKUP("Bin (42L Anthracite)",FurnitureData,5,0)),IF(ISERROR(FIND("larder",A65))=FALSE,VLOOKUP("Pull out larder unit 600mm",FurnitureData,5,0),IF(AND(ISERROR(FIND("drawer box",A65))=FALSE,ISERROR(FIND("internal",A65))=TRUE),VLOOKUP("Drawer runners and clip set (550) Dynapro",FurnitureData,5,0),IF(ISERROR(FIND("internal drawer box",A65))=FALSE,VLOOKUP("Drawer runners and clip set (450) Dynapro",FurnitureData,5,0),"")))))</f>
        <v/>
      </c>
      <c r="L65" s="152">
        <f t="shared" si="3"/>
        <v>359.4447798</v>
      </c>
      <c r="M65" s="154">
        <f>IFERROR(__xludf.DUMMYFUNCTION("IF(A65="""","""",IF(OR(ISERROR(FIND(""larder"",A65))=FALSE,ISERROR(FIND(""unit"",A65))=FALSE),VLOOKUP(LEFT(A65,FIND("" "",A65))&amp;""carcass ""&amp;RIGHT(A65,LEN(A65)-len(regexextract(A65,"".* ""))),KitchensData,13,0),IF(ISERROR(FIND(""bins"",A65))=FALSE,0.95,IF"&amp;"(ISERROR(FIND(""Cutlery insert 600"",A65))=FALSE,1.3,IF(ISERROR(FIND(""Cutlery insert 1200"",A65))=FALSE,2,IF(ISERROR(FIND(""Pan/tray rack 600"",A65))=FALSE,3.25,IF(ISERROR(FIND(""Pan/tray rack 1200"",A65))=FALSE,5.9,IF(ISERROR(FIND(""split"",A65))=FALSE,"&amp;"(((C65/1000)*0.022)*2)+VLOOKUP(SUBSTITUTE(A65,"" split"",""""),KitchensData,13,0),IF(AND(ISERROR(FIND(""drawer front"",A65))=FALSE,KitchenDoorStyle=""Flat""),(((B65/1000)*(C65/1000))*2)+((((B65+C65)/1000)*2)*0.022),IF(AND(ISERROR(FIND(""drawer front"",A65"&amp;"))=FALSE,LEFT(KitchenDoorStyle,5)=""Panel""),(((B65/1000)*(C65/1000))*2)+((((B65+C65)/1000)*2)*0.022)+((((C65/1000)-0.16)*0.013)*2)+((((D65/1000)-0.16)*0.013)*2),IF(AND(ISERROR(FIND(""drawer front"",A65))=FALSE,KitchenDoorStyle=""In-frame flat""),((((B65-"&amp;"76)/1000)*((C65-38)/1000))*2)+(MID(KitchenDoorMaterial,FIND(""("",KitchenDoorMaterial)+1,2)/1000)*((((B65-76)+(C65-38))/1000)*2)+(((B65/1000)*0.032)*2)+((((B65-76)/1000)*0.032)*2)+(((B65/1000)*0.019)*4)+(((C65/1000)*0.032)*2)+((((C65-38)/1000)*0.032)*2)+("&amp;"((C65/1000)*0.038)*4),IF(AND(ISERROR(FIND(""drawer front"",A65))=FALSE,LEFT(KitchenDoorStyle,14)=""In-frame panel""),((((B65-76)/1000)*((C65-38)/1000))*2)+((MID(KitchenDoorMaterial,FIND(""("",KitchenDoorMaterial)+1,2)/1000)*((((B65-76)+(C65-38))/1000)*2))"&amp;"+((((B65-236)/1000)+((C65-198)/1000)*2)*0.013)+(((B65/1000)*0.032)*2)+((((B65-76)/1000)*0.032)*2)+(((B65/1000)*0.019)*4)+(((C65/1000)*0.032)*2)+((((C65-38)/1000)*0.032)*2)+(((C65/1000)*0.038)*4),IF(ISERROR(FIND(""drawer box"",A65))=FALSE,((((B65/1000)*(D6"&amp;"5/1000))+((B65/1000)*(C65/1000)))*4)+((((D65/1000)+(C65/1000))*0.016)*4)+(((C65/1000)*(D65/1000))*2),IF(OR(ISERROR(FIND(""shelf"",A65))=FALSE,ISERROR(FIND(""spacer"",A65))=FALSE,,ISERROR(FIND(""filler panel"",A65))=FALSE),(((C65/1000)*(D65/1000))*2)+((((C"&amp;"65+D65)*2)/1000)*0.022),IF(ISERROR(FIND(""lost corner"",A65))=FALSE,(((B65/1000)*(C65/1000))*2)+((B65/1000)*(C65/1000))+((B65/1000)*((C65/2)/1000))+((((B65/1000)*0.025)+((C65/1000)*0.025))*2),IF(ISERROR(FIND(""carcass"",A65))=FALSE,(((C65/1000)*(D65/1000)"&amp;")*2)+(((B65/1000)*(D65/1000))*2)+((B65/1000)*(C65/1000))+((((B65/1000)*0.025)+((C65/1000)*0.025))*2),IF(AND(ISERROR(FIND(""door"",A65))=FALSE,KitchenDoorStyle=""Flat""),(((B65/1000)*(C65/1000))*2)+(MID(KitchenDoorMaterial,FIND(""("",KitchenDoorMaterial)+1"&amp;",2)/1000)*(((B65+C65)/1000)*2),IF(AND(ISERROR(FIND(""door"",A65))=FALSE,LEFT(KitchenDoorStyle,5)=""Panel""),(((B65/1000)*(C65/1000))*2)+((MID(KitchenDoorMaterial,FIND(""("",KitchenDoorMaterial)+1,2)/1000)*(((B65+C65)/1000)*2))+(((((B65-160)+(C65-160))*2)/"&amp;"1000)*(0.013)),IF(AND(ISERROR(FIND(""door"",A65))=FALSE,KitchenDoorStyle=""In-frame flat""),((((B65-76)/1000)*((C65-38)/1000))*2)+(MID(KitchenDoorMaterial,FIND(""("",KitchenDoorMaterial)+1,2)/1000)*((((B65-76)+(C65-38))/1000)*2)+(((B65/1000)*0.032)*2)+((("&amp;"(B65-76)/1000)*0.032)*2)+(((B65/1000)*0.019)*4)+(((C65/1000)*0.032)*2)+((((C65-38)/1000)*0.032)*2)+(((C65/1000)*0.038)*4),IF(AND(ISERROR(FIND(""door"",A65))=FALSE,LEFT(KitchenDoorStyle,14)=""In-frame panel""),((((B65-76)/1000)*((C65-38)/1000))*2)+((MID(Ki"&amp;"tchenDoorMaterial,FIND(""("",KitchenDoorMaterial)+1,2)/1000)*((((B65-76)+(C65-38))/1000)*2))+((((B65-236)/1000)+((C65-198)/1000)*2)*0.013)+(((B65/1000)*0.032)*2)+((((B65-76)/1000)*0.032)*2)+(((B65/1000)*0.019)*4)+(((C65/1000)*0.032)*2)+((((C65-38)/1000)*0"&amp;".032)*2)+(((C65/1000)*0.038)*4),IF(ISERROR(FIND(""Plinth"",A65))=FALSE,((B65/1000)*(C65/1000))+(((C65/1000)*0.018)*2)+(((B65/1000)*0.018)*2),IF(ISERROR(FIND(""Cornice"",A65))=FALSE,(((C65/1000)*0.1)*2)+(((C65/1000)*0.044)*2)+(((B65/1000)*0.08)*2),IF(ISERR"&amp;"OR(FIND(""Base end panel"",A65))=FALSE,((B65/1000)*(C65/1000))+(0.022*((B65/1000)+((C65/1000)*2)))+((B65/1000)*0.05),IF(ISERROR(FIND(""Wall end panel"",A65))=FALSE,((B65/1000)*(C65/1000))+(0.022*((B65/1000)+((C65/1000)*2)))+((B65/1000)*0.05),IF(ISERROR(FI"&amp;"ND(""Tower end panel"",A65))=FALSE,((B65/1000)*(C65/1000))+(0.022*((B65/1000)+((C65/1000)*2)))+((B65/1000)*0.05),IF(ISERROR(FIND(""Fillers"",A65))=FALSE,((C65/1000)*0.06)+((C65/1000)*0.069)+((0.06*0.018)*2)+((0.06*0.009)*2)+((C65/1000)*0.009)+((C65/1000)*"&amp;"0.018),IF(ISERROR(FIND(""corner post"",A65))=FALSE,(((B65/1000*0.05)*2)+((B65/1000)*0.022)*2)+((B65/1000)*0.072)+((B65/1000)*0.05)+((0.072*0.022)*2)+((0.05*0.022)*2),IF(ISERROR(FIND(""Pelmet"",A65))=FALSE,((C65/1000)*0.05)+((C65/1000)*0.068)+((0.05*0.018)"&amp;"*4)+(((C65/1000)*0.018))*2))))))))))))))))))))))))))))"),4.82)</f>
        <v>4.82</v>
      </c>
      <c r="N65" s="152">
        <f>IF(M65="","",IF(AND(ISERROR(FIND("carcass",A65))=TRUE,ISERROR(FIND("unit",A65))=TRUE,ISERROR(FIND("insert",A65))=TRUE,ISERROR(FIND("rack",A65))=TRUE,ISERROR(FIND("box",A65))=TRUE,ISERROR(FIND("shelf",#REF!))=TRUE),VLOOKUP(KitchenDoorFinish,Finishing!$A$2:$K$10,9,0)*M65,VLOOKUP(KitchenCarcassFinish,Finishing!$A$2:$K$40,9,0)*M65))</f>
        <v>18.075</v>
      </c>
      <c r="O65" s="155">
        <v>0.5</v>
      </c>
      <c r="P65" s="155">
        <v>0.5</v>
      </c>
      <c r="Q65" s="152">
        <f>IF(OR(O65="",P65=""),"",((O65*X65)*(VLOOKUP("Workshop",Labour!$A$3:$E$20,4,0)/8))+((P65*AE65)*(VLOOKUP("Finishing",Labour!$A$3:$E$20,4,0)/8)))</f>
        <v>35.875</v>
      </c>
      <c r="R65" s="152">
        <f t="shared" si="4"/>
        <v>413.3947798</v>
      </c>
      <c r="S65" s="156">
        <f>IF(OR(O65="",P65=""),"",IF(OR(ISERROR(FIND("carcass",$A65))=FALSE,ISERROR(FIND("unit",$A65))=FALSE),VLOOKUP(KitchenCarcassMaterial,FixedListsCarcassMaterial,2,0),0))</f>
        <v>1</v>
      </c>
      <c r="T65" s="156">
        <f>IF(OR(O65="",P65=""),"",IF(ISERROR(FIND("door",$A65))=FALSE,VLOOKUP(KitchenDoorStyle,FixedListsDoorStyle,2,0),0))</f>
        <v>0</v>
      </c>
      <c r="U65" s="156">
        <f>IF(OR(O65="",P65=""),"",IF(ISERROR(FIND("door",$A65))=FALSE,VLOOKUP(KitchenDoorMaterial,FixedListsDoorMaterial,2,0),0))</f>
        <v>0</v>
      </c>
      <c r="V65" s="156">
        <f>IF(OR(O65="",P65=""),"",IF(ISERROR(FIND("drawer",$A65))=FALSE,VLOOKUP(KitchenDrawerType,FixedListsDrawerType,2,0),0))</f>
        <v>0</v>
      </c>
      <c r="W65" s="156">
        <f>IF(OR(O65="",P65=""),"",IF(OR(S65&gt;0, T65&gt;0,V65&gt;0),VLOOKUP(KitchenHandleType,FixedListsHandleType,2,FALSE)*IF(KitchenHandleType="Simple",0,IF(S65&gt;0,VLOOKUP(KitchenHandleType,FixedListsHandleType,4,FALSE),IF(OR(T65&gt;0,V65&gt;0),1-VLOOKUP(KitchenHandleType,FixedListsHandleType,4,FALSE),"Error"))),0))</f>
        <v>0</v>
      </c>
      <c r="X65" s="156">
        <f t="shared" si="5"/>
        <v>1</v>
      </c>
      <c r="Y65" s="156">
        <f>IF(OR(O65="",P65=""),"",IF(OR(ISERROR(FIND("carcass",$A65))=FALSE,ISERROR(FIND("unit",$A65))=FALSE),VLOOKUP(KitchenCarcassMaterial,FixedListsCarcassMaterial,3,0),0))</f>
        <v>1</v>
      </c>
      <c r="Z65" s="156">
        <f>IF(OR(O65="",P65=""),"",IF(ISERROR(FIND("door",$A65))=FALSE,VLOOKUP(KitchenDoorStyle,FixedListsDoorStyle,3,0),0))</f>
        <v>0</v>
      </c>
      <c r="AA65" s="156">
        <f>IF(OR(O65="",P65=""),"",IF(ISERROR(FIND("door",$A65))=FALSE,VLOOKUP(KitchenDoorMaterial,FixedListsDoorMaterial,3,0),0))</f>
        <v>0</v>
      </c>
      <c r="AB65" s="156">
        <f>IF(OR(O65="",P65=""),"",IF(ISERROR(FIND("drawer",$A65))=FALSE,VLOOKUP(KitchenDrawerType,FixedListsDrawerType,3,0),0))</f>
        <v>0</v>
      </c>
      <c r="AC65" s="156">
        <f>IF(OR(O65="",P65=""),"",IF(OR(Y65&gt;0,Z65&gt;0,AB65&gt;0),VLOOKUP(KitchenHandleType,FixedListsHandleType,3,FALSE),0))</f>
        <v>1</v>
      </c>
      <c r="AD65" s="156">
        <f>IF(OR(O65="",P65=""),"",IF(OR(ISERROR(FIND("carcass",$A65))=FALSE,ISERROR(FIND("unit",$A65))=FALSE),VLOOKUP(KitchenCarcassFinish,FixedListsFinishes,3,0),IF(OR(ISERROR(FIND("door",$A65))=FALSE,ISERROR(FIND("Plinth",$A65))=FALSE,ISERROR(FIND("Cornice",$A65))=FALSE,ISERROR(FIND("Fillers",$A65))=FALSE,ISERROR(FIND("Pelmet",$A65))=FALSE,ISERROR(FIND("panel",$A65))=FALSE,ISERROR(FIND("post",$A65))=FALSE),VLOOKUP(KitchenDoorFinish,FixedListsFinishes,3,0),IF(OR(ISERROR(FIND("drawer",$A65))=FALSE,ISERROR(FIND("insert",$A65))=FALSE,ISERROR(FIND("rck",$A65))=FALSE),VLOOKUP(KitchenCarcassFinish,FixedListsFinishes,3,0),0))))</f>
        <v>1</v>
      </c>
      <c r="AE65" s="156">
        <f t="shared" si="6"/>
        <v>1</v>
      </c>
      <c r="AF65" s="157" t="str">
        <f>IF(AND(KitchenHandleType="Channel",OR(ISERROR(FIND("arcass",$A65))=FALSE,ISERROR(FIND("unit",$A65))=FALSE)),IF(ISERROR(FIND("Tower",$A65))=TRUE,IF(KitchenHandleFinish="Match carcass",IF(ISERROR(FIND("Walnut",KitchenCarcassMaterial))=FALSE,(0.035*0.075*($C65/1000))*VLOOKUP("Walnut (solid m3)",SolidData,4,FALSE),IF(ISERROR(FIND("Oak",KitchenCarcassMaterial))=FALSE,(0.035*0.075*($C65/1000))*VLOOKUP("Oak (solid m3)",SolidData,4,FALSE),IF(ISERROR(FIND("ply",KitchenCarcassMaterial))=FALSE,(0.1*($C65/1000))*VLOOKUP("Birch ply (24mm)",SheetsData,7,FALSE),IF(ISERROR(FIND("H/F",KitchenCarcassMaterial))=FALSE,(0.1*($C65/1000))*VLOOKUP("H/F (22mm)",SheetsData,7,FALSE),"Carcass - not tower - new material")))),IF(KitchenHandleFinish="Match door",IF(ISERROR(FIND("Walnut",KitchenDoorMaterial))=FALSE,(0.035*0.075*($C65/1000))*VLOOKUP("Walnut (solid m3)",SolidData,4,FALSE),IF(ISERROR(FIND("Oak",KitchenDoorMaterial))=FALSE,(0.035*0.075*($C65/1000))*VLOOKUP("Oak (solid m3)",SolidData,4,FALSE),IF(ISERROR(FIND("ply",KitchenDoorMaterial))=FALSE,(0.1*($C65/1000))*VLOOKUP("Birch ply (24mm)",SheetsData,7,FALSE),IF(ISERROR(FIND("H/F",KitchenCarcassMaterial))=FALSE,(0.1*($C65/1000))*VLOOKUP("H/F (22mm)",SheetsData,7,FALSE),"Door - not tower - new material")))),"Channel - not tower - handle set to other")),IF(ISERROR(FIND("Tower",$A65))=FALSE,IF(KitchenHandleFinish="Match carcass",IF(ISERROR(FIND("Walnut",KitchenCarcassMaterial))=FALSE,(0.035*0.075*($B65/1000))*VLOOKUP("Walnut (solid m3)",SolidData,4,FALSE),IF(ISERROR(FIND("Oak",KitchenCarcassMaterial))=FALSE,(0.035*0.075*($B65/1000))*VLOOKUP("Oak (solid m3)",SolidData,4,FALSE),IF(ISERROR(FIND("ply",KitchenCarcassMaterial))=FALSE,(0.1*($B65/1000))*VLOOKUP("Birch ply (24mm)",SheetsData,7,FALSE),IF(ISERROR(FIND("H/F",KitchenCarcassMaterial))=FALSE,(0.1*($C65/1000))*VLOOKUP("H/F (22mm)",SheetsData,7,FALSE),"Carcass - tower - new material")))),IF(KitchenHandleFinish="Match door",IF(ISERROR(FIND("Walnut",KitchenDoorMaterial))=FALSE,(0.035*0.075*($B65/1000))*VLOOKUP("Walnut (solid m3)",SolidData,4,FALSE),IF(ISERROR(FIND("Oak",KitchenDoorMaterial))=FALSE,(0.035*0.075*($B65/1000))*VLOOKUP("Oak (solid m3)",SolidData,4,FALSE),IF(ISERROR(FIND("ply",KitchenDoorMaterial))=FALSE,(0.1*($B65/1000))*VLOOKUP("Birch ply (24mm)",SheetData,7,FALSE),IF(ISERROR(FIND("H/F",KitchenCarcassMaterial))=FALSE,(0.1*($C65/1000))*VLOOKUP("H/F (22mm)",SheetsData,7,FALSE),"Door - tower - new material")))),"Channel - tower - handle set to other")))),"")</f>
        <v/>
      </c>
    </row>
    <row r="66">
      <c r="A66" s="150" t="s">
        <v>174</v>
      </c>
      <c r="B66" s="115" t="str">
        <f t="shared" si="1"/>
        <v>120</v>
      </c>
      <c r="C66" s="115" t="str">
        <f>IFERROR(__xludf.DUMMYFUNCTION("IF(A66="""","""",IF(OR(RIGHT(A66,LEN(A66)-len(regexextract(A66,"".* "")))=""1200"",RIGHT(A66,LEN(A66)-len(regexextract(A66,"".* "")))=""600"",RIGHT(A66,LEN(A66)-len(regexextract(A66,"".* "")))=""400"",RIGHT(A66,LEN(A66)-len(regexextract(A66,"".* "")))=""3"&amp;"00"",RIGHT(A66,LEN(A66)-len(regexextract(A66,"".* "")))=""700"",RIGHT(A66,LEN(A66)-len(regexextract(A66,"".* "")))=""2400"",RIGHT(A66,LEN(A66)-len(regexextract(A66,"".* "")))=""650"",RIGHT(A66,LEN(A66)-len(regexextract(A66,"".* "")))=""350"",RIGHT(A66,LEN"&amp;"(A66)-len(regexextract(A66,"".* "")))=""50""),RIGHT(A66,LEN(A66)-len(regexextract(A66,"".* ""))),IF(OR(ISERROR(FIND(""spacer"",A66))=FALSE,ISERROR(FIND(""filler panel"",A66))=FALSE),""1000"",""Unexpected size in description"")))"),"600")</f>
        <v>600</v>
      </c>
      <c r="D66" s="151">
        <f t="shared" si="2"/>
        <v>600</v>
      </c>
      <c r="E66" s="152">
        <f>IFERROR(__xludf.DUMMYFUNCTION("IF(OR(A66="""",AND(ISERROR(FIND(""drawer box"",A66))=FALSE,KitchenDrawerType="""")),"""",IF(OR(ISERROR(FIND(""larder"",A66))=FALSE,ISERROR(FIND(""fridge/freezer"",A66))=FALSE,ISERROR(FIND(""double oven"",A66))=FALSE,ISERROR(FIND(""single oven"",A66))=FALS"&amp;"E),VLOOKUP(LEFT(A66,FIND("" "",A66))&amp;""carcass ""&amp;RIGHT(A66,LEN(A66)-(LEN(A66)-3)),KitchensData,5,0),IF(ISERROR(FIND(""sink"",A66))=FALSE,VLOOKUP(LEFT(A66,FIND("" "",A66))&amp;""carcass ""&amp;VALUE(REGEXREPLACE(A66,""[^[:digit:]]"", """")),KitchensData,5,0)+(((C"&amp;"66/1000)*(300/1000))*VLOOKUP(KitchenCarcassMaterial,SheetsData,8,0)),IF(ISERROR(FIND(""bins"",A66))=FALSE,IF(ISERROR(FIND(""veneer"",KitchenCarcassMaterial))=FALSE,VLOOKUP(""Base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600"",A66))=FALSE,IF(ISERROR(FIND(""veneer"""&amp;",KitchenCarcassMaterial))=FALSE,0.54*(VLOOKUP(LEFT(KitchenCarcassMaterial,FIND(""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1200"",A66))=FALSE,"&amp;"IF(ISERROR(FIND(""veneer"",KitchenCarcassMaterial))=FALSE,0.84*(VLOOKUP(LEFT(KitchenCarcassMaterial,FIND(""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600"",A66))=FALSE,IF(ISERROR(FIND(""veneer"",KitchenCarcassMaterial))=FALSE,1.44*(VLOOKUP(LEFT(KitchenCarcassMaterial,FIND(""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1200"",A66))=FALSE,IF(ISERROR(FIND(""veneer"",KitchenCarcassMaterial))=FALSE,2.7*(VLOOKUP(LEFT(KitchenCarcassMaterial,FIND(""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front"",A66))=FALSE,((B66/1000)*(C66/1000))*VLOOKUP(KitchenDoorMaterial,SheetsData,8,0),IF(AND(KitchenDrawerType=""Match carcass"",ISERROR(FIND(""drawer box"",A66))=FALSE),(((((B66/1000)*(C66/1000))+((B66/1000"&amp;")*(D66/1000)))*2)*VLOOKUP(KitchenCarcassMaterial,SheetsData,8,0))+(((C66/1000)*(D66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box"",A66))=FALSE),(((((B66/1000)*(C66/1000))+((B66/1000)*(D66/1000)))*2)*(16/1000)*VLOOKUP(LEFT(KitchenCarcassMaterial,FIND("" "&amp;""",KitchenCarcassMaterial))&amp;""(solid m3)"",SolidData,5,0))+(((C66/1000)*(D66/1000))*VLOOKUP(LEFT(KitchenCarcassMaterial,FIND(""("",KitchenCarcassMaterial)-1)&amp;IF(OR(ISERROR(FIND(""ply"",KitchenCarcassMaterial))=FALSE,ISERROR(FIND(""H/F"",KitchenCarcassMate"&amp;"rial))=FALSE),""(9mm)"",""(10mm)""),SheetsData,8,0)),IF(ISERROR(FIND(""spacer"",A66))=FALSE,((D66/1000)*(C66/1000))*VLOOKUP(""Poplar ply (18mm)"",SheetsData,8,0),IF(ISERROR(FIND(""filler panel"",A66))=FALSE,((B66/1000)*(C66/1000))*VLOOKUP(KitchenDoorMater"&amp;"ial,SheetsData,8,0),IF(ISERROR(FIND(""shelf"",A66))=FALSE,((D66/1000)*(C66/1000))*VLOOKUP(KitchenCarcassMaterial,SheetsData,8,0),IF(ISERROR(FIND(""lost corner"",A66))=FALSE,VLOOKUP(LEFT(A66,FIND("" "",A66))&amp;""carcass ""&amp;VALUE(REGEXREPLACE(A66,""[^[:digit:"&amp;"]]"", """")),KitchensData,5,0)+((((B66/1000)*(C66/1000))+((B66/1000)*(60/1000)))*VLOOKUP(KitchenCarcassMaterial,SheetsData,8,0)),IF(ISERROR(FIND(""carcass"",A66))=FALSE,(((((B66/1000)*2)*(D66/1000))+(((C66/1000)*2)*(D66/1000)))*VLOOKUP(KitchenCarcassMater"&amp;"ial,SheetsData,8,0))+((B66/1000)*(C66/1000))*VLOOKUP(LEFT(KitchenCarcassMaterial,FIND(""("",KitchenCarcassMaterial)-1)&amp;IF(OR(ISERROR(FIND(""ply"",KitchenCarcassMaterial))=FALSE,ISERROR(FIND(""H/F"",KitchenCarcassMaterial))=FALSE),""(9mm)"",""(10mm)""),She"&amp;"etsData,8,0),IF(OR(ISERROR(FIND(""Plinth"",A66))=FALSE,ISERROR(FIND(""Cornice (flat)"",A66))=FALSE),((B66/1000)*(C66/1000))*VLOOKUP(""H/F (18mm)"",SheetsData,8,0),IF(ISERROR(FIND(""Cornice (stacked)"",A66))=FALSE,((0.08*(C66/1000))*2)*VLOOKUP(""H/F (22mm)"&amp;""",SheetsData,8,0),IF(ISERROR(FIND(""Base end panel"",A66))=FALSE,VLOOKUP(KitchenDoorMaterial,SheetsData,5,0)/3,IF(ISERROR(FIND(""Wall end panel"",A66))=FALSE,VLOOKUP(KitchenDoorMaterial,SheetsData,5,0)/9,IF(ISERROR(FIND(""Tower end panel"",A66))=FALSE,VL"&amp;"OOKUP(KitchenDoorMaterial,SheetsData,5,0),IF(ISERROR(FIND(""Fillers"",A66))=FALSE,(((0.06*(C66/1000))*2)*VLOOKUP(""H/F (18mm)"",SheetsData,8,0))+(((0.06*(C66/1000))*2)*VLOOKUP(""H/F (9mm)"",SheetsData,8,0)),IF(ISERROR(FIND(""corner post"",A66))=FALSE,(((B"&amp;"66/1000)*0.05)*2)*VLOOKUP(KitchenDoorMaterial,SheetsData,8,0),IF(ISERROR(FIND(""Pelmet"",A66))=FALSE,((((B66/1000)*(C66/1000))*2)*VLOOKUP(""H/F (18mm)"",SheetsData,8,0)),IF(ISERROR(FIND(""door"",A66))=TRUE,""Check description"",IF(KitchenDoorStyle=""Flat"&amp;""",((B66/1000)*(C66/1000))*VLOOKUP(KitchenDoorMaterial,SheetsData,8,0),IF(LEFT(KitchenDoorStyle,5)=""Panel"",(((((B66/1000)*2)*0.08)+((((C66/1000)-0.16)*2)*0.08))*VLOOKUP(""H/F (22mm)"",SheetsData,8,0))+(((B66/1000)-0.14)*((C66/1000)-0.14)*VLOOKUP(""H/F ("&amp;"9mm)"",SheetsData,8,0)),IF(KitchenDoorStyle=""In-frame flat"",((((((B66/1000)*0.019)*0.038)+((((C66-38)/1000)*0.038)*0.038))*2)*VLOOKUP(""Tulip (solid m3)"",SolidData,5,0))+(((B66-76)/1000)*((C66-38)/1000))*VLOOKUP(""H/F (22mm)"",SheetsData,8,0),IF(LEFT(K"&amp;"itchenDoorStyle,14)=""In-frame panel"",(((((((B66/1000)*0.019)*0.038)+((((C66-38)/1000)*0.038)*0.038))*2)*VLOOKUP(""Tulip (solid m3)"",SolidData,5,0))+(((((((B66-76)/1000)*2)*0.08)+(((((C66-198)/1000)*2)*0.08)))*VLOOKUP(""H/F (22mm)"",SheetsData,8,0))+((("&amp;"B66-216)/1000)*((C66-178)/1000)*VLOOKUP(""H/F (9mm)"",SheetsData,8,0)))))))))))))))))))))))))))))))))"),17.30704111797904)</f>
        <v>17.30704112</v>
      </c>
      <c r="F66" s="152">
        <f>IFERROR(__xludf.DUMMYFUNCTION("IF(OR(A66="""",AND(ISERROR(FIND(""drawer box"",A66))=FALSE,KitchenDrawerType=""Solid dovetail"")),"""",IF(ISERROR(FIND(""bins"",A66))=FALSE,VLOOKUP(""Base carcass 600"",KitchensData,6,0),IF(OR(ISERROR(FIND(""larder"",A66))=FALSE,ISERROR(FIND(""unit"",A66)"&amp;")=FALSE),VLOOKUP(LEFT(A66,FIND("" "",A66))&amp;""carcass ""&amp;RIGHT(A66,LEN(A66)-len(regexextract(A66,"".* ""))),KitchensData,6,0),IF(ISERROR(FIND(""drawer front"",A66))=FALSE,IF(ISERROR(FIND(""veneer"",KitchenCarcassMaterial))=TRUE,0,(((B66+C66)/1000)*2)*VLOOK"&amp;"UP(""Edge banding (per M)"",SheetsData,5,0)),IF(ISERROR(FIND(""drawer box"",A66))=FALSE,IF(ISERROR(FIND(""veneer"",KitchenCarcassMaterial))=TRUE,0,(((C66+D66)/1000)*2)*VLOOKUP(""Edge banding (per M)"",SheetsData,5,0)),IF(ISERROR(FIND(""shelf"",A66))=FALSE"&amp;",IF(ISERROR(FIND(""veneer"",KitchenCarcassMaterial))=TRUE,0,(C66/1000)*VLOOKUP(""Edge banding (per M)"",SheetsData,5,0)),IF(AND(ISERROR(FIND(""carcass"",A66))=FALSE,ISERROR(FIND(""shelf"",A66))=TRUE),IF(ISERROR(FIND(""veneer"",KitchenCarcassMaterial))=TRU"&amp;"E,0,((2*(B66+C66))/1000)*VLOOKUP(""Edge banding (per M)"",SheetsData,5,0)),IF(ISERROR(FIND(""door"",A66))=TRUE,"""",IF(ISERROR(FIND(""veneer"",KitchenDoorMaterial))=TRUE,"""",((2*(B66+C66))/1000)*VLOOKUP(""Edge banding (per M)"",SheetsData,5,0))))))))))"),0.0)</f>
        <v>0</v>
      </c>
      <c r="G66" s="153" t="str">
        <f>IF(A66="","",IF(ISERROR(FIND("bins",A66))=FALSE,VLOOKUP("Base carcass 600",KitchensData,7,0),IF(OR(ISERROR(FIND("larder",A66))=FALSE,ISERROR(FIND("fridge/freezer",A66))=FALSE,ISERROR(FIND("double oven",A66))=FALSE,ISERROR(FIND("single oven",A66))=FALSE),VLOOKUP(LEFT(A66,FIND(" ",A66))&amp;"carcass "&amp;RIGHT(A66,LEN(A66)-(LEN(A66)-3)),KitchensData,7,0),IF(AND(ISERROR(FIND("carcass",A66))=FALSE,ISERROR(FIND("shelf",A66))=TRUE),IF(OR(ISERROR(FIND("Base",A66))=FALSE,ISERROR(FIND("Tower",A66))=FALSE),IF(OR(ISERROR(FIND("1200",A66))=FALSE, ISERROR(FIND("lost corner",A66))=FALSE),6*VLOOKUP("Plinth foot (2 Parts 80mm)",FurnitureData,5,0),4*VLOOKUP("Plinth foot (2 Parts 80mm)",FurnitureData,5,0)),""),""))))</f>
        <v/>
      </c>
      <c r="H66" s="115" t="str">
        <f>IF(OR(A66="",ISERROR(FIND("door",A66))=TRUE),"",IF(ISERROR(FIND("Wall",A66))=FALSE,VLOOKUP("Hinges &amp; plates (Hettich thick door)",FurnitureData,5,0)*2,IF(ISERROR(FIND("Base",A66))=FALSE,VLOOKUP("Hinges &amp; plates (Hettich thick door)",FurnitureData,5,0)*3,IF(ISERROR(FIND("Boiler",A66))=FALSE,VLOOKUP("Hinges &amp; plates (Hettich thick door)",FurnitureData,5,0)*4,IF(ISERROR(FIND("Tower",A66))=FALSE,VLOOKUP("Hinges &amp; plates (Hettich thick door)",FurnitureData,5,0)*5)))))</f>
        <v/>
      </c>
      <c r="I66" s="115" t="str">
        <f>IF(ISERROR(FIND("shelf",A66))=FALSE,(VLOOKUP("Shelf pegs",FurnitureData,5,0)/100)*4,"")</f>
        <v/>
      </c>
      <c r="J66" s="152" t="str">
        <f>IF(OR(ISERROR(FIND("fridge/freezer",A66))=FALSE,ISERROR(FIND("larder",A66))=FALSE,AND(ISERROR(FIND("Base",A66))=FALSE,ISERROR(FIND("bins",A66))=TRUE,ISERROR(FIND("no shelves",A66))=TRUE,OR(ISERROR(FIND("carcass",A66))=FALSE,ISERROR(FIND("unit",A66))=FALSE))),VLOOKUP("Deep shelf "&amp;C66,KitchensData,18,0),IF(AND(ISERROR(FIND("Wall",A66))=FALSE,ISERROR(FIND("carcass",A66))=FALSE),2*VLOOKUP("Shallow shelf "&amp;C66,KitchensData,18,0),IF(AND(ISERROR(FIND("Tower",A66))=FALSE,ISERROR(FIND("oven",A66))=FALSE),4*VLOOKUP("Deep shelf "&amp;C66,KitchensData,18,0),IF(AND(ISERROR(FIND("Tower",A66))=FALSE,ISERROR(FIND("carcass",A66))=FALSE),5*VLOOKUP("Deep shelf "&amp;C66,KitchensData,18,0),""))))</f>
        <v/>
      </c>
      <c r="K66" s="152">
        <f>IF(ISERROR(FIND("sink",A66))=FALSE,VLOOKUP("Sink liner - Aluminium "&amp;RIGHT(A66,LEN(A66)-22)&amp;"mm",ExceptionalData,5,0),IF(ISERROR(FIND("bins",A66))=FALSE,VLOOKUP("Drawer runners and clip set for bin unit (500) Dynapro",FurnitureData,5,0)+(2*VLOOKUP("Bin (42L Anthracite)",FurnitureData,5,0)),IF(ISERROR(FIND("larder",A66))=FALSE,VLOOKUP("Pull out larder unit 600mm",FurnitureData,5,0),IF(AND(ISERROR(FIND("drawer box",A66))=FALSE,ISERROR(FIND("internal",A66))=TRUE),VLOOKUP("Drawer runners and clip set (550) Dynapro",FurnitureData,5,0),IF(ISERROR(FIND("internal drawer box",A66))=FALSE,VLOOKUP("Drawer runners and clip set (450) Dynapro",FurnitureData,5,0),"")))))</f>
        <v>52.54</v>
      </c>
      <c r="L66" s="152">
        <f t="shared" si="3"/>
        <v>69.84704112</v>
      </c>
      <c r="M66" s="154">
        <f>IFERROR(__xludf.DUMMYFUNCTION("IF(A66="""","""",IF(OR(ISERROR(FIND(""larder"",A66))=FALSE,ISERROR(FIND(""unit"",A66))=FALSE),VLOOKUP(LEFT(A66,FIND("" "",A66))&amp;""carcass ""&amp;RIGHT(A66,LEN(A66)-len(regexextract(A66,"".* ""))),KitchensData,13,0),IF(ISERROR(FIND(""bins"",A66))=FALSE,0.95,IF"&amp;"(ISERROR(FIND(""Cutlery insert 600"",A66))=FALSE,1.3,IF(ISERROR(FIND(""Cutlery insert 1200"",A66))=FALSE,2,IF(ISERROR(FIND(""Pan/tray rack 600"",A66))=FALSE,3.25,IF(ISERROR(FIND(""Pan/tray rack 1200"",A66))=FALSE,5.9,IF(ISERROR(FIND(""split"",A66))=FALSE,"&amp;"(((C66/1000)*0.022)*2)+VLOOKUP(SUBSTITUTE(A66,"" split"",""""),KitchensData,13,0),IF(AND(ISERROR(FIND(""drawer front"",A66))=FALSE,KitchenDoorStyle=""Flat""),(((B66/1000)*(C66/1000))*2)+((((B66+C66)/1000)*2)*0.022),IF(AND(ISERROR(FIND(""drawer front"",A66"&amp;"))=FALSE,LEFT(KitchenDoorStyle,5)=""Panel""),(((B66/1000)*(C66/1000))*2)+((((B66+C66)/1000)*2)*0.022)+((((C66/1000)-0.16)*0.013)*2)+((((D66/1000)-0.16)*0.013)*2),IF(AND(ISERROR(FIND(""drawer front"",A66))=FALSE,KitchenDoorStyle=""In-frame flat""),((((B66-"&amp;"76)/1000)*((C66-38)/1000))*2)+(MID(KitchenDoorMaterial,FIND(""("",KitchenDoorMaterial)+1,2)/1000)*((((B66-76)+(C66-38))/1000)*2)+(((B66/1000)*0.032)*2)+((((B66-76)/1000)*0.032)*2)+(((B66/1000)*0.019)*4)+(((C66/1000)*0.032)*2)+((((C66-38)/1000)*0.032)*2)+("&amp;"((C66/1000)*0.038)*4),IF(AND(ISERROR(FIND(""drawer front"",A66))=FALSE,LEFT(KitchenDoorStyle,14)=""In-frame panel""),((((B66-76)/1000)*((C66-38)/1000))*2)+((MID(KitchenDoorMaterial,FIND(""("",KitchenDoorMaterial)+1,2)/1000)*((((B66-76)+(C66-38))/1000)*2))"&amp;"+((((B66-236)/1000)+((C66-198)/1000)*2)*0.013)+(((B66/1000)*0.032)*2)+((((B66-76)/1000)*0.032)*2)+(((B66/1000)*0.019)*4)+(((C66/1000)*0.032)*2)+((((C66-38)/1000)*0.032)*2)+(((C66/1000)*0.038)*4),IF(ISERROR(FIND(""drawer box"",A66))=FALSE,((((B66/1000)*(D6"&amp;"6/1000))+((B66/1000)*(C66/1000)))*4)+((((D66/1000)+(C66/1000))*0.016)*4)+(((C66/1000)*(D66/1000))*2),IF(OR(ISERROR(FIND(""shelf"",A66))=FALSE,ISERROR(FIND(""spacer"",A66))=FALSE,,ISERROR(FIND(""filler panel"",A66))=FALSE),(((C66/1000)*(D66/1000))*2)+((((C"&amp;"66+D66)*2)/1000)*0.022),IF(ISERROR(FIND(""lost corner"",A66))=FALSE,(((B66/1000)*(C66/1000))*2)+((B66/1000)*(C66/1000))+((B66/1000)*((C66/2)/1000))+((((B66/1000)*0.025)+((C66/1000)*0.025))*2),IF(ISERROR(FIND(""carcass"",A66))=FALSE,(((C66/1000)*(D66/1000)"&amp;")*2)+(((B66/1000)*(D66/1000))*2)+((B66/1000)*(C66/1000))+((((B66/1000)*0.025)+((C66/1000)*0.025))*2),IF(AND(ISERROR(FIND(""door"",A66))=FALSE,KitchenDoorStyle=""Flat""),(((B66/1000)*(C66/1000))*2)+(MID(KitchenDoorMaterial,FIND(""("",KitchenDoorMaterial)+1"&amp;",2)/1000)*(((B66+C66)/1000)*2),IF(AND(ISERROR(FIND(""door"",A66))=FALSE,LEFT(KitchenDoorStyle,5)=""Panel""),(((B66/1000)*(C66/1000))*2)+((MID(KitchenDoorMaterial,FIND(""("",KitchenDoorMaterial)+1,2)/1000)*(((B66+C66)/1000)*2))+(((((B66-160)+(C66-160))*2)/"&amp;"1000)*(0.013)),IF(AND(ISERROR(FIND(""door"",A66))=FALSE,KitchenDoorStyle=""In-frame flat""),((((B66-76)/1000)*((C66-38)/1000))*2)+(MID(KitchenDoorMaterial,FIND(""("",KitchenDoorMaterial)+1,2)/1000)*((((B66-76)+(C66-38))/1000)*2)+(((B66/1000)*0.032)*2)+((("&amp;"(B66-76)/1000)*0.032)*2)+(((B66/1000)*0.019)*4)+(((C66/1000)*0.032)*2)+((((C66-38)/1000)*0.032)*2)+(((C66/1000)*0.038)*4),IF(AND(ISERROR(FIND(""door"",A66))=FALSE,LEFT(KitchenDoorStyle,14)=""In-frame panel""),((((B66-76)/1000)*((C66-38)/1000))*2)+((MID(Ki"&amp;"tchenDoorMaterial,FIND(""("",KitchenDoorMaterial)+1,2)/1000)*((((B66-76)+(C66-38))/1000)*2))+((((B66-236)/1000)+((C66-198)/1000)*2)*0.013)+(((B66/1000)*0.032)*2)+((((B66-76)/1000)*0.032)*2)+(((B66/1000)*0.019)*4)+(((C66/1000)*0.032)*2)+((((C66-38)/1000)*0"&amp;".032)*2)+(((C66/1000)*0.038)*4),IF(ISERROR(FIND(""Plinth"",A66))=FALSE,((B66/1000)*(C66/1000))+(((C66/1000)*0.018)*2)+(((B66/1000)*0.018)*2),IF(ISERROR(FIND(""Cornice"",A66))=FALSE,(((C66/1000)*0.1)*2)+(((C66/1000)*0.044)*2)+(((B66/1000)*0.08)*2),IF(ISERR"&amp;"OR(FIND(""Base end panel"",A66))=FALSE,((B66/1000)*(C66/1000))+(0.022*((B66/1000)+((C66/1000)*2)))+((B66/1000)*0.05),IF(ISERROR(FIND(""Wall end panel"",A66))=FALSE,((B66/1000)*(C66/1000))+(0.022*((B66/1000)+((C66/1000)*2)))+((B66/1000)*0.05),IF(ISERROR(FI"&amp;"ND(""Tower end panel"",A66))=FALSE,((B66/1000)*(C66/1000))+(0.022*((B66/1000)+((C66/1000)*2)))+((B66/1000)*0.05),IF(ISERROR(FIND(""Fillers"",A66))=FALSE,((C66/1000)*0.06)+((C66/1000)*0.069)+((0.06*0.018)*2)+((0.06*0.009)*2)+((C66/1000)*0.009)+((C66/1000)*"&amp;"0.018),IF(ISERROR(FIND(""corner post"",A66))=FALSE,(((B66/1000*0.05)*2)+((B66/1000)*0.022)*2)+((B66/1000)*0.072)+((B66/1000)*0.05)+((0.072*0.022)*2)+((0.05*0.022)*2),IF(ISERROR(FIND(""Pelmet"",A66))=FALSE,((C66/1000)*0.05)+((C66/1000)*0.068)+((0.05*0.018)"&amp;"*4)+(((C66/1000)*0.018))*2))))))))))))))))))))))))))))"),1.3727999999999998)</f>
        <v>1.3728</v>
      </c>
      <c r="N66" s="152">
        <f>IF(M66="","",IF(AND(ISERROR(FIND("carcass",A66))=TRUE,ISERROR(FIND("unit",A66))=TRUE,ISERROR(FIND("insert",A66))=TRUE,ISERROR(FIND("rack",A66))=TRUE,ISERROR(FIND("box",A66))=TRUE,ISERROR(FIND("shelf",#REF!))=TRUE),VLOOKUP(KitchenDoorFinish,Finishing!$A$2:$K$10,9,0)*M66,VLOOKUP(KitchenCarcassFinish,Finishing!$A$2:$K$40,9,0)*M66))</f>
        <v>5.148</v>
      </c>
      <c r="O66" s="155">
        <v>2.5</v>
      </c>
      <c r="P66" s="155">
        <v>1.0</v>
      </c>
      <c r="Q66" s="152">
        <f>IF(OR(O66="",P66=""),"",((O66*X66)*(VLOOKUP("Workshop",Labour!$A$3:$E$20,4,0)/8))+((P66*AE66)*(VLOOKUP("Finishing",Labour!$A$3:$E$20,4,0)/8)))</f>
        <v>137.375</v>
      </c>
      <c r="R66" s="152">
        <f t="shared" si="4"/>
        <v>212.3700411</v>
      </c>
      <c r="S66" s="156">
        <f>IF(OR(O66="",P66=""),"",IF(OR(ISERROR(FIND("carcass",$A66))=FALSE,ISERROR(FIND("unit",$A66))=FALSE),VLOOKUP(KitchenCarcassMaterial,FixedListsCarcassMaterial,2,0),0))</f>
        <v>0</v>
      </c>
      <c r="T66" s="156">
        <f>IF(OR(O66="",P66=""),"",IF(ISERROR(FIND("door",$A66))=FALSE,VLOOKUP(KitchenDoorStyle,FixedListsDoorStyle,2,0),0))</f>
        <v>0</v>
      </c>
      <c r="U66" s="156">
        <f>IF(OR(O66="",P66=""),"",IF(ISERROR(FIND("door",$A66))=FALSE,VLOOKUP(KitchenDoorMaterial,FixedListsDoorMaterial,2,0),0))</f>
        <v>0</v>
      </c>
      <c r="V66" s="156">
        <f>IF(OR(O66="",P66=""),"",IF(ISERROR(FIND("drawer",$A66))=FALSE,VLOOKUP(KitchenDrawerType,FixedListsDrawerType,2,0),0))</f>
        <v>1</v>
      </c>
      <c r="W66" s="156">
        <f>IF(OR(O66="",P66=""),"",IF(OR(S66&gt;0, T66&gt;0,V66&gt;0),VLOOKUP(KitchenHandleType,FixedListsHandleType,2,FALSE)*IF(KitchenHandleType="Simple",0,IF(S66&gt;0,VLOOKUP(KitchenHandleType,FixedListsHandleType,4,FALSE),IF(OR(T66&gt;0,V66&gt;0),1-VLOOKUP(KitchenHandleType,FixedListsHandleType,4,FALSE),"Error"))),0))</f>
        <v>0</v>
      </c>
      <c r="X66" s="156">
        <f t="shared" si="5"/>
        <v>1</v>
      </c>
      <c r="Y66" s="156">
        <f>IF(OR(O66="",P66=""),"",IF(OR(ISERROR(FIND("carcass",$A66))=FALSE,ISERROR(FIND("unit",$A66))=FALSE),VLOOKUP(KitchenCarcassMaterial,FixedListsCarcassMaterial,3,0),0))</f>
        <v>0</v>
      </c>
      <c r="Z66" s="156">
        <f>IF(OR(O66="",P66=""),"",IF(ISERROR(FIND("door",$A66))=FALSE,VLOOKUP(KitchenDoorStyle,FixedListsDoorStyle,3,0),0))</f>
        <v>0</v>
      </c>
      <c r="AA66" s="156">
        <f>IF(OR(O66="",P66=""),"",IF(ISERROR(FIND("door",$A66))=FALSE,VLOOKUP(KitchenDoorMaterial,FixedListsDoorMaterial,3,0),0))</f>
        <v>0</v>
      </c>
      <c r="AB66" s="156">
        <f>IF(OR(O66="",P66=""),"",IF(ISERROR(FIND("drawer",$A66))=FALSE,VLOOKUP(KitchenDrawerType,FixedListsDrawerType,3,0),0))</f>
        <v>1</v>
      </c>
      <c r="AC66" s="156">
        <f>IF(OR(O66="",P66=""),"",IF(OR(Y66&gt;0,Z66&gt;0,AB66&gt;0),VLOOKUP(KitchenHandleType,FixedListsHandleType,3,FALSE),0))</f>
        <v>1</v>
      </c>
      <c r="AD66" s="156">
        <f>IF(OR(O66="",P66=""),"",IF(OR(ISERROR(FIND("carcass",$A66))=FALSE,ISERROR(FIND("unit",$A66))=FALSE),VLOOKUP(KitchenCarcassFinish,FixedListsFinishes,3,0),IF(OR(ISERROR(FIND("door",$A66))=FALSE,ISERROR(FIND("Plinth",$A66))=FALSE,ISERROR(FIND("Cornice",$A66))=FALSE,ISERROR(FIND("Fillers",$A66))=FALSE,ISERROR(FIND("Pelmet",$A66))=FALSE,ISERROR(FIND("panel",$A66))=FALSE,ISERROR(FIND("post",$A66))=FALSE),VLOOKUP(KitchenDoorFinish,FixedListsFinishes,3,0),IF(OR(ISERROR(FIND("drawer",$A66))=FALSE,ISERROR(FIND("insert",$A66))=FALSE,ISERROR(FIND("rck",$A66))=FALSE),VLOOKUP(KitchenCarcassFinish,FixedListsFinishes,3,0),0))))</f>
        <v>1</v>
      </c>
      <c r="AE66" s="156">
        <f t="shared" si="6"/>
        <v>1</v>
      </c>
      <c r="AF66" s="157" t="str">
        <f>IF(AND(KitchenHandleType="Channel",OR(ISERROR(FIND("arcass",$A66))=FALSE,ISERROR(FIND("unit",$A66))=FALSE)),IF(ISERROR(FIND("Tower",$A66))=TRUE,IF(KitchenHandleFinish="Match carcass",IF(ISERROR(FIND("Walnut",KitchenCarcassMaterial))=FALSE,(0.035*0.075*($C66/1000))*VLOOKUP("Walnut (solid m3)",SolidData,4,FALSE),IF(ISERROR(FIND("Oak",KitchenCarcassMaterial))=FALSE,(0.035*0.075*($C66/1000))*VLOOKUP("Oak (solid m3)",SolidData,4,FALSE),IF(ISERROR(FIND("ply",KitchenCarcassMaterial))=FALSE,(0.1*($C66/1000))*VLOOKUP("Birch ply (24mm)",SheetsData,7,FALSE),IF(ISERROR(FIND("H/F",KitchenCarcassMaterial))=FALSE,(0.1*($C66/1000))*VLOOKUP("H/F (22mm)",SheetsData,7,FALSE),"Carcass - not tower - new material")))),IF(KitchenHandleFinish="Match door",IF(ISERROR(FIND("Walnut",KitchenDoorMaterial))=FALSE,(0.035*0.075*($C66/1000))*VLOOKUP("Walnut (solid m3)",SolidData,4,FALSE),IF(ISERROR(FIND("Oak",KitchenDoorMaterial))=FALSE,(0.035*0.075*($C66/1000))*VLOOKUP("Oak (solid m3)",SolidData,4,FALSE),IF(ISERROR(FIND("ply",KitchenDoorMaterial))=FALSE,(0.1*($C66/1000))*VLOOKUP("Birch ply (24mm)",SheetsData,7,FALSE),IF(ISERROR(FIND("H/F",KitchenCarcassMaterial))=FALSE,(0.1*($C66/1000))*VLOOKUP("H/F (22mm)",SheetsData,7,FALSE),"Door - not tower - new material")))),"Channel - not tower - handle set to other")),IF(ISERROR(FIND("Tower",$A66))=FALSE,IF(KitchenHandleFinish="Match carcass",IF(ISERROR(FIND("Walnut",KitchenCarcassMaterial))=FALSE,(0.035*0.075*($B66/1000))*VLOOKUP("Walnut (solid m3)",SolidData,4,FALSE),IF(ISERROR(FIND("Oak",KitchenCarcassMaterial))=FALSE,(0.035*0.075*($B66/1000))*VLOOKUP("Oak (solid m3)",SolidData,4,FALSE),IF(ISERROR(FIND("ply",KitchenCarcassMaterial))=FALSE,(0.1*($B66/1000))*VLOOKUP("Birch ply (24mm)",SheetsData,7,FALSE),IF(ISERROR(FIND("H/F",KitchenCarcassMaterial))=FALSE,(0.1*($C66/1000))*VLOOKUP("H/F (22mm)",SheetsData,7,FALSE),"Carcass - tower - new material")))),IF(KitchenHandleFinish="Match door",IF(ISERROR(FIND("Walnut",KitchenDoorMaterial))=FALSE,(0.035*0.075*($B66/1000))*VLOOKUP("Walnut (solid m3)",SolidData,4,FALSE),IF(ISERROR(FIND("Oak",KitchenDoorMaterial))=FALSE,(0.035*0.075*($B66/1000))*VLOOKUP("Oak (solid m3)",SolidData,4,FALSE),IF(ISERROR(FIND("ply",KitchenDoorMaterial))=FALSE,(0.1*($B66/1000))*VLOOKUP("Birch ply (24mm)",SheetData,7,FALSE),IF(ISERROR(FIND("H/F",KitchenCarcassMaterial))=FALSE,(0.1*($C66/1000))*VLOOKUP("H/F (22mm)",SheetsData,7,FALSE),"Door - tower - new material")))),"Channel - tower - handle set to other")))),"")</f>
        <v/>
      </c>
    </row>
    <row r="67">
      <c r="A67" s="158" t="s">
        <v>175</v>
      </c>
      <c r="B67" s="115" t="str">
        <f t="shared" si="1"/>
        <v>120</v>
      </c>
      <c r="C67" s="115" t="str">
        <f>IFERROR(__xludf.DUMMYFUNCTION("IF(A67="""","""",IF(OR(RIGHT(A67,LEN(A67)-len(regexextract(A67,"".* "")))=""1200"",RIGHT(A67,LEN(A67)-len(regexextract(A67,"".* "")))=""600"",RIGHT(A67,LEN(A67)-len(regexextract(A67,"".* "")))=""400"",RIGHT(A67,LEN(A67)-len(regexextract(A67,"".* "")))=""3"&amp;"00"",RIGHT(A67,LEN(A67)-len(regexextract(A67,"".* "")))=""700"",RIGHT(A67,LEN(A67)-len(regexextract(A67,"".* "")))=""2400"",RIGHT(A67,LEN(A67)-len(regexextract(A67,"".* "")))=""650"",RIGHT(A67,LEN(A67)-len(regexextract(A67,"".* "")))=""350"",RIGHT(A67,LEN"&amp;"(A67)-len(regexextract(A67,"".* "")))=""50""),RIGHT(A67,LEN(A67)-len(regexextract(A67,"".* ""))),IF(OR(ISERROR(FIND(""spacer"",A67))=FALSE,ISERROR(FIND(""filler panel"",A67))=FALSE),""1000"",""Unexpected size in description"")))"),"1200")</f>
        <v>1200</v>
      </c>
      <c r="D67" s="151">
        <f t="shared" si="2"/>
        <v>600</v>
      </c>
      <c r="E67" s="152">
        <f>IFERROR(__xludf.DUMMYFUNCTION("IF(OR(A67="""",AND(ISERROR(FIND(""drawer box"",A67))=FALSE,KitchenDrawerType="""")),"""",IF(OR(ISERROR(FIND(""larder"",A67))=FALSE,ISERROR(FIND(""fridge/freezer"",A67))=FALSE,ISERROR(FIND(""double oven"",A67))=FALSE,ISERROR(FIND(""single oven"",A67))=FALS"&amp;"E),VLOOKUP(LEFT(A67,FIND("" "",A67))&amp;""carcass ""&amp;RIGHT(A67,LEN(A67)-(LEN(A67)-3)),KitchensData,5,0),IF(ISERROR(FIND(""sink"",A67))=FALSE,VLOOKUP(LEFT(A67,FIND("" "",A67))&amp;""carcass ""&amp;VALUE(REGEXREPLACE(A67,""[^[:digit:]]"", """")),KitchensData,5,0)+(((C"&amp;"67/1000)*(300/1000))*VLOOKUP(KitchenCarcassMaterial,SheetsData,8,0)),IF(ISERROR(FIND(""bins"",A67))=FALSE,IF(ISERROR(FIND(""veneer"",KitchenCarcassMaterial))=FALSE,VLOOKUP(""Base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600"",A67))=FALSE,IF(ISERROR(FIND(""veneer"""&amp;",KitchenCarcassMaterial))=FALSE,0.54*(VLOOKUP(LEFT(KitchenCarcassMaterial,FIND(""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1200"",A67))=FALSE,"&amp;"IF(ISERROR(FIND(""veneer"",KitchenCarcassMaterial))=FALSE,0.84*(VLOOKUP(LEFT(KitchenCarcassMaterial,FIND(""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600"",A67))=FALSE,IF(ISERROR(FIND(""veneer"",KitchenCarcassMaterial))=FALSE,1.44*(VLOOKUP(LEFT(KitchenCarcassMaterial,FIND(""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1200"",A67))=FALSE,IF(ISERROR(FIND(""veneer"",KitchenCarcassMaterial))=FALSE,2.7*(VLOOKUP(LEFT(KitchenCarcassMaterial,FIND(""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front"",A67))=FALSE,((B67/1000)*(C67/1000))*VLOOKUP(KitchenDoorMaterial,SheetsData,8,0),IF(AND(KitchenDrawerType=""Match carcass"",ISERROR(FIND(""drawer box"",A67))=FALSE),(((((B67/1000)*(C67/1000))+((B67/1000"&amp;")*(D67/1000)))*2)*VLOOKUP(KitchenCarcassMaterial,SheetsData,8,0))+(((C67/1000)*(D67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box"",A67))=FALSE),(((((B67/1000)*(C67/1000))+((B67/1000)*(D67/1000)))*2)*(16/1000)*VLOOKUP(LEFT(KitchenCarcassMaterial,FIND("" "&amp;""",KitchenCarcassMaterial))&amp;""(solid m3)"",SolidData,5,0))+(((C67/1000)*(D67/1000))*VLOOKUP(LEFT(KitchenCarcassMaterial,FIND(""("",KitchenCarcassMaterial)-1)&amp;IF(OR(ISERROR(FIND(""ply"",KitchenCarcassMaterial))=FALSE,ISERROR(FIND(""H/F"",KitchenCarcassMate"&amp;"rial))=FALSE),""(9mm)"",""(10mm)""),SheetsData,8,0)),IF(ISERROR(FIND(""spacer"",A67))=FALSE,((D67/1000)*(C67/1000))*VLOOKUP(""Poplar ply (18mm)"",SheetsData,8,0),IF(ISERROR(FIND(""filler panel"",A67))=FALSE,((B67/1000)*(C67/1000))*VLOOKUP(KitchenDoorMater"&amp;"ial,SheetsData,8,0),IF(ISERROR(FIND(""shelf"",A67))=FALSE,((D67/1000)*(C67/1000))*VLOOKUP(KitchenCarcassMaterial,SheetsData,8,0),IF(ISERROR(FIND(""lost corner"",A67))=FALSE,VLOOKUP(LEFT(A67,FIND("" "",A67))&amp;""carcass ""&amp;VALUE(REGEXREPLACE(A67,""[^[:digit:"&amp;"]]"", """")),KitchensData,5,0)+((((B67/1000)*(C67/1000))+((B67/1000)*(60/1000)))*VLOOKUP(KitchenCarcassMaterial,SheetsData,8,0)),IF(ISERROR(FIND(""carcass"",A67))=FALSE,(((((B67/1000)*2)*(D67/1000))+(((C67/1000)*2)*(D67/1000)))*VLOOKUP(KitchenCarcassMater"&amp;"ial,SheetsData,8,0))+((B67/1000)*(C67/1000))*VLOOKUP(LEFT(KitchenCarcassMaterial,FIND(""("",KitchenCarcassMaterial)-1)&amp;IF(OR(ISERROR(FIND(""ply"",KitchenCarcassMaterial))=FALSE,ISERROR(FIND(""H/F"",KitchenCarcassMaterial))=FALSE),""(9mm)"",""(10mm)""),She"&amp;"etsData,8,0),IF(OR(ISERROR(FIND(""Plinth"",A67))=FALSE,ISERROR(FIND(""Cornice (flat)"",A67))=FALSE),((B67/1000)*(C67/1000))*VLOOKUP(""H/F (18mm)"",SheetsData,8,0),IF(ISERROR(FIND(""Cornice (stacked)"",A67))=FALSE,((0.08*(C67/1000))*2)*VLOOKUP(""H/F (22mm)"&amp;""",SheetsData,8,0),IF(ISERROR(FIND(""Base end panel"",A67))=FALSE,VLOOKUP(KitchenDoorMaterial,SheetsData,5,0)/3,IF(ISERROR(FIND(""Wall end panel"",A67))=FALSE,VLOOKUP(KitchenDoorMaterial,SheetsData,5,0)/9,IF(ISERROR(FIND(""Tower end panel"",A67))=FALSE,VL"&amp;"OOKUP(KitchenDoorMaterial,SheetsData,5,0),IF(ISERROR(FIND(""Fillers"",A67))=FALSE,(((0.06*(C67/1000))*2)*VLOOKUP(""H/F (18mm)"",SheetsData,8,0))+(((0.06*(C67/1000))*2)*VLOOKUP(""H/F (9mm)"",SheetsData,8,0)),IF(ISERROR(FIND(""corner post"",A67))=FALSE,(((B"&amp;"67/1000)*0.05)*2)*VLOOKUP(KitchenDoorMaterial,SheetsData,8,0),IF(ISERROR(FIND(""Pelmet"",A67))=FALSE,((((B67/1000)*(C67/1000))*2)*VLOOKUP(""H/F (18mm)"",SheetsData,8,0)),IF(ISERROR(FIND(""door"",A67))=TRUE,""Check description"",IF(KitchenDoorStyle=""Flat"&amp;""",((B67/1000)*(C67/1000))*VLOOKUP(KitchenDoorMaterial,SheetsData,8,0),IF(LEFT(KitchenDoorStyle,5)=""Panel"",(((((B67/1000)*2)*0.08)+((((C67/1000)-0.16)*2)*0.08))*VLOOKUP(""H/F (22mm)"",SheetsData,8,0))+(((B67/1000)-0.14)*((C67/1000)-0.14)*VLOOKUP(""H/F ("&amp;"9mm)"",SheetsData,8,0)),IF(KitchenDoorStyle=""In-frame flat"",((((((B67/1000)*0.019)*0.038)+((((C67-38)/1000)*0.038)*0.038))*2)*VLOOKUP(""Tulip (solid m3)"",SolidData,5,0))+(((B67-76)/1000)*((C67-38)/1000))*VLOOKUP(""H/F (22mm)"",SheetsData,8,0),IF(LEFT(K"&amp;"itchenDoorStyle,14)=""In-frame panel"",(((((((B67/1000)*0.019)*0.038)+((((C67-38)/1000)*0.038)*0.038))*2)*VLOOKUP(""Tulip (solid m3)"",SolidData,5,0))+(((((((B67-76)/1000)*2)*0.08)+(((((C67-198)/1000)*2)*0.08)))*VLOOKUP(""H/F (22mm)"",SheetsData,8,0))+((("&amp;"B67-216)/1000)*((C67-178)/1000)*VLOOKUP(""H/F (9mm)"",SheetsData,8,0)))))))))))))))))))))))))))))))))"),29.82746573501747)</f>
        <v>29.82746574</v>
      </c>
      <c r="F67" s="152">
        <f>IFERROR(__xludf.DUMMYFUNCTION("IF(OR(A67="""",AND(ISERROR(FIND(""drawer box"",A67))=FALSE,KitchenDrawerType=""Solid dovetail"")),"""",IF(ISERROR(FIND(""bins"",A67))=FALSE,VLOOKUP(""Base carcass 600"",KitchensData,6,0),IF(OR(ISERROR(FIND(""larder"",A67))=FALSE,ISERROR(FIND(""unit"",A67)"&amp;")=FALSE),VLOOKUP(LEFT(A67,FIND("" "",A67))&amp;""carcass ""&amp;RIGHT(A67,LEN(A67)-len(regexextract(A67,"".* ""))),KitchensData,6,0),IF(ISERROR(FIND(""drawer front"",A67))=FALSE,IF(ISERROR(FIND(""veneer"",KitchenCarcassMaterial))=TRUE,0,(((B67+C67)/1000)*2)*VLOOK"&amp;"UP(""Edge banding (per M)"",SheetsData,5,0)),IF(ISERROR(FIND(""drawer box"",A67))=FALSE,IF(ISERROR(FIND(""veneer"",KitchenCarcassMaterial))=TRUE,0,(((C67+D67)/1000)*2)*VLOOKUP(""Edge banding (per M)"",SheetsData,5,0)),IF(ISERROR(FIND(""shelf"",A67))=FALSE"&amp;",IF(ISERROR(FIND(""veneer"",KitchenCarcassMaterial))=TRUE,0,(C67/1000)*VLOOKUP(""Edge banding (per M)"",SheetsData,5,0)),IF(AND(ISERROR(FIND(""carcass"",A67))=FALSE,ISERROR(FIND(""shelf"",A67))=TRUE),IF(ISERROR(FIND(""veneer"",KitchenCarcassMaterial))=TRU"&amp;"E,0,((2*(B67+C67))/1000)*VLOOKUP(""Edge banding (per M)"",SheetsData,5,0)),IF(ISERROR(FIND(""door"",A67))=TRUE,"""",IF(ISERROR(FIND(""veneer"",KitchenDoorMaterial))=TRUE,"""",((2*(B67+C67))/1000)*VLOOKUP(""Edge banding (per M)"",SheetsData,5,0))))))))))"),0.0)</f>
        <v>0</v>
      </c>
      <c r="G67" s="153" t="str">
        <f>IF(A67="","",IF(ISERROR(FIND("bins",A67))=FALSE,VLOOKUP("Base carcass 600",KitchensData,7,0),IF(OR(ISERROR(FIND("larder",A67))=FALSE,ISERROR(FIND("fridge/freezer",A67))=FALSE,ISERROR(FIND("double oven",A67))=FALSE,ISERROR(FIND("single oven",A67))=FALSE),VLOOKUP(LEFT(A67,FIND(" ",A67))&amp;"carcass "&amp;RIGHT(A67,LEN(A67)-(LEN(A67)-3)),KitchensData,7,0),IF(AND(ISERROR(FIND("carcass",A67))=FALSE,ISERROR(FIND("shelf",A67))=TRUE),IF(OR(ISERROR(FIND("Base",A67))=FALSE,ISERROR(FIND("Tower",A67))=FALSE),IF(OR(ISERROR(FIND("1200",A67))=FALSE, ISERROR(FIND("lost corner",A67))=FALSE),6*VLOOKUP("Plinth foot (2 Parts 80mm)",FurnitureData,5,0),4*VLOOKUP("Plinth foot (2 Parts 80mm)",FurnitureData,5,0)),""),""))))</f>
        <v/>
      </c>
      <c r="H67" s="115" t="str">
        <f>IF(OR(A67="",ISERROR(FIND("door",A67))=TRUE),"",IF(ISERROR(FIND("Wall",A67))=FALSE,VLOOKUP("Hinges &amp; plates (Hettich thick door)",FurnitureData,5,0)*2,IF(ISERROR(FIND("Base",A67))=FALSE,VLOOKUP("Hinges &amp; plates (Hettich thick door)",FurnitureData,5,0)*3,IF(ISERROR(FIND("Boiler",A67))=FALSE,VLOOKUP("Hinges &amp; plates (Hettich thick door)",FurnitureData,5,0)*4,IF(ISERROR(FIND("Tower",A67))=FALSE,VLOOKUP("Hinges &amp; plates (Hettich thick door)",FurnitureData,5,0)*5)))))</f>
        <v/>
      </c>
      <c r="I67" s="115" t="str">
        <f>IF(ISERROR(FIND("shelf",A67))=FALSE,(VLOOKUP("Shelf pegs",FurnitureData,5,0)/100)*4,"")</f>
        <v/>
      </c>
      <c r="J67" s="152" t="str">
        <f>IF(OR(ISERROR(FIND("fridge/freezer",A67))=FALSE,ISERROR(FIND("larder",A67))=FALSE,AND(ISERROR(FIND("Base",A67))=FALSE,ISERROR(FIND("bins",A67))=TRUE,ISERROR(FIND("no shelves",A67))=TRUE,OR(ISERROR(FIND("carcass",A67))=FALSE,ISERROR(FIND("unit",A67))=FALSE))),VLOOKUP("Deep shelf "&amp;C67,KitchensData,18,0),IF(AND(ISERROR(FIND("Wall",A67))=FALSE,ISERROR(FIND("carcass",A67))=FALSE),2*VLOOKUP("Shallow shelf "&amp;C67,KitchensData,18,0),IF(AND(ISERROR(FIND("Tower",A67))=FALSE,ISERROR(FIND("oven",A67))=FALSE),4*VLOOKUP("Deep shelf "&amp;C67,KitchensData,18,0),IF(AND(ISERROR(FIND("Tower",A67))=FALSE,ISERROR(FIND("carcass",A67))=FALSE),5*VLOOKUP("Deep shelf "&amp;C67,KitchensData,18,0),""))))</f>
        <v/>
      </c>
      <c r="K67" s="152">
        <f>IF(ISERROR(FIND("sink",A67))=FALSE,VLOOKUP("Sink liner - Aluminium "&amp;RIGHT(A67,LEN(A67)-22)&amp;"mm",ExceptionalData,5,0),IF(ISERROR(FIND("bins",A67))=FALSE,VLOOKUP("Drawer runners and clip set for bin unit (500) Dynapro",FurnitureData,5,0)+(2*VLOOKUP("Bin (42L Anthracite)",FurnitureData,5,0)),IF(ISERROR(FIND("larder",A67))=FALSE,VLOOKUP("Pull out larder unit 600mm",FurnitureData,5,0),IF(AND(ISERROR(FIND("drawer box",A67))=FALSE,ISERROR(FIND("internal",A67))=TRUE),VLOOKUP("Drawer runners and clip set (550) Dynapro",FurnitureData,5,0),IF(ISERROR(FIND("internal drawer box",A67))=FALSE,VLOOKUP("Drawer runners and clip set (450) Dynapro",FurnitureData,5,0),"")))))</f>
        <v>52.54</v>
      </c>
      <c r="L67" s="152">
        <f t="shared" si="3"/>
        <v>82.36746574</v>
      </c>
      <c r="M67" s="154">
        <f>IFERROR(__xludf.DUMMYFUNCTION("IF(A67="""","""",IF(OR(ISERROR(FIND(""larder"",A67))=FALSE,ISERROR(FIND(""unit"",A67))=FALSE),VLOOKUP(LEFT(A67,FIND("" "",A67))&amp;""carcass ""&amp;RIGHT(A67,LEN(A67)-len(regexextract(A67,"".* ""))),KitchensData,13,0),IF(ISERROR(FIND(""bins"",A67))=FALSE,0.95,IF"&amp;"(ISERROR(FIND(""Cutlery insert 600"",A67))=FALSE,1.3,IF(ISERROR(FIND(""Cutlery insert 1200"",A67))=FALSE,2,IF(ISERROR(FIND(""Pan/tray rack 600"",A67))=FALSE,3.25,IF(ISERROR(FIND(""Pan/tray rack 1200"",A67))=FALSE,5.9,IF(ISERROR(FIND(""split"",A67))=FALSE,"&amp;"(((C67/1000)*0.022)*2)+VLOOKUP(SUBSTITUTE(A67,"" split"",""""),KitchensData,13,0),IF(AND(ISERROR(FIND(""drawer front"",A67))=FALSE,KitchenDoorStyle=""Flat""),(((B67/1000)*(C67/1000))*2)+((((B67+C67)/1000)*2)*0.022),IF(AND(ISERROR(FIND(""drawer front"",A67"&amp;"))=FALSE,LEFT(KitchenDoorStyle,5)=""Panel""),(((B67/1000)*(C67/1000))*2)+((((B67+C67)/1000)*2)*0.022)+((((C67/1000)-0.16)*0.013)*2)+((((D67/1000)-0.16)*0.013)*2),IF(AND(ISERROR(FIND(""drawer front"",A67))=FALSE,KitchenDoorStyle=""In-frame flat""),((((B67-"&amp;"76)/1000)*((C67-38)/1000))*2)+(MID(KitchenDoorMaterial,FIND(""("",KitchenDoorMaterial)+1,2)/1000)*((((B67-76)+(C67-38))/1000)*2)+(((B67/1000)*0.032)*2)+((((B67-76)/1000)*0.032)*2)+(((B67/1000)*0.019)*4)+(((C67/1000)*0.032)*2)+((((C67-38)/1000)*0.032)*2)+("&amp;"((C67/1000)*0.038)*4),IF(AND(ISERROR(FIND(""drawer front"",A67))=FALSE,LEFT(KitchenDoorStyle,14)=""In-frame panel""),((((B67-76)/1000)*((C67-38)/1000))*2)+((MID(KitchenDoorMaterial,FIND(""("",KitchenDoorMaterial)+1,2)/1000)*((((B67-76)+(C67-38))/1000)*2))"&amp;"+((((B67-236)/1000)+((C67-198)/1000)*2)*0.013)+(((B67/1000)*0.032)*2)+((((B67-76)/1000)*0.032)*2)+(((B67/1000)*0.019)*4)+(((C67/1000)*0.032)*2)+((((C67-38)/1000)*0.032)*2)+(((C67/1000)*0.038)*4),IF(ISERROR(FIND(""drawer box"",A67))=FALSE,((((B67/1000)*(D6"&amp;"7/1000))+((B67/1000)*(C67/1000)))*4)+((((D67/1000)+(C67/1000))*0.016)*4)+(((C67/1000)*(D67/1000))*2),IF(OR(ISERROR(FIND(""shelf"",A67))=FALSE,ISERROR(FIND(""spacer"",A67))=FALSE,,ISERROR(FIND(""filler panel"",A67))=FALSE),(((C67/1000)*(D67/1000))*2)+((((C"&amp;"67+D67)*2)/1000)*0.022),IF(ISERROR(FIND(""lost corner"",A67))=FALSE,(((B67/1000)*(C67/1000))*2)+((B67/1000)*(C67/1000))+((B67/1000)*((C67/2)/1000))+((((B67/1000)*0.025)+((C67/1000)*0.025))*2),IF(ISERROR(FIND(""carcass"",A67))=FALSE,(((C67/1000)*(D67/1000)"&amp;")*2)+(((B67/1000)*(D67/1000))*2)+((B67/1000)*(C67/1000))+((((B67/1000)*0.025)+((C67/1000)*0.025))*2),IF(AND(ISERROR(FIND(""door"",A67))=FALSE,KitchenDoorStyle=""Flat""),(((B67/1000)*(C67/1000))*2)+(MID(KitchenDoorMaterial,FIND(""("",KitchenDoorMaterial)+1"&amp;",2)/1000)*(((B67+C67)/1000)*2),IF(AND(ISERROR(FIND(""door"",A67))=FALSE,LEFT(KitchenDoorStyle,5)=""Panel""),(((B67/1000)*(C67/1000))*2)+((MID(KitchenDoorMaterial,FIND(""("",KitchenDoorMaterial)+1,2)/1000)*(((B67+C67)/1000)*2))+(((((B67-160)+(C67-160))*2)/"&amp;"1000)*(0.013)),IF(AND(ISERROR(FIND(""door"",A67))=FALSE,KitchenDoorStyle=""In-frame flat""),((((B67-76)/1000)*((C67-38)/1000))*2)+(MID(KitchenDoorMaterial,FIND(""("",KitchenDoorMaterial)+1,2)/1000)*((((B67-76)+(C67-38))/1000)*2)+(((B67/1000)*0.032)*2)+((("&amp;"(B67-76)/1000)*0.032)*2)+(((B67/1000)*0.019)*4)+(((C67/1000)*0.032)*2)+((((C67-38)/1000)*0.032)*2)+(((C67/1000)*0.038)*4),IF(AND(ISERROR(FIND(""door"",A67))=FALSE,LEFT(KitchenDoorStyle,14)=""In-frame panel""),((((B67-76)/1000)*((C67-38)/1000))*2)+((MID(Ki"&amp;"tchenDoorMaterial,FIND(""("",KitchenDoorMaterial)+1,2)/1000)*((((B67-76)+(C67-38))/1000)*2))+((((B67-236)/1000)+((C67-198)/1000)*2)*0.013)+(((B67/1000)*0.032)*2)+((((B67-76)/1000)*0.032)*2)+(((B67/1000)*0.019)*4)+(((C67/1000)*0.032)*2)+((((C67-38)/1000)*0"&amp;".032)*2)+(((C67/1000)*0.038)*4),IF(ISERROR(FIND(""Plinth"",A67))=FALSE,((B67/1000)*(C67/1000))+(((C67/1000)*0.018)*2)+(((B67/1000)*0.018)*2),IF(ISERROR(FIND(""Cornice"",A67))=FALSE,(((C67/1000)*0.1)*2)+(((C67/1000)*0.044)*2)+(((B67/1000)*0.08)*2),IF(ISERR"&amp;"OR(FIND(""Base end panel"",A67))=FALSE,((B67/1000)*(C67/1000))+(0.022*((B67/1000)+((C67/1000)*2)))+((B67/1000)*0.05),IF(ISERROR(FIND(""Wall end panel"",A67))=FALSE,((B67/1000)*(C67/1000))+(0.022*((B67/1000)+((C67/1000)*2)))+((B67/1000)*0.05),IF(ISERROR(FI"&amp;"ND(""Tower end panel"",A67))=FALSE,((B67/1000)*(C67/1000))+(0.022*((B67/1000)+((C67/1000)*2)))+((B67/1000)*0.05),IF(ISERROR(FIND(""Fillers"",A67))=FALSE,((C67/1000)*0.06)+((C67/1000)*0.069)+((0.06*0.018)*2)+((0.06*0.009)*2)+((C67/1000)*0.009)+((C67/1000)*"&amp;"0.018),IF(ISERROR(FIND(""corner post"",A67))=FALSE,(((B67/1000*0.05)*2)+((B67/1000)*0.022)*2)+((B67/1000)*0.072)+((B67/1000)*0.05)+((0.072*0.022)*2)+((0.05*0.022)*2),IF(ISERROR(FIND(""Pelmet"",A67))=FALSE,((C67/1000)*0.05)+((C67/1000)*0.068)+((0.05*0.018)"&amp;"*4)+(((C67/1000)*0.018))*2))))))))))))))))))))))))))))"),2.4192)</f>
        <v>2.4192</v>
      </c>
      <c r="N67" s="152">
        <f>IF(M67="","",IF(AND(ISERROR(FIND("carcass",A67))=TRUE,ISERROR(FIND("unit",A67))=TRUE,ISERROR(FIND("insert",A67))=TRUE,ISERROR(FIND("rack",A67))=TRUE,ISERROR(FIND("box",A67))=TRUE,ISERROR(FIND("shelf",#REF!))=TRUE),VLOOKUP(KitchenDoorFinish,Finishing!$A$2:$K$10,9,0)*M67,VLOOKUP(KitchenCarcassFinish,Finishing!$A$2:$K$40,9,0)*M67))</f>
        <v>9.072</v>
      </c>
      <c r="O67" s="155">
        <v>3.5</v>
      </c>
      <c r="P67" s="155">
        <v>1.0</v>
      </c>
      <c r="Q67" s="152">
        <f>IF(OR(O67="",P67=""),"",((O67*X67)*(VLOOKUP("Workshop",Labour!$A$3:$E$20,4,0)/8))+((P67*AE67)*(VLOOKUP("Finishing",Labour!$A$3:$E$20,4,0)/8)))</f>
        <v>181.125</v>
      </c>
      <c r="R67" s="152">
        <f t="shared" si="4"/>
        <v>272.5644657</v>
      </c>
      <c r="S67" s="156">
        <f>IF(OR(O67="",P67=""),"",IF(OR(ISERROR(FIND("carcass",$A67))=FALSE,ISERROR(FIND("unit",$A67))=FALSE),VLOOKUP(KitchenCarcassMaterial,FixedListsCarcassMaterial,2,0),0))</f>
        <v>0</v>
      </c>
      <c r="T67" s="156">
        <f>IF(OR(O67="",P67=""),"",IF(ISERROR(FIND("door",$A67))=FALSE,VLOOKUP(KitchenDoorStyle,FixedListsDoorStyle,2,0),0))</f>
        <v>0</v>
      </c>
      <c r="U67" s="156">
        <f>IF(OR(O67="",P67=""),"",IF(ISERROR(FIND("door",$A67))=FALSE,VLOOKUP(KitchenDoorMaterial,FixedListsDoorMaterial,2,0),0))</f>
        <v>0</v>
      </c>
      <c r="V67" s="156">
        <f>IF(OR(O67="",P67=""),"",IF(ISERROR(FIND("drawer",$A67))=FALSE,VLOOKUP(KitchenDrawerType,FixedListsDrawerType,2,0),0))</f>
        <v>1</v>
      </c>
      <c r="W67" s="156">
        <f>IF(OR(O67="",P67=""),"",IF(OR(S67&gt;0, T67&gt;0,V67&gt;0),VLOOKUP(KitchenHandleType,FixedListsHandleType,2,FALSE)*IF(KitchenHandleType="Simple",0,IF(S67&gt;0,VLOOKUP(KitchenHandleType,FixedListsHandleType,4,FALSE),IF(OR(T67&gt;0,V67&gt;0),1-VLOOKUP(KitchenHandleType,FixedListsHandleType,4,FALSE),"Error"))),0))</f>
        <v>0</v>
      </c>
      <c r="X67" s="156">
        <f t="shared" si="5"/>
        <v>1</v>
      </c>
      <c r="Y67" s="156">
        <f>IF(OR(O67="",P67=""),"",IF(OR(ISERROR(FIND("carcass",$A67))=FALSE,ISERROR(FIND("unit",$A67))=FALSE),VLOOKUP(KitchenCarcassMaterial,FixedListsCarcassMaterial,3,0),0))</f>
        <v>0</v>
      </c>
      <c r="Z67" s="156">
        <f>IF(OR(O67="",P67=""),"",IF(ISERROR(FIND("door",$A67))=FALSE,VLOOKUP(KitchenDoorStyle,FixedListsDoorStyle,3,0),0))</f>
        <v>0</v>
      </c>
      <c r="AA67" s="156">
        <f>IF(OR(O67="",P67=""),"",IF(ISERROR(FIND("door",$A67))=FALSE,VLOOKUP(KitchenDoorMaterial,FixedListsDoorMaterial,3,0),0))</f>
        <v>0</v>
      </c>
      <c r="AB67" s="156">
        <f>IF(OR(O67="",P67=""),"",IF(ISERROR(FIND("drawer",$A67))=FALSE,VLOOKUP(KitchenDrawerType,FixedListsDrawerType,3,0),0))</f>
        <v>1</v>
      </c>
      <c r="AC67" s="156">
        <f>IF(OR(O67="",P67=""),"",IF(OR(Y67&gt;0,Z67&gt;0,AB67&gt;0),VLOOKUP(KitchenHandleType,FixedListsHandleType,3,FALSE),0))</f>
        <v>1</v>
      </c>
      <c r="AD67" s="156">
        <f>IF(OR(O67="",P67=""),"",IF(OR(ISERROR(FIND("carcass",$A67))=FALSE,ISERROR(FIND("unit",$A67))=FALSE),VLOOKUP(KitchenCarcassFinish,FixedListsFinishes,3,0),IF(OR(ISERROR(FIND("door",$A67))=FALSE,ISERROR(FIND("Plinth",$A67))=FALSE,ISERROR(FIND("Cornice",$A67))=FALSE,ISERROR(FIND("Fillers",$A67))=FALSE,ISERROR(FIND("Pelmet",$A67))=FALSE,ISERROR(FIND("panel",$A67))=FALSE,ISERROR(FIND("post",$A67))=FALSE),VLOOKUP(KitchenDoorFinish,FixedListsFinishes,3,0),IF(OR(ISERROR(FIND("drawer",$A67))=FALSE,ISERROR(FIND("insert",$A67))=FALSE,ISERROR(FIND("rck",$A67))=FALSE),VLOOKUP(KitchenCarcassFinish,FixedListsFinishes,3,0),0))))</f>
        <v>1</v>
      </c>
      <c r="AE67" s="156">
        <f t="shared" si="6"/>
        <v>1</v>
      </c>
      <c r="AF67" s="157" t="str">
        <f>IF(AND(KitchenHandleType="Channel",OR(ISERROR(FIND("arcass",$A67))=FALSE,ISERROR(FIND("unit",$A67))=FALSE)),IF(ISERROR(FIND("Tower",$A67))=TRUE,IF(KitchenHandleFinish="Match carcass",IF(ISERROR(FIND("Walnut",KitchenCarcassMaterial))=FALSE,(0.035*0.075*($C67/1000))*VLOOKUP("Walnut (solid m3)",SolidData,4,FALSE),IF(ISERROR(FIND("Oak",KitchenCarcassMaterial))=FALSE,(0.035*0.075*($C67/1000))*VLOOKUP("Oak (solid m3)",SolidData,4,FALSE),IF(ISERROR(FIND("ply",KitchenCarcassMaterial))=FALSE,(0.1*($C67/1000))*VLOOKUP("Birch ply (24mm)",SheetsData,7,FALSE),IF(ISERROR(FIND("H/F",KitchenCarcassMaterial))=FALSE,(0.1*($C67/1000))*VLOOKUP("H/F (22mm)",SheetsData,7,FALSE),"Carcass - not tower - new material")))),IF(KitchenHandleFinish="Match door",IF(ISERROR(FIND("Walnut",KitchenDoorMaterial))=FALSE,(0.035*0.075*($C67/1000))*VLOOKUP("Walnut (solid m3)",SolidData,4,FALSE),IF(ISERROR(FIND("Oak",KitchenDoorMaterial))=FALSE,(0.035*0.075*($C67/1000))*VLOOKUP("Oak (solid m3)",SolidData,4,FALSE),IF(ISERROR(FIND("ply",KitchenDoorMaterial))=FALSE,(0.1*($C67/1000))*VLOOKUP("Birch ply (24mm)",SheetsData,7,FALSE),IF(ISERROR(FIND("H/F",KitchenCarcassMaterial))=FALSE,(0.1*($C67/1000))*VLOOKUP("H/F (22mm)",SheetsData,7,FALSE),"Door - not tower - new material")))),"Channel - not tower - handle set to other")),IF(ISERROR(FIND("Tower",$A67))=FALSE,IF(KitchenHandleFinish="Match carcass",IF(ISERROR(FIND("Walnut",KitchenCarcassMaterial))=FALSE,(0.035*0.075*($B67/1000))*VLOOKUP("Walnut (solid m3)",SolidData,4,FALSE),IF(ISERROR(FIND("Oak",KitchenCarcassMaterial))=FALSE,(0.035*0.075*($B67/1000))*VLOOKUP("Oak (solid m3)",SolidData,4,FALSE),IF(ISERROR(FIND("ply",KitchenCarcassMaterial))=FALSE,(0.1*($B67/1000))*VLOOKUP("Birch ply (24mm)",SheetsData,7,FALSE),IF(ISERROR(FIND("H/F",KitchenCarcassMaterial))=FALSE,(0.1*($C67/1000))*VLOOKUP("H/F (22mm)",SheetsData,7,FALSE),"Carcass - tower - new material")))),IF(KitchenHandleFinish="Match door",IF(ISERROR(FIND("Walnut",KitchenDoorMaterial))=FALSE,(0.035*0.075*($B67/1000))*VLOOKUP("Walnut (solid m3)",SolidData,4,FALSE),IF(ISERROR(FIND("Oak",KitchenDoorMaterial))=FALSE,(0.035*0.075*($B67/1000))*VLOOKUP("Oak (solid m3)",SolidData,4,FALSE),IF(ISERROR(FIND("ply",KitchenDoorMaterial))=FALSE,(0.1*($B67/1000))*VLOOKUP("Birch ply (24mm)",SheetData,7,FALSE),IF(ISERROR(FIND("H/F",KitchenCarcassMaterial))=FALSE,(0.1*($C67/1000))*VLOOKUP("H/F (22mm)",SheetsData,7,FALSE),"Door - tower - new material")))),"Channel - tower - handle set to other")))),"")</f>
        <v/>
      </c>
    </row>
    <row r="68">
      <c r="A68" s="150" t="s">
        <v>176</v>
      </c>
      <c r="B68" s="115" t="str">
        <f t="shared" si="1"/>
        <v>180</v>
      </c>
      <c r="C68" s="115" t="str">
        <f>IFERROR(__xludf.DUMMYFUNCTION("IF(A68="""","""",IF(OR(RIGHT(A68,LEN(A68)-len(regexextract(A68,"".* "")))=""1200"",RIGHT(A68,LEN(A68)-len(regexextract(A68,"".* "")))=""600"",RIGHT(A68,LEN(A68)-len(regexextract(A68,"".* "")))=""400"",RIGHT(A68,LEN(A68)-len(regexextract(A68,"".* "")))=""3"&amp;"00"",RIGHT(A68,LEN(A68)-len(regexextract(A68,"".* "")))=""700"",RIGHT(A68,LEN(A68)-len(regexextract(A68,"".* "")))=""2400"",RIGHT(A68,LEN(A68)-len(regexextract(A68,"".* "")))=""650"",RIGHT(A68,LEN(A68)-len(regexextract(A68,"".* "")))=""350"",RIGHT(A68,LEN"&amp;"(A68)-len(regexextract(A68,"".* "")))=""50""),RIGHT(A68,LEN(A68)-len(regexextract(A68,"".* ""))),IF(OR(ISERROR(FIND(""spacer"",A68))=FALSE,ISERROR(FIND(""filler panel"",A68))=FALSE),""1000"",""Unexpected size in description"")))"),"600")</f>
        <v>600</v>
      </c>
      <c r="D68" s="151">
        <f t="shared" si="2"/>
        <v>600</v>
      </c>
      <c r="E68" s="152">
        <f>IFERROR(__xludf.DUMMYFUNCTION("IF(OR(A68="""",AND(ISERROR(FIND(""drawer box"",A68))=FALSE,KitchenDrawerType="""")),"""",IF(OR(ISERROR(FIND(""larder"",A68))=FALSE,ISERROR(FIND(""fridge/freezer"",A68))=FALSE,ISERROR(FIND(""double oven"",A68))=FALSE,ISERROR(FIND(""single oven"",A68))=FALS"&amp;"E),VLOOKUP(LEFT(A68,FIND("" "",A68))&amp;""carcass ""&amp;RIGHT(A68,LEN(A68)-(LEN(A68)-3)),KitchensData,5,0),IF(ISERROR(FIND(""sink"",A68))=FALSE,VLOOKUP(LEFT(A68,FIND("" "",A68))&amp;""carcass ""&amp;VALUE(REGEXREPLACE(A68,""[^[:digit:]]"", """")),KitchensData,5,0)+(((C"&amp;"68/1000)*(300/1000))*VLOOKUP(KitchenCarcassMaterial,SheetsData,8,0)),IF(ISERROR(FIND(""bins"",A68))=FALSE,IF(ISERROR(FIND(""veneer"",KitchenCarcassMaterial))=FALSE,VLOOKUP(""Base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600"",A68))=FALSE,IF(ISERROR(FIND(""veneer"""&amp;",KitchenCarcassMaterial))=FALSE,0.54*(VLOOKUP(LEFT(KitchenCarcassMaterial,FIND(""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1200"",A68))=FALSE,"&amp;"IF(ISERROR(FIND(""veneer"",KitchenCarcassMaterial))=FALSE,0.84*(VLOOKUP(LEFT(KitchenCarcassMaterial,FIND(""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600"",A68))=FALSE,IF(ISERROR(FIND(""veneer"",KitchenCarcassMaterial))=FALSE,1.44*(VLOOKUP(LEFT(KitchenCarcassMaterial,FIND(""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1200"",A68))=FALSE,IF(ISERROR(FIND(""veneer"",KitchenCarcassMaterial))=FALSE,2.7*(VLOOKUP(LEFT(KitchenCarcassMaterial,FIND(""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front"",A68))=FALSE,((B68/1000)*(C68/1000))*VLOOKUP(KitchenDoorMaterial,SheetsData,8,0),IF(AND(KitchenDrawerType=""Match carcass"",ISERROR(FIND(""drawer box"",A68))=FALSE),(((((B68/1000)*(C68/1000))+((B68/1000"&amp;")*(D68/1000)))*2)*VLOOKUP(KitchenCarcassMaterial,SheetsData,8,0))+(((C68/1000)*(D68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box"",A68))=FALSE),(((((B68/1000)*(C68/1000))+((B68/1000)*(D68/1000)))*2)*(16/1000)*VLOOKUP(LEFT(KitchenCarcassMaterial,FIND("" "&amp;""",KitchenCarcassMaterial))&amp;""(solid m3)"",SolidData,5,0))+(((C68/1000)*(D68/1000))*VLOOKUP(LEFT(KitchenCarcassMaterial,FIND(""("",KitchenCarcassMaterial)-1)&amp;IF(OR(ISERROR(FIND(""ply"",KitchenCarcassMaterial))=FALSE,ISERROR(FIND(""H/F"",KitchenCarcassMate"&amp;"rial))=FALSE),""(9mm)"",""(10mm)""),SheetsData,8,0)),IF(ISERROR(FIND(""spacer"",A68))=FALSE,((D68/1000)*(C68/1000))*VLOOKUP(""Poplar ply (18mm)"",SheetsData,8,0),IF(ISERROR(FIND(""filler panel"",A68))=FALSE,((B68/1000)*(C68/1000))*VLOOKUP(KitchenDoorMater"&amp;"ial,SheetsData,8,0),IF(ISERROR(FIND(""shelf"",A68))=FALSE,((D68/1000)*(C68/1000))*VLOOKUP(KitchenCarcassMaterial,SheetsData,8,0),IF(ISERROR(FIND(""lost corner"",A68))=FALSE,VLOOKUP(LEFT(A68,FIND("" "",A68))&amp;""carcass ""&amp;VALUE(REGEXREPLACE(A68,""[^[:digit:"&amp;"]]"", """")),KitchensData,5,0)+((((B68/1000)*(C68/1000))+((B68/1000)*(60/1000)))*VLOOKUP(KitchenCarcassMaterial,SheetsData,8,0)),IF(ISERROR(FIND(""carcass"",A68))=FALSE,(((((B68/1000)*2)*(D68/1000))+(((C68/1000)*2)*(D68/1000)))*VLOOKUP(KitchenCarcassMater"&amp;"ial,SheetsData,8,0))+((B68/1000)*(C68/1000))*VLOOKUP(LEFT(KitchenCarcassMaterial,FIND(""("",KitchenCarcassMaterial)-1)&amp;IF(OR(ISERROR(FIND(""ply"",KitchenCarcassMaterial))=FALSE,ISERROR(FIND(""H/F"",KitchenCarcassMaterial))=FALSE),""(9mm)"",""(10mm)""),She"&amp;"etsData,8,0),IF(OR(ISERROR(FIND(""Plinth"",A68))=FALSE,ISERROR(FIND(""Cornice (flat)"",A68))=FALSE),((B68/1000)*(C68/1000))*VLOOKUP(""H/F (18mm)"",SheetsData,8,0),IF(ISERROR(FIND(""Cornice (stacked)"",A68))=FALSE,((0.08*(C68/1000))*2)*VLOOKUP(""H/F (22mm)"&amp;""",SheetsData,8,0),IF(ISERROR(FIND(""Base end panel"",A68))=FALSE,VLOOKUP(KitchenDoorMaterial,SheetsData,5,0)/3,IF(ISERROR(FIND(""Wall end panel"",A68))=FALSE,VLOOKUP(KitchenDoorMaterial,SheetsData,5,0)/9,IF(ISERROR(FIND(""Tower end panel"",A68))=FALSE,VL"&amp;"OOKUP(KitchenDoorMaterial,SheetsData,5,0),IF(ISERROR(FIND(""Fillers"",A68))=FALSE,(((0.06*(C68/1000))*2)*VLOOKUP(""H/F (18mm)"",SheetsData,8,0))+(((0.06*(C68/1000))*2)*VLOOKUP(""H/F (9mm)"",SheetsData,8,0)),IF(ISERROR(FIND(""corner post"",A68))=FALSE,(((B"&amp;"68/1000)*0.05)*2)*VLOOKUP(KitchenDoorMaterial,SheetsData,8,0),IF(ISERROR(FIND(""Pelmet"",A68))=FALSE,((((B68/1000)*(C68/1000))*2)*VLOOKUP(""H/F (18mm)"",SheetsData,8,0)),IF(ISERROR(FIND(""door"",A68))=TRUE,""Check description"",IF(KitchenDoorStyle=""Flat"&amp;""",((B68/1000)*(C68/1000))*VLOOKUP(KitchenDoorMaterial,SheetsData,8,0),IF(LEFT(KitchenDoorStyle,5)=""Panel"",(((((B68/1000)*2)*0.08)+((((C68/1000)-0.16)*2)*0.08))*VLOOKUP(""H/F (22mm)"",SheetsData,8,0))+(((B68/1000)-0.14)*((C68/1000)-0.14)*VLOOKUP(""H/F ("&amp;"9mm)"",SheetsData,8,0)),IF(KitchenDoorStyle=""In-frame flat"",((((((B68/1000)*0.019)*0.038)+((((C68-38)/1000)*0.038)*0.038))*2)*VLOOKUP(""Tulip (solid m3)"",SolidData,5,0))+(((B68-76)/1000)*((C68-38)/1000))*VLOOKUP(""H/F (22mm)"",SheetsData,8,0),IF(LEFT(K"&amp;"itchenDoorStyle,14)=""In-frame panel"",(((((((B68/1000)*0.019)*0.038)+((((C68-38)/1000)*0.038)*0.038))*2)*VLOOKUP(""Tulip (solid m3)"",SolidData,5,0))+(((((((B68-76)/1000)*2)*0.08)+(((((C68-198)/1000)*2)*0.08)))*VLOOKUP(""H/F (22mm)"",SheetsData,8,0))+((("&amp;"B68-216)/1000)*((C68-178)/1000)*VLOOKUP(""H/F (9mm)"",SheetsData,8,0)))))))))))))))))))))))))))))))))"),22.093657618919647)</f>
        <v>22.09365762</v>
      </c>
      <c r="F68" s="152">
        <f>IFERROR(__xludf.DUMMYFUNCTION("IF(OR(A68="""",AND(ISERROR(FIND(""drawer box"",A68))=FALSE,KitchenDrawerType=""Solid dovetail"")),"""",IF(ISERROR(FIND(""bins"",A68))=FALSE,VLOOKUP(""Base carcass 600"",KitchensData,6,0),IF(OR(ISERROR(FIND(""larder"",A68))=FALSE,ISERROR(FIND(""unit"",A68)"&amp;")=FALSE),VLOOKUP(LEFT(A68,FIND("" "",A68))&amp;""carcass ""&amp;RIGHT(A68,LEN(A68)-len(regexextract(A68,"".* ""))),KitchensData,6,0),IF(ISERROR(FIND(""drawer front"",A68))=FALSE,IF(ISERROR(FIND(""veneer"",KitchenCarcassMaterial))=TRUE,0,(((B68+C68)/1000)*2)*VLOOK"&amp;"UP(""Edge banding (per M)"",SheetsData,5,0)),IF(ISERROR(FIND(""drawer box"",A68))=FALSE,IF(ISERROR(FIND(""veneer"",KitchenCarcassMaterial))=TRUE,0,(((C68+D68)/1000)*2)*VLOOKUP(""Edge banding (per M)"",SheetsData,5,0)),IF(ISERROR(FIND(""shelf"",A68))=FALSE"&amp;",IF(ISERROR(FIND(""veneer"",KitchenCarcassMaterial))=TRUE,0,(C68/1000)*VLOOKUP(""Edge banding (per M)"",SheetsData,5,0)),IF(AND(ISERROR(FIND(""carcass"",A68))=FALSE,ISERROR(FIND(""shelf"",A68))=TRUE),IF(ISERROR(FIND(""veneer"",KitchenCarcassMaterial))=TRU"&amp;"E,0,((2*(B68+C68))/1000)*VLOOKUP(""Edge banding (per M)"",SheetsData,5,0)),IF(ISERROR(FIND(""door"",A68))=TRUE,"""",IF(ISERROR(FIND(""veneer"",KitchenDoorMaterial))=TRUE,"""",((2*(B68+C68))/1000)*VLOOKUP(""Edge banding (per M)"",SheetsData,5,0))))))))))"),0.0)</f>
        <v>0</v>
      </c>
      <c r="G68" s="153" t="str">
        <f>IF(A68="","",IF(ISERROR(FIND("bins",A68))=FALSE,VLOOKUP("Base carcass 600",KitchensData,7,0),IF(OR(ISERROR(FIND("larder",A68))=FALSE,ISERROR(FIND("fridge/freezer",A68))=FALSE,ISERROR(FIND("double oven",A68))=FALSE,ISERROR(FIND("single oven",A68))=FALSE),VLOOKUP(LEFT(A68,FIND(" ",A68))&amp;"carcass "&amp;RIGHT(A68,LEN(A68)-(LEN(A68)-3)),KitchensData,7,0),IF(AND(ISERROR(FIND("carcass",A68))=FALSE,ISERROR(FIND("shelf",A68))=TRUE),IF(OR(ISERROR(FIND("Base",A68))=FALSE,ISERROR(FIND("Tower",A68))=FALSE),IF(OR(ISERROR(FIND("1200",A68))=FALSE, ISERROR(FIND("lost corner",A68))=FALSE),6*VLOOKUP("Plinth foot (2 Parts 80mm)",FurnitureData,5,0),4*VLOOKUP("Plinth foot (2 Parts 80mm)",FurnitureData,5,0)),""),""))))</f>
        <v/>
      </c>
      <c r="H68" s="115" t="str">
        <f>IF(OR(A68="",ISERROR(FIND("door",A68))=TRUE),"",IF(ISERROR(FIND("Wall",A68))=FALSE,VLOOKUP("Hinges &amp; plates (Hettich thick door)",FurnitureData,5,0)*2,IF(ISERROR(FIND("Base",A68))=FALSE,VLOOKUP("Hinges &amp; plates (Hettich thick door)",FurnitureData,5,0)*3,IF(ISERROR(FIND("Boiler",A68))=FALSE,VLOOKUP("Hinges &amp; plates (Hettich thick door)",FurnitureData,5,0)*4,IF(ISERROR(FIND("Tower",A68))=FALSE,VLOOKUP("Hinges &amp; plates (Hettich thick door)",FurnitureData,5,0)*5)))))</f>
        <v/>
      </c>
      <c r="I68" s="115" t="str">
        <f>IF(ISERROR(FIND("shelf",A68))=FALSE,(VLOOKUP("Shelf pegs",FurnitureData,5,0)/100)*4,"")</f>
        <v/>
      </c>
      <c r="J68" s="152" t="str">
        <f>IF(OR(ISERROR(FIND("fridge/freezer",A68))=FALSE,ISERROR(FIND("larder",A68))=FALSE,AND(ISERROR(FIND("Base",A68))=FALSE,ISERROR(FIND("bins",A68))=TRUE,ISERROR(FIND("no shelves",A68))=TRUE,OR(ISERROR(FIND("carcass",A68))=FALSE,ISERROR(FIND("unit",A68))=FALSE))),VLOOKUP("Deep shelf "&amp;C68,KitchensData,18,0),IF(AND(ISERROR(FIND("Wall",A68))=FALSE,ISERROR(FIND("carcass",A68))=FALSE),2*VLOOKUP("Shallow shelf "&amp;C68,KitchensData,18,0),IF(AND(ISERROR(FIND("Tower",A68))=FALSE,ISERROR(FIND("oven",A68))=FALSE),4*VLOOKUP("Deep shelf "&amp;C68,KitchensData,18,0),IF(AND(ISERROR(FIND("Tower",A68))=FALSE,ISERROR(FIND("carcass",A68))=FALSE),5*VLOOKUP("Deep shelf "&amp;C68,KitchensData,18,0),""))))</f>
        <v/>
      </c>
      <c r="K68" s="152">
        <f>IF(ISERROR(FIND("sink",A68))=FALSE,VLOOKUP("Sink liner - Aluminium "&amp;RIGHT(A68,LEN(A68)-22)&amp;"mm",ExceptionalData,5,0),IF(ISERROR(FIND("bins",A68))=FALSE,VLOOKUP("Drawer runners and clip set for bin unit (500) Dynapro",FurnitureData,5,0)+(2*VLOOKUP("Bin (42L Anthracite)",FurnitureData,5,0)),IF(ISERROR(FIND("larder",A68))=FALSE,VLOOKUP("Pull out larder unit 600mm",FurnitureData,5,0),IF(AND(ISERROR(FIND("drawer box",A68))=FALSE,ISERROR(FIND("internal",A68))=TRUE),VLOOKUP("Drawer runners and clip set (550) Dynapro",FurnitureData,5,0),IF(ISERROR(FIND("internal drawer box",A68))=FALSE,VLOOKUP("Drawer runners and clip set (450) Dynapro",FurnitureData,5,0),"")))))</f>
        <v>52.54</v>
      </c>
      <c r="L68" s="152">
        <f t="shared" si="3"/>
        <v>74.63365762</v>
      </c>
      <c r="M68" s="154">
        <f>IFERROR(__xludf.DUMMYFUNCTION("IF(A68="""","""",IF(OR(ISERROR(FIND(""larder"",A68))=FALSE,ISERROR(FIND(""unit"",A68))=FALSE),VLOOKUP(LEFT(A68,FIND("" "",A68))&amp;""carcass ""&amp;RIGHT(A68,LEN(A68)-len(regexextract(A68,"".* ""))),KitchensData,13,0),IF(ISERROR(FIND(""bins"",A68))=FALSE,0.95,IF"&amp;"(ISERROR(FIND(""Cutlery insert 600"",A68))=FALSE,1.3,IF(ISERROR(FIND(""Cutlery insert 1200"",A68))=FALSE,2,IF(ISERROR(FIND(""Pan/tray rack 600"",A68))=FALSE,3.25,IF(ISERROR(FIND(""Pan/tray rack 1200"",A68))=FALSE,5.9,IF(ISERROR(FIND(""split"",A68))=FALSE,"&amp;"(((C68/1000)*0.022)*2)+VLOOKUP(SUBSTITUTE(A68,"" split"",""""),KitchensData,13,0),IF(AND(ISERROR(FIND(""drawer front"",A68))=FALSE,KitchenDoorStyle=""Flat""),(((B68/1000)*(C68/1000))*2)+((((B68+C68)/1000)*2)*0.022),IF(AND(ISERROR(FIND(""drawer front"",A68"&amp;"))=FALSE,LEFT(KitchenDoorStyle,5)=""Panel""),(((B68/1000)*(C68/1000))*2)+((((B68+C68)/1000)*2)*0.022)+((((C68/1000)-0.16)*0.013)*2)+((((D68/1000)-0.16)*0.013)*2),IF(AND(ISERROR(FIND(""drawer front"",A68))=FALSE,KitchenDoorStyle=""In-frame flat""),((((B68-"&amp;"76)/1000)*((C68-38)/1000))*2)+(MID(KitchenDoorMaterial,FIND(""("",KitchenDoorMaterial)+1,2)/1000)*((((B68-76)+(C68-38))/1000)*2)+(((B68/1000)*0.032)*2)+((((B68-76)/1000)*0.032)*2)+(((B68/1000)*0.019)*4)+(((C68/1000)*0.032)*2)+((((C68-38)/1000)*0.032)*2)+("&amp;"((C68/1000)*0.038)*4),IF(AND(ISERROR(FIND(""drawer front"",A68))=FALSE,LEFT(KitchenDoorStyle,14)=""In-frame panel""),((((B68-76)/1000)*((C68-38)/1000))*2)+((MID(KitchenDoorMaterial,FIND(""("",KitchenDoorMaterial)+1,2)/1000)*((((B68-76)+(C68-38))/1000)*2))"&amp;"+((((B68-236)/1000)+((C68-198)/1000)*2)*0.013)+(((B68/1000)*0.032)*2)+((((B68-76)/1000)*0.032)*2)+(((B68/1000)*0.019)*4)+(((C68/1000)*0.032)*2)+((((C68-38)/1000)*0.032)*2)+(((C68/1000)*0.038)*4),IF(ISERROR(FIND(""drawer box"",A68))=FALSE,((((B68/1000)*(D6"&amp;"8/1000))+((B68/1000)*(C68/1000)))*4)+((((D68/1000)+(C68/1000))*0.016)*4)+(((C68/1000)*(D68/1000))*2),IF(OR(ISERROR(FIND(""shelf"",A68))=FALSE,ISERROR(FIND(""spacer"",A68))=FALSE,,ISERROR(FIND(""filler panel"",A68))=FALSE),(((C68/1000)*(D68/1000))*2)+((((C"&amp;"68+D68)*2)/1000)*0.022),IF(ISERROR(FIND(""lost corner"",A68))=FALSE,(((B68/1000)*(C68/1000))*2)+((B68/1000)*(C68/1000))+((B68/1000)*((C68/2)/1000))+((((B68/1000)*0.025)+((C68/1000)*0.025))*2),IF(ISERROR(FIND(""carcass"",A68))=FALSE,(((C68/1000)*(D68/1000)"&amp;")*2)+(((B68/1000)*(D68/1000))*2)+((B68/1000)*(C68/1000))+((((B68/1000)*0.025)+((C68/1000)*0.025))*2),IF(AND(ISERROR(FIND(""door"",A68))=FALSE,KitchenDoorStyle=""Flat""),(((B68/1000)*(C68/1000))*2)+(MID(KitchenDoorMaterial,FIND(""("",KitchenDoorMaterial)+1"&amp;",2)/1000)*(((B68+C68)/1000)*2),IF(AND(ISERROR(FIND(""door"",A68))=FALSE,LEFT(KitchenDoorStyle,5)=""Panel""),(((B68/1000)*(C68/1000))*2)+((MID(KitchenDoorMaterial,FIND(""("",KitchenDoorMaterial)+1,2)/1000)*(((B68+C68)/1000)*2))+(((((B68-160)+(C68-160))*2)/"&amp;"1000)*(0.013)),IF(AND(ISERROR(FIND(""door"",A68))=FALSE,KitchenDoorStyle=""In-frame flat""),((((B68-76)/1000)*((C68-38)/1000))*2)+(MID(KitchenDoorMaterial,FIND(""("",KitchenDoorMaterial)+1,2)/1000)*((((B68-76)+(C68-38))/1000)*2)+(((B68/1000)*0.032)*2)+((("&amp;"(B68-76)/1000)*0.032)*2)+(((B68/1000)*0.019)*4)+(((C68/1000)*0.032)*2)+((((C68-38)/1000)*0.032)*2)+(((C68/1000)*0.038)*4),IF(AND(ISERROR(FIND(""door"",A68))=FALSE,LEFT(KitchenDoorStyle,14)=""In-frame panel""),((((B68-76)/1000)*((C68-38)/1000))*2)+((MID(Ki"&amp;"tchenDoorMaterial,FIND(""("",KitchenDoorMaterial)+1,2)/1000)*((((B68-76)+(C68-38))/1000)*2))+((((B68-236)/1000)+((C68-198)/1000)*2)*0.013)+(((B68/1000)*0.032)*2)+((((B68-76)/1000)*0.032)*2)+(((B68/1000)*0.019)*4)+(((C68/1000)*0.032)*2)+((((C68-38)/1000)*0"&amp;".032)*2)+(((C68/1000)*0.038)*4),IF(ISERROR(FIND(""Plinth"",A68))=FALSE,((B68/1000)*(C68/1000))+(((C68/1000)*0.018)*2)+(((B68/1000)*0.018)*2),IF(ISERROR(FIND(""Cornice"",A68))=FALSE,(((C68/1000)*0.1)*2)+(((C68/1000)*0.044)*2)+(((B68/1000)*0.08)*2),IF(ISERR"&amp;"OR(FIND(""Base end panel"",A68))=FALSE,((B68/1000)*(C68/1000))+(0.022*((B68/1000)+((C68/1000)*2)))+((B68/1000)*0.05),IF(ISERROR(FIND(""Wall end panel"",A68))=FALSE,((B68/1000)*(C68/1000))+(0.022*((B68/1000)+((C68/1000)*2)))+((B68/1000)*0.05),IF(ISERROR(FI"&amp;"ND(""Tower end panel"",A68))=FALSE,((B68/1000)*(C68/1000))+(0.022*((B68/1000)+((C68/1000)*2)))+((B68/1000)*0.05),IF(ISERROR(FIND(""Fillers"",A68))=FALSE,((C68/1000)*0.06)+((C68/1000)*0.069)+((0.06*0.018)*2)+((0.06*0.009)*2)+((C68/1000)*0.009)+((C68/1000)*"&amp;"0.018),IF(ISERROR(FIND(""corner post"",A68))=FALSE,(((B68/1000*0.05)*2)+((B68/1000)*0.022)*2)+((B68/1000)*0.072)+((B68/1000)*0.05)+((0.072*0.022)*2)+((0.05*0.022)*2),IF(ISERROR(FIND(""Pelmet"",A68))=FALSE,((C68/1000)*0.05)+((C68/1000)*0.068)+((0.05*0.018)"&amp;"*4)+(((C68/1000)*0.018))*2))))))))))))))))))))))))))))"),1.6608)</f>
        <v>1.6608</v>
      </c>
      <c r="N68" s="152">
        <f>IF(M68="","",IF(AND(ISERROR(FIND("carcass",A68))=TRUE,ISERROR(FIND("unit",A68))=TRUE,ISERROR(FIND("insert",A68))=TRUE,ISERROR(FIND("rack",A68))=TRUE,ISERROR(FIND("box",A68))=TRUE,ISERROR(FIND("shelf",#REF!))=TRUE),VLOOKUP(KitchenDoorFinish,Finishing!$A$2:$K$10,9,0)*M68,VLOOKUP(KitchenCarcassFinish,Finishing!$A$2:$K$40,9,0)*M68))</f>
        <v>6.228</v>
      </c>
      <c r="O68" s="155">
        <v>2.5</v>
      </c>
      <c r="P68" s="155">
        <v>1.0</v>
      </c>
      <c r="Q68" s="152">
        <f>IF(OR(O68="",P68=""),"",((O68*X68)*(VLOOKUP("Workshop",Labour!$A$3:$E$20,4,0)/8))+((P68*AE68)*(VLOOKUP("Finishing",Labour!$A$3:$E$20,4,0)/8)))</f>
        <v>137.375</v>
      </c>
      <c r="R68" s="152">
        <f t="shared" si="4"/>
        <v>218.2366576</v>
      </c>
      <c r="S68" s="156">
        <f>IF(OR(O68="",P68=""),"",IF(OR(ISERROR(FIND("carcass",$A68))=FALSE,ISERROR(FIND("unit",$A68))=FALSE),VLOOKUP(KitchenCarcassMaterial,FixedListsCarcassMaterial,2,0),0))</f>
        <v>0</v>
      </c>
      <c r="T68" s="156">
        <f>IF(OR(O68="",P68=""),"",IF(ISERROR(FIND("door",$A68))=FALSE,VLOOKUP(KitchenDoorStyle,FixedListsDoorStyle,2,0),0))</f>
        <v>0</v>
      </c>
      <c r="U68" s="156">
        <f>IF(OR(O68="",P68=""),"",IF(ISERROR(FIND("door",$A68))=FALSE,VLOOKUP(KitchenDoorMaterial,FixedListsDoorMaterial,2,0),0))</f>
        <v>0</v>
      </c>
      <c r="V68" s="156">
        <f>IF(OR(O68="",P68=""),"",IF(ISERROR(FIND("drawer",$A68))=FALSE,VLOOKUP(KitchenDrawerType,FixedListsDrawerType,2,0),0))</f>
        <v>1</v>
      </c>
      <c r="W68" s="156">
        <f>IF(OR(O68="",P68=""),"",IF(OR(S68&gt;0, T68&gt;0,V68&gt;0),VLOOKUP(KitchenHandleType,FixedListsHandleType,2,FALSE)*IF(KitchenHandleType="Simple",0,IF(S68&gt;0,VLOOKUP(KitchenHandleType,FixedListsHandleType,4,FALSE),IF(OR(T68&gt;0,V68&gt;0),1-VLOOKUP(KitchenHandleType,FixedListsHandleType,4,FALSE),"Error"))),0))</f>
        <v>0</v>
      </c>
      <c r="X68" s="156">
        <f t="shared" si="5"/>
        <v>1</v>
      </c>
      <c r="Y68" s="156">
        <f>IF(OR(O68="",P68=""),"",IF(OR(ISERROR(FIND("carcass",$A68))=FALSE,ISERROR(FIND("unit",$A68))=FALSE),VLOOKUP(KitchenCarcassMaterial,FixedListsCarcassMaterial,3,0),0))</f>
        <v>0</v>
      </c>
      <c r="Z68" s="156">
        <f>IF(OR(O68="",P68=""),"",IF(ISERROR(FIND("door",$A68))=FALSE,VLOOKUP(KitchenDoorStyle,FixedListsDoorStyle,3,0),0))</f>
        <v>0</v>
      </c>
      <c r="AA68" s="156">
        <f>IF(OR(O68="",P68=""),"",IF(ISERROR(FIND("door",$A68))=FALSE,VLOOKUP(KitchenDoorMaterial,FixedListsDoorMaterial,3,0),0))</f>
        <v>0</v>
      </c>
      <c r="AB68" s="156">
        <f>IF(OR(O68="",P68=""),"",IF(ISERROR(FIND("drawer",$A68))=FALSE,VLOOKUP(KitchenDrawerType,FixedListsDrawerType,3,0),0))</f>
        <v>1</v>
      </c>
      <c r="AC68" s="156">
        <f>IF(OR(O68="",P68=""),"",IF(OR(Y68&gt;0,Z68&gt;0,AB68&gt;0),VLOOKUP(KitchenHandleType,FixedListsHandleType,3,FALSE),0))</f>
        <v>1</v>
      </c>
      <c r="AD68" s="156">
        <f>IF(OR(O68="",P68=""),"",IF(OR(ISERROR(FIND("carcass",$A68))=FALSE,ISERROR(FIND("unit",$A68))=FALSE),VLOOKUP(KitchenCarcassFinish,FixedListsFinishes,3,0),IF(OR(ISERROR(FIND("door",$A68))=FALSE,ISERROR(FIND("Plinth",$A68))=FALSE,ISERROR(FIND("Cornice",$A68))=FALSE,ISERROR(FIND("Fillers",$A68))=FALSE,ISERROR(FIND("Pelmet",$A68))=FALSE,ISERROR(FIND("panel",$A68))=FALSE,ISERROR(FIND("post",$A68))=FALSE),VLOOKUP(KitchenDoorFinish,FixedListsFinishes,3,0),IF(OR(ISERROR(FIND("drawer",$A68))=FALSE,ISERROR(FIND("insert",$A68))=FALSE,ISERROR(FIND("rck",$A68))=FALSE),VLOOKUP(KitchenCarcassFinish,FixedListsFinishes,3,0),0))))</f>
        <v>1</v>
      </c>
      <c r="AE68" s="156">
        <f t="shared" si="6"/>
        <v>1</v>
      </c>
      <c r="AF68" s="157" t="str">
        <f>IF(AND(KitchenHandleType="Channel",OR(ISERROR(FIND("arcass",$A68))=FALSE,ISERROR(FIND("unit",$A68))=FALSE)),IF(ISERROR(FIND("Tower",$A68))=TRUE,IF(KitchenHandleFinish="Match carcass",IF(ISERROR(FIND("Walnut",KitchenCarcassMaterial))=FALSE,(0.035*0.075*($C68/1000))*VLOOKUP("Walnut (solid m3)",SolidData,4,FALSE),IF(ISERROR(FIND("Oak",KitchenCarcassMaterial))=FALSE,(0.035*0.075*($C68/1000))*VLOOKUP("Oak (solid m3)",SolidData,4,FALSE),IF(ISERROR(FIND("ply",KitchenCarcassMaterial))=FALSE,(0.1*($C68/1000))*VLOOKUP("Birch ply (24mm)",SheetsData,7,FALSE),IF(ISERROR(FIND("H/F",KitchenCarcassMaterial))=FALSE,(0.1*($C68/1000))*VLOOKUP("H/F (22mm)",SheetsData,7,FALSE),"Carcass - not tower - new material")))),IF(KitchenHandleFinish="Match door",IF(ISERROR(FIND("Walnut",KitchenDoorMaterial))=FALSE,(0.035*0.075*($C68/1000))*VLOOKUP("Walnut (solid m3)",SolidData,4,FALSE),IF(ISERROR(FIND("Oak",KitchenDoorMaterial))=FALSE,(0.035*0.075*($C68/1000))*VLOOKUP("Oak (solid m3)",SolidData,4,FALSE),IF(ISERROR(FIND("ply",KitchenDoorMaterial))=FALSE,(0.1*($C68/1000))*VLOOKUP("Birch ply (24mm)",SheetsData,7,FALSE),IF(ISERROR(FIND("H/F",KitchenCarcassMaterial))=FALSE,(0.1*($C68/1000))*VLOOKUP("H/F (22mm)",SheetsData,7,FALSE),"Door - not tower - new material")))),"Channel - not tower - handle set to other")),IF(ISERROR(FIND("Tower",$A68))=FALSE,IF(KitchenHandleFinish="Match carcass",IF(ISERROR(FIND("Walnut",KitchenCarcassMaterial))=FALSE,(0.035*0.075*($B68/1000))*VLOOKUP("Walnut (solid m3)",SolidData,4,FALSE),IF(ISERROR(FIND("Oak",KitchenCarcassMaterial))=FALSE,(0.035*0.075*($B68/1000))*VLOOKUP("Oak (solid m3)",SolidData,4,FALSE),IF(ISERROR(FIND("ply",KitchenCarcassMaterial))=FALSE,(0.1*($B68/1000))*VLOOKUP("Birch ply (24mm)",SheetsData,7,FALSE),IF(ISERROR(FIND("H/F",KitchenCarcassMaterial))=FALSE,(0.1*($C68/1000))*VLOOKUP("H/F (22mm)",SheetsData,7,FALSE),"Carcass - tower - new material")))),IF(KitchenHandleFinish="Match door",IF(ISERROR(FIND("Walnut",KitchenDoorMaterial))=FALSE,(0.035*0.075*($B68/1000))*VLOOKUP("Walnut (solid m3)",SolidData,4,FALSE),IF(ISERROR(FIND("Oak",KitchenDoorMaterial))=FALSE,(0.035*0.075*($B68/1000))*VLOOKUP("Oak (solid m3)",SolidData,4,FALSE),IF(ISERROR(FIND("ply",KitchenDoorMaterial))=FALSE,(0.1*($B68/1000))*VLOOKUP("Birch ply (24mm)",SheetData,7,FALSE),IF(ISERROR(FIND("H/F",KitchenCarcassMaterial))=FALSE,(0.1*($C68/1000))*VLOOKUP("H/F (22mm)",SheetsData,7,FALSE),"Door - tower - new material")))),"Channel - tower - handle set to other")))),"")</f>
        <v/>
      </c>
    </row>
    <row r="69">
      <c r="A69" s="158" t="s">
        <v>177</v>
      </c>
      <c r="B69" s="115" t="str">
        <f t="shared" si="1"/>
        <v>180</v>
      </c>
      <c r="C69" s="115" t="str">
        <f>IFERROR(__xludf.DUMMYFUNCTION("IF(A69="""","""",IF(OR(RIGHT(A69,LEN(A69)-len(regexextract(A69,"".* "")))=""1200"",RIGHT(A69,LEN(A69)-len(regexextract(A69,"".* "")))=""600"",RIGHT(A69,LEN(A69)-len(regexextract(A69,"".* "")))=""400"",RIGHT(A69,LEN(A69)-len(regexextract(A69,"".* "")))=""3"&amp;"00"",RIGHT(A69,LEN(A69)-len(regexextract(A69,"".* "")))=""700"",RIGHT(A69,LEN(A69)-len(regexextract(A69,"".* "")))=""2400"",RIGHT(A69,LEN(A69)-len(regexextract(A69,"".* "")))=""650"",RIGHT(A69,LEN(A69)-len(regexextract(A69,"".* "")))=""350"",RIGHT(A69,LEN"&amp;"(A69)-len(regexextract(A69,"".* "")))=""50""),RIGHT(A69,LEN(A69)-len(regexextract(A69,"".* ""))),IF(OR(ISERROR(FIND(""spacer"",A69))=FALSE,ISERROR(FIND(""filler panel"",A69))=FALSE),""1000"",""Unexpected size in description"")))"),"1200")</f>
        <v>1200</v>
      </c>
      <c r="D69" s="151">
        <f t="shared" si="2"/>
        <v>600</v>
      </c>
      <c r="E69" s="152">
        <f>IFERROR(__xludf.DUMMYFUNCTION("IF(OR(A69="""",AND(ISERROR(FIND(""drawer box"",A69))=FALSE,KitchenDrawerType="""")),"""",IF(OR(ISERROR(FIND(""larder"",A69))=FALSE,ISERROR(FIND(""fridge/freezer"",A69))=FALSE,ISERROR(FIND(""double oven"",A69))=FALSE,ISERROR(FIND(""single oven"",A69))=FALS"&amp;"E),VLOOKUP(LEFT(A69,FIND("" "",A69))&amp;""carcass ""&amp;RIGHT(A69,LEN(A69)-(LEN(A69)-3)),KitchensData,5,0),IF(ISERROR(FIND(""sink"",A69))=FALSE,VLOOKUP(LEFT(A69,FIND("" "",A69))&amp;""carcass ""&amp;VALUE(REGEXREPLACE(A69,""[^[:digit:]]"", """")),KitchensData,5,0)+(((C"&amp;"69/1000)*(300/1000))*VLOOKUP(KitchenCarcassMaterial,SheetsData,8,0)),IF(ISERROR(FIND(""bins"",A69))=FALSE,IF(ISERROR(FIND(""veneer"",KitchenCarcassMaterial))=FALSE,VLOOKUP(""Base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600"",A69))=FALSE,IF(ISERROR(FIND(""veneer"""&amp;",KitchenCarcassMaterial))=FALSE,0.54*(VLOOKUP(LEFT(KitchenCarcassMaterial,FIND(""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1200"",A69))=FALSE,"&amp;"IF(ISERROR(FIND(""veneer"",KitchenCarcassMaterial))=FALSE,0.84*(VLOOKUP(LEFT(KitchenCarcassMaterial,FIND(""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600"",A69))=FALSE,IF(ISERROR(FIND(""veneer"",KitchenCarcassMaterial))=FALSE,1.44*(VLOOKUP(LEFT(KitchenCarcassMaterial,FIND(""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1200"",A69))=FALSE,IF(ISERROR(FIND(""veneer"",KitchenCarcassMaterial))=FALSE,2.7*(VLOOKUP(LEFT(KitchenCarcassMaterial,FIND(""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front"",A69))=FALSE,((B69/1000)*(C69/1000))*VLOOKUP(KitchenDoorMaterial,SheetsData,8,0),IF(AND(KitchenDrawerType=""Match carcass"",ISERROR(FIND(""drawer box"",A69))=FALSE),(((((B69/1000)*(C69/1000))+((B69/1000"&amp;")*(D69/1000)))*2)*VLOOKUP(KitchenCarcassMaterial,SheetsData,8,0))+(((C69/1000)*(D69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box"",A69))=FALSE),(((((B69/1000)*(C69/1000))+((B69/1000)*(D69/1000)))*2)*(16/1000)*VLOOKUP(LEFT(KitchenCarcassMaterial,FIND("" "&amp;""",KitchenCarcassMaterial))&amp;""(solid m3)"",SolidData,5,0))+(((C69/1000)*(D69/1000))*VLOOKUP(LEFT(KitchenCarcassMaterial,FIND(""("",KitchenCarcassMaterial)-1)&amp;IF(OR(ISERROR(FIND(""ply"",KitchenCarcassMaterial))=FALSE,ISERROR(FIND(""H/F"",KitchenCarcassMate"&amp;"rial))=FALSE),""(9mm)"",""(10mm)""),SheetsData,8,0)),IF(ISERROR(FIND(""spacer"",A69))=FALSE,((D69/1000)*(C69/1000))*VLOOKUP(""Poplar ply (18mm)"",SheetsData,8,0),IF(ISERROR(FIND(""filler panel"",A69))=FALSE,((B69/1000)*(C69/1000))*VLOOKUP(KitchenDoorMater"&amp;"ial,SheetsData,8,0),IF(ISERROR(FIND(""shelf"",A69))=FALSE,((D69/1000)*(C69/1000))*VLOOKUP(KitchenCarcassMaterial,SheetsData,8,0),IF(ISERROR(FIND(""lost corner"",A69))=FALSE,VLOOKUP(LEFT(A69,FIND("" "",A69))&amp;""carcass ""&amp;VALUE(REGEXREPLACE(A69,""[^[:digit:"&amp;"]]"", """")),KitchensData,5,0)+((((B69/1000)*(C69/1000))+((B69/1000)*(60/1000)))*VLOOKUP(KitchenCarcassMaterial,SheetsData,8,0)),IF(ISERROR(FIND(""carcass"",A69))=FALSE,(((((B69/1000)*2)*(D69/1000))+(((C69/1000)*2)*(D69/1000)))*VLOOKUP(KitchenCarcassMater"&amp;"ial,SheetsData,8,0))+((B69/1000)*(C69/1000))*VLOOKUP(LEFT(KitchenCarcassMaterial,FIND(""("",KitchenCarcassMaterial)-1)&amp;IF(OR(ISERROR(FIND(""ply"",KitchenCarcassMaterial))=FALSE,ISERROR(FIND(""H/F"",KitchenCarcassMaterial))=FALSE),""(9mm)"",""(10mm)""),She"&amp;"etsData,8,0),IF(OR(ISERROR(FIND(""Plinth"",A69))=FALSE,ISERROR(FIND(""Cornice (flat)"",A69))=FALSE),((B69/1000)*(C69/1000))*VLOOKUP(""H/F (18mm)"",SheetsData,8,0),IF(ISERROR(FIND(""Cornice (stacked)"",A69))=FALSE,((0.08*(C69/1000))*2)*VLOOKUP(""H/F (22mm)"&amp;""",SheetsData,8,0),IF(ISERROR(FIND(""Base end panel"",A69))=FALSE,VLOOKUP(KitchenDoorMaterial,SheetsData,5,0)/3,IF(ISERROR(FIND(""Wall end panel"",A69))=FALSE,VLOOKUP(KitchenDoorMaterial,SheetsData,5,0)/9,IF(ISERROR(FIND(""Tower end panel"",A69))=FALSE,VL"&amp;"OOKUP(KitchenDoorMaterial,SheetsData,5,0),IF(ISERROR(FIND(""Fillers"",A69))=FALSE,(((0.06*(C69/1000))*2)*VLOOKUP(""H/F (18mm)"",SheetsData,8,0))+(((0.06*(C69/1000))*2)*VLOOKUP(""H/F (9mm)"",SheetsData,8,0)),IF(ISERROR(FIND(""corner post"",A69))=FALSE,(((B"&amp;"69/1000)*0.05)*2)*VLOOKUP(KitchenDoorMaterial,SheetsData,8,0),IF(ISERROR(FIND(""Pelmet"",A69))=FALSE,((((B69/1000)*(C69/1000))*2)*VLOOKUP(""H/F (18mm)"",SheetsData,8,0)),IF(ISERROR(FIND(""door"",A69))=TRUE,""Check description"",IF(KitchenDoorStyle=""Flat"&amp;""",((B69/1000)*(C69/1000))*VLOOKUP(KitchenDoorMaterial,SheetsData,8,0),IF(LEFT(KitchenDoorStyle,5)=""Panel"",(((((B69/1000)*2)*0.08)+((((C69/1000)-0.16)*2)*0.08))*VLOOKUP(""H/F (22mm)"",SheetsData,8,0))+(((B69/1000)-0.14)*((C69/1000)-0.14)*VLOOKUP(""H/F ("&amp;"9mm)"",SheetsData,8,0)),IF(KitchenDoorStyle=""In-frame flat"",((((((B69/1000)*0.019)*0.038)+((((C69-38)/1000)*0.038)*0.038))*2)*VLOOKUP(""Tulip (solid m3)"",SolidData,5,0))+(((B69-76)/1000)*((C69-38)/1000))*VLOOKUP(""H/F (22mm)"",SheetsData,8,0),IF(LEFT(K"&amp;"itchenDoorStyle,14)=""In-frame panel"",(((((((B69/1000)*0.019)*0.038)+((((C69-38)/1000)*0.038)*0.038))*2)*VLOOKUP(""Tulip (solid m3)"",SolidData,5,0))+(((((((B69-76)/1000)*2)*0.08)+(((((C69-198)/1000)*2)*0.08)))*VLOOKUP(""H/F (22mm)"",SheetsData,8,0))+((("&amp;"B69-216)/1000)*((C69-178)/1000)*VLOOKUP(""H/F (9mm)"",SheetsData,8,0)))))))))))))))))))))))))))))))))"),37.007390486428385)</f>
        <v>37.00739049</v>
      </c>
      <c r="F69" s="152">
        <f>IFERROR(__xludf.DUMMYFUNCTION("IF(OR(A69="""",AND(ISERROR(FIND(""drawer box"",A69))=FALSE,KitchenDrawerType=""Solid dovetail"")),"""",IF(ISERROR(FIND(""bins"",A69))=FALSE,VLOOKUP(""Base carcass 600"",KitchensData,6,0),IF(OR(ISERROR(FIND(""larder"",A69))=FALSE,ISERROR(FIND(""unit"",A69)"&amp;")=FALSE),VLOOKUP(LEFT(A69,FIND("" "",A69))&amp;""carcass ""&amp;RIGHT(A69,LEN(A69)-len(regexextract(A69,"".* ""))),KitchensData,6,0),IF(ISERROR(FIND(""drawer front"",A69))=FALSE,IF(ISERROR(FIND(""veneer"",KitchenCarcassMaterial))=TRUE,0,(((B69+C69)/1000)*2)*VLOOK"&amp;"UP(""Edge banding (per M)"",SheetsData,5,0)),IF(ISERROR(FIND(""drawer box"",A69))=FALSE,IF(ISERROR(FIND(""veneer"",KitchenCarcassMaterial))=TRUE,0,(((C69+D69)/1000)*2)*VLOOKUP(""Edge banding (per M)"",SheetsData,5,0)),IF(ISERROR(FIND(""shelf"",A69))=FALSE"&amp;",IF(ISERROR(FIND(""veneer"",KitchenCarcassMaterial))=TRUE,0,(C69/1000)*VLOOKUP(""Edge banding (per M)"",SheetsData,5,0)),IF(AND(ISERROR(FIND(""carcass"",A69))=FALSE,ISERROR(FIND(""shelf"",A69))=TRUE),IF(ISERROR(FIND(""veneer"",KitchenCarcassMaterial))=TRU"&amp;"E,0,((2*(B69+C69))/1000)*VLOOKUP(""Edge banding (per M)"",SheetsData,5,0)),IF(ISERROR(FIND(""door"",A69))=TRUE,"""",IF(ISERROR(FIND(""veneer"",KitchenDoorMaterial))=TRUE,"""",((2*(B69+C69))/1000)*VLOOKUP(""Edge banding (per M)"",SheetsData,5,0))))))))))"),0.0)</f>
        <v>0</v>
      </c>
      <c r="G69" s="153" t="str">
        <f>IF(A69="","",IF(ISERROR(FIND("bins",A69))=FALSE,VLOOKUP("Base carcass 600",KitchensData,7,0),IF(OR(ISERROR(FIND("larder",A69))=FALSE,ISERROR(FIND("fridge/freezer",A69))=FALSE,ISERROR(FIND("double oven",A69))=FALSE,ISERROR(FIND("single oven",A69))=FALSE),VLOOKUP(LEFT(A69,FIND(" ",A69))&amp;"carcass "&amp;RIGHT(A69,LEN(A69)-(LEN(A69)-3)),KitchensData,7,0),IF(AND(ISERROR(FIND("carcass",A69))=FALSE,ISERROR(FIND("shelf",A69))=TRUE),IF(OR(ISERROR(FIND("Base",A69))=FALSE,ISERROR(FIND("Tower",A69))=FALSE),IF(OR(ISERROR(FIND("1200",A69))=FALSE, ISERROR(FIND("lost corner",A69))=FALSE),6*VLOOKUP("Plinth foot (2 Parts 80mm)",FurnitureData,5,0),4*VLOOKUP("Plinth foot (2 Parts 80mm)",FurnitureData,5,0)),""),""))))</f>
        <v/>
      </c>
      <c r="H69" s="115" t="str">
        <f>IF(OR(A69="",ISERROR(FIND("door",A69))=TRUE),"",IF(ISERROR(FIND("Wall",A69))=FALSE,VLOOKUP("Hinges &amp; plates (Hettich thick door)",FurnitureData,5,0)*2,IF(ISERROR(FIND("Base",A69))=FALSE,VLOOKUP("Hinges &amp; plates (Hettich thick door)",FurnitureData,5,0)*3,IF(ISERROR(FIND("Boiler",A69))=FALSE,VLOOKUP("Hinges &amp; plates (Hettich thick door)",FurnitureData,5,0)*4,IF(ISERROR(FIND("Tower",A69))=FALSE,VLOOKUP("Hinges &amp; plates (Hettich thick door)",FurnitureData,5,0)*5)))))</f>
        <v/>
      </c>
      <c r="I69" s="115" t="str">
        <f>IF(ISERROR(FIND("shelf",A69))=FALSE,(VLOOKUP("Shelf pegs",FurnitureData,5,0)/100)*4,"")</f>
        <v/>
      </c>
      <c r="J69" s="152" t="str">
        <f>IF(OR(ISERROR(FIND("fridge/freezer",A69))=FALSE,ISERROR(FIND("larder",A69))=FALSE,AND(ISERROR(FIND("Base",A69))=FALSE,ISERROR(FIND("bins",A69))=TRUE,ISERROR(FIND("no shelves",A69))=TRUE,OR(ISERROR(FIND("carcass",A69))=FALSE,ISERROR(FIND("unit",A69))=FALSE))),VLOOKUP("Deep shelf "&amp;C69,KitchensData,18,0),IF(AND(ISERROR(FIND("Wall",A69))=FALSE,ISERROR(FIND("carcass",A69))=FALSE),2*VLOOKUP("Shallow shelf "&amp;C69,KitchensData,18,0),IF(AND(ISERROR(FIND("Tower",A69))=FALSE,ISERROR(FIND("oven",A69))=FALSE),4*VLOOKUP("Deep shelf "&amp;C69,KitchensData,18,0),IF(AND(ISERROR(FIND("Tower",A69))=FALSE,ISERROR(FIND("carcass",A69))=FALSE),5*VLOOKUP("Deep shelf "&amp;C69,KitchensData,18,0),""))))</f>
        <v/>
      </c>
      <c r="K69" s="152">
        <f>IF(ISERROR(FIND("sink",A69))=FALSE,VLOOKUP("Sink liner - Aluminium "&amp;RIGHT(A69,LEN(A69)-22)&amp;"mm",ExceptionalData,5,0),IF(ISERROR(FIND("bins",A69))=FALSE,VLOOKUP("Drawer runners and clip set for bin unit (500) Dynapro",FurnitureData,5,0)+(2*VLOOKUP("Bin (42L Anthracite)",FurnitureData,5,0)),IF(ISERROR(FIND("larder",A69))=FALSE,VLOOKUP("Pull out larder unit 600mm",FurnitureData,5,0),IF(AND(ISERROR(FIND("drawer box",A69))=FALSE,ISERROR(FIND("internal",A69))=TRUE),VLOOKUP("Drawer runners and clip set (550) Dynapro",FurnitureData,5,0),IF(ISERROR(FIND("internal drawer box",A69))=FALSE,VLOOKUP("Drawer runners and clip set (450) Dynapro",FurnitureData,5,0),"")))))</f>
        <v>52.54</v>
      </c>
      <c r="L69" s="152">
        <f t="shared" si="3"/>
        <v>89.54739049</v>
      </c>
      <c r="M69" s="154">
        <f>IFERROR(__xludf.DUMMYFUNCTION("IF(A69="""","""",IF(OR(ISERROR(FIND(""larder"",A69))=FALSE,ISERROR(FIND(""unit"",A69))=FALSE),VLOOKUP(LEFT(A69,FIND("" "",A69))&amp;""carcass ""&amp;RIGHT(A69,LEN(A69)-len(regexextract(A69,"".* ""))),KitchensData,13,0),IF(ISERROR(FIND(""bins"",A69))=FALSE,0.95,IF"&amp;"(ISERROR(FIND(""Cutlery insert 600"",A69))=FALSE,1.3,IF(ISERROR(FIND(""Cutlery insert 1200"",A69))=FALSE,2,IF(ISERROR(FIND(""Pan/tray rack 600"",A69))=FALSE,3.25,IF(ISERROR(FIND(""Pan/tray rack 1200"",A69))=FALSE,5.9,IF(ISERROR(FIND(""split"",A69))=FALSE,"&amp;"(((C69/1000)*0.022)*2)+VLOOKUP(SUBSTITUTE(A69,"" split"",""""),KitchensData,13,0),IF(AND(ISERROR(FIND(""drawer front"",A69))=FALSE,KitchenDoorStyle=""Flat""),(((B69/1000)*(C69/1000))*2)+((((B69+C69)/1000)*2)*0.022),IF(AND(ISERROR(FIND(""drawer front"",A69"&amp;"))=FALSE,LEFT(KitchenDoorStyle,5)=""Panel""),(((B69/1000)*(C69/1000))*2)+((((B69+C69)/1000)*2)*0.022)+((((C69/1000)-0.16)*0.013)*2)+((((D69/1000)-0.16)*0.013)*2),IF(AND(ISERROR(FIND(""drawer front"",A69))=FALSE,KitchenDoorStyle=""In-frame flat""),((((B69-"&amp;"76)/1000)*((C69-38)/1000))*2)+(MID(KitchenDoorMaterial,FIND(""("",KitchenDoorMaterial)+1,2)/1000)*((((B69-76)+(C69-38))/1000)*2)+(((B69/1000)*0.032)*2)+((((B69-76)/1000)*0.032)*2)+(((B69/1000)*0.019)*4)+(((C69/1000)*0.032)*2)+((((C69-38)/1000)*0.032)*2)+("&amp;"((C69/1000)*0.038)*4),IF(AND(ISERROR(FIND(""drawer front"",A69))=FALSE,LEFT(KitchenDoorStyle,14)=""In-frame panel""),((((B69-76)/1000)*((C69-38)/1000))*2)+((MID(KitchenDoorMaterial,FIND(""("",KitchenDoorMaterial)+1,2)/1000)*((((B69-76)+(C69-38))/1000)*2))"&amp;"+((((B69-236)/1000)+((C69-198)/1000)*2)*0.013)+(((B69/1000)*0.032)*2)+((((B69-76)/1000)*0.032)*2)+(((B69/1000)*0.019)*4)+(((C69/1000)*0.032)*2)+((((C69-38)/1000)*0.032)*2)+(((C69/1000)*0.038)*4),IF(ISERROR(FIND(""drawer box"",A69))=FALSE,((((B69/1000)*(D6"&amp;"9/1000))+((B69/1000)*(C69/1000)))*4)+((((D69/1000)+(C69/1000))*0.016)*4)+(((C69/1000)*(D69/1000))*2),IF(OR(ISERROR(FIND(""shelf"",A69))=FALSE,ISERROR(FIND(""spacer"",A69))=FALSE,,ISERROR(FIND(""filler panel"",A69))=FALSE),(((C69/1000)*(D69/1000))*2)+((((C"&amp;"69+D69)*2)/1000)*0.022),IF(ISERROR(FIND(""lost corner"",A69))=FALSE,(((B69/1000)*(C69/1000))*2)+((B69/1000)*(C69/1000))+((B69/1000)*((C69/2)/1000))+((((B69/1000)*0.025)+((C69/1000)*0.025))*2),IF(ISERROR(FIND(""carcass"",A69))=FALSE,(((C69/1000)*(D69/1000)"&amp;")*2)+(((B69/1000)*(D69/1000))*2)+((B69/1000)*(C69/1000))+((((B69/1000)*0.025)+((C69/1000)*0.025))*2),IF(AND(ISERROR(FIND(""door"",A69))=FALSE,KitchenDoorStyle=""Flat""),(((B69/1000)*(C69/1000))*2)+(MID(KitchenDoorMaterial,FIND(""("",KitchenDoorMaterial)+1"&amp;",2)/1000)*(((B69+C69)/1000)*2),IF(AND(ISERROR(FIND(""door"",A69))=FALSE,LEFT(KitchenDoorStyle,5)=""Panel""),(((B69/1000)*(C69/1000))*2)+((MID(KitchenDoorMaterial,FIND(""("",KitchenDoorMaterial)+1,2)/1000)*(((B69+C69)/1000)*2))+(((((B69-160)+(C69-160))*2)/"&amp;"1000)*(0.013)),IF(AND(ISERROR(FIND(""door"",A69))=FALSE,KitchenDoorStyle=""In-frame flat""),((((B69-76)/1000)*((C69-38)/1000))*2)+(MID(KitchenDoorMaterial,FIND(""("",KitchenDoorMaterial)+1,2)/1000)*((((B69-76)+(C69-38))/1000)*2)+(((B69/1000)*0.032)*2)+((("&amp;"(B69-76)/1000)*0.032)*2)+(((B69/1000)*0.019)*4)+(((C69/1000)*0.032)*2)+((((C69-38)/1000)*0.032)*2)+(((C69/1000)*0.038)*4),IF(AND(ISERROR(FIND(""door"",A69))=FALSE,LEFT(KitchenDoorStyle,14)=""In-frame panel""),((((B69-76)/1000)*((C69-38)/1000))*2)+((MID(Ki"&amp;"tchenDoorMaterial,FIND(""("",KitchenDoorMaterial)+1,2)/1000)*((((B69-76)+(C69-38))/1000)*2))+((((B69-236)/1000)+((C69-198)/1000)*2)*0.013)+(((B69/1000)*0.032)*2)+((((B69-76)/1000)*0.032)*2)+(((B69/1000)*0.019)*4)+(((C69/1000)*0.032)*2)+((((C69-38)/1000)*0"&amp;".032)*2)+(((C69/1000)*0.038)*4),IF(ISERROR(FIND(""Plinth"",A69))=FALSE,((B69/1000)*(C69/1000))+(((C69/1000)*0.018)*2)+(((B69/1000)*0.018)*2),IF(ISERROR(FIND(""Cornice"",A69))=FALSE,(((C69/1000)*0.1)*2)+(((C69/1000)*0.044)*2)+(((B69/1000)*0.08)*2),IF(ISERR"&amp;"OR(FIND(""Base end panel"",A69))=FALSE,((B69/1000)*(C69/1000))+(0.022*((B69/1000)+((C69/1000)*2)))+((B69/1000)*0.05),IF(ISERROR(FIND(""Wall end panel"",A69))=FALSE,((B69/1000)*(C69/1000))+(0.022*((B69/1000)+((C69/1000)*2)))+((B69/1000)*0.05),IF(ISERROR(FI"&amp;"ND(""Tower end panel"",A69))=FALSE,((B69/1000)*(C69/1000))+(0.022*((B69/1000)+((C69/1000)*2)))+((B69/1000)*0.05),IF(ISERROR(FIND(""Fillers"",A69))=FALSE,((C69/1000)*0.06)+((C69/1000)*0.069)+((0.06*0.018)*2)+((0.06*0.009)*2)+((C69/1000)*0.009)+((C69/1000)*"&amp;"0.018),IF(ISERROR(FIND(""corner post"",A69))=FALSE,(((B69/1000*0.05)*2)+((B69/1000)*0.022)*2)+((B69/1000)*0.072)+((B69/1000)*0.05)+((0.072*0.022)*2)+((0.05*0.022)*2),IF(ISERROR(FIND(""Pelmet"",A69))=FALSE,((C69/1000)*0.05)+((C69/1000)*0.068)+((0.05*0.018)"&amp;"*4)+(((C69/1000)*0.018))*2))))))))))))))))))))))))))))"),2.8512)</f>
        <v>2.8512</v>
      </c>
      <c r="N69" s="152">
        <f>IF(M69="","",IF(AND(ISERROR(FIND("carcass",A69))=TRUE,ISERROR(FIND("unit",A69))=TRUE,ISERROR(FIND("insert",A69))=TRUE,ISERROR(FIND("rack",A69))=TRUE,ISERROR(FIND("box",A69))=TRUE,ISERROR(FIND("shelf",#REF!))=TRUE),VLOOKUP(KitchenDoorFinish,Finishing!$A$2:$K$10,9,0)*M69,VLOOKUP(KitchenCarcassFinish,Finishing!$A$2:$K$40,9,0)*M69))</f>
        <v>10.692</v>
      </c>
      <c r="O69" s="155">
        <v>3.5</v>
      </c>
      <c r="P69" s="155">
        <v>1.0</v>
      </c>
      <c r="Q69" s="152">
        <f>IF(OR(O69="",P69=""),"",((O69*X69)*(VLOOKUP("Workshop",Labour!$A$3:$E$20,4,0)/8))+((P69*AE69)*(VLOOKUP("Finishing",Labour!$A$3:$E$20,4,0)/8)))</f>
        <v>181.125</v>
      </c>
      <c r="R69" s="152">
        <f t="shared" si="4"/>
        <v>281.3643905</v>
      </c>
      <c r="S69" s="156">
        <f>IF(OR(O69="",P69=""),"",IF(OR(ISERROR(FIND("carcass",$A69))=FALSE,ISERROR(FIND("unit",$A69))=FALSE),VLOOKUP(KitchenCarcassMaterial,FixedListsCarcassMaterial,2,0),0))</f>
        <v>0</v>
      </c>
      <c r="T69" s="156">
        <f>IF(OR(O69="",P69=""),"",IF(ISERROR(FIND("door",$A69))=FALSE,VLOOKUP(KitchenDoorStyle,FixedListsDoorStyle,2,0),0))</f>
        <v>0</v>
      </c>
      <c r="U69" s="156">
        <f>IF(OR(O69="",P69=""),"",IF(ISERROR(FIND("door",$A69))=FALSE,VLOOKUP(KitchenDoorMaterial,FixedListsDoorMaterial,2,0),0))</f>
        <v>0</v>
      </c>
      <c r="V69" s="156">
        <f>IF(OR(O69="",P69=""),"",IF(ISERROR(FIND("drawer",$A69))=FALSE,VLOOKUP(KitchenDrawerType,FixedListsDrawerType,2,0),0))</f>
        <v>1</v>
      </c>
      <c r="W69" s="156">
        <f>IF(OR(O69="",P69=""),"",IF(OR(S69&gt;0, T69&gt;0,V69&gt;0),VLOOKUP(KitchenHandleType,FixedListsHandleType,2,FALSE)*IF(KitchenHandleType="Simple",0,IF(S69&gt;0,VLOOKUP(KitchenHandleType,FixedListsHandleType,4,FALSE),IF(OR(T69&gt;0,V69&gt;0),1-VLOOKUP(KitchenHandleType,FixedListsHandleType,4,FALSE),"Error"))),0))</f>
        <v>0</v>
      </c>
      <c r="X69" s="156">
        <f t="shared" si="5"/>
        <v>1</v>
      </c>
      <c r="Y69" s="156">
        <f>IF(OR(O69="",P69=""),"",IF(OR(ISERROR(FIND("carcass",$A69))=FALSE,ISERROR(FIND("unit",$A69))=FALSE),VLOOKUP(KitchenCarcassMaterial,FixedListsCarcassMaterial,3,0),0))</f>
        <v>0</v>
      </c>
      <c r="Z69" s="156">
        <f>IF(OR(O69="",P69=""),"",IF(ISERROR(FIND("door",$A69))=FALSE,VLOOKUP(KitchenDoorStyle,FixedListsDoorStyle,3,0),0))</f>
        <v>0</v>
      </c>
      <c r="AA69" s="156">
        <f>IF(OR(O69="",P69=""),"",IF(ISERROR(FIND("door",$A69))=FALSE,VLOOKUP(KitchenDoorMaterial,FixedListsDoorMaterial,3,0),0))</f>
        <v>0</v>
      </c>
      <c r="AB69" s="156">
        <f>IF(OR(O69="",P69=""),"",IF(ISERROR(FIND("drawer",$A69))=FALSE,VLOOKUP(KitchenDrawerType,FixedListsDrawerType,3,0),0))</f>
        <v>1</v>
      </c>
      <c r="AC69" s="156">
        <f>IF(OR(O69="",P69=""),"",IF(OR(Y69&gt;0,Z69&gt;0,AB69&gt;0),VLOOKUP(KitchenHandleType,FixedListsHandleType,3,FALSE),0))</f>
        <v>1</v>
      </c>
      <c r="AD69" s="156">
        <f>IF(OR(O69="",P69=""),"",IF(OR(ISERROR(FIND("carcass",$A69))=FALSE,ISERROR(FIND("unit",$A69))=FALSE),VLOOKUP(KitchenCarcassFinish,FixedListsFinishes,3,0),IF(OR(ISERROR(FIND("door",$A69))=FALSE,ISERROR(FIND("Plinth",$A69))=FALSE,ISERROR(FIND("Cornice",$A69))=FALSE,ISERROR(FIND("Fillers",$A69))=FALSE,ISERROR(FIND("Pelmet",$A69))=FALSE,ISERROR(FIND("panel",$A69))=FALSE,ISERROR(FIND("post",$A69))=FALSE),VLOOKUP(KitchenDoorFinish,FixedListsFinishes,3,0),IF(OR(ISERROR(FIND("drawer",$A69))=FALSE,ISERROR(FIND("insert",$A69))=FALSE,ISERROR(FIND("rck",$A69))=FALSE),VLOOKUP(KitchenCarcassFinish,FixedListsFinishes,3,0),0))))</f>
        <v>1</v>
      </c>
      <c r="AE69" s="156">
        <f t="shared" si="6"/>
        <v>1</v>
      </c>
      <c r="AF69" s="157" t="str">
        <f>IF(AND(KitchenHandleType="Channel",OR(ISERROR(FIND("arcass",$A69))=FALSE,ISERROR(FIND("unit",$A69))=FALSE)),IF(ISERROR(FIND("Tower",$A69))=TRUE,IF(KitchenHandleFinish="Match carcass",IF(ISERROR(FIND("Walnut",KitchenCarcassMaterial))=FALSE,(0.035*0.075*($C69/1000))*VLOOKUP("Walnut (solid m3)",SolidData,4,FALSE),IF(ISERROR(FIND("Oak",KitchenCarcassMaterial))=FALSE,(0.035*0.075*($C69/1000))*VLOOKUP("Oak (solid m3)",SolidData,4,FALSE),IF(ISERROR(FIND("ply",KitchenCarcassMaterial))=FALSE,(0.1*($C69/1000))*VLOOKUP("Birch ply (24mm)",SheetsData,7,FALSE),IF(ISERROR(FIND("H/F",KitchenCarcassMaterial))=FALSE,(0.1*($C69/1000))*VLOOKUP("H/F (22mm)",SheetsData,7,FALSE),"Carcass - not tower - new material")))),IF(KitchenHandleFinish="Match door",IF(ISERROR(FIND("Walnut",KitchenDoorMaterial))=FALSE,(0.035*0.075*($C69/1000))*VLOOKUP("Walnut (solid m3)",SolidData,4,FALSE),IF(ISERROR(FIND("Oak",KitchenDoorMaterial))=FALSE,(0.035*0.075*($C69/1000))*VLOOKUP("Oak (solid m3)",SolidData,4,FALSE),IF(ISERROR(FIND("ply",KitchenDoorMaterial))=FALSE,(0.1*($C69/1000))*VLOOKUP("Birch ply (24mm)",SheetsData,7,FALSE),IF(ISERROR(FIND("H/F",KitchenCarcassMaterial))=FALSE,(0.1*($C69/1000))*VLOOKUP("H/F (22mm)",SheetsData,7,FALSE),"Door - not tower - new material")))),"Channel - not tower - handle set to other")),IF(ISERROR(FIND("Tower",$A69))=FALSE,IF(KitchenHandleFinish="Match carcass",IF(ISERROR(FIND("Walnut",KitchenCarcassMaterial))=FALSE,(0.035*0.075*($B69/1000))*VLOOKUP("Walnut (solid m3)",SolidData,4,FALSE),IF(ISERROR(FIND("Oak",KitchenCarcassMaterial))=FALSE,(0.035*0.075*($B69/1000))*VLOOKUP("Oak (solid m3)",SolidData,4,FALSE),IF(ISERROR(FIND("ply",KitchenCarcassMaterial))=FALSE,(0.1*($B69/1000))*VLOOKUP("Birch ply (24mm)",SheetsData,7,FALSE),IF(ISERROR(FIND("H/F",KitchenCarcassMaterial))=FALSE,(0.1*($C69/1000))*VLOOKUP("H/F (22mm)",SheetsData,7,FALSE),"Carcass - tower - new material")))),IF(KitchenHandleFinish="Match door",IF(ISERROR(FIND("Walnut",KitchenDoorMaterial))=FALSE,(0.035*0.075*($B69/1000))*VLOOKUP("Walnut (solid m3)",SolidData,4,FALSE),IF(ISERROR(FIND("Oak",KitchenDoorMaterial))=FALSE,(0.035*0.075*($B69/1000))*VLOOKUP("Oak (solid m3)",SolidData,4,FALSE),IF(ISERROR(FIND("ply",KitchenDoorMaterial))=FALSE,(0.1*($B69/1000))*VLOOKUP("Birch ply (24mm)",SheetData,7,FALSE),IF(ISERROR(FIND("H/F",KitchenCarcassMaterial))=FALSE,(0.1*($C69/1000))*VLOOKUP("H/F (22mm)",SheetsData,7,FALSE),"Door - tower - new material")))),"Channel - tower - handle set to other")))),"")</f>
        <v/>
      </c>
    </row>
    <row r="70">
      <c r="A70" s="150" t="s">
        <v>178</v>
      </c>
      <c r="B70" s="115" t="str">
        <f t="shared" si="1"/>
        <v>300</v>
      </c>
      <c r="C70" s="115" t="str">
        <f>IFERROR(__xludf.DUMMYFUNCTION("IF(A70="""","""",IF(OR(RIGHT(A70,LEN(A70)-len(regexextract(A70,"".* "")))=""1200"",RIGHT(A70,LEN(A70)-len(regexextract(A70,"".* "")))=""600"",RIGHT(A70,LEN(A70)-len(regexextract(A70,"".* "")))=""400"",RIGHT(A70,LEN(A70)-len(regexextract(A70,"".* "")))=""3"&amp;"00"",RIGHT(A70,LEN(A70)-len(regexextract(A70,"".* "")))=""700"",RIGHT(A70,LEN(A70)-len(regexextract(A70,"".* "")))=""2400"",RIGHT(A70,LEN(A70)-len(regexextract(A70,"".* "")))=""650"",RIGHT(A70,LEN(A70)-len(regexextract(A70,"".* "")))=""350"",RIGHT(A70,LEN"&amp;"(A70)-len(regexextract(A70,"".* "")))=""50""),RIGHT(A70,LEN(A70)-len(regexextract(A70,"".* ""))),IF(OR(ISERROR(FIND(""spacer"",A70))=FALSE,ISERROR(FIND(""filler panel"",A70))=FALSE),""1000"",""Unexpected size in description"")))"),"600")</f>
        <v>600</v>
      </c>
      <c r="D70" s="151">
        <f t="shared" si="2"/>
        <v>600</v>
      </c>
      <c r="E70" s="152">
        <f>IFERROR(__xludf.DUMMYFUNCTION("IF(OR(A70="""",AND(ISERROR(FIND(""drawer box"",A70))=FALSE,KitchenDrawerType="""")),"""",IF(OR(ISERROR(FIND(""larder"",A70))=FALSE,ISERROR(FIND(""fridge/freezer"",A70))=FALSE,ISERROR(FIND(""double oven"",A70))=FALSE,ISERROR(FIND(""single oven"",A70))=FALS"&amp;"E),VLOOKUP(LEFT(A70,FIND("" "",A70))&amp;""carcass ""&amp;RIGHT(A70,LEN(A70)-(LEN(A70)-3)),KitchensData,5,0),IF(ISERROR(FIND(""sink"",A70))=FALSE,VLOOKUP(LEFT(A70,FIND("" "",A70))&amp;""carcass ""&amp;VALUE(REGEXREPLACE(A70,""[^[:digit:]]"", """")),KitchensData,5,0)+(((C"&amp;"70/1000)*(300/1000))*VLOOKUP(KitchenCarcassMaterial,SheetsData,8,0)),IF(ISERROR(FIND(""bins"",A70))=FALSE,IF(ISERROR(FIND(""veneer"",KitchenCarcassMaterial))=FALSE,VLOOKUP(""Base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600"",A70))=FALSE,IF(ISERROR(FIND(""veneer"""&amp;",KitchenCarcassMaterial))=FALSE,0.54*(VLOOKUP(LEFT(KitchenCarcassMaterial,FIND(""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1200"",A70))=FALSE,"&amp;"IF(ISERROR(FIND(""veneer"",KitchenCarcassMaterial))=FALSE,0.84*(VLOOKUP(LEFT(KitchenCarcassMaterial,FIND(""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600"",A70))=FALSE,IF(ISERROR(FIND(""veneer"",KitchenCarcassMaterial))=FALSE,1.44*(VLOOKUP(LEFT(KitchenCarcassMaterial,FIND(""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1200"",A70))=FALSE,IF(ISERROR(FIND(""veneer"",KitchenCarcassMaterial))=FALSE,2.7*(VLOOKUP(LEFT(KitchenCarcassMaterial,FIND(""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front"",A70))=FALSE,((B70/1000)*(C70/1000))*VLOOKUP(KitchenDoorMaterial,SheetsData,8,0),IF(AND(KitchenDrawerType=""Match carcass"",ISERROR(FIND(""drawer box"",A70))=FALSE),(((((B70/1000)*(C70/1000))+((B70/1000"&amp;")*(D70/1000)))*2)*VLOOKUP(KitchenCarcassMaterial,SheetsData,8,0))+(((C70/1000)*(D70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box"",A70))=FALSE),(((((B70/1000)*(C70/1000))+((B70/1000)*(D70/1000)))*2)*(16/1000)*VLOOKUP(LEFT(KitchenCarcassMaterial,FIND("" "&amp;""",KitchenCarcassMaterial))&amp;""(solid m3)"",SolidData,5,0))+(((C70/1000)*(D70/1000))*VLOOKUP(LEFT(KitchenCarcassMaterial,FIND(""("",KitchenCarcassMaterial)-1)&amp;IF(OR(ISERROR(FIND(""ply"",KitchenCarcassMaterial))=FALSE,ISERROR(FIND(""H/F"",KitchenCarcassMate"&amp;"rial))=FALSE),""(9mm)"",""(10mm)""),SheetsData,8,0)),IF(ISERROR(FIND(""spacer"",A70))=FALSE,((D70/1000)*(C70/1000))*VLOOKUP(""Poplar ply (18mm)"",SheetsData,8,0),IF(ISERROR(FIND(""filler panel"",A70))=FALSE,((B70/1000)*(C70/1000))*VLOOKUP(KitchenDoorMater"&amp;"ial,SheetsData,8,0),IF(ISERROR(FIND(""shelf"",A70))=FALSE,((D70/1000)*(C70/1000))*VLOOKUP(KitchenCarcassMaterial,SheetsData,8,0),IF(ISERROR(FIND(""lost corner"",A70))=FALSE,VLOOKUP(LEFT(A70,FIND("" "",A70))&amp;""carcass ""&amp;VALUE(REGEXREPLACE(A70,""[^[:digit:"&amp;"]]"", """")),KitchensData,5,0)+((((B70/1000)*(C70/1000))+((B70/1000)*(60/1000)))*VLOOKUP(KitchenCarcassMaterial,SheetsData,8,0)),IF(ISERROR(FIND(""carcass"",A70))=FALSE,(((((B70/1000)*2)*(D70/1000))+(((C70/1000)*2)*(D70/1000)))*VLOOKUP(KitchenCarcassMater"&amp;"ial,SheetsData,8,0))+((B70/1000)*(C70/1000))*VLOOKUP(LEFT(KitchenCarcassMaterial,FIND(""("",KitchenCarcassMaterial)-1)&amp;IF(OR(ISERROR(FIND(""ply"",KitchenCarcassMaterial))=FALSE,ISERROR(FIND(""H/F"",KitchenCarcassMaterial))=FALSE),""(9mm)"",""(10mm)""),She"&amp;"etsData,8,0),IF(OR(ISERROR(FIND(""Plinth"",A70))=FALSE,ISERROR(FIND(""Cornice (flat)"",A70))=FALSE),((B70/1000)*(C70/1000))*VLOOKUP(""H/F (18mm)"",SheetsData,8,0),IF(ISERROR(FIND(""Cornice (stacked)"",A70))=FALSE,((0.08*(C70/1000))*2)*VLOOKUP(""H/F (22mm)"&amp;""",SheetsData,8,0),IF(ISERROR(FIND(""Base end panel"",A70))=FALSE,VLOOKUP(KitchenDoorMaterial,SheetsData,5,0)/3,IF(ISERROR(FIND(""Wall end panel"",A70))=FALSE,VLOOKUP(KitchenDoorMaterial,SheetsData,5,0)/9,IF(ISERROR(FIND(""Tower end panel"",A70))=FALSE,VL"&amp;"OOKUP(KitchenDoorMaterial,SheetsData,5,0),IF(ISERROR(FIND(""Fillers"",A70))=FALSE,(((0.06*(C70/1000))*2)*VLOOKUP(""H/F (18mm)"",SheetsData,8,0))+(((0.06*(C70/1000))*2)*VLOOKUP(""H/F (9mm)"",SheetsData,8,0)),IF(ISERROR(FIND(""corner post"",A70))=FALSE,(((B"&amp;"70/1000)*0.05)*2)*VLOOKUP(KitchenDoorMaterial,SheetsData,8,0),IF(ISERROR(FIND(""Pelmet"",A70))=FALSE,((((B70/1000)*(C70/1000))*2)*VLOOKUP(""H/F (18mm)"",SheetsData,8,0)),IF(ISERROR(FIND(""door"",A70))=TRUE,""Check description"",IF(KitchenDoorStyle=""Flat"&amp;""",((B70/1000)*(C70/1000))*VLOOKUP(KitchenDoorMaterial,SheetsData,8,0),IF(LEFT(KitchenDoorStyle,5)=""Panel"",(((((B70/1000)*2)*0.08)+((((C70/1000)-0.16)*2)*0.08))*VLOOKUP(""H/F (22mm)"",SheetsData,8,0))+(((B70/1000)-0.14)*((C70/1000)-0.14)*VLOOKUP(""H/F ("&amp;"9mm)"",SheetsData,8,0)),IF(KitchenDoorStyle=""In-frame flat"",((((((B70/1000)*0.019)*0.038)+((((C70-38)/1000)*0.038)*0.038))*2)*VLOOKUP(""Tulip (solid m3)"",SolidData,5,0))+(((B70-76)/1000)*((C70-38)/1000))*VLOOKUP(""H/F (22mm)"",SheetsData,8,0),IF(LEFT(K"&amp;"itchenDoorStyle,14)=""In-frame panel"",(((((((B70/1000)*0.019)*0.038)+((((C70-38)/1000)*0.038)*0.038))*2)*VLOOKUP(""Tulip (solid m3)"",SolidData,5,0))+(((((((B70-76)/1000)*2)*0.08)+(((((C70-198)/1000)*2)*0.08)))*VLOOKUP(""H/F (22mm)"",SheetsData,8,0))+((("&amp;"B70-216)/1000)*((C70-178)/1000)*VLOOKUP(""H/F (9mm)"",SheetsData,8,0)))))))))))))))))))))))))))))))))"),31.66689062080086)</f>
        <v>31.66689062</v>
      </c>
      <c r="F70" s="152">
        <f>IFERROR(__xludf.DUMMYFUNCTION("IF(OR(A70="""",AND(ISERROR(FIND(""drawer box"",A70))=FALSE,KitchenDrawerType=""Solid dovetail"")),"""",IF(ISERROR(FIND(""bins"",A70))=FALSE,VLOOKUP(""Base carcass 600"",KitchensData,6,0),IF(OR(ISERROR(FIND(""larder"",A70))=FALSE,ISERROR(FIND(""unit"",A70)"&amp;")=FALSE),VLOOKUP(LEFT(A70,FIND("" "",A70))&amp;""carcass ""&amp;RIGHT(A70,LEN(A70)-len(regexextract(A70,"".* ""))),KitchensData,6,0),IF(ISERROR(FIND(""drawer front"",A70))=FALSE,IF(ISERROR(FIND(""veneer"",KitchenCarcassMaterial))=TRUE,0,(((B70+C70)/1000)*2)*VLOOK"&amp;"UP(""Edge banding (per M)"",SheetsData,5,0)),IF(ISERROR(FIND(""drawer box"",A70))=FALSE,IF(ISERROR(FIND(""veneer"",KitchenCarcassMaterial))=TRUE,0,(((C70+D70)/1000)*2)*VLOOKUP(""Edge banding (per M)"",SheetsData,5,0)),IF(ISERROR(FIND(""shelf"",A70))=FALSE"&amp;",IF(ISERROR(FIND(""veneer"",KitchenCarcassMaterial))=TRUE,0,(C70/1000)*VLOOKUP(""Edge banding (per M)"",SheetsData,5,0)),IF(AND(ISERROR(FIND(""carcass"",A70))=FALSE,ISERROR(FIND(""shelf"",A70))=TRUE),IF(ISERROR(FIND(""veneer"",KitchenCarcassMaterial))=TRU"&amp;"E,0,((2*(B70+C70))/1000)*VLOOKUP(""Edge banding (per M)"",SheetsData,5,0)),IF(ISERROR(FIND(""door"",A70))=TRUE,"""",IF(ISERROR(FIND(""veneer"",KitchenDoorMaterial))=TRUE,"""",((2*(B70+C70))/1000)*VLOOKUP(""Edge banding (per M)"",SheetsData,5,0))))))))))"),0.0)</f>
        <v>0</v>
      </c>
      <c r="G70" s="153" t="str">
        <f>IF(A70="","",IF(ISERROR(FIND("bins",A70))=FALSE,VLOOKUP("Base carcass 600",KitchensData,7,0),IF(OR(ISERROR(FIND("larder",A70))=FALSE,ISERROR(FIND("fridge/freezer",A70))=FALSE,ISERROR(FIND("double oven",A70))=FALSE,ISERROR(FIND("single oven",A70))=FALSE),VLOOKUP(LEFT(A70,FIND(" ",A70))&amp;"carcass "&amp;RIGHT(A70,LEN(A70)-(LEN(A70)-3)),KitchensData,7,0),IF(AND(ISERROR(FIND("carcass",A70))=FALSE,ISERROR(FIND("shelf",A70))=TRUE),IF(OR(ISERROR(FIND("Base",A70))=FALSE,ISERROR(FIND("Tower",A70))=FALSE),IF(OR(ISERROR(FIND("1200",A70))=FALSE, ISERROR(FIND("lost corner",A70))=FALSE),6*VLOOKUP("Plinth foot (2 Parts 80mm)",FurnitureData,5,0),4*VLOOKUP("Plinth foot (2 Parts 80mm)",FurnitureData,5,0)),""),""))))</f>
        <v/>
      </c>
      <c r="H70" s="115" t="str">
        <f>IF(OR(A70="",ISERROR(FIND("door",A70))=TRUE),"",IF(ISERROR(FIND("Wall",A70))=FALSE,VLOOKUP("Hinges &amp; plates (Hettich thick door)",FurnitureData,5,0)*2,IF(ISERROR(FIND("Base",A70))=FALSE,VLOOKUP("Hinges &amp; plates (Hettich thick door)",FurnitureData,5,0)*3,IF(ISERROR(FIND("Boiler",A70))=FALSE,VLOOKUP("Hinges &amp; plates (Hettich thick door)",FurnitureData,5,0)*4,IF(ISERROR(FIND("Tower",A70))=FALSE,VLOOKUP("Hinges &amp; plates (Hettich thick door)",FurnitureData,5,0)*5)))))</f>
        <v/>
      </c>
      <c r="I70" s="115" t="str">
        <f>IF(ISERROR(FIND("shelf",A70))=FALSE,(VLOOKUP("Shelf pegs",FurnitureData,5,0)/100)*4,"")</f>
        <v/>
      </c>
      <c r="J70" s="152" t="str">
        <f>IF(OR(ISERROR(FIND("fridge/freezer",A70))=FALSE,ISERROR(FIND("larder",A70))=FALSE,AND(ISERROR(FIND("Base",A70))=FALSE,ISERROR(FIND("bins",A70))=TRUE,ISERROR(FIND("no shelves",A70))=TRUE,OR(ISERROR(FIND("carcass",A70))=FALSE,ISERROR(FIND("unit",A70))=FALSE))),VLOOKUP("Deep shelf "&amp;C70,KitchensData,18,0),IF(AND(ISERROR(FIND("Wall",A70))=FALSE,ISERROR(FIND("carcass",A70))=FALSE),2*VLOOKUP("Shallow shelf "&amp;C70,KitchensData,18,0),IF(AND(ISERROR(FIND("Tower",A70))=FALSE,ISERROR(FIND("oven",A70))=FALSE),4*VLOOKUP("Deep shelf "&amp;C70,KitchensData,18,0),IF(AND(ISERROR(FIND("Tower",A70))=FALSE,ISERROR(FIND("carcass",A70))=FALSE),5*VLOOKUP("Deep shelf "&amp;C70,KitchensData,18,0),""))))</f>
        <v/>
      </c>
      <c r="K70" s="152">
        <f>IF(ISERROR(FIND("sink",A70))=FALSE,VLOOKUP("Sink liner - Aluminium "&amp;RIGHT(A70,LEN(A70)-22)&amp;"mm",ExceptionalData,5,0),IF(ISERROR(FIND("bins",A70))=FALSE,VLOOKUP("Drawer runners and clip set for bin unit (500) Dynapro",FurnitureData,5,0)+(2*VLOOKUP("Bin (42L Anthracite)",FurnitureData,5,0)),IF(ISERROR(FIND("larder",A70))=FALSE,VLOOKUP("Pull out larder unit 600mm",FurnitureData,5,0),IF(AND(ISERROR(FIND("drawer box",A70))=FALSE,ISERROR(FIND("internal",A70))=TRUE),VLOOKUP("Drawer runners and clip set (550) Dynapro",FurnitureData,5,0),IF(ISERROR(FIND("internal drawer box",A70))=FALSE,VLOOKUP("Drawer runners and clip set (450) Dynapro",FurnitureData,5,0),"")))))</f>
        <v>52.54</v>
      </c>
      <c r="L70" s="152">
        <f t="shared" si="3"/>
        <v>84.20689062</v>
      </c>
      <c r="M70" s="154">
        <f>IFERROR(__xludf.DUMMYFUNCTION("IF(A70="""","""",IF(OR(ISERROR(FIND(""larder"",A70))=FALSE,ISERROR(FIND(""unit"",A70))=FALSE),VLOOKUP(LEFT(A70,FIND("" "",A70))&amp;""carcass ""&amp;RIGHT(A70,LEN(A70)-len(regexextract(A70,"".* ""))),KitchensData,13,0),IF(ISERROR(FIND(""bins"",A70))=FALSE,0.95,IF"&amp;"(ISERROR(FIND(""Cutlery insert 600"",A70))=FALSE,1.3,IF(ISERROR(FIND(""Cutlery insert 1200"",A70))=FALSE,2,IF(ISERROR(FIND(""Pan/tray rack 600"",A70))=FALSE,3.25,IF(ISERROR(FIND(""Pan/tray rack 1200"",A70))=FALSE,5.9,IF(ISERROR(FIND(""split"",A70))=FALSE,"&amp;"(((C70/1000)*0.022)*2)+VLOOKUP(SUBSTITUTE(A70,"" split"",""""),KitchensData,13,0),IF(AND(ISERROR(FIND(""drawer front"",A70))=FALSE,KitchenDoorStyle=""Flat""),(((B70/1000)*(C70/1000))*2)+((((B70+C70)/1000)*2)*0.022),IF(AND(ISERROR(FIND(""drawer front"",A70"&amp;"))=FALSE,LEFT(KitchenDoorStyle,5)=""Panel""),(((B70/1000)*(C70/1000))*2)+((((B70+C70)/1000)*2)*0.022)+((((C70/1000)-0.16)*0.013)*2)+((((D70/1000)-0.16)*0.013)*2),IF(AND(ISERROR(FIND(""drawer front"",A70))=FALSE,KitchenDoorStyle=""In-frame flat""),((((B70-"&amp;"76)/1000)*((C70-38)/1000))*2)+(MID(KitchenDoorMaterial,FIND(""("",KitchenDoorMaterial)+1,2)/1000)*((((B70-76)+(C70-38))/1000)*2)+(((B70/1000)*0.032)*2)+((((B70-76)/1000)*0.032)*2)+(((B70/1000)*0.019)*4)+(((C70/1000)*0.032)*2)+((((C70-38)/1000)*0.032)*2)+("&amp;"((C70/1000)*0.038)*4),IF(AND(ISERROR(FIND(""drawer front"",A70))=FALSE,LEFT(KitchenDoorStyle,14)=""In-frame panel""),((((B70-76)/1000)*((C70-38)/1000))*2)+((MID(KitchenDoorMaterial,FIND(""("",KitchenDoorMaterial)+1,2)/1000)*((((B70-76)+(C70-38))/1000)*2))"&amp;"+((((B70-236)/1000)+((C70-198)/1000)*2)*0.013)+(((B70/1000)*0.032)*2)+((((B70-76)/1000)*0.032)*2)+(((B70/1000)*0.019)*4)+(((C70/1000)*0.032)*2)+((((C70-38)/1000)*0.032)*2)+(((C70/1000)*0.038)*4),IF(ISERROR(FIND(""drawer box"",A70))=FALSE,((((B70/1000)*(D7"&amp;"0/1000))+((B70/1000)*(C70/1000)))*4)+((((D70/1000)+(C70/1000))*0.016)*4)+(((C70/1000)*(D70/1000))*2),IF(OR(ISERROR(FIND(""shelf"",A70))=FALSE,ISERROR(FIND(""spacer"",A70))=FALSE,,ISERROR(FIND(""filler panel"",A70))=FALSE),(((C70/1000)*(D70/1000))*2)+((((C"&amp;"70+D70)*2)/1000)*0.022),IF(ISERROR(FIND(""lost corner"",A70))=FALSE,(((B70/1000)*(C70/1000))*2)+((B70/1000)*(C70/1000))+((B70/1000)*((C70/2)/1000))+((((B70/1000)*0.025)+((C70/1000)*0.025))*2),IF(ISERROR(FIND(""carcass"",A70))=FALSE,(((C70/1000)*(D70/1000)"&amp;")*2)+(((B70/1000)*(D70/1000))*2)+((B70/1000)*(C70/1000))+((((B70/1000)*0.025)+((C70/1000)*0.025))*2),IF(AND(ISERROR(FIND(""door"",A70))=FALSE,KitchenDoorStyle=""Flat""),(((B70/1000)*(C70/1000))*2)+(MID(KitchenDoorMaterial,FIND(""("",KitchenDoorMaterial)+1"&amp;",2)/1000)*(((B70+C70)/1000)*2),IF(AND(ISERROR(FIND(""door"",A70))=FALSE,LEFT(KitchenDoorStyle,5)=""Panel""),(((B70/1000)*(C70/1000))*2)+((MID(KitchenDoorMaterial,FIND(""("",KitchenDoorMaterial)+1,2)/1000)*(((B70+C70)/1000)*2))+(((((B70-160)+(C70-160))*2)/"&amp;"1000)*(0.013)),IF(AND(ISERROR(FIND(""door"",A70))=FALSE,KitchenDoorStyle=""In-frame flat""),((((B70-76)/1000)*((C70-38)/1000))*2)+(MID(KitchenDoorMaterial,FIND(""("",KitchenDoorMaterial)+1,2)/1000)*((((B70-76)+(C70-38))/1000)*2)+(((B70/1000)*0.032)*2)+((("&amp;"(B70-76)/1000)*0.032)*2)+(((B70/1000)*0.019)*4)+(((C70/1000)*0.032)*2)+((((C70-38)/1000)*0.032)*2)+(((C70/1000)*0.038)*4),IF(AND(ISERROR(FIND(""door"",A70))=FALSE,LEFT(KitchenDoorStyle,14)=""In-frame panel""),((((B70-76)/1000)*((C70-38)/1000))*2)+((MID(Ki"&amp;"tchenDoorMaterial,FIND(""("",KitchenDoorMaterial)+1,2)/1000)*((((B70-76)+(C70-38))/1000)*2))+((((B70-236)/1000)+((C70-198)/1000)*2)*0.013)+(((B70/1000)*0.032)*2)+((((B70-76)/1000)*0.032)*2)+(((B70/1000)*0.019)*4)+(((C70/1000)*0.032)*2)+((((C70-38)/1000)*0"&amp;".032)*2)+(((C70/1000)*0.038)*4),IF(ISERROR(FIND(""Plinth"",A70))=FALSE,((B70/1000)*(C70/1000))+(((C70/1000)*0.018)*2)+(((B70/1000)*0.018)*2),IF(ISERROR(FIND(""Cornice"",A70))=FALSE,(((C70/1000)*0.1)*2)+(((C70/1000)*0.044)*2)+(((B70/1000)*0.08)*2),IF(ISERR"&amp;"OR(FIND(""Base end panel"",A70))=FALSE,((B70/1000)*(C70/1000))+(0.022*((B70/1000)+((C70/1000)*2)))+((B70/1000)*0.05),IF(ISERROR(FIND(""Wall end panel"",A70))=FALSE,((B70/1000)*(C70/1000))+(0.022*((B70/1000)+((C70/1000)*2)))+((B70/1000)*0.05),IF(ISERROR(FI"&amp;"ND(""Tower end panel"",A70))=FALSE,((B70/1000)*(C70/1000))+(0.022*((B70/1000)+((C70/1000)*2)))+((B70/1000)*0.05),IF(ISERROR(FIND(""Fillers"",A70))=FALSE,((C70/1000)*0.06)+((C70/1000)*0.069)+((0.06*0.018)*2)+((0.06*0.009)*2)+((C70/1000)*0.009)+((C70/1000)*"&amp;"0.018),IF(ISERROR(FIND(""corner post"",A70))=FALSE,(((B70/1000*0.05)*2)+((B70/1000)*0.022)*2)+((B70/1000)*0.072)+((B70/1000)*0.05)+((0.072*0.022)*2)+((0.05*0.022)*2),IF(ISERROR(FIND(""Pelmet"",A70))=FALSE,((C70/1000)*0.05)+((C70/1000)*0.068)+((0.05*0.018)"&amp;"*4)+(((C70/1000)*0.018))*2))))))))))))))))))))))))))))"),2.2367999999999997)</f>
        <v>2.2368</v>
      </c>
      <c r="N70" s="152">
        <f>IF(M70="","",IF(AND(ISERROR(FIND("carcass",A70))=TRUE,ISERROR(FIND("unit",A70))=TRUE,ISERROR(FIND("insert",A70))=TRUE,ISERROR(FIND("rack",A70))=TRUE,ISERROR(FIND("box",A70))=TRUE,ISERROR(FIND("shelf",#REF!))=TRUE),VLOOKUP(KitchenDoorFinish,Finishing!$A$2:$K$10,9,0)*M70,VLOOKUP(KitchenCarcassFinish,Finishing!$A$2:$K$40,9,0)*M70))</f>
        <v>8.388</v>
      </c>
      <c r="O70" s="155">
        <v>2.5</v>
      </c>
      <c r="P70" s="155">
        <v>1.0</v>
      </c>
      <c r="Q70" s="152">
        <f>IF(OR(O70="",P70=""),"",((O70*X70)*(VLOOKUP("Workshop",Labour!$A$3:$E$20,4,0)/8))+((P70*AE70)*(VLOOKUP("Finishing",Labour!$A$3:$E$20,4,0)/8)))</f>
        <v>137.375</v>
      </c>
      <c r="R70" s="152">
        <f t="shared" si="4"/>
        <v>229.9698906</v>
      </c>
      <c r="S70" s="156">
        <f>IF(OR(O70="",P70=""),"",IF(OR(ISERROR(FIND("carcass",$A70))=FALSE,ISERROR(FIND("unit",$A70))=FALSE),VLOOKUP(KitchenCarcassMaterial,FixedListsCarcassMaterial,2,0),0))</f>
        <v>0</v>
      </c>
      <c r="T70" s="156">
        <f>IF(OR(O70="",P70=""),"",IF(ISERROR(FIND("door",$A70))=FALSE,VLOOKUP(KitchenDoorStyle,FixedListsDoorStyle,2,0),0))</f>
        <v>0</v>
      </c>
      <c r="U70" s="156">
        <f>IF(OR(O70="",P70=""),"",IF(ISERROR(FIND("door",$A70))=FALSE,VLOOKUP(KitchenDoorMaterial,FixedListsDoorMaterial,2,0),0))</f>
        <v>0</v>
      </c>
      <c r="V70" s="156">
        <f>IF(OR(O70="",P70=""),"",IF(ISERROR(FIND("drawer",$A70))=FALSE,VLOOKUP(KitchenDrawerType,FixedListsDrawerType,2,0),0))</f>
        <v>1</v>
      </c>
      <c r="W70" s="156">
        <f>IF(OR(O70="",P70=""),"",IF(OR(S70&gt;0, T70&gt;0,V70&gt;0),VLOOKUP(KitchenHandleType,FixedListsHandleType,2,FALSE)*IF(KitchenHandleType="Simple",0,IF(S70&gt;0,VLOOKUP(KitchenHandleType,FixedListsHandleType,4,FALSE),IF(OR(T70&gt;0,V70&gt;0),1-VLOOKUP(KitchenHandleType,FixedListsHandleType,4,FALSE),"Error"))),0))</f>
        <v>0</v>
      </c>
      <c r="X70" s="156">
        <f t="shared" si="5"/>
        <v>1</v>
      </c>
      <c r="Y70" s="156">
        <f>IF(OR(O70="",P70=""),"",IF(OR(ISERROR(FIND("carcass",$A70))=FALSE,ISERROR(FIND("unit",$A70))=FALSE),VLOOKUP(KitchenCarcassMaterial,FixedListsCarcassMaterial,3,0),0))</f>
        <v>0</v>
      </c>
      <c r="Z70" s="156">
        <f>IF(OR(O70="",P70=""),"",IF(ISERROR(FIND("door",$A70))=FALSE,VLOOKUP(KitchenDoorStyle,FixedListsDoorStyle,3,0),0))</f>
        <v>0</v>
      </c>
      <c r="AA70" s="156">
        <f>IF(OR(O70="",P70=""),"",IF(ISERROR(FIND("door",$A70))=FALSE,VLOOKUP(KitchenDoorMaterial,FixedListsDoorMaterial,3,0),0))</f>
        <v>0</v>
      </c>
      <c r="AB70" s="156">
        <f>IF(OR(O70="",P70=""),"",IF(ISERROR(FIND("drawer",$A70))=FALSE,VLOOKUP(KitchenDrawerType,FixedListsDrawerType,3,0),0))</f>
        <v>1</v>
      </c>
      <c r="AC70" s="156">
        <f>IF(OR(O70="",P70=""),"",IF(OR(Y70&gt;0,Z70&gt;0,AB70&gt;0),VLOOKUP(KitchenHandleType,FixedListsHandleType,3,FALSE),0))</f>
        <v>1</v>
      </c>
      <c r="AD70" s="156">
        <f>IF(OR(O70="",P70=""),"",IF(OR(ISERROR(FIND("carcass",$A70))=FALSE,ISERROR(FIND("unit",$A70))=FALSE),VLOOKUP(KitchenCarcassFinish,FixedListsFinishes,3,0),IF(OR(ISERROR(FIND("door",$A70))=FALSE,ISERROR(FIND("Plinth",$A70))=FALSE,ISERROR(FIND("Cornice",$A70))=FALSE,ISERROR(FIND("Fillers",$A70))=FALSE,ISERROR(FIND("Pelmet",$A70))=FALSE,ISERROR(FIND("panel",$A70))=FALSE,ISERROR(FIND("post",$A70))=FALSE),VLOOKUP(KitchenDoorFinish,FixedListsFinishes,3,0),IF(OR(ISERROR(FIND("drawer",$A70))=FALSE,ISERROR(FIND("insert",$A70))=FALSE,ISERROR(FIND("rck",$A70))=FALSE),VLOOKUP(KitchenCarcassFinish,FixedListsFinishes,3,0),0))))</f>
        <v>1</v>
      </c>
      <c r="AE70" s="156">
        <f t="shared" si="6"/>
        <v>1</v>
      </c>
      <c r="AF70" s="157" t="str">
        <f>IF(AND(KitchenHandleType="Channel",OR(ISERROR(FIND("arcass",$A70))=FALSE,ISERROR(FIND("unit",$A70))=FALSE)),IF(ISERROR(FIND("Tower",$A70))=TRUE,IF(KitchenHandleFinish="Match carcass",IF(ISERROR(FIND("Walnut",KitchenCarcassMaterial))=FALSE,(0.035*0.075*($C70/1000))*VLOOKUP("Walnut (solid m3)",SolidData,4,FALSE),IF(ISERROR(FIND("Oak",KitchenCarcassMaterial))=FALSE,(0.035*0.075*($C70/1000))*VLOOKUP("Oak (solid m3)",SolidData,4,FALSE),IF(ISERROR(FIND("ply",KitchenCarcassMaterial))=FALSE,(0.1*($C70/1000))*VLOOKUP("Birch ply (24mm)",SheetsData,7,FALSE),IF(ISERROR(FIND("H/F",KitchenCarcassMaterial))=FALSE,(0.1*($C70/1000))*VLOOKUP("H/F (22mm)",SheetsData,7,FALSE),"Carcass - not tower - new material")))),IF(KitchenHandleFinish="Match door",IF(ISERROR(FIND("Walnut",KitchenDoorMaterial))=FALSE,(0.035*0.075*($C70/1000))*VLOOKUP("Walnut (solid m3)",SolidData,4,FALSE),IF(ISERROR(FIND("Oak",KitchenDoorMaterial))=FALSE,(0.035*0.075*($C70/1000))*VLOOKUP("Oak (solid m3)",SolidData,4,FALSE),IF(ISERROR(FIND("ply",KitchenDoorMaterial))=FALSE,(0.1*($C70/1000))*VLOOKUP("Birch ply (24mm)",SheetsData,7,FALSE),IF(ISERROR(FIND("H/F",KitchenCarcassMaterial))=FALSE,(0.1*($C70/1000))*VLOOKUP("H/F (22mm)",SheetsData,7,FALSE),"Door - not tower - new material")))),"Channel - not tower - handle set to other")),IF(ISERROR(FIND("Tower",$A70))=FALSE,IF(KitchenHandleFinish="Match carcass",IF(ISERROR(FIND("Walnut",KitchenCarcassMaterial))=FALSE,(0.035*0.075*($B70/1000))*VLOOKUP("Walnut (solid m3)",SolidData,4,FALSE),IF(ISERROR(FIND("Oak",KitchenCarcassMaterial))=FALSE,(0.035*0.075*($B70/1000))*VLOOKUP("Oak (solid m3)",SolidData,4,FALSE),IF(ISERROR(FIND("ply",KitchenCarcassMaterial))=FALSE,(0.1*($B70/1000))*VLOOKUP("Birch ply (24mm)",SheetsData,7,FALSE),IF(ISERROR(FIND("H/F",KitchenCarcassMaterial))=FALSE,(0.1*($C70/1000))*VLOOKUP("H/F (22mm)",SheetsData,7,FALSE),"Carcass - tower - new material")))),IF(KitchenHandleFinish="Match door",IF(ISERROR(FIND("Walnut",KitchenDoorMaterial))=FALSE,(0.035*0.075*($B70/1000))*VLOOKUP("Walnut (solid m3)",SolidData,4,FALSE),IF(ISERROR(FIND("Oak",KitchenDoorMaterial))=FALSE,(0.035*0.075*($B70/1000))*VLOOKUP("Oak (solid m3)",SolidData,4,FALSE),IF(ISERROR(FIND("ply",KitchenDoorMaterial))=FALSE,(0.1*($B70/1000))*VLOOKUP("Birch ply (24mm)",SheetData,7,FALSE),IF(ISERROR(FIND("H/F",KitchenCarcassMaterial))=FALSE,(0.1*($C70/1000))*VLOOKUP("H/F (22mm)",SheetsData,7,FALSE),"Door - tower - new material")))),"Channel - tower - handle set to other")))),"")</f>
        <v/>
      </c>
    </row>
    <row r="71">
      <c r="A71" s="158" t="s">
        <v>179</v>
      </c>
      <c r="B71" s="115" t="str">
        <f t="shared" si="1"/>
        <v>300</v>
      </c>
      <c r="C71" s="115" t="str">
        <f>IFERROR(__xludf.DUMMYFUNCTION("IF(A71="""","""",IF(OR(RIGHT(A71,LEN(A71)-len(regexextract(A71,"".* "")))=""1200"",RIGHT(A71,LEN(A71)-len(regexextract(A71,"".* "")))=""600"",RIGHT(A71,LEN(A71)-len(regexextract(A71,"".* "")))=""400"",RIGHT(A71,LEN(A71)-len(regexextract(A71,"".* "")))=""3"&amp;"00"",RIGHT(A71,LEN(A71)-len(regexextract(A71,"".* "")))=""700"",RIGHT(A71,LEN(A71)-len(regexextract(A71,"".* "")))=""2400"",RIGHT(A71,LEN(A71)-len(regexextract(A71,"".* "")))=""650"",RIGHT(A71,LEN(A71)-len(regexextract(A71,"".* "")))=""350"",RIGHT(A71,LEN"&amp;"(A71)-len(regexextract(A71,"".* "")))=""50""),RIGHT(A71,LEN(A71)-len(regexextract(A71,"".* ""))),IF(OR(ISERROR(FIND(""spacer"",A71))=FALSE,ISERROR(FIND(""filler panel"",A71))=FALSE),""1000"",""Unexpected size in description"")))"),"1200")</f>
        <v>1200</v>
      </c>
      <c r="D71" s="151">
        <f t="shared" si="2"/>
        <v>600</v>
      </c>
      <c r="E71" s="152">
        <f>IFERROR(__xludf.DUMMYFUNCTION("IF(OR(A71="""",AND(ISERROR(FIND(""drawer box"",A71))=FALSE,KitchenDrawerType="""")),"""",IF(OR(ISERROR(FIND(""larder"",A71))=FALSE,ISERROR(FIND(""fridge/freezer"",A71))=FALSE,ISERROR(FIND(""double oven"",A71))=FALSE,ISERROR(FIND(""single oven"",A71))=FALS"&amp;"E),VLOOKUP(LEFT(A71,FIND("" "",A71))&amp;""carcass ""&amp;RIGHT(A71,LEN(A71)-(LEN(A71)-3)),KitchensData,5,0),IF(ISERROR(FIND(""sink"",A71))=FALSE,VLOOKUP(LEFT(A71,FIND("" "",A71))&amp;""carcass ""&amp;VALUE(REGEXREPLACE(A71,""[^[:digit:]]"", """")),KitchensData,5,0)+(((C"&amp;"71/1000)*(300/1000))*VLOOKUP(KitchenCarcassMaterial,SheetsData,8,0)),IF(ISERROR(FIND(""bins"",A71))=FALSE,IF(ISERROR(FIND(""veneer"",KitchenCarcassMaterial))=FALSE,VLOOKUP(""Base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600"",A71))=FALSE,IF(ISERROR(FIND(""veneer"""&amp;",KitchenCarcassMaterial))=FALSE,0.54*(VLOOKUP(LEFT(KitchenCarcassMaterial,FIND(""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1200"",A71))=FALSE,"&amp;"IF(ISERROR(FIND(""veneer"",KitchenCarcassMaterial))=FALSE,0.84*(VLOOKUP(LEFT(KitchenCarcassMaterial,FIND(""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600"",A71))=FALSE,IF(ISERROR(FIND(""veneer"",KitchenCarcassMaterial))=FALSE,1.44*(VLOOKUP(LEFT(KitchenCarcassMaterial,FIND(""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1200"",A71))=FALSE,IF(ISERROR(FIND(""veneer"",KitchenCarcassMaterial))=FALSE,2.7*(VLOOKUP(LEFT(KitchenCarcassMaterial,FIND(""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front"",A71))=FALSE,((B71/1000)*(C71/1000))*VLOOKUP(KitchenDoorMaterial,SheetsData,8,0),IF(AND(KitchenDrawerType=""Match carcass"",ISERROR(FIND(""drawer box"",A71))=FALSE),(((((B71/1000)*(C71/1000))+((B71/1000"&amp;")*(D71/1000)))*2)*VLOOKUP(KitchenCarcassMaterial,SheetsData,8,0))+(((C71/1000)*(D71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box"",A71))=FALSE),(((((B71/1000)*(C71/1000))+((B71/1000)*(D71/1000)))*2)*(16/1000)*VLOOKUP(LEFT(KitchenCarcassMaterial,FIND("" "&amp;""",KitchenCarcassMaterial))&amp;""(solid m3)"",SolidData,5,0))+(((C71/1000)*(D71/1000))*VLOOKUP(LEFT(KitchenCarcassMaterial,FIND(""("",KitchenCarcassMaterial)-1)&amp;IF(OR(ISERROR(FIND(""ply"",KitchenCarcassMaterial))=FALSE,ISERROR(FIND(""H/F"",KitchenCarcassMate"&amp;"rial))=FALSE),""(9mm)"",""(10mm)""),SheetsData,8,0)),IF(ISERROR(FIND(""spacer"",A71))=FALSE,((D71/1000)*(C71/1000))*VLOOKUP(""Poplar ply (18mm)"",SheetsData,8,0),IF(ISERROR(FIND(""filler panel"",A71))=FALSE,((B71/1000)*(C71/1000))*VLOOKUP(KitchenDoorMater"&amp;"ial,SheetsData,8,0),IF(ISERROR(FIND(""shelf"",A71))=FALSE,((D71/1000)*(C71/1000))*VLOOKUP(KitchenCarcassMaterial,SheetsData,8,0),IF(ISERROR(FIND(""lost corner"",A71))=FALSE,VLOOKUP(LEFT(A71,FIND("" "",A71))&amp;""carcass ""&amp;VALUE(REGEXREPLACE(A71,""[^[:digit:"&amp;"]]"", """")),KitchensData,5,0)+((((B71/1000)*(C71/1000))+((B71/1000)*(60/1000)))*VLOOKUP(KitchenCarcassMaterial,SheetsData,8,0)),IF(ISERROR(FIND(""carcass"",A71))=FALSE,(((((B71/1000)*2)*(D71/1000))+(((C71/1000)*2)*(D71/1000)))*VLOOKUP(KitchenCarcassMater"&amp;"ial,SheetsData,8,0))+((B71/1000)*(C71/1000))*VLOOKUP(LEFT(KitchenCarcassMaterial,FIND(""("",KitchenCarcassMaterial)-1)&amp;IF(OR(ISERROR(FIND(""ply"",KitchenCarcassMaterial))=FALSE,ISERROR(FIND(""H/F"",KitchenCarcassMaterial))=FALSE),""(9mm)"",""(10mm)""),She"&amp;"etsData,8,0),IF(OR(ISERROR(FIND(""Plinth"",A71))=FALSE,ISERROR(FIND(""Cornice (flat)"",A71))=FALSE),((B71/1000)*(C71/1000))*VLOOKUP(""H/F (18mm)"",SheetsData,8,0),IF(ISERROR(FIND(""Cornice (stacked)"",A71))=FALSE,((0.08*(C71/1000))*2)*VLOOKUP(""H/F (22mm)"&amp;""",SheetsData,8,0),IF(ISERROR(FIND(""Base end panel"",A71))=FALSE,VLOOKUP(KitchenDoorMaterial,SheetsData,5,0)/3,IF(ISERROR(FIND(""Wall end panel"",A71))=FALSE,VLOOKUP(KitchenDoorMaterial,SheetsData,5,0)/9,IF(ISERROR(FIND(""Tower end panel"",A71))=FALSE,VL"&amp;"OOKUP(KitchenDoorMaterial,SheetsData,5,0),IF(ISERROR(FIND(""Fillers"",A71))=FALSE,(((0.06*(C71/1000))*2)*VLOOKUP(""H/F (18mm)"",SheetsData,8,0))+(((0.06*(C71/1000))*2)*VLOOKUP(""H/F (9mm)"",SheetsData,8,0)),IF(ISERROR(FIND(""corner post"",A71))=FALSE,(((B"&amp;"71/1000)*0.05)*2)*VLOOKUP(KitchenDoorMaterial,SheetsData,8,0),IF(ISERROR(FIND(""Pelmet"",A71))=FALSE,((((B71/1000)*(C71/1000))*2)*VLOOKUP(""H/F (18mm)"",SheetsData,8,0)),IF(ISERROR(FIND(""door"",A71))=TRUE,""Check description"",IF(KitchenDoorStyle=""Flat"&amp;""",((B71/1000)*(C71/1000))*VLOOKUP(KitchenDoorMaterial,SheetsData,8,0),IF(LEFT(KitchenDoorStyle,5)=""Panel"",(((((B71/1000)*2)*0.08)+((((C71/1000)-0.16)*2)*0.08))*VLOOKUP(""H/F (22mm)"",SheetsData,8,0))+(((B71/1000)-0.14)*((C71/1000)-0.14)*VLOOKUP(""H/F ("&amp;"9mm)"",SheetsData,8,0)),IF(KitchenDoorStyle=""In-frame flat"",((((((B71/1000)*0.019)*0.038)+((((C71-38)/1000)*0.038)*0.038))*2)*VLOOKUP(""Tulip (solid m3)"",SolidData,5,0))+(((B71-76)/1000)*((C71-38)/1000))*VLOOKUP(""H/F (22mm)"",SheetsData,8,0),IF(LEFT(K"&amp;"itchenDoorStyle,14)=""In-frame panel"",(((((((B71/1000)*0.019)*0.038)+((((C71-38)/1000)*0.038)*0.038))*2)*VLOOKUP(""Tulip (solid m3)"",SolidData,5,0))+(((((((B71-76)/1000)*2)*0.08)+(((((C71-198)/1000)*2)*0.08)))*VLOOKUP(""H/F (22mm)"",SheetsData,8,0))+((("&amp;"B71-216)/1000)*((C71-178)/1000)*VLOOKUP(""H/F (9mm)"",SheetsData,8,0)))))))))))))))))))))))))))))))))"),51.36723998925021)</f>
        <v>51.36723999</v>
      </c>
      <c r="F71" s="152">
        <f>IFERROR(__xludf.DUMMYFUNCTION("IF(OR(A71="""",AND(ISERROR(FIND(""drawer box"",A71))=FALSE,KitchenDrawerType=""Solid dovetail"")),"""",IF(ISERROR(FIND(""bins"",A71))=FALSE,VLOOKUP(""Base carcass 600"",KitchensData,6,0),IF(OR(ISERROR(FIND(""larder"",A71))=FALSE,ISERROR(FIND(""unit"",A71)"&amp;")=FALSE),VLOOKUP(LEFT(A71,FIND("" "",A71))&amp;""carcass ""&amp;RIGHT(A71,LEN(A71)-len(regexextract(A71,"".* ""))),KitchensData,6,0),IF(ISERROR(FIND(""drawer front"",A71))=FALSE,IF(ISERROR(FIND(""veneer"",KitchenCarcassMaterial))=TRUE,0,(((B71+C71)/1000)*2)*VLOOK"&amp;"UP(""Edge banding (per M)"",SheetsData,5,0)),IF(ISERROR(FIND(""drawer box"",A71))=FALSE,IF(ISERROR(FIND(""veneer"",KitchenCarcassMaterial))=TRUE,0,(((C71+D71)/1000)*2)*VLOOKUP(""Edge banding (per M)"",SheetsData,5,0)),IF(ISERROR(FIND(""shelf"",A71))=FALSE"&amp;",IF(ISERROR(FIND(""veneer"",KitchenCarcassMaterial))=TRUE,0,(C71/1000)*VLOOKUP(""Edge banding (per M)"",SheetsData,5,0)),IF(AND(ISERROR(FIND(""carcass"",A71))=FALSE,ISERROR(FIND(""shelf"",A71))=TRUE),IF(ISERROR(FIND(""veneer"",KitchenCarcassMaterial))=TRU"&amp;"E,0,((2*(B71+C71))/1000)*VLOOKUP(""Edge banding (per M)"",SheetsData,5,0)),IF(ISERROR(FIND(""door"",A71))=TRUE,"""",IF(ISERROR(FIND(""veneer"",KitchenDoorMaterial))=TRUE,"""",((2*(B71+C71))/1000)*VLOOKUP(""Edge banding (per M)"",SheetsData,5,0))))))))))"),0.0)</f>
        <v>0</v>
      </c>
      <c r="G71" s="153" t="str">
        <f>IF(A71="","",IF(ISERROR(FIND("bins",A71))=FALSE,VLOOKUP("Base carcass 600",KitchensData,7,0),IF(OR(ISERROR(FIND("larder",A71))=FALSE,ISERROR(FIND("fridge/freezer",A71))=FALSE,ISERROR(FIND("double oven",A71))=FALSE,ISERROR(FIND("single oven",A71))=FALSE),VLOOKUP(LEFT(A71,FIND(" ",A71))&amp;"carcass "&amp;RIGHT(A71,LEN(A71)-(LEN(A71)-3)),KitchensData,7,0),IF(AND(ISERROR(FIND("carcass",A71))=FALSE,ISERROR(FIND("shelf",A71))=TRUE),IF(OR(ISERROR(FIND("Base",A71))=FALSE,ISERROR(FIND("Tower",A71))=FALSE),IF(OR(ISERROR(FIND("1200",A71))=FALSE, ISERROR(FIND("lost corner",A71))=FALSE),6*VLOOKUP("Plinth foot (2 Parts 80mm)",FurnitureData,5,0),4*VLOOKUP("Plinth foot (2 Parts 80mm)",FurnitureData,5,0)),""),""))))</f>
        <v/>
      </c>
      <c r="H71" s="115" t="str">
        <f>IF(OR(A71="",ISERROR(FIND("door",A71))=TRUE),"",IF(ISERROR(FIND("Wall",A71))=FALSE,VLOOKUP("Hinges &amp; plates (Hettich thick door)",FurnitureData,5,0)*2,IF(ISERROR(FIND("Base",A71))=FALSE,VLOOKUP("Hinges &amp; plates (Hettich thick door)",FurnitureData,5,0)*3,IF(ISERROR(FIND("Boiler",A71))=FALSE,VLOOKUP("Hinges &amp; plates (Hettich thick door)",FurnitureData,5,0)*4,IF(ISERROR(FIND("Tower",A71))=FALSE,VLOOKUP("Hinges &amp; plates (Hettich thick door)",FurnitureData,5,0)*5)))))</f>
        <v/>
      </c>
      <c r="I71" s="115" t="str">
        <f>IF(ISERROR(FIND("shelf",A71))=FALSE,(VLOOKUP("Shelf pegs",FurnitureData,5,0)/100)*4,"")</f>
        <v/>
      </c>
      <c r="J71" s="152" t="str">
        <f>IF(OR(ISERROR(FIND("fridge/freezer",A71))=FALSE,ISERROR(FIND("larder",A71))=FALSE,AND(ISERROR(FIND("Base",A71))=FALSE,ISERROR(FIND("bins",A71))=TRUE,ISERROR(FIND("no shelves",A71))=TRUE,OR(ISERROR(FIND("carcass",A71))=FALSE,ISERROR(FIND("unit",A71))=FALSE))),VLOOKUP("Deep shelf "&amp;C71,KitchensData,18,0),IF(AND(ISERROR(FIND("Wall",A71))=FALSE,ISERROR(FIND("carcass",A71))=FALSE),2*VLOOKUP("Shallow shelf "&amp;C71,KitchensData,18,0),IF(AND(ISERROR(FIND("Tower",A71))=FALSE,ISERROR(FIND("oven",A71))=FALSE),4*VLOOKUP("Deep shelf "&amp;C71,KitchensData,18,0),IF(AND(ISERROR(FIND("Tower",A71))=FALSE,ISERROR(FIND("carcass",A71))=FALSE),5*VLOOKUP("Deep shelf "&amp;C71,KitchensData,18,0),""))))</f>
        <v/>
      </c>
      <c r="K71" s="152">
        <f>IF(ISERROR(FIND("sink",A71))=FALSE,VLOOKUP("Sink liner - Aluminium "&amp;RIGHT(A71,LEN(A71)-22)&amp;"mm",ExceptionalData,5,0),IF(ISERROR(FIND("bins",A71))=FALSE,VLOOKUP("Drawer runners and clip set for bin unit (500) Dynapro",FurnitureData,5,0)+(2*VLOOKUP("Bin (42L Anthracite)",FurnitureData,5,0)),IF(ISERROR(FIND("larder",A71))=FALSE,VLOOKUP("Pull out larder unit 600mm",FurnitureData,5,0),IF(AND(ISERROR(FIND("drawer box",A71))=FALSE,ISERROR(FIND("internal",A71))=TRUE),VLOOKUP("Drawer runners and clip set (550) Dynapro",FurnitureData,5,0),IF(ISERROR(FIND("internal drawer box",A71))=FALSE,VLOOKUP("Drawer runners and clip set (450) Dynapro",FurnitureData,5,0),"")))))</f>
        <v>52.54</v>
      </c>
      <c r="L71" s="152">
        <f t="shared" si="3"/>
        <v>103.90724</v>
      </c>
      <c r="M71" s="154">
        <f>IFERROR(__xludf.DUMMYFUNCTION("IF(A71="""","""",IF(OR(ISERROR(FIND(""larder"",A71))=FALSE,ISERROR(FIND(""unit"",A71))=FALSE),VLOOKUP(LEFT(A71,FIND("" "",A71))&amp;""carcass ""&amp;RIGHT(A71,LEN(A71)-len(regexextract(A71,"".* ""))),KitchensData,13,0),IF(ISERROR(FIND(""bins"",A71))=FALSE,0.95,IF"&amp;"(ISERROR(FIND(""Cutlery insert 600"",A71))=FALSE,1.3,IF(ISERROR(FIND(""Cutlery insert 1200"",A71))=FALSE,2,IF(ISERROR(FIND(""Pan/tray rack 600"",A71))=FALSE,3.25,IF(ISERROR(FIND(""Pan/tray rack 1200"",A71))=FALSE,5.9,IF(ISERROR(FIND(""split"",A71))=FALSE,"&amp;"(((C71/1000)*0.022)*2)+VLOOKUP(SUBSTITUTE(A71,"" split"",""""),KitchensData,13,0),IF(AND(ISERROR(FIND(""drawer front"",A71))=FALSE,KitchenDoorStyle=""Flat""),(((B71/1000)*(C71/1000))*2)+((((B71+C71)/1000)*2)*0.022),IF(AND(ISERROR(FIND(""drawer front"",A71"&amp;"))=FALSE,LEFT(KitchenDoorStyle,5)=""Panel""),(((B71/1000)*(C71/1000))*2)+((((B71+C71)/1000)*2)*0.022)+((((C71/1000)-0.16)*0.013)*2)+((((D71/1000)-0.16)*0.013)*2),IF(AND(ISERROR(FIND(""drawer front"",A71))=FALSE,KitchenDoorStyle=""In-frame flat""),((((B71-"&amp;"76)/1000)*((C71-38)/1000))*2)+(MID(KitchenDoorMaterial,FIND(""("",KitchenDoorMaterial)+1,2)/1000)*((((B71-76)+(C71-38))/1000)*2)+(((B71/1000)*0.032)*2)+((((B71-76)/1000)*0.032)*2)+(((B71/1000)*0.019)*4)+(((C71/1000)*0.032)*2)+((((C71-38)/1000)*0.032)*2)+("&amp;"((C71/1000)*0.038)*4),IF(AND(ISERROR(FIND(""drawer front"",A71))=FALSE,LEFT(KitchenDoorStyle,14)=""In-frame panel""),((((B71-76)/1000)*((C71-38)/1000))*2)+((MID(KitchenDoorMaterial,FIND(""("",KitchenDoorMaterial)+1,2)/1000)*((((B71-76)+(C71-38))/1000)*2))"&amp;"+((((B71-236)/1000)+((C71-198)/1000)*2)*0.013)+(((B71/1000)*0.032)*2)+((((B71-76)/1000)*0.032)*2)+(((B71/1000)*0.019)*4)+(((C71/1000)*0.032)*2)+((((C71-38)/1000)*0.032)*2)+(((C71/1000)*0.038)*4),IF(ISERROR(FIND(""drawer box"",A71))=FALSE,((((B71/1000)*(D7"&amp;"1/1000))+((B71/1000)*(C71/1000)))*4)+((((D71/1000)+(C71/1000))*0.016)*4)+(((C71/1000)*(D71/1000))*2),IF(OR(ISERROR(FIND(""shelf"",A71))=FALSE,ISERROR(FIND(""spacer"",A71))=FALSE,,ISERROR(FIND(""filler panel"",A71))=FALSE),(((C71/1000)*(D71/1000))*2)+((((C"&amp;"71+D71)*2)/1000)*0.022),IF(ISERROR(FIND(""lost corner"",A71))=FALSE,(((B71/1000)*(C71/1000))*2)+((B71/1000)*(C71/1000))+((B71/1000)*((C71/2)/1000))+((((B71/1000)*0.025)+((C71/1000)*0.025))*2),IF(ISERROR(FIND(""carcass"",A71))=FALSE,(((C71/1000)*(D71/1000)"&amp;")*2)+(((B71/1000)*(D71/1000))*2)+((B71/1000)*(C71/1000))+((((B71/1000)*0.025)+((C71/1000)*0.025))*2),IF(AND(ISERROR(FIND(""door"",A71))=FALSE,KitchenDoorStyle=""Flat""),(((B71/1000)*(C71/1000))*2)+(MID(KitchenDoorMaterial,FIND(""("",KitchenDoorMaterial)+1"&amp;",2)/1000)*(((B71+C71)/1000)*2),IF(AND(ISERROR(FIND(""door"",A71))=FALSE,LEFT(KitchenDoorStyle,5)=""Panel""),(((B71/1000)*(C71/1000))*2)+((MID(KitchenDoorMaterial,FIND(""("",KitchenDoorMaterial)+1,2)/1000)*(((B71+C71)/1000)*2))+(((((B71-160)+(C71-160))*2)/"&amp;"1000)*(0.013)),IF(AND(ISERROR(FIND(""door"",A71))=FALSE,KitchenDoorStyle=""In-frame flat""),((((B71-76)/1000)*((C71-38)/1000))*2)+(MID(KitchenDoorMaterial,FIND(""("",KitchenDoorMaterial)+1,2)/1000)*((((B71-76)+(C71-38))/1000)*2)+(((B71/1000)*0.032)*2)+((("&amp;"(B71-76)/1000)*0.032)*2)+(((B71/1000)*0.019)*4)+(((C71/1000)*0.032)*2)+((((C71-38)/1000)*0.032)*2)+(((C71/1000)*0.038)*4),IF(AND(ISERROR(FIND(""door"",A71))=FALSE,LEFT(KitchenDoorStyle,14)=""In-frame panel""),((((B71-76)/1000)*((C71-38)/1000))*2)+((MID(Ki"&amp;"tchenDoorMaterial,FIND(""("",KitchenDoorMaterial)+1,2)/1000)*((((B71-76)+(C71-38))/1000)*2))+((((B71-236)/1000)+((C71-198)/1000)*2)*0.013)+(((B71/1000)*0.032)*2)+((((B71-76)/1000)*0.032)*2)+(((B71/1000)*0.019)*4)+(((C71/1000)*0.032)*2)+((((C71-38)/1000)*0"&amp;".032)*2)+(((C71/1000)*0.038)*4),IF(ISERROR(FIND(""Plinth"",A71))=FALSE,((B71/1000)*(C71/1000))+(((C71/1000)*0.018)*2)+(((B71/1000)*0.018)*2),IF(ISERROR(FIND(""Cornice"",A71))=FALSE,(((C71/1000)*0.1)*2)+(((C71/1000)*0.044)*2)+(((B71/1000)*0.08)*2),IF(ISERR"&amp;"OR(FIND(""Base end panel"",A71))=FALSE,((B71/1000)*(C71/1000))+(0.022*((B71/1000)+((C71/1000)*2)))+((B71/1000)*0.05),IF(ISERROR(FIND(""Wall end panel"",A71))=FALSE,((B71/1000)*(C71/1000))+(0.022*((B71/1000)+((C71/1000)*2)))+((B71/1000)*0.05),IF(ISERROR(FI"&amp;"ND(""Tower end panel"",A71))=FALSE,((B71/1000)*(C71/1000))+(0.022*((B71/1000)+((C71/1000)*2)))+((B71/1000)*0.05),IF(ISERROR(FIND(""Fillers"",A71))=FALSE,((C71/1000)*0.06)+((C71/1000)*0.069)+((0.06*0.018)*2)+((0.06*0.009)*2)+((C71/1000)*0.009)+((C71/1000)*"&amp;"0.018),IF(ISERROR(FIND(""corner post"",A71))=FALSE,(((B71/1000*0.05)*2)+((B71/1000)*0.022)*2)+((B71/1000)*0.072)+((B71/1000)*0.05)+((0.072*0.022)*2)+((0.05*0.022)*2),IF(ISERROR(FIND(""Pelmet"",A71))=FALSE,((C71/1000)*0.05)+((C71/1000)*0.068)+((0.05*0.018)"&amp;"*4)+(((C71/1000)*0.018))*2))))))))))))))))))))))))))))"),3.7152000000000003)</f>
        <v>3.7152</v>
      </c>
      <c r="N71" s="152">
        <f>IF(M71="","",IF(AND(ISERROR(FIND("carcass",A71))=TRUE,ISERROR(FIND("unit",A71))=TRUE,ISERROR(FIND("insert",A71))=TRUE,ISERROR(FIND("rack",A71))=TRUE,ISERROR(FIND("box",A71))=TRUE,ISERROR(FIND("shelf",#REF!))=TRUE),VLOOKUP(KitchenDoorFinish,Finishing!$A$2:$K$10,9,0)*M71,VLOOKUP(KitchenCarcassFinish,Finishing!$A$2:$K$40,9,0)*M71))</f>
        <v>13.932</v>
      </c>
      <c r="O71" s="155">
        <v>3.5</v>
      </c>
      <c r="P71" s="155">
        <v>1.0</v>
      </c>
      <c r="Q71" s="152">
        <f>IF(OR(O71="",P71=""),"",((O71*X71)*(VLOOKUP("Workshop",Labour!$A$3:$E$20,4,0)/8))+((P71*AE71)*(VLOOKUP("Finishing",Labour!$A$3:$E$20,4,0)/8)))</f>
        <v>181.125</v>
      </c>
      <c r="R71" s="152">
        <f t="shared" si="4"/>
        <v>298.96424</v>
      </c>
      <c r="S71" s="156">
        <f>IF(OR(O71="",P71=""),"",IF(OR(ISERROR(FIND("carcass",$A71))=FALSE,ISERROR(FIND("unit",$A71))=FALSE),VLOOKUP(KitchenCarcassMaterial,FixedListsCarcassMaterial,2,0),0))</f>
        <v>0</v>
      </c>
      <c r="T71" s="156">
        <f>IF(OR(O71="",P71=""),"",IF(ISERROR(FIND("door",$A71))=FALSE,VLOOKUP(KitchenDoorStyle,FixedListsDoorStyle,2,0),0))</f>
        <v>0</v>
      </c>
      <c r="U71" s="156">
        <f>IF(OR(O71="",P71=""),"",IF(ISERROR(FIND("door",$A71))=FALSE,VLOOKUP(KitchenDoorMaterial,FixedListsDoorMaterial,2,0),0))</f>
        <v>0</v>
      </c>
      <c r="V71" s="156">
        <f>IF(OR(O71="",P71=""),"",IF(ISERROR(FIND("drawer",$A71))=FALSE,VLOOKUP(KitchenDrawerType,FixedListsDrawerType,2,0),0))</f>
        <v>1</v>
      </c>
      <c r="W71" s="156">
        <f>IF(OR(O71="",P71=""),"",IF(OR(S71&gt;0, T71&gt;0,V71&gt;0),VLOOKUP(KitchenHandleType,FixedListsHandleType,2,FALSE)*IF(KitchenHandleType="Simple",0,IF(S71&gt;0,VLOOKUP(KitchenHandleType,FixedListsHandleType,4,FALSE),IF(OR(T71&gt;0,V71&gt;0),1-VLOOKUP(KitchenHandleType,FixedListsHandleType,4,FALSE),"Error"))),0))</f>
        <v>0</v>
      </c>
      <c r="X71" s="156">
        <f t="shared" si="5"/>
        <v>1</v>
      </c>
      <c r="Y71" s="156">
        <f>IF(OR(O71="",P71=""),"",IF(OR(ISERROR(FIND("carcass",$A71))=FALSE,ISERROR(FIND("unit",$A71))=FALSE),VLOOKUP(KitchenCarcassMaterial,FixedListsCarcassMaterial,3,0),0))</f>
        <v>0</v>
      </c>
      <c r="Z71" s="156">
        <f>IF(OR(O71="",P71=""),"",IF(ISERROR(FIND("door",$A71))=FALSE,VLOOKUP(KitchenDoorStyle,FixedListsDoorStyle,3,0),0))</f>
        <v>0</v>
      </c>
      <c r="AA71" s="156">
        <f>IF(OR(O71="",P71=""),"",IF(ISERROR(FIND("door",$A71))=FALSE,VLOOKUP(KitchenDoorMaterial,FixedListsDoorMaterial,3,0),0))</f>
        <v>0</v>
      </c>
      <c r="AB71" s="156">
        <f>IF(OR(O71="",P71=""),"",IF(ISERROR(FIND("drawer",$A71))=FALSE,VLOOKUP(KitchenDrawerType,FixedListsDrawerType,3,0),0))</f>
        <v>1</v>
      </c>
      <c r="AC71" s="156">
        <f>IF(OR(O71="",P71=""),"",IF(OR(Y71&gt;0,Z71&gt;0,AB71&gt;0),VLOOKUP(KitchenHandleType,FixedListsHandleType,3,FALSE),0))</f>
        <v>1</v>
      </c>
      <c r="AD71" s="156">
        <f>IF(OR(O71="",P71=""),"",IF(OR(ISERROR(FIND("carcass",$A71))=FALSE,ISERROR(FIND("unit",$A71))=FALSE),VLOOKUP(KitchenCarcassFinish,FixedListsFinishes,3,0),IF(OR(ISERROR(FIND("door",$A71))=FALSE,ISERROR(FIND("Plinth",$A71))=FALSE,ISERROR(FIND("Cornice",$A71))=FALSE,ISERROR(FIND("Fillers",$A71))=FALSE,ISERROR(FIND("Pelmet",$A71))=FALSE,ISERROR(FIND("panel",$A71))=FALSE,ISERROR(FIND("post",$A71))=FALSE),VLOOKUP(KitchenDoorFinish,FixedListsFinishes,3,0),IF(OR(ISERROR(FIND("drawer",$A71))=FALSE,ISERROR(FIND("insert",$A71))=FALSE,ISERROR(FIND("rck",$A71))=FALSE),VLOOKUP(KitchenCarcassFinish,FixedListsFinishes,3,0),0))))</f>
        <v>1</v>
      </c>
      <c r="AE71" s="156">
        <f t="shared" si="6"/>
        <v>1</v>
      </c>
      <c r="AF71" s="157" t="str">
        <f>IF(AND(KitchenHandleType="Channel",OR(ISERROR(FIND("arcass",$A71))=FALSE,ISERROR(FIND("unit",$A71))=FALSE)),IF(ISERROR(FIND("Tower",$A71))=TRUE,IF(KitchenHandleFinish="Match carcass",IF(ISERROR(FIND("Walnut",KitchenCarcassMaterial))=FALSE,(0.035*0.075*($C71/1000))*VLOOKUP("Walnut (solid m3)",SolidData,4,FALSE),IF(ISERROR(FIND("Oak",KitchenCarcassMaterial))=FALSE,(0.035*0.075*($C71/1000))*VLOOKUP("Oak (solid m3)",SolidData,4,FALSE),IF(ISERROR(FIND("ply",KitchenCarcassMaterial))=FALSE,(0.1*($C71/1000))*VLOOKUP("Birch ply (24mm)",SheetsData,7,FALSE),IF(ISERROR(FIND("H/F",KitchenCarcassMaterial))=FALSE,(0.1*($C71/1000))*VLOOKUP("H/F (22mm)",SheetsData,7,FALSE),"Carcass - not tower - new material")))),IF(KitchenHandleFinish="Match door",IF(ISERROR(FIND("Walnut",KitchenDoorMaterial))=FALSE,(0.035*0.075*($C71/1000))*VLOOKUP("Walnut (solid m3)",SolidData,4,FALSE),IF(ISERROR(FIND("Oak",KitchenDoorMaterial))=FALSE,(0.035*0.075*($C71/1000))*VLOOKUP("Oak (solid m3)",SolidData,4,FALSE),IF(ISERROR(FIND("ply",KitchenDoorMaterial))=FALSE,(0.1*($C71/1000))*VLOOKUP("Birch ply (24mm)",SheetsData,7,FALSE),IF(ISERROR(FIND("H/F",KitchenCarcassMaterial))=FALSE,(0.1*($C71/1000))*VLOOKUP("H/F (22mm)",SheetsData,7,FALSE),"Door - not tower - new material")))),"Channel - not tower - handle set to other")),IF(ISERROR(FIND("Tower",$A71))=FALSE,IF(KitchenHandleFinish="Match carcass",IF(ISERROR(FIND("Walnut",KitchenCarcassMaterial))=FALSE,(0.035*0.075*($B71/1000))*VLOOKUP("Walnut (solid m3)",SolidData,4,FALSE),IF(ISERROR(FIND("Oak",KitchenCarcassMaterial))=FALSE,(0.035*0.075*($B71/1000))*VLOOKUP("Oak (solid m3)",SolidData,4,FALSE),IF(ISERROR(FIND("ply",KitchenCarcassMaterial))=FALSE,(0.1*($B71/1000))*VLOOKUP("Birch ply (24mm)",SheetsData,7,FALSE),IF(ISERROR(FIND("H/F",KitchenCarcassMaterial))=FALSE,(0.1*($C71/1000))*VLOOKUP("H/F (22mm)",SheetsData,7,FALSE),"Carcass - tower - new material")))),IF(KitchenHandleFinish="Match door",IF(ISERROR(FIND("Walnut",KitchenDoorMaterial))=FALSE,(0.035*0.075*($B71/1000))*VLOOKUP("Walnut (solid m3)",SolidData,4,FALSE),IF(ISERROR(FIND("Oak",KitchenDoorMaterial))=FALSE,(0.035*0.075*($B71/1000))*VLOOKUP("Oak (solid m3)",SolidData,4,FALSE),IF(ISERROR(FIND("ply",KitchenDoorMaterial))=FALSE,(0.1*($B71/1000))*VLOOKUP("Birch ply (24mm)",SheetData,7,FALSE),IF(ISERROR(FIND("H/F",KitchenCarcassMaterial))=FALSE,(0.1*($C71/1000))*VLOOKUP("H/F (22mm)",SheetsData,7,FALSE),"Door - tower - new material")))),"Channel - tower - handle set to other")))),"")</f>
        <v/>
      </c>
    </row>
    <row r="72">
      <c r="A72" s="150" t="s">
        <v>180</v>
      </c>
      <c r="B72" s="115" t="str">
        <f t="shared" si="1"/>
        <v>180</v>
      </c>
      <c r="C72" s="115" t="str">
        <f>IFERROR(__xludf.DUMMYFUNCTION("IF(A72="""","""",IF(OR(RIGHT(A72,LEN(A72)-len(regexextract(A72,"".* "")))=""1200"",RIGHT(A72,LEN(A72)-len(regexextract(A72,"".* "")))=""600"",RIGHT(A72,LEN(A72)-len(regexextract(A72,"".* "")))=""400"",RIGHT(A72,LEN(A72)-len(regexextract(A72,"".* "")))=""3"&amp;"00"",RIGHT(A72,LEN(A72)-len(regexextract(A72,"".* "")))=""700"",RIGHT(A72,LEN(A72)-len(regexextract(A72,"".* "")))=""2400"",RIGHT(A72,LEN(A72)-len(regexextract(A72,"".* "")))=""650"",RIGHT(A72,LEN(A72)-len(regexextract(A72,"".* "")))=""350"",RIGHT(A72,LEN"&amp;"(A72)-len(regexextract(A72,"".* "")))=""50""),RIGHT(A72,LEN(A72)-len(regexextract(A72,"".* ""))),IF(OR(ISERROR(FIND(""spacer"",A72))=FALSE,ISERROR(FIND(""filler panel"",A72))=FALSE),""1000"",""Unexpected size in description"")))"),"600")</f>
        <v>600</v>
      </c>
      <c r="D72" s="151" t="str">
        <f t="shared" si="2"/>
        <v/>
      </c>
      <c r="E72" s="152">
        <f>IFERROR(__xludf.DUMMYFUNCTION("IF(OR(A72="""",AND(ISERROR(FIND(""drawer box"",A72))=FALSE,KitchenDrawerType="""")),"""",IF(OR(ISERROR(FIND(""larder"",A72))=FALSE,ISERROR(FIND(""fridge/freezer"",A72))=FALSE,ISERROR(FIND(""double oven"",A72))=FALSE,ISERROR(FIND(""single oven"",A72))=FALS"&amp;"E),VLOOKUP(LEFT(A72,FIND("" "",A72))&amp;""carcass ""&amp;RIGHT(A72,LEN(A72)-(LEN(A72)-3)),KitchensData,5,0),IF(ISERROR(FIND(""sink"",A72))=FALSE,VLOOKUP(LEFT(A72,FIND("" "",A72))&amp;""carcass ""&amp;VALUE(REGEXREPLACE(A72,""[^[:digit:]]"", """")),KitchensData,5,0)+(((C"&amp;"72/1000)*(300/1000))*VLOOKUP(KitchenCarcassMaterial,SheetsData,8,0)),IF(ISERROR(FIND(""bins"",A72))=FALSE,IF(ISERROR(FIND(""veneer"",KitchenCarcassMaterial))=FALSE,VLOOKUP(""Base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600"",A72))=FALSE,IF(ISERROR(FIND(""veneer"""&amp;",KitchenCarcassMaterial))=FALSE,0.54*(VLOOKUP(LEFT(KitchenCarcassMaterial,FIND(""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1200"",A72))=FALSE,"&amp;"IF(ISERROR(FIND(""veneer"",KitchenCarcassMaterial))=FALSE,0.84*(VLOOKUP(LEFT(KitchenCarcassMaterial,FIND(""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600"",A72))=FALSE,IF(ISERROR(FIND(""veneer"",KitchenCarcassMaterial))=FALSE,1.44*(VLOOKUP(LEFT(KitchenCarcassMaterial,FIND(""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1200"",A72))=FALSE,IF(ISERROR(FIND(""veneer"",KitchenCarcassMaterial))=FALSE,2.7*(VLOOKUP(LEFT(KitchenCarcassMaterial,FIND(""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front"",A72))=FALSE,((B72/1000)*(C72/1000))*VLOOKUP(KitchenDoorMaterial,SheetsData,8,0),IF(AND(KitchenDrawerType=""Match carcass"",ISERROR(FIND(""drawer box"",A72))=FALSE),(((((B72/1000)*(C72/1000))+((B72/1000"&amp;")*(D72/1000)))*2)*VLOOKUP(KitchenCarcassMaterial,SheetsData,8,0))+(((C72/1000)*(D72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box"",A72))=FALSE),(((((B72/1000)*(C72/1000))+((B72/1000)*(D72/1000)))*2)*(16/1000)*VLOOKUP(LEFT(KitchenCarcassMaterial,FIND("" "&amp;""",KitchenCarcassMaterial))&amp;""(solid m3)"",SolidData,5,0))+(((C72/1000)*(D72/1000))*VLOOKUP(LEFT(KitchenCarcassMaterial,FIND(""("",KitchenCarcassMaterial)-1)&amp;IF(OR(ISERROR(FIND(""ply"",KitchenCarcassMaterial))=FALSE,ISERROR(FIND(""H/F"",KitchenCarcassMate"&amp;"rial))=FALSE),""(9mm)"",""(10mm)""),SheetsData,8,0)),IF(ISERROR(FIND(""spacer"",A72))=FALSE,((D72/1000)*(C72/1000))*VLOOKUP(""Poplar ply (18mm)"",SheetsData,8,0),IF(ISERROR(FIND(""filler panel"",A72))=FALSE,((B72/1000)*(C72/1000))*VLOOKUP(KitchenDoorMater"&amp;"ial,SheetsData,8,0),IF(ISERROR(FIND(""shelf"",A72))=FALSE,((D72/1000)*(C72/1000))*VLOOKUP(KitchenCarcassMaterial,SheetsData,8,0),IF(ISERROR(FIND(""lost corner"",A72))=FALSE,VLOOKUP(LEFT(A72,FIND("" "",A72))&amp;""carcass ""&amp;VALUE(REGEXREPLACE(A72,""[^[:digit:"&amp;"]]"", """")),KitchensData,5,0)+((((B72/1000)*(C72/1000))+((B72/1000)*(60/1000)))*VLOOKUP(KitchenCarcassMaterial,SheetsData,8,0)),IF(ISERROR(FIND(""carcass"",A72))=FALSE,(((((B72/1000)*2)*(D72/1000))+(((C72/1000)*2)*(D72/1000)))*VLOOKUP(KitchenCarcassMater"&amp;"ial,SheetsData,8,0))+((B72/1000)*(C72/1000))*VLOOKUP(LEFT(KitchenCarcassMaterial,FIND(""("",KitchenCarcassMaterial)-1)&amp;IF(OR(ISERROR(FIND(""ply"",KitchenCarcassMaterial))=FALSE,ISERROR(FIND(""H/F"",KitchenCarcassMaterial))=FALSE),""(9mm)"",""(10mm)""),She"&amp;"etsData,8,0),IF(OR(ISERROR(FIND(""Plinth"",A72))=FALSE,ISERROR(FIND(""Cornice (flat)"",A72))=FALSE),((B72/1000)*(C72/1000))*VLOOKUP(""H/F (18mm)"",SheetsData,8,0),IF(ISERROR(FIND(""Cornice (stacked)"",A72))=FALSE,((0.08*(C72/1000))*2)*VLOOKUP(""H/F (22mm)"&amp;""",SheetsData,8,0),IF(ISERROR(FIND(""Base end panel"",A72))=FALSE,VLOOKUP(KitchenDoorMaterial,SheetsData,5,0)/3,IF(ISERROR(FIND(""Wall end panel"",A72))=FALSE,VLOOKUP(KitchenDoorMaterial,SheetsData,5,0)/9,IF(ISERROR(FIND(""Tower end panel"",A72))=FALSE,VL"&amp;"OOKUP(KitchenDoorMaterial,SheetsData,5,0),IF(ISERROR(FIND(""Fillers"",A72))=FALSE,(((0.06*(C72/1000))*2)*VLOOKUP(""H/F (18mm)"",SheetsData,8,0))+(((0.06*(C72/1000))*2)*VLOOKUP(""H/F (9mm)"",SheetsData,8,0)),IF(ISERROR(FIND(""corner post"",A72))=FALSE,(((B"&amp;"72/1000)*0.05)*2)*VLOOKUP(KitchenDoorMaterial,SheetsData,8,0),IF(ISERROR(FIND(""Pelmet"",A72))=FALSE,((((B72/1000)*(C72/1000))*2)*VLOOKUP(""H/F (18mm)"",SheetsData,8,0)),IF(ISERROR(FIND(""door"",A72))=TRUE,""Check description"",IF(KitchenDoorStyle=""Flat"&amp;""",((B72/1000)*(C72/1000))*VLOOKUP(KitchenDoorMaterial,SheetsData,8,0),IF(LEFT(KitchenDoorStyle,5)=""Panel"",(((((B72/1000)*2)*0.08)+((((C72/1000)-0.16)*2)*0.08))*VLOOKUP(""H/F (22mm)"",SheetsData,8,0))+(((B72/1000)-0.14)*((C72/1000)-0.14)*VLOOKUP(""H/F ("&amp;"9mm)"",SheetsData,8,0)),IF(KitchenDoorStyle=""In-frame flat"",((((((B72/1000)*0.019)*0.038)+((((C72-38)/1000)*0.038)*0.038))*2)*VLOOKUP(""Tulip (solid m3)"",SolidData,5,0))+(((B72-76)/1000)*((C72-38)/1000))*VLOOKUP(""H/F (22mm)"",SheetsData,8,0),IF(LEFT(K"&amp;"itchenDoorStyle,14)=""In-frame panel"",(((((((B72/1000)*0.019)*0.038)+((((C72-38)/1000)*0.038)*0.038))*2)*VLOOKUP(""Tulip (solid m3)"",SolidData,5,0))+(((((((B72-76)/1000)*2)*0.08)+(((((C72-198)/1000)*2)*0.08)))*VLOOKUP(""H/F (22mm)"",SheetsData,8,0))+((("&amp;"B72-216)/1000)*((C72-178)/1000)*VLOOKUP(""H/F (9mm)"",SheetsData,8,0)))))))))))))))))))))))))))))))))"),1.9936173071754903)</f>
        <v>1.993617307</v>
      </c>
      <c r="F72" s="152">
        <f>IFERROR(__xludf.DUMMYFUNCTION("IF(OR(A72="""",AND(ISERROR(FIND(""drawer box"",A72))=FALSE,KitchenDrawerType=""Solid dovetail"")),"""",IF(ISERROR(FIND(""bins"",A72))=FALSE,VLOOKUP(""Base carcass 600"",KitchensData,6,0),IF(OR(ISERROR(FIND(""larder"",A72))=FALSE,ISERROR(FIND(""unit"",A72)"&amp;")=FALSE),VLOOKUP(LEFT(A72,FIND("" "",A72))&amp;""carcass ""&amp;RIGHT(A72,LEN(A72)-len(regexextract(A72,"".* ""))),KitchensData,6,0),IF(ISERROR(FIND(""drawer front"",A72))=FALSE,IF(ISERROR(FIND(""veneer"",KitchenCarcassMaterial))=TRUE,0,(((B72+C72)/1000)*2)*VLOOK"&amp;"UP(""Edge banding (per M)"",SheetsData,5,0)),IF(ISERROR(FIND(""drawer box"",A72))=FALSE,IF(ISERROR(FIND(""veneer"",KitchenCarcassMaterial))=TRUE,0,(((C72+D72)/1000)*2)*VLOOKUP(""Edge banding (per M)"",SheetsData,5,0)),IF(ISERROR(FIND(""shelf"",A72))=FALSE"&amp;",IF(ISERROR(FIND(""veneer"",KitchenCarcassMaterial))=TRUE,0,(C72/1000)*VLOOKUP(""Edge banding (per M)"",SheetsData,5,0)),IF(AND(ISERROR(FIND(""carcass"",A72))=FALSE,ISERROR(FIND(""shelf"",A72))=TRUE),IF(ISERROR(FIND(""veneer"",KitchenCarcassMaterial))=TRU"&amp;"E,0,((2*(B72+C72))/1000)*VLOOKUP(""Edge banding (per M)"",SheetsData,5,0)),IF(ISERROR(FIND(""door"",A72))=TRUE,"""",IF(ISERROR(FIND(""veneer"",KitchenDoorMaterial))=TRUE,"""",((2*(B72+C72))/1000)*VLOOKUP(""Edge banding (per M)"",SheetsData,5,0))))))))))"),0.0)</f>
        <v>0</v>
      </c>
      <c r="G72" s="153" t="str">
        <f>IF(A72="","",IF(ISERROR(FIND("bins",A72))=FALSE,VLOOKUP("Base carcass 600",KitchensData,7,0),IF(OR(ISERROR(FIND("larder",A72))=FALSE,ISERROR(FIND("fridge/freezer",A72))=FALSE,ISERROR(FIND("double oven",A72))=FALSE,ISERROR(FIND("single oven",A72))=FALSE),VLOOKUP(LEFT(A72,FIND(" ",A72))&amp;"carcass "&amp;RIGHT(A72,LEN(A72)-(LEN(A72)-3)),KitchensData,7,0),IF(AND(ISERROR(FIND("carcass",A72))=FALSE,ISERROR(FIND("shelf",A72))=TRUE),IF(OR(ISERROR(FIND("Base",A72))=FALSE,ISERROR(FIND("Tower",A72))=FALSE),IF(OR(ISERROR(FIND("1200",A72))=FALSE, ISERROR(FIND("lost corner",A72))=FALSE),6*VLOOKUP("Plinth foot (2 Parts 80mm)",FurnitureData,5,0),4*VLOOKUP("Plinth foot (2 Parts 80mm)",FurnitureData,5,0)),""),""))))</f>
        <v/>
      </c>
      <c r="H72" s="115" t="str">
        <f>IF(OR(A72="",ISERROR(FIND("door",A72))=TRUE),"",IF(ISERROR(FIND("Wall",A72))=FALSE,VLOOKUP("Hinges &amp; plates (Hettich thick door)",FurnitureData,5,0)*2,IF(ISERROR(FIND("Base",A72))=FALSE,VLOOKUP("Hinges &amp; plates (Hettich thick door)",FurnitureData,5,0)*3,IF(ISERROR(FIND("Boiler",A72))=FALSE,VLOOKUP("Hinges &amp; plates (Hettich thick door)",FurnitureData,5,0)*4,IF(ISERROR(FIND("Tower",A72))=FALSE,VLOOKUP("Hinges &amp; plates (Hettich thick door)",FurnitureData,5,0)*5)))))</f>
        <v/>
      </c>
      <c r="I72" s="115" t="str">
        <f>IF(ISERROR(FIND("shelf",A72))=FALSE,(VLOOKUP("Shelf pegs",FurnitureData,5,0)/100)*4,"")</f>
        <v/>
      </c>
      <c r="J72" s="152" t="str">
        <f>IF(OR(ISERROR(FIND("fridge/freezer",A72))=FALSE,ISERROR(FIND("larder",A72))=FALSE,AND(ISERROR(FIND("Base",A72))=FALSE,ISERROR(FIND("bins",A72))=TRUE,ISERROR(FIND("no shelves",A72))=TRUE,OR(ISERROR(FIND("carcass",A72))=FALSE,ISERROR(FIND("unit",A72))=FALSE))),VLOOKUP("Deep shelf "&amp;C72,KitchensData,18,0),IF(AND(ISERROR(FIND("Wall",A72))=FALSE,ISERROR(FIND("carcass",A72))=FALSE),2*VLOOKUP("Shallow shelf "&amp;C72,KitchensData,18,0),IF(AND(ISERROR(FIND("Tower",A72))=FALSE,ISERROR(FIND("oven",A72))=FALSE),4*VLOOKUP("Deep shelf "&amp;C72,KitchensData,18,0),IF(AND(ISERROR(FIND("Tower",A72))=FALSE,ISERROR(FIND("carcass",A72))=FALSE),5*VLOOKUP("Deep shelf "&amp;C72,KitchensData,18,0),""))))</f>
        <v/>
      </c>
      <c r="K72" s="152" t="str">
        <f>IF(ISERROR(FIND("sink",A72))=FALSE,VLOOKUP("Sink liner - Aluminium "&amp;RIGHT(A72,LEN(A72)-22)&amp;"mm",ExceptionalData,5,0),IF(ISERROR(FIND("bins",A72))=FALSE,VLOOKUP("Drawer runners and clip set for bin unit (500) Dynapro",FurnitureData,5,0)+(2*VLOOKUP("Bin (42L Anthracite)",FurnitureData,5,0)),IF(ISERROR(FIND("larder",A72))=FALSE,VLOOKUP("Pull out larder unit 600mm",FurnitureData,5,0),IF(AND(ISERROR(FIND("drawer box",A72))=FALSE,ISERROR(FIND("internal",A72))=TRUE),VLOOKUP("Drawer runners and clip set (550) Dynapro",FurnitureData,5,0),IF(ISERROR(FIND("internal drawer box",A72))=FALSE,VLOOKUP("Drawer runners and clip set (450) Dynapro",FurnitureData,5,0),"")))))</f>
        <v/>
      </c>
      <c r="L72" s="152">
        <f t="shared" si="3"/>
        <v>1.993617307</v>
      </c>
      <c r="M72" s="154">
        <f>IFERROR(__xludf.DUMMYFUNCTION("IF(A72="""","""",IF(OR(ISERROR(FIND(""larder"",A72))=FALSE,ISERROR(FIND(""unit"",A72))=FALSE),VLOOKUP(LEFT(A72,FIND("" "",A72))&amp;""carcass ""&amp;RIGHT(A72,LEN(A72)-len(regexextract(A72,"".* ""))),KitchensData,13,0),IF(ISERROR(FIND(""bins"",A72))=FALSE,0.95,IF"&amp;"(ISERROR(FIND(""Cutlery insert 600"",A72))=FALSE,1.3,IF(ISERROR(FIND(""Cutlery insert 1200"",A72))=FALSE,2,IF(ISERROR(FIND(""Pan/tray rack 600"",A72))=FALSE,3.25,IF(ISERROR(FIND(""Pan/tray rack 1200"",A72))=FALSE,5.9,IF(ISERROR(FIND(""split"",A72))=FALSE,"&amp;"(((C72/1000)*0.022)*2)+VLOOKUP(SUBSTITUTE(A72,"" split"",""""),KitchensData,13,0),IF(AND(ISERROR(FIND(""drawer front"",A72))=FALSE,KitchenDoorStyle=""Flat""),(((B72/1000)*(C72/1000))*2)+((((B72+C72)/1000)*2)*0.022),IF(AND(ISERROR(FIND(""drawer front"",A72"&amp;"))=FALSE,LEFT(KitchenDoorStyle,5)=""Panel""),(((B72/1000)*(C72/1000))*2)+((((B72+C72)/1000)*2)*0.022)+((((C72/1000)-0.16)*0.013)*2)+((((D72/1000)-0.16)*0.013)*2),IF(AND(ISERROR(FIND(""drawer front"",A72))=FALSE,KitchenDoorStyle=""In-frame flat""),((((B72-"&amp;"76)/1000)*((C72-38)/1000))*2)+(MID(KitchenDoorMaterial,FIND(""("",KitchenDoorMaterial)+1,2)/1000)*((((B72-76)+(C72-38))/1000)*2)+(((B72/1000)*0.032)*2)+((((B72-76)/1000)*0.032)*2)+(((B72/1000)*0.019)*4)+(((C72/1000)*0.032)*2)+((((C72-38)/1000)*0.032)*2)+("&amp;"((C72/1000)*0.038)*4),IF(AND(ISERROR(FIND(""drawer front"",A72))=FALSE,LEFT(KitchenDoorStyle,14)=""In-frame panel""),((((B72-76)/1000)*((C72-38)/1000))*2)+((MID(KitchenDoorMaterial,FIND(""("",KitchenDoorMaterial)+1,2)/1000)*((((B72-76)+(C72-38))/1000)*2))"&amp;"+((((B72-236)/1000)+((C72-198)/1000)*2)*0.013)+(((B72/1000)*0.032)*2)+((((B72-76)/1000)*0.032)*2)+(((B72/1000)*0.019)*4)+(((C72/1000)*0.032)*2)+((((C72-38)/1000)*0.032)*2)+(((C72/1000)*0.038)*4),IF(ISERROR(FIND(""drawer box"",A72))=FALSE,((((B72/1000)*(D7"&amp;"2/1000))+((B72/1000)*(C72/1000)))*4)+((((D72/1000)+(C72/1000))*0.016)*4)+(((C72/1000)*(D72/1000))*2),IF(OR(ISERROR(FIND(""shelf"",A72))=FALSE,ISERROR(FIND(""spacer"",A72))=FALSE,,ISERROR(FIND(""filler panel"",A72))=FALSE),(((C72/1000)*(D72/1000))*2)+((((C"&amp;"72+D72)*2)/1000)*0.022),IF(ISERROR(FIND(""lost corner"",A72))=FALSE,(((B72/1000)*(C72/1000))*2)+((B72/1000)*(C72/1000))+((B72/1000)*((C72/2)/1000))+((((B72/1000)*0.025)+((C72/1000)*0.025))*2),IF(ISERROR(FIND(""carcass"",A72))=FALSE,(((C72/1000)*(D72/1000)"&amp;")*2)+(((B72/1000)*(D72/1000))*2)+((B72/1000)*(C72/1000))+((((B72/1000)*0.025)+((C72/1000)*0.025))*2),IF(AND(ISERROR(FIND(""door"",A72))=FALSE,KitchenDoorStyle=""Flat""),(((B72/1000)*(C72/1000))*2)+(MID(KitchenDoorMaterial,FIND(""("",KitchenDoorMaterial)+1"&amp;",2)/1000)*(((B72+C72)/1000)*2),IF(AND(ISERROR(FIND(""door"",A72))=FALSE,LEFT(KitchenDoorStyle,5)=""Panel""),(((B72/1000)*(C72/1000))*2)+((MID(KitchenDoorMaterial,FIND(""("",KitchenDoorMaterial)+1,2)/1000)*(((B72+C72)/1000)*2))+(((((B72-160)+(C72-160))*2)/"&amp;"1000)*(0.013)),IF(AND(ISERROR(FIND(""door"",A72))=FALSE,KitchenDoorStyle=""In-frame flat""),((((B72-76)/1000)*((C72-38)/1000))*2)+(MID(KitchenDoorMaterial,FIND(""("",KitchenDoorMaterial)+1,2)/1000)*((((B72-76)+(C72-38))/1000)*2)+(((B72/1000)*0.032)*2)+((("&amp;"(B72-76)/1000)*0.032)*2)+(((B72/1000)*0.019)*4)+(((C72/1000)*0.032)*2)+((((C72-38)/1000)*0.032)*2)+(((C72/1000)*0.038)*4),IF(AND(ISERROR(FIND(""door"",A72))=FALSE,LEFT(KitchenDoorStyle,14)=""In-frame panel""),((((B72-76)/1000)*((C72-38)/1000))*2)+((MID(Ki"&amp;"tchenDoorMaterial,FIND(""("",KitchenDoorMaterial)+1,2)/1000)*((((B72-76)+(C72-38))/1000)*2))+((((B72-236)/1000)+((C72-198)/1000)*2)*0.013)+(((B72/1000)*0.032)*2)+((((B72-76)/1000)*0.032)*2)+(((B72/1000)*0.019)*4)+(((C72/1000)*0.032)*2)+((((C72-38)/1000)*0"&amp;".032)*2)+(((C72/1000)*0.038)*4),IF(ISERROR(FIND(""Plinth"",A72))=FALSE,((B72/1000)*(C72/1000))+(((C72/1000)*0.018)*2)+(((B72/1000)*0.018)*2),IF(ISERROR(FIND(""Cornice"",A72))=FALSE,(((C72/1000)*0.1)*2)+(((C72/1000)*0.044)*2)+(((B72/1000)*0.08)*2),IF(ISERR"&amp;"OR(FIND(""Base end panel"",A72))=FALSE,((B72/1000)*(C72/1000))+(0.022*((B72/1000)+((C72/1000)*2)))+((B72/1000)*0.05),IF(ISERROR(FIND(""Wall end panel"",A72))=FALSE,((B72/1000)*(C72/1000))+(0.022*((B72/1000)+((C72/1000)*2)))+((B72/1000)*0.05),IF(ISERROR(FI"&amp;"ND(""Tower end panel"",A72))=FALSE,((B72/1000)*(C72/1000))+(0.022*((B72/1000)+((C72/1000)*2)))+((B72/1000)*0.05),IF(ISERROR(FIND(""Fillers"",A72))=FALSE,((C72/1000)*0.06)+((C72/1000)*0.069)+((0.06*0.018)*2)+((0.06*0.009)*2)+((C72/1000)*0.009)+((C72/1000)*"&amp;"0.018),IF(ISERROR(FIND(""corner post"",A72))=FALSE,(((B72/1000*0.05)*2)+((B72/1000)*0.022)*2)+((B72/1000)*0.072)+((B72/1000)*0.05)+((0.072*0.022)*2)+((0.05*0.022)*2),IF(ISERROR(FIND(""Pelmet"",A72))=FALSE,((C72/1000)*0.05)+((C72/1000)*0.068)+((0.05*0.018)"&amp;"*4)+(((C72/1000)*0.018))*2))))))))))))))))))))))))))))"),0.25032)</f>
        <v>0.25032</v>
      </c>
      <c r="N72" s="152">
        <f>IF(M72="","",IF(AND(ISERROR(FIND("carcass",A72))=TRUE,ISERROR(FIND("unit",A72))=TRUE,ISERROR(FIND("insert",A72))=TRUE,ISERROR(FIND("rack",A72))=TRUE,ISERROR(FIND("box",A72))=TRUE,ISERROR(FIND("shelf",#REF!))=TRUE),VLOOKUP(KitchenDoorFinish,Finishing!$A$2:$K$10,9,0)*M72,VLOOKUP(KitchenCarcassFinish,Finishing!$A$2:$K$40,9,0)*M72))</f>
        <v>1.8774</v>
      </c>
      <c r="O72" s="155">
        <v>0.5</v>
      </c>
      <c r="P72" s="155">
        <v>0.5</v>
      </c>
      <c r="Q72" s="152">
        <f>IF(OR(O72="",P72=""),"",((O72*X72)*(VLOOKUP("Workshop",Labour!$A$3:$E$20,4,0)/8))+((P72*AE72)*(VLOOKUP("Finishing",Labour!$A$3:$E$20,4,0)/8)))</f>
        <v>35.875</v>
      </c>
      <c r="R72" s="152">
        <f t="shared" si="4"/>
        <v>39.74601731</v>
      </c>
      <c r="S72" s="156">
        <f>IF(OR(O72="",P72=""),"",IF(OR(ISERROR(FIND("carcass",$A72))=FALSE,ISERROR(FIND("unit",$A72))=FALSE),VLOOKUP(KitchenCarcassMaterial,FixedListsCarcassMaterial,2,0),0))</f>
        <v>0</v>
      </c>
      <c r="T72" s="156">
        <f>IF(OR(O72="",P72=""),"",IF(ISERROR(FIND("door",$A72))=FALSE,VLOOKUP(KitchenDoorStyle,FixedListsDoorStyle,2,0),0))</f>
        <v>0</v>
      </c>
      <c r="U72" s="156">
        <f>IF(OR(O72="",P72=""),"",IF(ISERROR(FIND("door",$A72))=FALSE,VLOOKUP(KitchenDoorMaterial,FixedListsDoorMaterial,2,0),0))</f>
        <v>0</v>
      </c>
      <c r="V72" s="156">
        <f>IF(OR(O72="",P72=""),"",IF(ISERROR(FIND("drawer",$A72))=FALSE,VLOOKUP(KitchenDrawerType,FixedListsDrawerType,2,0),0))</f>
        <v>1</v>
      </c>
      <c r="W72" s="156">
        <f>IF(OR(O72="",P72=""),"",IF(OR(S72&gt;0, T72&gt;0,V72&gt;0),VLOOKUP(KitchenHandleType,FixedListsHandleType,2,FALSE)*IF(KitchenHandleType="Simple",0,IF(S72&gt;0,VLOOKUP(KitchenHandleType,FixedListsHandleType,4,FALSE),IF(OR(T72&gt;0,V72&gt;0),1-VLOOKUP(KitchenHandleType,FixedListsHandleType,4,FALSE),"Error"))),0))</f>
        <v>0</v>
      </c>
      <c r="X72" s="156">
        <f t="shared" si="5"/>
        <v>1</v>
      </c>
      <c r="Y72" s="156">
        <f>IF(OR(O72="",P72=""),"",IF(OR(ISERROR(FIND("carcass",$A72))=FALSE,ISERROR(FIND("unit",$A72))=FALSE),VLOOKUP(KitchenCarcassMaterial,FixedListsCarcassMaterial,3,0),0))</f>
        <v>0</v>
      </c>
      <c r="Z72" s="156">
        <f>IF(OR(O72="",P72=""),"",IF(ISERROR(FIND("door",$A72))=FALSE,VLOOKUP(KitchenDoorStyle,FixedListsDoorStyle,3,0),0))</f>
        <v>0</v>
      </c>
      <c r="AA72" s="156">
        <f>IF(OR(O72="",P72=""),"",IF(ISERROR(FIND("door",$A72))=FALSE,VLOOKUP(KitchenDoorMaterial,FixedListsDoorMaterial,3,0),0))</f>
        <v>0</v>
      </c>
      <c r="AB72" s="156">
        <f>IF(OR(O72="",P72=""),"",IF(ISERROR(FIND("drawer",$A72))=FALSE,VLOOKUP(KitchenDrawerType,FixedListsDrawerType,3,0),0))</f>
        <v>1</v>
      </c>
      <c r="AC72" s="156">
        <f>IF(OR(O72="",P72=""),"",IF(OR(Y72&gt;0,Z72&gt;0,AB72&gt;0),VLOOKUP(KitchenHandleType,FixedListsHandleType,3,FALSE),0))</f>
        <v>1</v>
      </c>
      <c r="AD72" s="156">
        <f>IF(OR(O72="",P72=""),"",IF(OR(ISERROR(FIND("carcass",$A72))=FALSE,ISERROR(FIND("unit",$A72))=FALSE),VLOOKUP(KitchenCarcassFinish,FixedListsFinishes,3,0),IF(OR(ISERROR(FIND("door",$A72))=FALSE,ISERROR(FIND("Plinth",$A72))=FALSE,ISERROR(FIND("Cornice",$A72))=FALSE,ISERROR(FIND("Fillers",$A72))=FALSE,ISERROR(FIND("Pelmet",$A72))=FALSE,ISERROR(FIND("panel",$A72))=FALSE,ISERROR(FIND("post",$A72))=FALSE),VLOOKUP(KitchenDoorFinish,FixedListsFinishes,3,0),IF(OR(ISERROR(FIND("drawer",$A72))=FALSE,ISERROR(FIND("insert",$A72))=FALSE,ISERROR(FIND("rck",$A72))=FALSE),VLOOKUP(KitchenCarcassFinish,FixedListsFinishes,3,0),0))))</f>
        <v>1</v>
      </c>
      <c r="AE72" s="156">
        <f t="shared" si="6"/>
        <v>1</v>
      </c>
      <c r="AF72" s="157" t="str">
        <f>IF(AND(KitchenHandleType="Channel",OR(ISERROR(FIND("arcass",$A72))=FALSE,ISERROR(FIND("unit",$A72))=FALSE)),IF(ISERROR(FIND("Tower",$A72))=TRUE,IF(KitchenHandleFinish="Match carcass",IF(ISERROR(FIND("Walnut",KitchenCarcassMaterial))=FALSE,(0.035*0.075*($C72/1000))*VLOOKUP("Walnut (solid m3)",SolidData,4,FALSE),IF(ISERROR(FIND("Oak",KitchenCarcassMaterial))=FALSE,(0.035*0.075*($C72/1000))*VLOOKUP("Oak (solid m3)",SolidData,4,FALSE),IF(ISERROR(FIND("ply",KitchenCarcassMaterial))=FALSE,(0.1*($C72/1000))*VLOOKUP("Birch ply (24mm)",SheetsData,7,FALSE),IF(ISERROR(FIND("H/F",KitchenCarcassMaterial))=FALSE,(0.1*($C72/1000))*VLOOKUP("H/F (22mm)",SheetsData,7,FALSE),"Carcass - not tower - new material")))),IF(KitchenHandleFinish="Match door",IF(ISERROR(FIND("Walnut",KitchenDoorMaterial))=FALSE,(0.035*0.075*($C72/1000))*VLOOKUP("Walnut (solid m3)",SolidData,4,FALSE),IF(ISERROR(FIND("Oak",KitchenDoorMaterial))=FALSE,(0.035*0.075*($C72/1000))*VLOOKUP("Oak (solid m3)",SolidData,4,FALSE),IF(ISERROR(FIND("ply",KitchenDoorMaterial))=FALSE,(0.1*($C72/1000))*VLOOKUP("Birch ply (24mm)",SheetsData,7,FALSE),IF(ISERROR(FIND("H/F",KitchenCarcassMaterial))=FALSE,(0.1*($C72/1000))*VLOOKUP("H/F (22mm)",SheetsData,7,FALSE),"Door - not tower - new material")))),"Channel - not tower - handle set to other")),IF(ISERROR(FIND("Tower",$A72))=FALSE,IF(KitchenHandleFinish="Match carcass",IF(ISERROR(FIND("Walnut",KitchenCarcassMaterial))=FALSE,(0.035*0.075*($B72/1000))*VLOOKUP("Walnut (solid m3)",SolidData,4,FALSE),IF(ISERROR(FIND("Oak",KitchenCarcassMaterial))=FALSE,(0.035*0.075*($B72/1000))*VLOOKUP("Oak (solid m3)",SolidData,4,FALSE),IF(ISERROR(FIND("ply",KitchenCarcassMaterial))=FALSE,(0.1*($B72/1000))*VLOOKUP("Birch ply (24mm)",SheetsData,7,FALSE),IF(ISERROR(FIND("H/F",KitchenCarcassMaterial))=FALSE,(0.1*($C72/1000))*VLOOKUP("H/F (22mm)",SheetsData,7,FALSE),"Carcass - tower - new material")))),IF(KitchenHandleFinish="Match door",IF(ISERROR(FIND("Walnut",KitchenDoorMaterial))=FALSE,(0.035*0.075*($B72/1000))*VLOOKUP("Walnut (solid m3)",SolidData,4,FALSE),IF(ISERROR(FIND("Oak",KitchenDoorMaterial))=FALSE,(0.035*0.075*($B72/1000))*VLOOKUP("Oak (solid m3)",SolidData,4,FALSE),IF(ISERROR(FIND("ply",KitchenDoorMaterial))=FALSE,(0.1*($B72/1000))*VLOOKUP("Birch ply (24mm)",SheetData,7,FALSE),IF(ISERROR(FIND("H/F",KitchenCarcassMaterial))=FALSE,(0.1*($C72/1000))*VLOOKUP("H/F (22mm)",SheetsData,7,FALSE),"Door - tower - new material")))),"Channel - tower - handle set to other")))),"")</f>
        <v/>
      </c>
    </row>
    <row r="73">
      <c r="A73" s="150" t="s">
        <v>181</v>
      </c>
      <c r="B73" s="115" t="str">
        <f t="shared" si="1"/>
        <v>180</v>
      </c>
      <c r="C73" s="115" t="str">
        <f>IFERROR(__xludf.DUMMYFUNCTION("IF(A73="""","""",IF(OR(RIGHT(A73,LEN(A73)-len(regexextract(A73,"".* "")))=""1200"",RIGHT(A73,LEN(A73)-len(regexextract(A73,"".* "")))=""600"",RIGHT(A73,LEN(A73)-len(regexextract(A73,"".* "")))=""400"",RIGHT(A73,LEN(A73)-len(regexextract(A73,"".* "")))=""3"&amp;"00"",RIGHT(A73,LEN(A73)-len(regexextract(A73,"".* "")))=""700"",RIGHT(A73,LEN(A73)-len(regexextract(A73,"".* "")))=""2400"",RIGHT(A73,LEN(A73)-len(regexextract(A73,"".* "")))=""650"",RIGHT(A73,LEN(A73)-len(regexextract(A73,"".* "")))=""350"",RIGHT(A73,LEN"&amp;"(A73)-len(regexextract(A73,"".* "")))=""50""),RIGHT(A73,LEN(A73)-len(regexextract(A73,"".* ""))),IF(OR(ISERROR(FIND(""spacer"",A73))=FALSE,ISERROR(FIND(""filler panel"",A73))=FALSE),""1000"",""Unexpected size in description"")))"),"1200")</f>
        <v>1200</v>
      </c>
      <c r="D73" s="151" t="str">
        <f t="shared" si="2"/>
        <v/>
      </c>
      <c r="E73" s="152">
        <f>IFERROR(__xludf.DUMMYFUNCTION("IF(OR(A73="""",AND(ISERROR(FIND(""drawer box"",A73))=FALSE,KitchenDrawerType="""")),"""",IF(OR(ISERROR(FIND(""larder"",A73))=FALSE,ISERROR(FIND(""fridge/freezer"",A73))=FALSE,ISERROR(FIND(""double oven"",A73))=FALSE,ISERROR(FIND(""single oven"",A73))=FALS"&amp;"E),VLOOKUP(LEFT(A73,FIND("" "",A73))&amp;""carcass ""&amp;RIGHT(A73,LEN(A73)-(LEN(A73)-3)),KitchensData,5,0),IF(ISERROR(FIND(""sink"",A73))=FALSE,VLOOKUP(LEFT(A73,FIND("" "",A73))&amp;""carcass ""&amp;VALUE(REGEXREPLACE(A73,""[^[:digit:]]"", """")),KitchensData,5,0)+(((C"&amp;"73/1000)*(300/1000))*VLOOKUP(KitchenCarcassMaterial,SheetsData,8,0)),IF(ISERROR(FIND(""bins"",A73))=FALSE,IF(ISERROR(FIND(""veneer"",KitchenCarcassMaterial))=FALSE,VLOOKUP(""Base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600"",A73))=FALSE,IF(ISERROR(FIND(""veneer"""&amp;",KitchenCarcassMaterial))=FALSE,0.54*(VLOOKUP(LEFT(KitchenCarcassMaterial,FIND(""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1200"",A73))=FALSE,"&amp;"IF(ISERROR(FIND(""veneer"",KitchenCarcassMaterial))=FALSE,0.84*(VLOOKUP(LEFT(KitchenCarcassMaterial,FIND(""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600"",A73))=FALSE,IF(ISERROR(FIND(""veneer"",KitchenCarcassMaterial))=FALSE,1.44*(VLOOKUP(LEFT(KitchenCarcassMaterial,FIND(""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1200"",A73))=FALSE,IF(ISERROR(FIND(""veneer"",KitchenCarcassMaterial))=FALSE,2.7*(VLOOKUP(LEFT(KitchenCarcassMaterial,FIND(""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front"",A73))=FALSE,((B73/1000)*(C73/1000))*VLOOKUP(KitchenDoorMaterial,SheetsData,8,0),IF(AND(KitchenDrawerType=""Match carcass"",ISERROR(FIND(""drawer box"",A73))=FALSE),(((((B73/1000)*(C73/1000))+((B73/1000"&amp;")*(D73/1000)))*2)*VLOOKUP(KitchenCarcassMaterial,SheetsData,8,0))+(((C73/1000)*(D73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box"",A73))=FALSE),(((((B73/1000)*(C73/1000))+((B73/1000)*(D73/1000)))*2)*(16/1000)*VLOOKUP(LEFT(KitchenCarcassMaterial,FIND("" "&amp;""",KitchenCarcassMaterial))&amp;""(solid m3)"",SolidData,5,0))+(((C73/1000)*(D73/1000))*VLOOKUP(LEFT(KitchenCarcassMaterial,FIND(""("",KitchenCarcassMaterial)-1)&amp;IF(OR(ISERROR(FIND(""ply"",KitchenCarcassMaterial))=FALSE,ISERROR(FIND(""H/F"",KitchenCarcassMate"&amp;"rial))=FALSE),""(9mm)"",""(10mm)""),SheetsData,8,0)),IF(ISERROR(FIND(""spacer"",A73))=FALSE,((D73/1000)*(C73/1000))*VLOOKUP(""Poplar ply (18mm)"",SheetsData,8,0),IF(ISERROR(FIND(""filler panel"",A73))=FALSE,((B73/1000)*(C73/1000))*VLOOKUP(KitchenDoorMater"&amp;"ial,SheetsData,8,0),IF(ISERROR(FIND(""shelf"",A73))=FALSE,((D73/1000)*(C73/1000))*VLOOKUP(KitchenCarcassMaterial,SheetsData,8,0),IF(ISERROR(FIND(""lost corner"",A73))=FALSE,VLOOKUP(LEFT(A73,FIND("" "",A73))&amp;""carcass ""&amp;VALUE(REGEXREPLACE(A73,""[^[:digit:"&amp;"]]"", """")),KitchensData,5,0)+((((B73/1000)*(C73/1000))+((B73/1000)*(60/1000)))*VLOOKUP(KitchenCarcassMaterial,SheetsData,8,0)),IF(ISERROR(FIND(""carcass"",A73))=FALSE,(((((B73/1000)*2)*(D73/1000))+(((C73/1000)*2)*(D73/1000)))*VLOOKUP(KitchenCarcassMater"&amp;"ial,SheetsData,8,0))+((B73/1000)*(C73/1000))*VLOOKUP(LEFT(KitchenCarcassMaterial,FIND(""("",KitchenCarcassMaterial)-1)&amp;IF(OR(ISERROR(FIND(""ply"",KitchenCarcassMaterial))=FALSE,ISERROR(FIND(""H/F"",KitchenCarcassMaterial))=FALSE),""(9mm)"",""(10mm)""),She"&amp;"etsData,8,0),IF(OR(ISERROR(FIND(""Plinth"",A73))=FALSE,ISERROR(FIND(""Cornice (flat)"",A73))=FALSE),((B73/1000)*(C73/1000))*VLOOKUP(""H/F (18mm)"",SheetsData,8,0),IF(ISERROR(FIND(""Cornice (stacked)"",A73))=FALSE,((0.08*(C73/1000))*2)*VLOOKUP(""H/F (22mm)"&amp;""",SheetsData,8,0),IF(ISERROR(FIND(""Base end panel"",A73))=FALSE,VLOOKUP(KitchenDoorMaterial,SheetsData,5,0)/3,IF(ISERROR(FIND(""Wall end panel"",A73))=FALSE,VLOOKUP(KitchenDoorMaterial,SheetsData,5,0)/9,IF(ISERROR(FIND(""Tower end panel"",A73))=FALSE,VL"&amp;"OOKUP(KitchenDoorMaterial,SheetsData,5,0),IF(ISERROR(FIND(""Fillers"",A73))=FALSE,(((0.06*(C73/1000))*2)*VLOOKUP(""H/F (18mm)"",SheetsData,8,0))+(((0.06*(C73/1000))*2)*VLOOKUP(""H/F (9mm)"",SheetsData,8,0)),IF(ISERROR(FIND(""corner post"",A73))=FALSE,(((B"&amp;"73/1000)*0.05)*2)*VLOOKUP(KitchenDoorMaterial,SheetsData,8,0),IF(ISERROR(FIND(""Pelmet"",A73))=FALSE,((((B73/1000)*(C73/1000))*2)*VLOOKUP(""H/F (18mm)"",SheetsData,8,0)),IF(ISERROR(FIND(""door"",A73))=TRUE,""Check description"",IF(KitchenDoorStyle=""Flat"&amp;""",((B73/1000)*(C73/1000))*VLOOKUP(KitchenDoorMaterial,SheetsData,8,0),IF(LEFT(KitchenDoorStyle,5)=""Panel"",(((((B73/1000)*2)*0.08)+((((C73/1000)-0.16)*2)*0.08))*VLOOKUP(""H/F (22mm)"",SheetsData,8,0))+(((B73/1000)-0.14)*((C73/1000)-0.14)*VLOOKUP(""H/F ("&amp;"9mm)"",SheetsData,8,0)),IF(KitchenDoorStyle=""In-frame flat"",((((((B73/1000)*0.019)*0.038)+((((C73-38)/1000)*0.038)*0.038))*2)*VLOOKUP(""Tulip (solid m3)"",SolidData,5,0))+(((B73-76)/1000)*((C73-38)/1000))*VLOOKUP(""H/F (22mm)"",SheetsData,8,0),IF(LEFT(K"&amp;"itchenDoorStyle,14)=""In-frame panel"",(((((((B73/1000)*0.019)*0.038)+((((C73-38)/1000)*0.038)*0.038))*2)*VLOOKUP(""Tulip (solid m3)"",SolidData,5,0))+(((((((B73-76)/1000)*2)*0.08)+(((((C73-198)/1000)*2)*0.08)))*VLOOKUP(""H/F (22mm)"",SheetsData,8,0))+((("&amp;"B73-216)/1000)*((C73-178)/1000)*VLOOKUP(""H/F (9mm)"",SheetsData,8,0)))))))))))))))))))))))))))))))))"),3.9872346143509807)</f>
        <v>3.987234614</v>
      </c>
      <c r="F73" s="152">
        <f>IFERROR(__xludf.DUMMYFUNCTION("IF(OR(A73="""",AND(ISERROR(FIND(""drawer box"",A73))=FALSE,KitchenDrawerType=""Solid dovetail"")),"""",IF(ISERROR(FIND(""bins"",A73))=FALSE,VLOOKUP(""Base carcass 600"",KitchensData,6,0),IF(OR(ISERROR(FIND(""larder"",A73))=FALSE,ISERROR(FIND(""unit"",A73)"&amp;")=FALSE),VLOOKUP(LEFT(A73,FIND("" "",A73))&amp;""carcass ""&amp;RIGHT(A73,LEN(A73)-len(regexextract(A73,"".* ""))),KitchensData,6,0),IF(ISERROR(FIND(""drawer front"",A73))=FALSE,IF(ISERROR(FIND(""veneer"",KitchenCarcassMaterial))=TRUE,0,(((B73+C73)/1000)*2)*VLOOK"&amp;"UP(""Edge banding (per M)"",SheetsData,5,0)),IF(ISERROR(FIND(""drawer box"",A73))=FALSE,IF(ISERROR(FIND(""veneer"",KitchenCarcassMaterial))=TRUE,0,(((C73+D73)/1000)*2)*VLOOKUP(""Edge banding (per M)"",SheetsData,5,0)),IF(ISERROR(FIND(""shelf"",A73))=FALSE"&amp;",IF(ISERROR(FIND(""veneer"",KitchenCarcassMaterial))=TRUE,0,(C73/1000)*VLOOKUP(""Edge banding (per M)"",SheetsData,5,0)),IF(AND(ISERROR(FIND(""carcass"",A73))=FALSE,ISERROR(FIND(""shelf"",A73))=TRUE),IF(ISERROR(FIND(""veneer"",KitchenCarcassMaterial))=TRU"&amp;"E,0,((2*(B73+C73))/1000)*VLOOKUP(""Edge banding (per M)"",SheetsData,5,0)),IF(ISERROR(FIND(""door"",A73))=TRUE,"""",IF(ISERROR(FIND(""veneer"",KitchenDoorMaterial))=TRUE,"""",((2*(B73+C73))/1000)*VLOOKUP(""Edge banding (per M)"",SheetsData,5,0))))))))))"),0.0)</f>
        <v>0</v>
      </c>
      <c r="G73" s="153" t="str">
        <f>IF(A73="","",IF(ISERROR(FIND("bins",A73))=FALSE,VLOOKUP("Base carcass 600",KitchensData,7,0),IF(OR(ISERROR(FIND("larder",A73))=FALSE,ISERROR(FIND("fridge/freezer",A73))=FALSE,ISERROR(FIND("double oven",A73))=FALSE,ISERROR(FIND("single oven",A73))=FALSE),VLOOKUP(LEFT(A73,FIND(" ",A73))&amp;"carcass "&amp;RIGHT(A73,LEN(A73)-(LEN(A73)-3)),KitchensData,7,0),IF(AND(ISERROR(FIND("carcass",A73))=FALSE,ISERROR(FIND("shelf",A73))=TRUE),IF(OR(ISERROR(FIND("Base",A73))=FALSE,ISERROR(FIND("Tower",A73))=FALSE),IF(OR(ISERROR(FIND("1200",A73))=FALSE, ISERROR(FIND("lost corner",A73))=FALSE),6*VLOOKUP("Plinth foot (2 Parts 80mm)",FurnitureData,5,0),4*VLOOKUP("Plinth foot (2 Parts 80mm)",FurnitureData,5,0)),""),""))))</f>
        <v/>
      </c>
      <c r="H73" s="115" t="str">
        <f>IF(OR(A73="",ISERROR(FIND("door",A73))=TRUE),"",IF(ISERROR(FIND("Wall",A73))=FALSE,VLOOKUP("Hinges &amp; plates (Hettich thick door)",FurnitureData,5,0)*2,IF(ISERROR(FIND("Base",A73))=FALSE,VLOOKUP("Hinges &amp; plates (Hettich thick door)",FurnitureData,5,0)*3,IF(ISERROR(FIND("Boiler",A73))=FALSE,VLOOKUP("Hinges &amp; plates (Hettich thick door)",FurnitureData,5,0)*4,IF(ISERROR(FIND("Tower",A73))=FALSE,VLOOKUP("Hinges &amp; plates (Hettich thick door)",FurnitureData,5,0)*5)))))</f>
        <v/>
      </c>
      <c r="I73" s="115" t="str">
        <f>IF(ISERROR(FIND("shelf",A73))=FALSE,(VLOOKUP("Shelf pegs",FurnitureData,5,0)/100)*4,"")</f>
        <v/>
      </c>
      <c r="J73" s="152" t="str">
        <f>IF(OR(ISERROR(FIND("fridge/freezer",A73))=FALSE,ISERROR(FIND("larder",A73))=FALSE,AND(ISERROR(FIND("Base",A73))=FALSE,ISERROR(FIND("bins",A73))=TRUE,ISERROR(FIND("no shelves",A73))=TRUE,OR(ISERROR(FIND("carcass",A73))=FALSE,ISERROR(FIND("unit",A73))=FALSE))),VLOOKUP("Deep shelf "&amp;C73,KitchensData,18,0),IF(AND(ISERROR(FIND("Wall",A73))=FALSE,ISERROR(FIND("carcass",A73))=FALSE),2*VLOOKUP("Shallow shelf "&amp;C73,KitchensData,18,0),IF(AND(ISERROR(FIND("Tower",A73))=FALSE,ISERROR(FIND("oven",A73))=FALSE),4*VLOOKUP("Deep shelf "&amp;C73,KitchensData,18,0),IF(AND(ISERROR(FIND("Tower",A73))=FALSE,ISERROR(FIND("carcass",A73))=FALSE),5*VLOOKUP("Deep shelf "&amp;C73,KitchensData,18,0),""))))</f>
        <v/>
      </c>
      <c r="K73" s="152" t="str">
        <f>IF(ISERROR(FIND("sink",A73))=FALSE,VLOOKUP("Sink liner - Aluminium "&amp;RIGHT(A73,LEN(A73)-22)&amp;"mm",ExceptionalData,5,0),IF(ISERROR(FIND("bins",A73))=FALSE,VLOOKUP("Drawer runners and clip set for bin unit (500) Dynapro",FurnitureData,5,0)+(2*VLOOKUP("Bin (42L Anthracite)",FurnitureData,5,0)),IF(ISERROR(FIND("larder",A73))=FALSE,VLOOKUP("Pull out larder unit 600mm",FurnitureData,5,0),IF(AND(ISERROR(FIND("drawer box",A73))=FALSE,ISERROR(FIND("internal",A73))=TRUE),VLOOKUP("Drawer runners and clip set (550) Dynapro",FurnitureData,5,0),IF(ISERROR(FIND("internal drawer box",A73))=FALSE,VLOOKUP("Drawer runners and clip set (450) Dynapro",FurnitureData,5,0),"")))))</f>
        <v/>
      </c>
      <c r="L73" s="152">
        <f t="shared" si="3"/>
        <v>3.987234614</v>
      </c>
      <c r="M73" s="154">
        <f>IFERROR(__xludf.DUMMYFUNCTION("IF(A73="""","""",IF(OR(ISERROR(FIND(""larder"",A73))=FALSE,ISERROR(FIND(""unit"",A73))=FALSE),VLOOKUP(LEFT(A73,FIND("" "",A73))&amp;""carcass ""&amp;RIGHT(A73,LEN(A73)-len(regexextract(A73,"".* ""))),KitchensData,13,0),IF(ISERROR(FIND(""bins"",A73))=FALSE,0.95,IF"&amp;"(ISERROR(FIND(""Cutlery insert 600"",A73))=FALSE,1.3,IF(ISERROR(FIND(""Cutlery insert 1200"",A73))=FALSE,2,IF(ISERROR(FIND(""Pan/tray rack 600"",A73))=FALSE,3.25,IF(ISERROR(FIND(""Pan/tray rack 1200"",A73))=FALSE,5.9,IF(ISERROR(FIND(""split"",A73))=FALSE,"&amp;"(((C73/1000)*0.022)*2)+VLOOKUP(SUBSTITUTE(A73,"" split"",""""),KitchensData,13,0),IF(AND(ISERROR(FIND(""drawer front"",A73))=FALSE,KitchenDoorStyle=""Flat""),(((B73/1000)*(C73/1000))*2)+((((B73+C73)/1000)*2)*0.022),IF(AND(ISERROR(FIND(""drawer front"",A73"&amp;"))=FALSE,LEFT(KitchenDoorStyle,5)=""Panel""),(((B73/1000)*(C73/1000))*2)+((((B73+C73)/1000)*2)*0.022)+((((C73/1000)-0.16)*0.013)*2)+((((D73/1000)-0.16)*0.013)*2),IF(AND(ISERROR(FIND(""drawer front"",A73))=FALSE,KitchenDoorStyle=""In-frame flat""),((((B73-"&amp;"76)/1000)*((C73-38)/1000))*2)+(MID(KitchenDoorMaterial,FIND(""("",KitchenDoorMaterial)+1,2)/1000)*((((B73-76)+(C73-38))/1000)*2)+(((B73/1000)*0.032)*2)+((((B73-76)/1000)*0.032)*2)+(((B73/1000)*0.019)*4)+(((C73/1000)*0.032)*2)+((((C73-38)/1000)*0.032)*2)+("&amp;"((C73/1000)*0.038)*4),IF(AND(ISERROR(FIND(""drawer front"",A73))=FALSE,LEFT(KitchenDoorStyle,14)=""In-frame panel""),((((B73-76)/1000)*((C73-38)/1000))*2)+((MID(KitchenDoorMaterial,FIND(""("",KitchenDoorMaterial)+1,2)/1000)*((((B73-76)+(C73-38))/1000)*2))"&amp;"+((((B73-236)/1000)+((C73-198)/1000)*2)*0.013)+(((B73/1000)*0.032)*2)+((((B73-76)/1000)*0.032)*2)+(((B73/1000)*0.019)*4)+(((C73/1000)*0.032)*2)+((((C73-38)/1000)*0.032)*2)+(((C73/1000)*0.038)*4),IF(ISERROR(FIND(""drawer box"",A73))=FALSE,((((B73/1000)*(D7"&amp;"3/1000))+((B73/1000)*(C73/1000)))*4)+((((D73/1000)+(C73/1000))*0.016)*4)+(((C73/1000)*(D73/1000))*2),IF(OR(ISERROR(FIND(""shelf"",A73))=FALSE,ISERROR(FIND(""spacer"",A73))=FALSE,,ISERROR(FIND(""filler panel"",A73))=FALSE),(((C73/1000)*(D73/1000))*2)+((((C"&amp;"73+D73)*2)/1000)*0.022),IF(ISERROR(FIND(""lost corner"",A73))=FALSE,(((B73/1000)*(C73/1000))*2)+((B73/1000)*(C73/1000))+((B73/1000)*((C73/2)/1000))+((((B73/1000)*0.025)+((C73/1000)*0.025))*2),IF(ISERROR(FIND(""carcass"",A73))=FALSE,(((C73/1000)*(D73/1000)"&amp;")*2)+(((B73/1000)*(D73/1000))*2)+((B73/1000)*(C73/1000))+((((B73/1000)*0.025)+((C73/1000)*0.025))*2),IF(AND(ISERROR(FIND(""door"",A73))=FALSE,KitchenDoorStyle=""Flat""),(((B73/1000)*(C73/1000))*2)+(MID(KitchenDoorMaterial,FIND(""("",KitchenDoorMaterial)+1"&amp;",2)/1000)*(((B73+C73)/1000)*2),IF(AND(ISERROR(FIND(""door"",A73))=FALSE,LEFT(KitchenDoorStyle,5)=""Panel""),(((B73/1000)*(C73/1000))*2)+((MID(KitchenDoorMaterial,FIND(""("",KitchenDoorMaterial)+1,2)/1000)*(((B73+C73)/1000)*2))+(((((B73-160)+(C73-160))*2)/"&amp;"1000)*(0.013)),IF(AND(ISERROR(FIND(""door"",A73))=FALSE,KitchenDoorStyle=""In-frame flat""),((((B73-76)/1000)*((C73-38)/1000))*2)+(MID(KitchenDoorMaterial,FIND(""("",KitchenDoorMaterial)+1,2)/1000)*((((B73-76)+(C73-38))/1000)*2)+(((B73/1000)*0.032)*2)+((("&amp;"(B73-76)/1000)*0.032)*2)+(((B73/1000)*0.019)*4)+(((C73/1000)*0.032)*2)+((((C73-38)/1000)*0.032)*2)+(((C73/1000)*0.038)*4),IF(AND(ISERROR(FIND(""door"",A73))=FALSE,LEFT(KitchenDoorStyle,14)=""In-frame panel""),((((B73-76)/1000)*((C73-38)/1000))*2)+((MID(Ki"&amp;"tchenDoorMaterial,FIND(""("",KitchenDoorMaterial)+1,2)/1000)*((((B73-76)+(C73-38))/1000)*2))+((((B73-236)/1000)+((C73-198)/1000)*2)*0.013)+(((B73/1000)*0.032)*2)+((((B73-76)/1000)*0.032)*2)+(((B73/1000)*0.019)*4)+(((C73/1000)*0.032)*2)+((((C73-38)/1000)*0"&amp;".032)*2)+(((C73/1000)*0.038)*4),IF(ISERROR(FIND(""Plinth"",A73))=FALSE,((B73/1000)*(C73/1000))+(((C73/1000)*0.018)*2)+(((B73/1000)*0.018)*2),IF(ISERROR(FIND(""Cornice"",A73))=FALSE,(((C73/1000)*0.1)*2)+(((C73/1000)*0.044)*2)+(((B73/1000)*0.08)*2),IF(ISERR"&amp;"OR(FIND(""Base end panel"",A73))=FALSE,((B73/1000)*(C73/1000))+(0.022*((B73/1000)+((C73/1000)*2)))+((B73/1000)*0.05),IF(ISERROR(FIND(""Wall end panel"",A73))=FALSE,((B73/1000)*(C73/1000))+(0.022*((B73/1000)+((C73/1000)*2)))+((B73/1000)*0.05),IF(ISERROR(FI"&amp;"ND(""Tower end panel"",A73))=FALSE,((B73/1000)*(C73/1000))+(0.022*((B73/1000)+((C73/1000)*2)))+((B73/1000)*0.05),IF(ISERROR(FIND(""Fillers"",A73))=FALSE,((C73/1000)*0.06)+((C73/1000)*0.069)+((0.06*0.018)*2)+((0.06*0.009)*2)+((C73/1000)*0.009)+((C73/1000)*"&amp;"0.018),IF(ISERROR(FIND(""corner post"",A73))=FALSE,(((B73/1000*0.05)*2)+((B73/1000)*0.022)*2)+((B73/1000)*0.072)+((B73/1000)*0.05)+((0.072*0.022)*2)+((0.05*0.022)*2),IF(ISERROR(FIND(""Pelmet"",A73))=FALSE,((C73/1000)*0.05)+((C73/1000)*0.068)+((0.05*0.018)"&amp;"*4)+(((C73/1000)*0.018))*2))))))))))))))))))))))))))))"),0.49272)</f>
        <v>0.49272</v>
      </c>
      <c r="N73" s="152">
        <f>IF(M73="","",IF(AND(ISERROR(FIND("carcass",A73))=TRUE,ISERROR(FIND("unit",A73))=TRUE,ISERROR(FIND("insert",A73))=TRUE,ISERROR(FIND("rack",A73))=TRUE,ISERROR(FIND("box",A73))=TRUE,ISERROR(FIND("shelf",#REF!))=TRUE),VLOOKUP(KitchenDoorFinish,Finishing!$A$2:$K$10,9,0)*M73,VLOOKUP(KitchenCarcassFinish,Finishing!$A$2:$K$40,9,0)*M73))</f>
        <v>3.6954</v>
      </c>
      <c r="O73" s="155">
        <v>0.5</v>
      </c>
      <c r="P73" s="155">
        <v>0.5</v>
      </c>
      <c r="Q73" s="152">
        <f>IF(OR(O73="",P73=""),"",((O73*X73)*(VLOOKUP("Workshop",Labour!$A$3:$E$20,4,0)/8))+((P73*AE73)*(VLOOKUP("Finishing",Labour!$A$3:$E$20,4,0)/8)))</f>
        <v>35.875</v>
      </c>
      <c r="R73" s="152">
        <f t="shared" si="4"/>
        <v>43.55763461</v>
      </c>
      <c r="S73" s="156">
        <f>IF(OR(O73="",P73=""),"",IF(OR(ISERROR(FIND("carcass",$A73))=FALSE,ISERROR(FIND("unit",$A73))=FALSE),VLOOKUP(KitchenCarcassMaterial,FixedListsCarcassMaterial,2,0),0))</f>
        <v>0</v>
      </c>
      <c r="T73" s="156">
        <f>IF(OR(O73="",P73=""),"",IF(ISERROR(FIND("door",$A73))=FALSE,VLOOKUP(KitchenDoorStyle,FixedListsDoorStyle,2,0),0))</f>
        <v>0</v>
      </c>
      <c r="U73" s="156">
        <f>IF(OR(O73="",P73=""),"",IF(ISERROR(FIND("door",$A73))=FALSE,VLOOKUP(KitchenDoorMaterial,FixedListsDoorMaterial,2,0),0))</f>
        <v>0</v>
      </c>
      <c r="V73" s="156">
        <f>IF(OR(O73="",P73=""),"",IF(ISERROR(FIND("drawer",$A73))=FALSE,VLOOKUP(KitchenDrawerType,FixedListsDrawerType,2,0),0))</f>
        <v>1</v>
      </c>
      <c r="W73" s="156">
        <f>IF(OR(O73="",P73=""),"",IF(OR(S73&gt;0, T73&gt;0,V73&gt;0),VLOOKUP(KitchenHandleType,FixedListsHandleType,2,FALSE)*IF(KitchenHandleType="Simple",0,IF(S73&gt;0,VLOOKUP(KitchenHandleType,FixedListsHandleType,4,FALSE),IF(OR(T73&gt;0,V73&gt;0),1-VLOOKUP(KitchenHandleType,FixedListsHandleType,4,FALSE),"Error"))),0))</f>
        <v>0</v>
      </c>
      <c r="X73" s="156">
        <f t="shared" si="5"/>
        <v>1</v>
      </c>
      <c r="Y73" s="156">
        <f>IF(OR(O73="",P73=""),"",IF(OR(ISERROR(FIND("carcass",$A73))=FALSE,ISERROR(FIND("unit",$A73))=FALSE),VLOOKUP(KitchenCarcassMaterial,FixedListsCarcassMaterial,3,0),0))</f>
        <v>0</v>
      </c>
      <c r="Z73" s="156">
        <f>IF(OR(O73="",P73=""),"",IF(ISERROR(FIND("door",$A73))=FALSE,VLOOKUP(KitchenDoorStyle,FixedListsDoorStyle,3,0),0))</f>
        <v>0</v>
      </c>
      <c r="AA73" s="156">
        <f>IF(OR(O73="",P73=""),"",IF(ISERROR(FIND("door",$A73))=FALSE,VLOOKUP(KitchenDoorMaterial,FixedListsDoorMaterial,3,0),0))</f>
        <v>0</v>
      </c>
      <c r="AB73" s="156">
        <f>IF(OR(O73="",P73=""),"",IF(ISERROR(FIND("drawer",$A73))=FALSE,VLOOKUP(KitchenDrawerType,FixedListsDrawerType,3,0),0))</f>
        <v>1</v>
      </c>
      <c r="AC73" s="156">
        <f>IF(OR(O73="",P73=""),"",IF(OR(Y73&gt;0,Z73&gt;0,AB73&gt;0),VLOOKUP(KitchenHandleType,FixedListsHandleType,3,FALSE),0))</f>
        <v>1</v>
      </c>
      <c r="AD73" s="156">
        <f>IF(OR(O73="",P73=""),"",IF(OR(ISERROR(FIND("carcass",$A73))=FALSE,ISERROR(FIND("unit",$A73))=FALSE),VLOOKUP(KitchenCarcassFinish,FixedListsFinishes,3,0),IF(OR(ISERROR(FIND("door",$A73))=FALSE,ISERROR(FIND("Plinth",$A73))=FALSE,ISERROR(FIND("Cornice",$A73))=FALSE,ISERROR(FIND("Fillers",$A73))=FALSE,ISERROR(FIND("Pelmet",$A73))=FALSE,ISERROR(FIND("panel",$A73))=FALSE,ISERROR(FIND("post",$A73))=FALSE),VLOOKUP(KitchenDoorFinish,FixedListsFinishes,3,0),IF(OR(ISERROR(FIND("drawer",$A73))=FALSE,ISERROR(FIND("insert",$A73))=FALSE,ISERROR(FIND("rck",$A73))=FALSE),VLOOKUP(KitchenCarcassFinish,FixedListsFinishes,3,0),0))))</f>
        <v>1</v>
      </c>
      <c r="AE73" s="156">
        <f t="shared" si="6"/>
        <v>1</v>
      </c>
      <c r="AF73" s="157" t="str">
        <f>IF(AND(KitchenHandleType="Channel",OR(ISERROR(FIND("arcass",$A73))=FALSE,ISERROR(FIND("unit",$A73))=FALSE)),IF(ISERROR(FIND("Tower",$A73))=TRUE,IF(KitchenHandleFinish="Match carcass",IF(ISERROR(FIND("Walnut",KitchenCarcassMaterial))=FALSE,(0.035*0.075*($C73/1000))*VLOOKUP("Walnut (solid m3)",SolidData,4,FALSE),IF(ISERROR(FIND("Oak",KitchenCarcassMaterial))=FALSE,(0.035*0.075*($C73/1000))*VLOOKUP("Oak (solid m3)",SolidData,4,FALSE),IF(ISERROR(FIND("ply",KitchenCarcassMaterial))=FALSE,(0.1*($C73/1000))*VLOOKUP("Birch ply (24mm)",SheetsData,7,FALSE),IF(ISERROR(FIND("H/F",KitchenCarcassMaterial))=FALSE,(0.1*($C73/1000))*VLOOKUP("H/F (22mm)",SheetsData,7,FALSE),"Carcass - not tower - new material")))),IF(KitchenHandleFinish="Match door",IF(ISERROR(FIND("Walnut",KitchenDoorMaterial))=FALSE,(0.035*0.075*($C73/1000))*VLOOKUP("Walnut (solid m3)",SolidData,4,FALSE),IF(ISERROR(FIND("Oak",KitchenDoorMaterial))=FALSE,(0.035*0.075*($C73/1000))*VLOOKUP("Oak (solid m3)",SolidData,4,FALSE),IF(ISERROR(FIND("ply",KitchenDoorMaterial))=FALSE,(0.1*($C73/1000))*VLOOKUP("Birch ply (24mm)",SheetsData,7,FALSE),IF(ISERROR(FIND("H/F",KitchenCarcassMaterial))=FALSE,(0.1*($C73/1000))*VLOOKUP("H/F (22mm)",SheetsData,7,FALSE),"Door - not tower - new material")))),"Channel - not tower - handle set to other")),IF(ISERROR(FIND("Tower",$A73))=FALSE,IF(KitchenHandleFinish="Match carcass",IF(ISERROR(FIND("Walnut",KitchenCarcassMaterial))=FALSE,(0.035*0.075*($B73/1000))*VLOOKUP("Walnut (solid m3)",SolidData,4,FALSE),IF(ISERROR(FIND("Oak",KitchenCarcassMaterial))=FALSE,(0.035*0.075*($B73/1000))*VLOOKUP("Oak (solid m3)",SolidData,4,FALSE),IF(ISERROR(FIND("ply",KitchenCarcassMaterial))=FALSE,(0.1*($B73/1000))*VLOOKUP("Birch ply (24mm)",SheetsData,7,FALSE),IF(ISERROR(FIND("H/F",KitchenCarcassMaterial))=FALSE,(0.1*($C73/1000))*VLOOKUP("H/F (22mm)",SheetsData,7,FALSE),"Carcass - tower - new material")))),IF(KitchenHandleFinish="Match door",IF(ISERROR(FIND("Walnut",KitchenDoorMaterial))=FALSE,(0.035*0.075*($B73/1000))*VLOOKUP("Walnut (solid m3)",SolidData,4,FALSE),IF(ISERROR(FIND("Oak",KitchenDoorMaterial))=FALSE,(0.035*0.075*($B73/1000))*VLOOKUP("Oak (solid m3)",SolidData,4,FALSE),IF(ISERROR(FIND("ply",KitchenDoorMaterial))=FALSE,(0.1*($B73/1000))*VLOOKUP("Birch ply (24mm)",SheetData,7,FALSE),IF(ISERROR(FIND("H/F",KitchenCarcassMaterial))=FALSE,(0.1*($C73/1000))*VLOOKUP("H/F (22mm)",SheetsData,7,FALSE),"Door - tower - new material")))),"Channel - tower - handle set to other")))),"")</f>
        <v/>
      </c>
    </row>
    <row r="74">
      <c r="A74" s="150" t="s">
        <v>182</v>
      </c>
      <c r="B74" s="115" t="str">
        <f t="shared" si="1"/>
        <v>240</v>
      </c>
      <c r="C74" s="115" t="str">
        <f>IFERROR(__xludf.DUMMYFUNCTION("IF(A74="""","""",IF(OR(RIGHT(A74,LEN(A74)-len(regexextract(A74,"".* "")))=""1200"",RIGHT(A74,LEN(A74)-len(regexextract(A74,"".* "")))=""600"",RIGHT(A74,LEN(A74)-len(regexextract(A74,"".* "")))=""400"",RIGHT(A74,LEN(A74)-len(regexextract(A74,"".* "")))=""3"&amp;"00"",RIGHT(A74,LEN(A74)-len(regexextract(A74,"".* "")))=""700"",RIGHT(A74,LEN(A74)-len(regexextract(A74,"".* "")))=""2400"",RIGHT(A74,LEN(A74)-len(regexextract(A74,"".* "")))=""650"",RIGHT(A74,LEN(A74)-len(regexextract(A74,"".* "")))=""350"",RIGHT(A74,LEN"&amp;"(A74)-len(regexextract(A74,"".* "")))=""50""),RIGHT(A74,LEN(A74)-len(regexextract(A74,"".* ""))),IF(OR(ISERROR(FIND(""spacer"",A74))=FALSE,ISERROR(FIND(""filler panel"",A74))=FALSE),""1000"",""Unexpected size in description"")))"),"600")</f>
        <v>600</v>
      </c>
      <c r="D74" s="151" t="str">
        <f t="shared" si="2"/>
        <v/>
      </c>
      <c r="E74" s="152">
        <f>IFERROR(__xludf.DUMMYFUNCTION("IF(OR(A74="""",AND(ISERROR(FIND(""drawer box"",A74))=FALSE,KitchenDrawerType="""")),"""",IF(OR(ISERROR(FIND(""larder"",A74))=FALSE,ISERROR(FIND(""fridge/freezer"",A74))=FALSE,ISERROR(FIND(""double oven"",A74))=FALSE,ISERROR(FIND(""single oven"",A74))=FALS"&amp;"E),VLOOKUP(LEFT(A74,FIND("" "",A74))&amp;""carcass ""&amp;RIGHT(A74,LEN(A74)-(LEN(A74)-3)),KitchensData,5,0),IF(ISERROR(FIND(""sink"",A74))=FALSE,VLOOKUP(LEFT(A74,FIND("" "",A74))&amp;""carcass ""&amp;VALUE(REGEXREPLACE(A74,""[^[:digit:]]"", """")),KitchensData,5,0)+(((C"&amp;"74/1000)*(300/1000))*VLOOKUP(KitchenCarcassMaterial,SheetsData,8,0)),IF(ISERROR(FIND(""bins"",A74))=FALSE,IF(ISERROR(FIND(""veneer"",KitchenCarcassMaterial))=FALSE,VLOOKUP(""Base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600"",A74))=FALSE,IF(ISERROR(FIND(""veneer"""&amp;",KitchenCarcassMaterial))=FALSE,0.54*(VLOOKUP(LEFT(KitchenCarcassMaterial,FIND(""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1200"",A74))=FALSE,"&amp;"IF(ISERROR(FIND(""veneer"",KitchenCarcassMaterial))=FALSE,0.84*(VLOOKUP(LEFT(KitchenCarcassMaterial,FIND(""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600"",A74))=FALSE,IF(ISERROR(FIND(""veneer"",KitchenCarcassMaterial))=FALSE,1.44*(VLOOKUP(LEFT(KitchenCarcassMaterial,FIND(""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1200"",A74))=FALSE,IF(ISERROR(FIND(""veneer"",KitchenCarcassMaterial))=FALSE,2.7*(VLOOKUP(LEFT(KitchenCarcassMaterial,FIND(""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front"",A74))=FALSE,((B74/1000)*(C74/1000))*VLOOKUP(KitchenDoorMaterial,SheetsData,8,0),IF(AND(KitchenDrawerType=""Match carcass"",ISERROR(FIND(""drawer box"",A74))=FALSE),(((((B74/1000)*(C74/1000))+((B74/1000"&amp;")*(D74/1000)))*2)*VLOOKUP(KitchenCarcassMaterial,SheetsData,8,0))+(((C74/1000)*(D74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box"",A74))=FALSE),(((((B74/1000)*(C74/1000))+((B74/1000)*(D74/1000)))*2)*(16/1000)*VLOOKUP(LEFT(KitchenCarcassMaterial,FIND("" "&amp;""",KitchenCarcassMaterial))&amp;""(solid m3)"",SolidData,5,0))+(((C74/1000)*(D74/1000))*VLOOKUP(LEFT(KitchenCarcassMaterial,FIND(""("",KitchenCarcassMaterial)-1)&amp;IF(OR(ISERROR(FIND(""ply"",KitchenCarcassMaterial))=FALSE,ISERROR(FIND(""H/F"",KitchenCarcassMate"&amp;"rial))=FALSE),""(9mm)"",""(10mm)""),SheetsData,8,0)),IF(ISERROR(FIND(""spacer"",A74))=FALSE,((D74/1000)*(C74/1000))*VLOOKUP(""Poplar ply (18mm)"",SheetsData,8,0),IF(ISERROR(FIND(""filler panel"",A74))=FALSE,((B74/1000)*(C74/1000))*VLOOKUP(KitchenDoorMater"&amp;"ial,SheetsData,8,0),IF(ISERROR(FIND(""shelf"",A74))=FALSE,((D74/1000)*(C74/1000))*VLOOKUP(KitchenCarcassMaterial,SheetsData,8,0),IF(ISERROR(FIND(""lost corner"",A74))=FALSE,VLOOKUP(LEFT(A74,FIND("" "",A74))&amp;""carcass ""&amp;VALUE(REGEXREPLACE(A74,""[^[:digit:"&amp;"]]"", """")),KitchensData,5,0)+((((B74/1000)*(C74/1000))+((B74/1000)*(60/1000)))*VLOOKUP(KitchenCarcassMaterial,SheetsData,8,0)),IF(ISERROR(FIND(""carcass"",A74))=FALSE,(((((B74/1000)*2)*(D74/1000))+(((C74/1000)*2)*(D74/1000)))*VLOOKUP(KitchenCarcassMater"&amp;"ial,SheetsData,8,0))+((B74/1000)*(C74/1000))*VLOOKUP(LEFT(KitchenCarcassMaterial,FIND(""("",KitchenCarcassMaterial)-1)&amp;IF(OR(ISERROR(FIND(""ply"",KitchenCarcassMaterial))=FALSE,ISERROR(FIND(""H/F"",KitchenCarcassMaterial))=FALSE),""(9mm)"",""(10mm)""),She"&amp;"etsData,8,0),IF(OR(ISERROR(FIND(""Plinth"",A74))=FALSE,ISERROR(FIND(""Cornice (flat)"",A74))=FALSE),((B74/1000)*(C74/1000))*VLOOKUP(""H/F (18mm)"",SheetsData,8,0),IF(ISERROR(FIND(""Cornice (stacked)"",A74))=FALSE,((0.08*(C74/1000))*2)*VLOOKUP(""H/F (22mm)"&amp;""",SheetsData,8,0),IF(ISERROR(FIND(""Base end panel"",A74))=FALSE,VLOOKUP(KitchenDoorMaterial,SheetsData,5,0)/3,IF(ISERROR(FIND(""Wall end panel"",A74))=FALSE,VLOOKUP(KitchenDoorMaterial,SheetsData,5,0)/9,IF(ISERROR(FIND(""Tower end panel"",A74))=FALSE,VL"&amp;"OOKUP(KitchenDoorMaterial,SheetsData,5,0),IF(ISERROR(FIND(""Fillers"",A74))=FALSE,(((0.06*(C74/1000))*2)*VLOOKUP(""H/F (18mm)"",SheetsData,8,0))+(((0.06*(C74/1000))*2)*VLOOKUP(""H/F (9mm)"",SheetsData,8,0)),IF(ISERROR(FIND(""corner post"",A74))=FALSE,(((B"&amp;"74/1000)*0.05)*2)*VLOOKUP(KitchenDoorMaterial,SheetsData,8,0),IF(ISERROR(FIND(""Pelmet"",A74))=FALSE,((((B74/1000)*(C74/1000))*2)*VLOOKUP(""H/F (18mm)"",SheetsData,8,0)),IF(ISERROR(FIND(""door"",A74))=TRUE,""Check description"",IF(KitchenDoorStyle=""Flat"&amp;""",((B74/1000)*(C74/1000))*VLOOKUP(KitchenDoorMaterial,SheetsData,8,0),IF(LEFT(KitchenDoorStyle,5)=""Panel"",(((((B74/1000)*2)*0.08)+((((C74/1000)-0.16)*2)*0.08))*VLOOKUP(""H/F (22mm)"",SheetsData,8,0))+(((B74/1000)-0.14)*((C74/1000)-0.14)*VLOOKUP(""H/F ("&amp;"9mm)"",SheetsData,8,0)),IF(KitchenDoorStyle=""In-frame flat"",((((((B74/1000)*0.019)*0.038)+((((C74-38)/1000)*0.038)*0.038))*2)*VLOOKUP(""Tulip (solid m3)"",SolidData,5,0))+(((B74-76)/1000)*((C74-38)/1000))*VLOOKUP(""H/F (22mm)"",SheetsData,8,0),IF(LEFT(K"&amp;"itchenDoorStyle,14)=""In-frame panel"",(((((((B74/1000)*0.019)*0.038)+((((C74-38)/1000)*0.038)*0.038))*2)*VLOOKUP(""Tulip (solid m3)"",SolidData,5,0))+(((((((B74-76)/1000)*2)*0.08)+(((((C74-198)/1000)*2)*0.08)))*VLOOKUP(""H/F (22mm)"",SheetsData,8,0))+((("&amp;"B74-216)/1000)*((C74-178)/1000)*VLOOKUP(""H/F (9mm)"",SheetsData,8,0)))))))))))))))))))))))))))))))))"),2.6581564095673205)</f>
        <v>2.65815641</v>
      </c>
      <c r="F74" s="152">
        <f>IFERROR(__xludf.DUMMYFUNCTION("IF(OR(A74="""",AND(ISERROR(FIND(""drawer box"",A74))=FALSE,KitchenDrawerType=""Solid dovetail"")),"""",IF(ISERROR(FIND(""bins"",A74))=FALSE,VLOOKUP(""Base carcass 600"",KitchensData,6,0),IF(OR(ISERROR(FIND(""larder"",A74))=FALSE,ISERROR(FIND(""unit"",A74)"&amp;")=FALSE),VLOOKUP(LEFT(A74,FIND("" "",A74))&amp;""carcass ""&amp;RIGHT(A74,LEN(A74)-len(regexextract(A74,"".* ""))),KitchensData,6,0),IF(ISERROR(FIND(""drawer front"",A74))=FALSE,IF(ISERROR(FIND(""veneer"",KitchenCarcassMaterial))=TRUE,0,(((B74+C74)/1000)*2)*VLOOK"&amp;"UP(""Edge banding (per M)"",SheetsData,5,0)),IF(ISERROR(FIND(""drawer box"",A74))=FALSE,IF(ISERROR(FIND(""veneer"",KitchenCarcassMaterial))=TRUE,0,(((C74+D74)/1000)*2)*VLOOKUP(""Edge banding (per M)"",SheetsData,5,0)),IF(ISERROR(FIND(""shelf"",A74))=FALSE"&amp;",IF(ISERROR(FIND(""veneer"",KitchenCarcassMaterial))=TRUE,0,(C74/1000)*VLOOKUP(""Edge banding (per M)"",SheetsData,5,0)),IF(AND(ISERROR(FIND(""carcass"",A74))=FALSE,ISERROR(FIND(""shelf"",A74))=TRUE),IF(ISERROR(FIND(""veneer"",KitchenCarcassMaterial))=TRU"&amp;"E,0,((2*(B74+C74))/1000)*VLOOKUP(""Edge banding (per M)"",SheetsData,5,0)),IF(ISERROR(FIND(""door"",A74))=TRUE,"""",IF(ISERROR(FIND(""veneer"",KitchenDoorMaterial))=TRUE,"""",((2*(B74+C74))/1000)*VLOOKUP(""Edge banding (per M)"",SheetsData,5,0))))))))))"),0.0)</f>
        <v>0</v>
      </c>
      <c r="G74" s="153" t="str">
        <f>IF(A74="","",IF(ISERROR(FIND("bins",A74))=FALSE,VLOOKUP("Base carcass 600",KitchensData,7,0),IF(OR(ISERROR(FIND("larder",A74))=FALSE,ISERROR(FIND("fridge/freezer",A74))=FALSE,ISERROR(FIND("double oven",A74))=FALSE,ISERROR(FIND("single oven",A74))=FALSE),VLOOKUP(LEFT(A74,FIND(" ",A74))&amp;"carcass "&amp;RIGHT(A74,LEN(A74)-(LEN(A74)-3)),KitchensData,7,0),IF(AND(ISERROR(FIND("carcass",A74))=FALSE,ISERROR(FIND("shelf",A74))=TRUE),IF(OR(ISERROR(FIND("Base",A74))=FALSE,ISERROR(FIND("Tower",A74))=FALSE),IF(OR(ISERROR(FIND("1200",A74))=FALSE, ISERROR(FIND("lost corner",A74))=FALSE),6*VLOOKUP("Plinth foot (2 Parts 80mm)",FurnitureData,5,0),4*VLOOKUP("Plinth foot (2 Parts 80mm)",FurnitureData,5,0)),""),""))))</f>
        <v/>
      </c>
      <c r="H74" s="115" t="str">
        <f>IF(OR(A74="",ISERROR(FIND("door",A74))=TRUE),"",IF(ISERROR(FIND("Wall",A74))=FALSE,VLOOKUP("Hinges &amp; plates (Hettich thick door)",FurnitureData,5,0)*2,IF(ISERROR(FIND("Base",A74))=FALSE,VLOOKUP("Hinges &amp; plates (Hettich thick door)",FurnitureData,5,0)*3,IF(ISERROR(FIND("Boiler",A74))=FALSE,VLOOKUP("Hinges &amp; plates (Hettich thick door)",FurnitureData,5,0)*4,IF(ISERROR(FIND("Tower",A74))=FALSE,VLOOKUP("Hinges &amp; plates (Hettich thick door)",FurnitureData,5,0)*5)))))</f>
        <v/>
      </c>
      <c r="I74" s="115" t="str">
        <f>IF(ISERROR(FIND("shelf",A74))=FALSE,(VLOOKUP("Shelf pegs",FurnitureData,5,0)/100)*4,"")</f>
        <v/>
      </c>
      <c r="J74" s="152" t="str">
        <f>IF(OR(ISERROR(FIND("fridge/freezer",A74))=FALSE,ISERROR(FIND("larder",A74))=FALSE,AND(ISERROR(FIND("Base",A74))=FALSE,ISERROR(FIND("bins",A74))=TRUE,ISERROR(FIND("no shelves",A74))=TRUE,OR(ISERROR(FIND("carcass",A74))=FALSE,ISERROR(FIND("unit",A74))=FALSE))),VLOOKUP("Deep shelf "&amp;C74,KitchensData,18,0),IF(AND(ISERROR(FIND("Wall",A74))=FALSE,ISERROR(FIND("carcass",A74))=FALSE),2*VLOOKUP("Shallow shelf "&amp;C74,KitchensData,18,0),IF(AND(ISERROR(FIND("Tower",A74))=FALSE,ISERROR(FIND("oven",A74))=FALSE),4*VLOOKUP("Deep shelf "&amp;C74,KitchensData,18,0),IF(AND(ISERROR(FIND("Tower",A74))=FALSE,ISERROR(FIND("carcass",A74))=FALSE),5*VLOOKUP("Deep shelf "&amp;C74,KitchensData,18,0),""))))</f>
        <v/>
      </c>
      <c r="K74" s="152" t="str">
        <f>IF(ISERROR(FIND("sink",A74))=FALSE,VLOOKUP("Sink liner - Aluminium "&amp;RIGHT(A74,LEN(A74)-22)&amp;"mm",ExceptionalData,5,0),IF(ISERROR(FIND("bins",A74))=FALSE,VLOOKUP("Drawer runners and clip set for bin unit (500) Dynapro",FurnitureData,5,0)+(2*VLOOKUP("Bin (42L Anthracite)",FurnitureData,5,0)),IF(ISERROR(FIND("larder",A74))=FALSE,VLOOKUP("Pull out larder unit 600mm",FurnitureData,5,0),IF(AND(ISERROR(FIND("drawer box",A74))=FALSE,ISERROR(FIND("internal",A74))=TRUE),VLOOKUP("Drawer runners and clip set (550) Dynapro",FurnitureData,5,0),IF(ISERROR(FIND("internal drawer box",A74))=FALSE,VLOOKUP("Drawer runners and clip set (450) Dynapro",FurnitureData,5,0),"")))))</f>
        <v/>
      </c>
      <c r="L74" s="152">
        <f t="shared" si="3"/>
        <v>2.65815641</v>
      </c>
      <c r="M74" s="154">
        <f>IFERROR(__xludf.DUMMYFUNCTION("IF(A74="""","""",IF(OR(ISERROR(FIND(""larder"",A74))=FALSE,ISERROR(FIND(""unit"",A74))=FALSE),VLOOKUP(LEFT(A74,FIND("" "",A74))&amp;""carcass ""&amp;RIGHT(A74,LEN(A74)-len(regexextract(A74,"".* ""))),KitchensData,13,0),IF(ISERROR(FIND(""bins"",A74))=FALSE,0.95,IF"&amp;"(ISERROR(FIND(""Cutlery insert 600"",A74))=FALSE,1.3,IF(ISERROR(FIND(""Cutlery insert 1200"",A74))=FALSE,2,IF(ISERROR(FIND(""Pan/tray rack 600"",A74))=FALSE,3.25,IF(ISERROR(FIND(""Pan/tray rack 1200"",A74))=FALSE,5.9,IF(ISERROR(FIND(""split"",A74))=FALSE,"&amp;"(((C74/1000)*0.022)*2)+VLOOKUP(SUBSTITUTE(A74,"" split"",""""),KitchensData,13,0),IF(AND(ISERROR(FIND(""drawer front"",A74))=FALSE,KitchenDoorStyle=""Flat""),(((B74/1000)*(C74/1000))*2)+((((B74+C74)/1000)*2)*0.022),IF(AND(ISERROR(FIND(""drawer front"",A74"&amp;"))=FALSE,LEFT(KitchenDoorStyle,5)=""Panel""),(((B74/1000)*(C74/1000))*2)+((((B74+C74)/1000)*2)*0.022)+((((C74/1000)-0.16)*0.013)*2)+((((D74/1000)-0.16)*0.013)*2),IF(AND(ISERROR(FIND(""drawer front"",A74))=FALSE,KitchenDoorStyle=""In-frame flat""),((((B74-"&amp;"76)/1000)*((C74-38)/1000))*2)+(MID(KitchenDoorMaterial,FIND(""("",KitchenDoorMaterial)+1,2)/1000)*((((B74-76)+(C74-38))/1000)*2)+(((B74/1000)*0.032)*2)+((((B74-76)/1000)*0.032)*2)+(((B74/1000)*0.019)*4)+(((C74/1000)*0.032)*2)+((((C74-38)/1000)*0.032)*2)+("&amp;"((C74/1000)*0.038)*4),IF(AND(ISERROR(FIND(""drawer front"",A74))=FALSE,LEFT(KitchenDoorStyle,14)=""In-frame panel""),((((B74-76)/1000)*((C74-38)/1000))*2)+((MID(KitchenDoorMaterial,FIND(""("",KitchenDoorMaterial)+1,2)/1000)*((((B74-76)+(C74-38))/1000)*2))"&amp;"+((((B74-236)/1000)+((C74-198)/1000)*2)*0.013)+(((B74/1000)*0.032)*2)+((((B74-76)/1000)*0.032)*2)+(((B74/1000)*0.019)*4)+(((C74/1000)*0.032)*2)+((((C74-38)/1000)*0.032)*2)+(((C74/1000)*0.038)*4),IF(ISERROR(FIND(""drawer box"",A74))=FALSE,((((B74/1000)*(D7"&amp;"4/1000))+((B74/1000)*(C74/1000)))*4)+((((D74/1000)+(C74/1000))*0.016)*4)+(((C74/1000)*(D74/1000))*2),IF(OR(ISERROR(FIND(""shelf"",A74))=FALSE,ISERROR(FIND(""spacer"",A74))=FALSE,,ISERROR(FIND(""filler panel"",A74))=FALSE),(((C74/1000)*(D74/1000))*2)+((((C"&amp;"74+D74)*2)/1000)*0.022),IF(ISERROR(FIND(""lost corner"",A74))=FALSE,(((B74/1000)*(C74/1000))*2)+((B74/1000)*(C74/1000))+((B74/1000)*((C74/2)/1000))+((((B74/1000)*0.025)+((C74/1000)*0.025))*2),IF(ISERROR(FIND(""carcass"",A74))=FALSE,(((C74/1000)*(D74/1000)"&amp;")*2)+(((B74/1000)*(D74/1000))*2)+((B74/1000)*(C74/1000))+((((B74/1000)*0.025)+((C74/1000)*0.025))*2),IF(AND(ISERROR(FIND(""door"",A74))=FALSE,KitchenDoorStyle=""Flat""),(((B74/1000)*(C74/1000))*2)+(MID(KitchenDoorMaterial,FIND(""("",KitchenDoorMaterial)+1"&amp;",2)/1000)*(((B74+C74)/1000)*2),IF(AND(ISERROR(FIND(""door"",A74))=FALSE,LEFT(KitchenDoorStyle,5)=""Panel""),(((B74/1000)*(C74/1000))*2)+((MID(KitchenDoorMaterial,FIND(""("",KitchenDoorMaterial)+1,2)/1000)*(((B74+C74)/1000)*2))+(((((B74-160)+(C74-160))*2)/"&amp;"1000)*(0.013)),IF(AND(ISERROR(FIND(""door"",A74))=FALSE,KitchenDoorStyle=""In-frame flat""),((((B74-76)/1000)*((C74-38)/1000))*2)+(MID(KitchenDoorMaterial,FIND(""("",KitchenDoorMaterial)+1,2)/1000)*((((B74-76)+(C74-38))/1000)*2)+(((B74/1000)*0.032)*2)+((("&amp;"(B74-76)/1000)*0.032)*2)+(((B74/1000)*0.019)*4)+(((C74/1000)*0.032)*2)+((((C74-38)/1000)*0.032)*2)+(((C74/1000)*0.038)*4),IF(AND(ISERROR(FIND(""door"",A74))=FALSE,LEFT(KitchenDoorStyle,14)=""In-frame panel""),((((B74-76)/1000)*((C74-38)/1000))*2)+((MID(Ki"&amp;"tchenDoorMaterial,FIND(""("",KitchenDoorMaterial)+1,2)/1000)*((((B74-76)+(C74-38))/1000)*2))+((((B74-236)/1000)+((C74-198)/1000)*2)*0.013)+(((B74/1000)*0.032)*2)+((((B74-76)/1000)*0.032)*2)+(((B74/1000)*0.019)*4)+(((C74/1000)*0.032)*2)+((((C74-38)/1000)*0"&amp;".032)*2)+(((C74/1000)*0.038)*4),IF(ISERROR(FIND(""Plinth"",A74))=FALSE,((B74/1000)*(C74/1000))+(((C74/1000)*0.018)*2)+(((B74/1000)*0.018)*2),IF(ISERROR(FIND(""Cornice"",A74))=FALSE,(((C74/1000)*0.1)*2)+(((C74/1000)*0.044)*2)+(((B74/1000)*0.08)*2),IF(ISERR"&amp;"OR(FIND(""Base end panel"",A74))=FALSE,((B74/1000)*(C74/1000))+(0.022*((B74/1000)+((C74/1000)*2)))+((B74/1000)*0.05),IF(ISERROR(FIND(""Wall end panel"",A74))=FALSE,((B74/1000)*(C74/1000))+(0.022*((B74/1000)+((C74/1000)*2)))+((B74/1000)*0.05),IF(ISERROR(FI"&amp;"ND(""Tower end panel"",A74))=FALSE,((B74/1000)*(C74/1000))+(0.022*((B74/1000)+((C74/1000)*2)))+((B74/1000)*0.05),IF(ISERROR(FIND(""Fillers"",A74))=FALSE,((C74/1000)*0.06)+((C74/1000)*0.069)+((0.06*0.018)*2)+((0.06*0.009)*2)+((C74/1000)*0.009)+((C74/1000)*"&amp;"0.018),IF(ISERROR(FIND(""corner post"",A74))=FALSE,(((B74/1000*0.05)*2)+((B74/1000)*0.022)*2)+((B74/1000)*0.072)+((B74/1000)*0.05)+((0.072*0.022)*2)+((0.05*0.022)*2),IF(ISERROR(FIND(""Pelmet"",A74))=FALSE,((C74/1000)*0.05)+((C74/1000)*0.068)+((0.05*0.018)"&amp;"*4)+(((C74/1000)*0.018))*2))))))))))))))))))))))))))))"),0.32495999999999997)</f>
        <v>0.32496</v>
      </c>
      <c r="N74" s="152">
        <f>IF(M74="","",IF(AND(ISERROR(FIND("carcass",A74))=TRUE,ISERROR(FIND("unit",A74))=TRUE,ISERROR(FIND("insert",A74))=TRUE,ISERROR(FIND("rack",A74))=TRUE,ISERROR(FIND("box",A74))=TRUE,ISERROR(FIND("shelf",#REF!))=TRUE),VLOOKUP(KitchenDoorFinish,Finishing!$A$2:$K$10,9,0)*M74,VLOOKUP(KitchenCarcassFinish,Finishing!$A$2:$K$40,9,0)*M74))</f>
        <v>2.4372</v>
      </c>
      <c r="O74" s="155">
        <v>0.5</v>
      </c>
      <c r="P74" s="155">
        <v>0.5</v>
      </c>
      <c r="Q74" s="152">
        <f>IF(OR(O74="",P74=""),"",((O74*X74)*(VLOOKUP("Workshop",Labour!$A$3:$E$20,4,0)/8))+((P74*AE74)*(VLOOKUP("Finishing",Labour!$A$3:$E$20,4,0)/8)))</f>
        <v>35.875</v>
      </c>
      <c r="R74" s="152">
        <f t="shared" si="4"/>
        <v>40.97035641</v>
      </c>
      <c r="S74" s="156">
        <f>IF(OR(O74="",P74=""),"",IF(OR(ISERROR(FIND("carcass",$A74))=FALSE,ISERROR(FIND("unit",$A74))=FALSE),VLOOKUP(KitchenCarcassMaterial,FixedListsCarcassMaterial,2,0),0))</f>
        <v>0</v>
      </c>
      <c r="T74" s="156">
        <f>IF(OR(O74="",P74=""),"",IF(ISERROR(FIND("door",$A74))=FALSE,VLOOKUP(KitchenDoorStyle,FixedListsDoorStyle,2,0),0))</f>
        <v>0</v>
      </c>
      <c r="U74" s="156">
        <f>IF(OR(O74="",P74=""),"",IF(ISERROR(FIND("door",$A74))=FALSE,VLOOKUP(KitchenDoorMaterial,FixedListsDoorMaterial,2,0),0))</f>
        <v>0</v>
      </c>
      <c r="V74" s="156">
        <f>IF(OR(O74="",P74=""),"",IF(ISERROR(FIND("drawer",$A74))=FALSE,VLOOKUP(KitchenDrawerType,FixedListsDrawerType,2,0),0))</f>
        <v>1</v>
      </c>
      <c r="W74" s="156">
        <f>IF(OR(O74="",P74=""),"",IF(OR(S74&gt;0, T74&gt;0,V74&gt;0),VLOOKUP(KitchenHandleType,FixedListsHandleType,2,FALSE)*IF(KitchenHandleType="Simple",0,IF(S74&gt;0,VLOOKUP(KitchenHandleType,FixedListsHandleType,4,FALSE),IF(OR(T74&gt;0,V74&gt;0),1-VLOOKUP(KitchenHandleType,FixedListsHandleType,4,FALSE),"Error"))),0))</f>
        <v>0</v>
      </c>
      <c r="X74" s="156">
        <f t="shared" si="5"/>
        <v>1</v>
      </c>
      <c r="Y74" s="156">
        <f>IF(OR(O74="",P74=""),"",IF(OR(ISERROR(FIND("carcass",$A74))=FALSE,ISERROR(FIND("unit",$A74))=FALSE),VLOOKUP(KitchenCarcassMaterial,FixedListsCarcassMaterial,3,0),0))</f>
        <v>0</v>
      </c>
      <c r="Z74" s="156">
        <f>IF(OR(O74="",P74=""),"",IF(ISERROR(FIND("door",$A74))=FALSE,VLOOKUP(KitchenDoorStyle,FixedListsDoorStyle,3,0),0))</f>
        <v>0</v>
      </c>
      <c r="AA74" s="156">
        <f>IF(OR(O74="",P74=""),"",IF(ISERROR(FIND("door",$A74))=FALSE,VLOOKUP(KitchenDoorMaterial,FixedListsDoorMaterial,3,0),0))</f>
        <v>0</v>
      </c>
      <c r="AB74" s="156">
        <f>IF(OR(O74="",P74=""),"",IF(ISERROR(FIND("drawer",$A74))=FALSE,VLOOKUP(KitchenDrawerType,FixedListsDrawerType,3,0),0))</f>
        <v>1</v>
      </c>
      <c r="AC74" s="156">
        <f>IF(OR(O74="",P74=""),"",IF(OR(Y74&gt;0,Z74&gt;0,AB74&gt;0),VLOOKUP(KitchenHandleType,FixedListsHandleType,3,FALSE),0))</f>
        <v>1</v>
      </c>
      <c r="AD74" s="156">
        <f>IF(OR(O74="",P74=""),"",IF(OR(ISERROR(FIND("carcass",$A74))=FALSE,ISERROR(FIND("unit",$A74))=FALSE),VLOOKUP(KitchenCarcassFinish,FixedListsFinishes,3,0),IF(OR(ISERROR(FIND("door",$A74))=FALSE,ISERROR(FIND("Plinth",$A74))=FALSE,ISERROR(FIND("Cornice",$A74))=FALSE,ISERROR(FIND("Fillers",$A74))=FALSE,ISERROR(FIND("Pelmet",$A74))=FALSE,ISERROR(FIND("panel",$A74))=FALSE,ISERROR(FIND("post",$A74))=FALSE),VLOOKUP(KitchenDoorFinish,FixedListsFinishes,3,0),IF(OR(ISERROR(FIND("drawer",$A74))=FALSE,ISERROR(FIND("insert",$A74))=FALSE,ISERROR(FIND("rck",$A74))=FALSE),VLOOKUP(KitchenCarcassFinish,FixedListsFinishes,3,0),0))))</f>
        <v>1</v>
      </c>
      <c r="AE74" s="156">
        <f t="shared" si="6"/>
        <v>1</v>
      </c>
      <c r="AF74" s="157" t="str">
        <f>IF(AND(KitchenHandleType="Channel",OR(ISERROR(FIND("arcass",$A74))=FALSE,ISERROR(FIND("unit",$A74))=FALSE)),IF(ISERROR(FIND("Tower",$A74))=TRUE,IF(KitchenHandleFinish="Match carcass",IF(ISERROR(FIND("Walnut",KitchenCarcassMaterial))=FALSE,(0.035*0.075*($C74/1000))*VLOOKUP("Walnut (solid m3)",SolidData,4,FALSE),IF(ISERROR(FIND("Oak",KitchenCarcassMaterial))=FALSE,(0.035*0.075*($C74/1000))*VLOOKUP("Oak (solid m3)",SolidData,4,FALSE),IF(ISERROR(FIND("ply",KitchenCarcassMaterial))=FALSE,(0.1*($C74/1000))*VLOOKUP("Birch ply (24mm)",SheetsData,7,FALSE),IF(ISERROR(FIND("H/F",KitchenCarcassMaterial))=FALSE,(0.1*($C74/1000))*VLOOKUP("H/F (22mm)",SheetsData,7,FALSE),"Carcass - not tower - new material")))),IF(KitchenHandleFinish="Match door",IF(ISERROR(FIND("Walnut",KitchenDoorMaterial))=FALSE,(0.035*0.075*($C74/1000))*VLOOKUP("Walnut (solid m3)",SolidData,4,FALSE),IF(ISERROR(FIND("Oak",KitchenDoorMaterial))=FALSE,(0.035*0.075*($C74/1000))*VLOOKUP("Oak (solid m3)",SolidData,4,FALSE),IF(ISERROR(FIND("ply",KitchenDoorMaterial))=FALSE,(0.1*($C74/1000))*VLOOKUP("Birch ply (24mm)",SheetsData,7,FALSE),IF(ISERROR(FIND("H/F",KitchenCarcassMaterial))=FALSE,(0.1*($C74/1000))*VLOOKUP("H/F (22mm)",SheetsData,7,FALSE),"Door - not tower - new material")))),"Channel - not tower - handle set to other")),IF(ISERROR(FIND("Tower",$A74))=FALSE,IF(KitchenHandleFinish="Match carcass",IF(ISERROR(FIND("Walnut",KitchenCarcassMaterial))=FALSE,(0.035*0.075*($B74/1000))*VLOOKUP("Walnut (solid m3)",SolidData,4,FALSE),IF(ISERROR(FIND("Oak",KitchenCarcassMaterial))=FALSE,(0.035*0.075*($B74/1000))*VLOOKUP("Oak (solid m3)",SolidData,4,FALSE),IF(ISERROR(FIND("ply",KitchenCarcassMaterial))=FALSE,(0.1*($B74/1000))*VLOOKUP("Birch ply (24mm)",SheetsData,7,FALSE),IF(ISERROR(FIND("H/F",KitchenCarcassMaterial))=FALSE,(0.1*($C74/1000))*VLOOKUP("H/F (22mm)",SheetsData,7,FALSE),"Carcass - tower - new material")))),IF(KitchenHandleFinish="Match door",IF(ISERROR(FIND("Walnut",KitchenDoorMaterial))=FALSE,(0.035*0.075*($B74/1000))*VLOOKUP("Walnut (solid m3)",SolidData,4,FALSE),IF(ISERROR(FIND("Oak",KitchenDoorMaterial))=FALSE,(0.035*0.075*($B74/1000))*VLOOKUP("Oak (solid m3)",SolidData,4,FALSE),IF(ISERROR(FIND("ply",KitchenDoorMaterial))=FALSE,(0.1*($B74/1000))*VLOOKUP("Birch ply (24mm)",SheetData,7,FALSE),IF(ISERROR(FIND("H/F",KitchenCarcassMaterial))=FALSE,(0.1*($C74/1000))*VLOOKUP("H/F (22mm)",SheetsData,7,FALSE),"Door - tower - new material")))),"Channel - tower - handle set to other")))),"")</f>
        <v/>
      </c>
    </row>
    <row r="75">
      <c r="A75" s="150" t="s">
        <v>183</v>
      </c>
      <c r="B75" s="115" t="str">
        <f t="shared" si="1"/>
        <v>240</v>
      </c>
      <c r="C75" s="115" t="str">
        <f>IFERROR(__xludf.DUMMYFUNCTION("IF(A75="""","""",IF(OR(RIGHT(A75,LEN(A75)-len(regexextract(A75,"".* "")))=""1200"",RIGHT(A75,LEN(A75)-len(regexextract(A75,"".* "")))=""600"",RIGHT(A75,LEN(A75)-len(regexextract(A75,"".* "")))=""400"",RIGHT(A75,LEN(A75)-len(regexextract(A75,"".* "")))=""3"&amp;"00"",RIGHT(A75,LEN(A75)-len(regexextract(A75,"".* "")))=""700"",RIGHT(A75,LEN(A75)-len(regexextract(A75,"".* "")))=""2400"",RIGHT(A75,LEN(A75)-len(regexextract(A75,"".* "")))=""650"",RIGHT(A75,LEN(A75)-len(regexextract(A75,"".* "")))=""350"",RIGHT(A75,LEN"&amp;"(A75)-len(regexextract(A75,"".* "")))=""50""),RIGHT(A75,LEN(A75)-len(regexextract(A75,"".* ""))),IF(OR(ISERROR(FIND(""spacer"",A75))=FALSE,ISERROR(FIND(""filler panel"",A75))=FALSE),""1000"",""Unexpected size in description"")))"),"1200")</f>
        <v>1200</v>
      </c>
      <c r="D75" s="151" t="str">
        <f t="shared" si="2"/>
        <v/>
      </c>
      <c r="E75" s="152">
        <f>IFERROR(__xludf.DUMMYFUNCTION("IF(OR(A75="""",AND(ISERROR(FIND(""drawer box"",A75))=FALSE,KitchenDrawerType="""")),"""",IF(OR(ISERROR(FIND(""larder"",A75))=FALSE,ISERROR(FIND(""fridge/freezer"",A75))=FALSE,ISERROR(FIND(""double oven"",A75))=FALSE,ISERROR(FIND(""single oven"",A75))=FALS"&amp;"E),VLOOKUP(LEFT(A75,FIND("" "",A75))&amp;""carcass ""&amp;RIGHT(A75,LEN(A75)-(LEN(A75)-3)),KitchensData,5,0),IF(ISERROR(FIND(""sink"",A75))=FALSE,VLOOKUP(LEFT(A75,FIND("" "",A75))&amp;""carcass ""&amp;VALUE(REGEXREPLACE(A75,""[^[:digit:]]"", """")),KitchensData,5,0)+(((C"&amp;"75/1000)*(300/1000))*VLOOKUP(KitchenCarcassMaterial,SheetsData,8,0)),IF(ISERROR(FIND(""bins"",A75))=FALSE,IF(ISERROR(FIND(""veneer"",KitchenCarcassMaterial))=FALSE,VLOOKUP(""Base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600"",A75))=FALSE,IF(ISERROR(FIND(""veneer"""&amp;",KitchenCarcassMaterial))=FALSE,0.54*(VLOOKUP(LEFT(KitchenCarcassMaterial,FIND(""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1200"",A75))=FALSE,"&amp;"IF(ISERROR(FIND(""veneer"",KitchenCarcassMaterial))=FALSE,0.84*(VLOOKUP(LEFT(KitchenCarcassMaterial,FIND(""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600"",A75))=FALSE,IF(ISERROR(FIND(""veneer"",KitchenCarcassMaterial))=FALSE,1.44*(VLOOKUP(LEFT(KitchenCarcassMaterial,FIND(""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1200"",A75))=FALSE,IF(ISERROR(FIND(""veneer"",KitchenCarcassMaterial))=FALSE,2.7*(VLOOKUP(LEFT(KitchenCarcassMaterial,FIND(""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front"",A75))=FALSE,((B75/1000)*(C75/1000))*VLOOKUP(KitchenDoorMaterial,SheetsData,8,0),IF(AND(KitchenDrawerType=""Match carcass"",ISERROR(FIND(""drawer box"",A75))=FALSE),(((((B75/1000)*(C75/1000))+((B75/1000"&amp;")*(D75/1000)))*2)*VLOOKUP(KitchenCarcassMaterial,SheetsData,8,0))+(((C75/1000)*(D75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box"",A75))=FALSE),(((((B75/1000)*(C75/1000))+((B75/1000)*(D75/1000)))*2)*(16/1000)*VLOOKUP(LEFT(KitchenCarcassMaterial,FIND("" "&amp;""",KitchenCarcassMaterial))&amp;""(solid m3)"",SolidData,5,0))+(((C75/1000)*(D75/1000))*VLOOKUP(LEFT(KitchenCarcassMaterial,FIND(""("",KitchenCarcassMaterial)-1)&amp;IF(OR(ISERROR(FIND(""ply"",KitchenCarcassMaterial))=FALSE,ISERROR(FIND(""H/F"",KitchenCarcassMate"&amp;"rial))=FALSE),""(9mm)"",""(10mm)""),SheetsData,8,0)),IF(ISERROR(FIND(""spacer"",A75))=FALSE,((D75/1000)*(C75/1000))*VLOOKUP(""Poplar ply (18mm)"",SheetsData,8,0),IF(ISERROR(FIND(""filler panel"",A75))=FALSE,((B75/1000)*(C75/1000))*VLOOKUP(KitchenDoorMater"&amp;"ial,SheetsData,8,0),IF(ISERROR(FIND(""shelf"",A75))=FALSE,((D75/1000)*(C75/1000))*VLOOKUP(KitchenCarcassMaterial,SheetsData,8,0),IF(ISERROR(FIND(""lost corner"",A75))=FALSE,VLOOKUP(LEFT(A75,FIND("" "",A75))&amp;""carcass ""&amp;VALUE(REGEXREPLACE(A75,""[^[:digit:"&amp;"]]"", """")),KitchensData,5,0)+((((B75/1000)*(C75/1000))+((B75/1000)*(60/1000)))*VLOOKUP(KitchenCarcassMaterial,SheetsData,8,0)),IF(ISERROR(FIND(""carcass"",A75))=FALSE,(((((B75/1000)*2)*(D75/1000))+(((C75/1000)*2)*(D75/1000)))*VLOOKUP(KitchenCarcassMater"&amp;"ial,SheetsData,8,0))+((B75/1000)*(C75/1000))*VLOOKUP(LEFT(KitchenCarcassMaterial,FIND(""("",KitchenCarcassMaterial)-1)&amp;IF(OR(ISERROR(FIND(""ply"",KitchenCarcassMaterial))=FALSE,ISERROR(FIND(""H/F"",KitchenCarcassMaterial))=FALSE),""(9mm)"",""(10mm)""),She"&amp;"etsData,8,0),IF(OR(ISERROR(FIND(""Plinth"",A75))=FALSE,ISERROR(FIND(""Cornice (flat)"",A75))=FALSE),((B75/1000)*(C75/1000))*VLOOKUP(""H/F (18mm)"",SheetsData,8,0),IF(ISERROR(FIND(""Cornice (stacked)"",A75))=FALSE,((0.08*(C75/1000))*2)*VLOOKUP(""H/F (22mm)"&amp;""",SheetsData,8,0),IF(ISERROR(FIND(""Base end panel"",A75))=FALSE,VLOOKUP(KitchenDoorMaterial,SheetsData,5,0)/3,IF(ISERROR(FIND(""Wall end panel"",A75))=FALSE,VLOOKUP(KitchenDoorMaterial,SheetsData,5,0)/9,IF(ISERROR(FIND(""Tower end panel"",A75))=FALSE,VL"&amp;"OOKUP(KitchenDoorMaterial,SheetsData,5,0),IF(ISERROR(FIND(""Fillers"",A75))=FALSE,(((0.06*(C75/1000))*2)*VLOOKUP(""H/F (18mm)"",SheetsData,8,0))+(((0.06*(C75/1000))*2)*VLOOKUP(""H/F (9mm)"",SheetsData,8,0)),IF(ISERROR(FIND(""corner post"",A75))=FALSE,(((B"&amp;"75/1000)*0.05)*2)*VLOOKUP(KitchenDoorMaterial,SheetsData,8,0),IF(ISERROR(FIND(""Pelmet"",A75))=FALSE,((((B75/1000)*(C75/1000))*2)*VLOOKUP(""H/F (18mm)"",SheetsData,8,0)),IF(ISERROR(FIND(""door"",A75))=TRUE,""Check description"",IF(KitchenDoorStyle=""Flat"&amp;""",((B75/1000)*(C75/1000))*VLOOKUP(KitchenDoorMaterial,SheetsData,8,0),IF(LEFT(KitchenDoorStyle,5)=""Panel"",(((((B75/1000)*2)*0.08)+((((C75/1000)-0.16)*2)*0.08))*VLOOKUP(""H/F (22mm)"",SheetsData,8,0))+(((B75/1000)-0.14)*((C75/1000)-0.14)*VLOOKUP(""H/F ("&amp;"9mm)"",SheetsData,8,0)),IF(KitchenDoorStyle=""In-frame flat"",((((((B75/1000)*0.019)*0.038)+((((C75-38)/1000)*0.038)*0.038))*2)*VLOOKUP(""Tulip (solid m3)"",SolidData,5,0))+(((B75-76)/1000)*((C75-38)/1000))*VLOOKUP(""H/F (22mm)"",SheetsData,8,0),IF(LEFT(K"&amp;"itchenDoorStyle,14)=""In-frame panel"",(((((((B75/1000)*0.019)*0.038)+((((C75-38)/1000)*0.038)*0.038))*2)*VLOOKUP(""Tulip (solid m3)"",SolidData,5,0))+(((((((B75-76)/1000)*2)*0.08)+(((((C75-198)/1000)*2)*0.08)))*VLOOKUP(""H/F (22mm)"",SheetsData,8,0))+((("&amp;"B75-216)/1000)*((C75-178)/1000)*VLOOKUP(""H/F (9mm)"",SheetsData,8,0)))))))))))))))))))))))))))))))))"),5.316312819134641)</f>
        <v>5.316312819</v>
      </c>
      <c r="F75" s="152">
        <f>IFERROR(__xludf.DUMMYFUNCTION("IF(OR(A75="""",AND(ISERROR(FIND(""drawer box"",A75))=FALSE,KitchenDrawerType=""Solid dovetail"")),"""",IF(ISERROR(FIND(""bins"",A75))=FALSE,VLOOKUP(""Base carcass 600"",KitchensData,6,0),IF(OR(ISERROR(FIND(""larder"",A75))=FALSE,ISERROR(FIND(""unit"",A75)"&amp;")=FALSE),VLOOKUP(LEFT(A75,FIND("" "",A75))&amp;""carcass ""&amp;RIGHT(A75,LEN(A75)-len(regexextract(A75,"".* ""))),KitchensData,6,0),IF(ISERROR(FIND(""drawer front"",A75))=FALSE,IF(ISERROR(FIND(""veneer"",KitchenCarcassMaterial))=TRUE,0,(((B75+C75)/1000)*2)*VLOOK"&amp;"UP(""Edge banding (per M)"",SheetsData,5,0)),IF(ISERROR(FIND(""drawer box"",A75))=FALSE,IF(ISERROR(FIND(""veneer"",KitchenCarcassMaterial))=TRUE,0,(((C75+D75)/1000)*2)*VLOOKUP(""Edge banding (per M)"",SheetsData,5,0)),IF(ISERROR(FIND(""shelf"",A75))=FALSE"&amp;",IF(ISERROR(FIND(""veneer"",KitchenCarcassMaterial))=TRUE,0,(C75/1000)*VLOOKUP(""Edge banding (per M)"",SheetsData,5,0)),IF(AND(ISERROR(FIND(""carcass"",A75))=FALSE,ISERROR(FIND(""shelf"",A75))=TRUE),IF(ISERROR(FIND(""veneer"",KitchenCarcassMaterial))=TRU"&amp;"E,0,((2*(B75+C75))/1000)*VLOOKUP(""Edge banding (per M)"",SheetsData,5,0)),IF(ISERROR(FIND(""door"",A75))=TRUE,"""",IF(ISERROR(FIND(""veneer"",KitchenDoorMaterial))=TRUE,"""",((2*(B75+C75))/1000)*VLOOKUP(""Edge banding (per M)"",SheetsData,5,0))))))))))"),0.0)</f>
        <v>0</v>
      </c>
      <c r="G75" s="153" t="str">
        <f>IF(A75="","",IF(ISERROR(FIND("bins",A75))=FALSE,VLOOKUP("Base carcass 600",KitchensData,7,0),IF(OR(ISERROR(FIND("larder",A75))=FALSE,ISERROR(FIND("fridge/freezer",A75))=FALSE,ISERROR(FIND("double oven",A75))=FALSE,ISERROR(FIND("single oven",A75))=FALSE),VLOOKUP(LEFT(A75,FIND(" ",A75))&amp;"carcass "&amp;RIGHT(A75,LEN(A75)-(LEN(A75)-3)),KitchensData,7,0),IF(AND(ISERROR(FIND("carcass",A75))=FALSE,ISERROR(FIND("shelf",A75))=TRUE),IF(OR(ISERROR(FIND("Base",A75))=FALSE,ISERROR(FIND("Tower",A75))=FALSE),IF(OR(ISERROR(FIND("1200",A75))=FALSE, ISERROR(FIND("lost corner",A75))=FALSE),6*VLOOKUP("Plinth foot (2 Parts 80mm)",FurnitureData,5,0),4*VLOOKUP("Plinth foot (2 Parts 80mm)",FurnitureData,5,0)),""),""))))</f>
        <v/>
      </c>
      <c r="H75" s="115" t="str">
        <f>IF(OR(A75="",ISERROR(FIND("door",A75))=TRUE),"",IF(ISERROR(FIND("Wall",A75))=FALSE,VLOOKUP("Hinges &amp; plates (Hettich thick door)",FurnitureData,5,0)*2,IF(ISERROR(FIND("Base",A75))=FALSE,VLOOKUP("Hinges &amp; plates (Hettich thick door)",FurnitureData,5,0)*3,IF(ISERROR(FIND("Boiler",A75))=FALSE,VLOOKUP("Hinges &amp; plates (Hettich thick door)",FurnitureData,5,0)*4,IF(ISERROR(FIND("Tower",A75))=FALSE,VLOOKUP("Hinges &amp; plates (Hettich thick door)",FurnitureData,5,0)*5)))))</f>
        <v/>
      </c>
      <c r="I75" s="115" t="str">
        <f>IF(ISERROR(FIND("shelf",A75))=FALSE,(VLOOKUP("Shelf pegs",FurnitureData,5,0)/100)*4,"")</f>
        <v/>
      </c>
      <c r="J75" s="152" t="str">
        <f>IF(OR(ISERROR(FIND("fridge/freezer",A75))=FALSE,ISERROR(FIND("larder",A75))=FALSE,AND(ISERROR(FIND("Base",A75))=FALSE,ISERROR(FIND("bins",A75))=TRUE,ISERROR(FIND("no shelves",A75))=TRUE,OR(ISERROR(FIND("carcass",A75))=FALSE,ISERROR(FIND("unit",A75))=FALSE))),VLOOKUP("Deep shelf "&amp;C75,KitchensData,18,0),IF(AND(ISERROR(FIND("Wall",A75))=FALSE,ISERROR(FIND("carcass",A75))=FALSE),2*VLOOKUP("Shallow shelf "&amp;C75,KitchensData,18,0),IF(AND(ISERROR(FIND("Tower",A75))=FALSE,ISERROR(FIND("oven",A75))=FALSE),4*VLOOKUP("Deep shelf "&amp;C75,KitchensData,18,0),IF(AND(ISERROR(FIND("Tower",A75))=FALSE,ISERROR(FIND("carcass",A75))=FALSE),5*VLOOKUP("Deep shelf "&amp;C75,KitchensData,18,0),""))))</f>
        <v/>
      </c>
      <c r="K75" s="152" t="str">
        <f>IF(ISERROR(FIND("sink",A75))=FALSE,VLOOKUP("Sink liner - Aluminium "&amp;RIGHT(A75,LEN(A75)-22)&amp;"mm",ExceptionalData,5,0),IF(ISERROR(FIND("bins",A75))=FALSE,VLOOKUP("Drawer runners and clip set for bin unit (500) Dynapro",FurnitureData,5,0)+(2*VLOOKUP("Bin (42L Anthracite)",FurnitureData,5,0)),IF(ISERROR(FIND("larder",A75))=FALSE,VLOOKUP("Pull out larder unit 600mm",FurnitureData,5,0),IF(AND(ISERROR(FIND("drawer box",A75))=FALSE,ISERROR(FIND("internal",A75))=TRUE),VLOOKUP("Drawer runners and clip set (550) Dynapro",FurnitureData,5,0),IF(ISERROR(FIND("internal drawer box",A75))=FALSE,VLOOKUP("Drawer runners and clip set (450) Dynapro",FurnitureData,5,0),"")))))</f>
        <v/>
      </c>
      <c r="L75" s="152">
        <f t="shared" si="3"/>
        <v>5.316312819</v>
      </c>
      <c r="M75" s="154">
        <f>IFERROR(__xludf.DUMMYFUNCTION("IF(A75="""","""",IF(OR(ISERROR(FIND(""larder"",A75))=FALSE,ISERROR(FIND(""unit"",A75))=FALSE),VLOOKUP(LEFT(A75,FIND("" "",A75))&amp;""carcass ""&amp;RIGHT(A75,LEN(A75)-len(regexextract(A75,"".* ""))),KitchensData,13,0),IF(ISERROR(FIND(""bins"",A75))=FALSE,0.95,IF"&amp;"(ISERROR(FIND(""Cutlery insert 600"",A75))=FALSE,1.3,IF(ISERROR(FIND(""Cutlery insert 1200"",A75))=FALSE,2,IF(ISERROR(FIND(""Pan/tray rack 600"",A75))=FALSE,3.25,IF(ISERROR(FIND(""Pan/tray rack 1200"",A75))=FALSE,5.9,IF(ISERROR(FIND(""split"",A75))=FALSE,"&amp;"(((C75/1000)*0.022)*2)+VLOOKUP(SUBSTITUTE(A75,"" split"",""""),KitchensData,13,0),IF(AND(ISERROR(FIND(""drawer front"",A75))=FALSE,KitchenDoorStyle=""Flat""),(((B75/1000)*(C75/1000))*2)+((((B75+C75)/1000)*2)*0.022),IF(AND(ISERROR(FIND(""drawer front"",A75"&amp;"))=FALSE,LEFT(KitchenDoorStyle,5)=""Panel""),(((B75/1000)*(C75/1000))*2)+((((B75+C75)/1000)*2)*0.022)+((((C75/1000)-0.16)*0.013)*2)+((((D75/1000)-0.16)*0.013)*2),IF(AND(ISERROR(FIND(""drawer front"",A75))=FALSE,KitchenDoorStyle=""In-frame flat""),((((B75-"&amp;"76)/1000)*((C75-38)/1000))*2)+(MID(KitchenDoorMaterial,FIND(""("",KitchenDoorMaterial)+1,2)/1000)*((((B75-76)+(C75-38))/1000)*2)+(((B75/1000)*0.032)*2)+((((B75-76)/1000)*0.032)*2)+(((B75/1000)*0.019)*4)+(((C75/1000)*0.032)*2)+((((C75-38)/1000)*0.032)*2)+("&amp;"((C75/1000)*0.038)*4),IF(AND(ISERROR(FIND(""drawer front"",A75))=FALSE,LEFT(KitchenDoorStyle,14)=""In-frame panel""),((((B75-76)/1000)*((C75-38)/1000))*2)+((MID(KitchenDoorMaterial,FIND(""("",KitchenDoorMaterial)+1,2)/1000)*((((B75-76)+(C75-38))/1000)*2))"&amp;"+((((B75-236)/1000)+((C75-198)/1000)*2)*0.013)+(((B75/1000)*0.032)*2)+((((B75-76)/1000)*0.032)*2)+(((B75/1000)*0.019)*4)+(((C75/1000)*0.032)*2)+((((C75-38)/1000)*0.032)*2)+(((C75/1000)*0.038)*4),IF(ISERROR(FIND(""drawer box"",A75))=FALSE,((((B75/1000)*(D7"&amp;"5/1000))+((B75/1000)*(C75/1000)))*4)+((((D75/1000)+(C75/1000))*0.016)*4)+(((C75/1000)*(D75/1000))*2),IF(OR(ISERROR(FIND(""shelf"",A75))=FALSE,ISERROR(FIND(""spacer"",A75))=FALSE,,ISERROR(FIND(""filler panel"",A75))=FALSE),(((C75/1000)*(D75/1000))*2)+((((C"&amp;"75+D75)*2)/1000)*0.022),IF(ISERROR(FIND(""lost corner"",A75))=FALSE,(((B75/1000)*(C75/1000))*2)+((B75/1000)*(C75/1000))+((B75/1000)*((C75/2)/1000))+((((B75/1000)*0.025)+((C75/1000)*0.025))*2),IF(ISERROR(FIND(""carcass"",A75))=FALSE,(((C75/1000)*(D75/1000)"&amp;")*2)+(((B75/1000)*(D75/1000))*2)+((B75/1000)*(C75/1000))+((((B75/1000)*0.025)+((C75/1000)*0.025))*2),IF(AND(ISERROR(FIND(""door"",A75))=FALSE,KitchenDoorStyle=""Flat""),(((B75/1000)*(C75/1000))*2)+(MID(KitchenDoorMaterial,FIND(""("",KitchenDoorMaterial)+1"&amp;",2)/1000)*(((B75+C75)/1000)*2),IF(AND(ISERROR(FIND(""door"",A75))=FALSE,LEFT(KitchenDoorStyle,5)=""Panel""),(((B75/1000)*(C75/1000))*2)+((MID(KitchenDoorMaterial,FIND(""("",KitchenDoorMaterial)+1,2)/1000)*(((B75+C75)/1000)*2))+(((((B75-160)+(C75-160))*2)/"&amp;"1000)*(0.013)),IF(AND(ISERROR(FIND(""door"",A75))=FALSE,KitchenDoorStyle=""In-frame flat""),((((B75-76)/1000)*((C75-38)/1000))*2)+(MID(KitchenDoorMaterial,FIND(""("",KitchenDoorMaterial)+1,2)/1000)*((((B75-76)+(C75-38))/1000)*2)+(((B75/1000)*0.032)*2)+((("&amp;"(B75-76)/1000)*0.032)*2)+(((B75/1000)*0.019)*4)+(((C75/1000)*0.032)*2)+((((C75-38)/1000)*0.032)*2)+(((C75/1000)*0.038)*4),IF(AND(ISERROR(FIND(""door"",A75))=FALSE,LEFT(KitchenDoorStyle,14)=""In-frame panel""),((((B75-76)/1000)*((C75-38)/1000))*2)+((MID(Ki"&amp;"tchenDoorMaterial,FIND(""("",KitchenDoorMaterial)+1,2)/1000)*((((B75-76)+(C75-38))/1000)*2))+((((B75-236)/1000)+((C75-198)/1000)*2)*0.013)+(((B75/1000)*0.032)*2)+((((B75-76)/1000)*0.032)*2)+(((B75/1000)*0.019)*4)+(((C75/1000)*0.032)*2)+((((C75-38)/1000)*0"&amp;".032)*2)+(((C75/1000)*0.038)*4),IF(ISERROR(FIND(""Plinth"",A75))=FALSE,((B75/1000)*(C75/1000))+(((C75/1000)*0.018)*2)+(((B75/1000)*0.018)*2),IF(ISERROR(FIND(""Cornice"",A75))=FALSE,(((C75/1000)*0.1)*2)+(((C75/1000)*0.044)*2)+(((B75/1000)*0.08)*2),IF(ISERR"&amp;"OR(FIND(""Base end panel"",A75))=FALSE,((B75/1000)*(C75/1000))+(0.022*((B75/1000)+((C75/1000)*2)))+((B75/1000)*0.05),IF(ISERROR(FIND(""Wall end panel"",A75))=FALSE,((B75/1000)*(C75/1000))+(0.022*((B75/1000)+((C75/1000)*2)))+((B75/1000)*0.05),IF(ISERROR(FI"&amp;"ND(""Tower end panel"",A75))=FALSE,((B75/1000)*(C75/1000))+(0.022*((B75/1000)+((C75/1000)*2)))+((B75/1000)*0.05),IF(ISERROR(FIND(""Fillers"",A75))=FALSE,((C75/1000)*0.06)+((C75/1000)*0.069)+((0.06*0.018)*2)+((0.06*0.009)*2)+((C75/1000)*0.009)+((C75/1000)*"&amp;"0.018),IF(ISERROR(FIND(""corner post"",A75))=FALSE,(((B75/1000*0.05)*2)+((B75/1000)*0.022)*2)+((B75/1000)*0.072)+((B75/1000)*0.05)+((0.072*0.022)*2)+((0.05*0.022)*2),IF(ISERROR(FIND(""Pelmet"",A75))=FALSE,((C75/1000)*0.05)+((C75/1000)*0.068)+((0.05*0.018)"&amp;"*4)+(((C75/1000)*0.018))*2))))))))))))))))))))))))))))"),0.6393599999999999)</f>
        <v>0.63936</v>
      </c>
      <c r="N75" s="152">
        <f>IF(M75="","",IF(AND(ISERROR(FIND("carcass",A75))=TRUE,ISERROR(FIND("unit",A75))=TRUE,ISERROR(FIND("insert",A75))=TRUE,ISERROR(FIND("rack",A75))=TRUE,ISERROR(FIND("box",A75))=TRUE,ISERROR(FIND("shelf",#REF!))=TRUE),VLOOKUP(KitchenDoorFinish,Finishing!$A$2:$K$10,9,0)*M75,VLOOKUP(KitchenCarcassFinish,Finishing!$A$2:$K$40,9,0)*M75))</f>
        <v>4.7952</v>
      </c>
      <c r="O75" s="155">
        <v>0.5</v>
      </c>
      <c r="P75" s="155">
        <v>0.5</v>
      </c>
      <c r="Q75" s="152">
        <f>IF(OR(O75="",P75=""),"",((O75*X75)*(VLOOKUP("Workshop",Labour!$A$3:$E$20,4,0)/8))+((P75*AE75)*(VLOOKUP("Finishing",Labour!$A$3:$E$20,4,0)/8)))</f>
        <v>35.875</v>
      </c>
      <c r="R75" s="152">
        <f t="shared" si="4"/>
        <v>45.98651282</v>
      </c>
      <c r="S75" s="156">
        <f>IF(OR(O75="",P75=""),"",IF(OR(ISERROR(FIND("carcass",$A75))=FALSE,ISERROR(FIND("unit",$A75))=FALSE),VLOOKUP(KitchenCarcassMaterial,FixedListsCarcassMaterial,2,0),0))</f>
        <v>0</v>
      </c>
      <c r="T75" s="156">
        <f>IF(OR(O75="",P75=""),"",IF(ISERROR(FIND("door",$A75))=FALSE,VLOOKUP(KitchenDoorStyle,FixedListsDoorStyle,2,0),0))</f>
        <v>0</v>
      </c>
      <c r="U75" s="156">
        <f>IF(OR(O75="",P75=""),"",IF(ISERROR(FIND("door",$A75))=FALSE,VLOOKUP(KitchenDoorMaterial,FixedListsDoorMaterial,2,0),0))</f>
        <v>0</v>
      </c>
      <c r="V75" s="156">
        <f>IF(OR(O75="",P75=""),"",IF(ISERROR(FIND("drawer",$A75))=FALSE,VLOOKUP(KitchenDrawerType,FixedListsDrawerType,2,0),0))</f>
        <v>1</v>
      </c>
      <c r="W75" s="156">
        <f>IF(OR(O75="",P75=""),"",IF(OR(S75&gt;0, T75&gt;0,V75&gt;0),VLOOKUP(KitchenHandleType,FixedListsHandleType,2,FALSE)*IF(KitchenHandleType="Simple",0,IF(S75&gt;0,VLOOKUP(KitchenHandleType,FixedListsHandleType,4,FALSE),IF(OR(T75&gt;0,V75&gt;0),1-VLOOKUP(KitchenHandleType,FixedListsHandleType,4,FALSE),"Error"))),0))</f>
        <v>0</v>
      </c>
      <c r="X75" s="156">
        <f t="shared" si="5"/>
        <v>1</v>
      </c>
      <c r="Y75" s="156">
        <f>IF(OR(O75="",P75=""),"",IF(OR(ISERROR(FIND("carcass",$A75))=FALSE,ISERROR(FIND("unit",$A75))=FALSE),VLOOKUP(KitchenCarcassMaterial,FixedListsCarcassMaterial,3,0),0))</f>
        <v>0</v>
      </c>
      <c r="Z75" s="156">
        <f>IF(OR(O75="",P75=""),"",IF(ISERROR(FIND("door",$A75))=FALSE,VLOOKUP(KitchenDoorStyle,FixedListsDoorStyle,3,0),0))</f>
        <v>0</v>
      </c>
      <c r="AA75" s="156">
        <f>IF(OR(O75="",P75=""),"",IF(ISERROR(FIND("door",$A75))=FALSE,VLOOKUP(KitchenDoorMaterial,FixedListsDoorMaterial,3,0),0))</f>
        <v>0</v>
      </c>
      <c r="AB75" s="156">
        <f>IF(OR(O75="",P75=""),"",IF(ISERROR(FIND("drawer",$A75))=FALSE,VLOOKUP(KitchenDrawerType,FixedListsDrawerType,3,0),0))</f>
        <v>1</v>
      </c>
      <c r="AC75" s="156">
        <f>IF(OR(O75="",P75=""),"",IF(OR(Y75&gt;0,Z75&gt;0,AB75&gt;0),VLOOKUP(KitchenHandleType,FixedListsHandleType,3,FALSE),0))</f>
        <v>1</v>
      </c>
      <c r="AD75" s="156">
        <f>IF(OR(O75="",P75=""),"",IF(OR(ISERROR(FIND("carcass",$A75))=FALSE,ISERROR(FIND("unit",$A75))=FALSE),VLOOKUP(KitchenCarcassFinish,FixedListsFinishes,3,0),IF(OR(ISERROR(FIND("door",$A75))=FALSE,ISERROR(FIND("Plinth",$A75))=FALSE,ISERROR(FIND("Cornice",$A75))=FALSE,ISERROR(FIND("Fillers",$A75))=FALSE,ISERROR(FIND("Pelmet",$A75))=FALSE,ISERROR(FIND("panel",$A75))=FALSE,ISERROR(FIND("post",$A75))=FALSE),VLOOKUP(KitchenDoorFinish,FixedListsFinishes,3,0),IF(OR(ISERROR(FIND("drawer",$A75))=FALSE,ISERROR(FIND("insert",$A75))=FALSE,ISERROR(FIND("rck",$A75))=FALSE),VLOOKUP(KitchenCarcassFinish,FixedListsFinishes,3,0),0))))</f>
        <v>1</v>
      </c>
      <c r="AE75" s="156">
        <f t="shared" si="6"/>
        <v>1</v>
      </c>
      <c r="AF75" s="157" t="str">
        <f>IF(AND(KitchenHandleType="Channel",OR(ISERROR(FIND("arcass",$A75))=FALSE,ISERROR(FIND("unit",$A75))=FALSE)),IF(ISERROR(FIND("Tower",$A75))=TRUE,IF(KitchenHandleFinish="Match carcass",IF(ISERROR(FIND("Walnut",KitchenCarcassMaterial))=FALSE,(0.035*0.075*($C75/1000))*VLOOKUP("Walnut (solid m3)",SolidData,4,FALSE),IF(ISERROR(FIND("Oak",KitchenCarcassMaterial))=FALSE,(0.035*0.075*($C75/1000))*VLOOKUP("Oak (solid m3)",SolidData,4,FALSE),IF(ISERROR(FIND("ply",KitchenCarcassMaterial))=FALSE,(0.1*($C75/1000))*VLOOKUP("Birch ply (24mm)",SheetsData,7,FALSE),IF(ISERROR(FIND("H/F",KitchenCarcassMaterial))=FALSE,(0.1*($C75/1000))*VLOOKUP("H/F (22mm)",SheetsData,7,FALSE),"Carcass - not tower - new material")))),IF(KitchenHandleFinish="Match door",IF(ISERROR(FIND("Walnut",KitchenDoorMaterial))=FALSE,(0.035*0.075*($C75/1000))*VLOOKUP("Walnut (solid m3)",SolidData,4,FALSE),IF(ISERROR(FIND("Oak",KitchenDoorMaterial))=FALSE,(0.035*0.075*($C75/1000))*VLOOKUP("Oak (solid m3)",SolidData,4,FALSE),IF(ISERROR(FIND("ply",KitchenDoorMaterial))=FALSE,(0.1*($C75/1000))*VLOOKUP("Birch ply (24mm)",SheetsData,7,FALSE),IF(ISERROR(FIND("H/F",KitchenCarcassMaterial))=FALSE,(0.1*($C75/1000))*VLOOKUP("H/F (22mm)",SheetsData,7,FALSE),"Door - not tower - new material")))),"Channel - not tower - handle set to other")),IF(ISERROR(FIND("Tower",$A75))=FALSE,IF(KitchenHandleFinish="Match carcass",IF(ISERROR(FIND("Walnut",KitchenCarcassMaterial))=FALSE,(0.035*0.075*($B75/1000))*VLOOKUP("Walnut (solid m3)",SolidData,4,FALSE),IF(ISERROR(FIND("Oak",KitchenCarcassMaterial))=FALSE,(0.035*0.075*($B75/1000))*VLOOKUP("Oak (solid m3)",SolidData,4,FALSE),IF(ISERROR(FIND("ply",KitchenCarcassMaterial))=FALSE,(0.1*($B75/1000))*VLOOKUP("Birch ply (24mm)",SheetsData,7,FALSE),IF(ISERROR(FIND("H/F",KitchenCarcassMaterial))=FALSE,(0.1*($C75/1000))*VLOOKUP("H/F (22mm)",SheetsData,7,FALSE),"Carcass - tower - new material")))),IF(KitchenHandleFinish="Match door",IF(ISERROR(FIND("Walnut",KitchenDoorMaterial))=FALSE,(0.035*0.075*($B75/1000))*VLOOKUP("Walnut (solid m3)",SolidData,4,FALSE),IF(ISERROR(FIND("Oak",KitchenDoorMaterial))=FALSE,(0.035*0.075*($B75/1000))*VLOOKUP("Oak (solid m3)",SolidData,4,FALSE),IF(ISERROR(FIND("ply",KitchenDoorMaterial))=FALSE,(0.1*($B75/1000))*VLOOKUP("Birch ply (24mm)",SheetData,7,FALSE),IF(ISERROR(FIND("H/F",KitchenCarcassMaterial))=FALSE,(0.1*($C75/1000))*VLOOKUP("H/F (22mm)",SheetsData,7,FALSE),"Door - tower - new material")))),"Channel - tower - handle set to other")))),"")</f>
        <v/>
      </c>
    </row>
    <row r="76">
      <c r="A76" s="150" t="s">
        <v>184</v>
      </c>
      <c r="B76" s="115" t="str">
        <f t="shared" si="1"/>
        <v>360</v>
      </c>
      <c r="C76" s="115" t="str">
        <f>IFERROR(__xludf.DUMMYFUNCTION("IF(A76="""","""",IF(OR(RIGHT(A76,LEN(A76)-len(regexextract(A76,"".* "")))=""1200"",RIGHT(A76,LEN(A76)-len(regexextract(A76,"".* "")))=""600"",RIGHT(A76,LEN(A76)-len(regexextract(A76,"".* "")))=""400"",RIGHT(A76,LEN(A76)-len(regexextract(A76,"".* "")))=""3"&amp;"00"",RIGHT(A76,LEN(A76)-len(regexextract(A76,"".* "")))=""700"",RIGHT(A76,LEN(A76)-len(regexextract(A76,"".* "")))=""2400"",RIGHT(A76,LEN(A76)-len(regexextract(A76,"".* "")))=""650"",RIGHT(A76,LEN(A76)-len(regexextract(A76,"".* "")))=""350"",RIGHT(A76,LEN"&amp;"(A76)-len(regexextract(A76,"".* "")))=""50""),RIGHT(A76,LEN(A76)-len(regexextract(A76,"".* ""))),IF(OR(ISERROR(FIND(""spacer"",A76))=FALSE,ISERROR(FIND(""filler panel"",A76))=FALSE),""1000"",""Unexpected size in description"")))"),"600")</f>
        <v>600</v>
      </c>
      <c r="D76" s="151" t="str">
        <f t="shared" si="2"/>
        <v/>
      </c>
      <c r="E76" s="152">
        <f>IFERROR(__xludf.DUMMYFUNCTION("IF(OR(A76="""",AND(ISERROR(FIND(""drawer box"",A76))=FALSE,KitchenDrawerType="""")),"""",IF(OR(ISERROR(FIND(""larder"",A76))=FALSE,ISERROR(FIND(""fridge/freezer"",A76))=FALSE,ISERROR(FIND(""double oven"",A76))=FALSE,ISERROR(FIND(""single oven"",A76))=FALS"&amp;"E),VLOOKUP(LEFT(A76,FIND("" "",A76))&amp;""carcass ""&amp;RIGHT(A76,LEN(A76)-(LEN(A76)-3)),KitchensData,5,0),IF(ISERROR(FIND(""sink"",A76))=FALSE,VLOOKUP(LEFT(A76,FIND("" "",A76))&amp;""carcass ""&amp;VALUE(REGEXREPLACE(A76,""[^[:digit:]]"", """")),KitchensData,5,0)+(((C"&amp;"76/1000)*(300/1000))*VLOOKUP(KitchenCarcassMaterial,SheetsData,8,0)),IF(ISERROR(FIND(""bins"",A76))=FALSE,IF(ISERROR(FIND(""veneer"",KitchenCarcassMaterial))=FALSE,VLOOKUP(""Base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600"",A76))=FALSE,IF(ISERROR(FIND(""veneer"""&amp;",KitchenCarcassMaterial))=FALSE,0.54*(VLOOKUP(LEFT(KitchenCarcassMaterial,FIND(""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1200"",A76))=FALSE,"&amp;"IF(ISERROR(FIND(""veneer"",KitchenCarcassMaterial))=FALSE,0.84*(VLOOKUP(LEFT(KitchenCarcassMaterial,FIND(""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600"",A76))=FALSE,IF(ISERROR(FIND(""veneer"",KitchenCarcassMaterial))=FALSE,1.44*(VLOOKUP(LEFT(KitchenCarcassMaterial,FIND(""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1200"",A76))=FALSE,IF(ISERROR(FIND(""veneer"",KitchenCarcassMaterial))=FALSE,2.7*(VLOOKUP(LEFT(KitchenCarcassMaterial,FIND(""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front"",A76))=FALSE,((B76/1000)*(C76/1000))*VLOOKUP(KitchenDoorMaterial,SheetsData,8,0),IF(AND(KitchenDrawerType=""Match carcass"",ISERROR(FIND(""drawer box"",A76))=FALSE),(((((B76/1000)*(C76/1000))+((B76/1000"&amp;")*(D76/1000)))*2)*VLOOKUP(KitchenCarcassMaterial,SheetsData,8,0))+(((C76/1000)*(D76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box"",A76))=FALSE),(((((B76/1000)*(C76/1000))+((B76/1000)*(D76/1000)))*2)*(16/1000)*VLOOKUP(LEFT(KitchenCarcassMaterial,FIND("" "&amp;""",KitchenCarcassMaterial))&amp;""(solid m3)"",SolidData,5,0))+(((C76/1000)*(D76/1000))*VLOOKUP(LEFT(KitchenCarcassMaterial,FIND(""("",KitchenCarcassMaterial)-1)&amp;IF(OR(ISERROR(FIND(""ply"",KitchenCarcassMaterial))=FALSE,ISERROR(FIND(""H/F"",KitchenCarcassMate"&amp;"rial))=FALSE),""(9mm)"",""(10mm)""),SheetsData,8,0)),IF(ISERROR(FIND(""spacer"",A76))=FALSE,((D76/1000)*(C76/1000))*VLOOKUP(""Poplar ply (18mm)"",SheetsData,8,0),IF(ISERROR(FIND(""filler panel"",A76))=FALSE,((B76/1000)*(C76/1000))*VLOOKUP(KitchenDoorMater"&amp;"ial,SheetsData,8,0),IF(ISERROR(FIND(""shelf"",A76))=FALSE,((D76/1000)*(C76/1000))*VLOOKUP(KitchenCarcassMaterial,SheetsData,8,0),IF(ISERROR(FIND(""lost corner"",A76))=FALSE,VLOOKUP(LEFT(A76,FIND("" "",A76))&amp;""carcass ""&amp;VALUE(REGEXREPLACE(A76,""[^[:digit:"&amp;"]]"", """")),KitchensData,5,0)+((((B76/1000)*(C76/1000))+((B76/1000)*(60/1000)))*VLOOKUP(KitchenCarcassMaterial,SheetsData,8,0)),IF(ISERROR(FIND(""carcass"",A76))=FALSE,(((((B76/1000)*2)*(D76/1000))+(((C76/1000)*2)*(D76/1000)))*VLOOKUP(KitchenCarcassMater"&amp;"ial,SheetsData,8,0))+((B76/1000)*(C76/1000))*VLOOKUP(LEFT(KitchenCarcassMaterial,FIND(""("",KitchenCarcassMaterial)-1)&amp;IF(OR(ISERROR(FIND(""ply"",KitchenCarcassMaterial))=FALSE,ISERROR(FIND(""H/F"",KitchenCarcassMaterial))=FALSE),""(9mm)"",""(10mm)""),She"&amp;"etsData,8,0),IF(OR(ISERROR(FIND(""Plinth"",A76))=FALSE,ISERROR(FIND(""Cornice (flat)"",A76))=FALSE),((B76/1000)*(C76/1000))*VLOOKUP(""H/F (18mm)"",SheetsData,8,0),IF(ISERROR(FIND(""Cornice (stacked)"",A76))=FALSE,((0.08*(C76/1000))*2)*VLOOKUP(""H/F (22mm)"&amp;""",SheetsData,8,0),IF(ISERROR(FIND(""Base end panel"",A76))=FALSE,VLOOKUP(KitchenDoorMaterial,SheetsData,5,0)/3,IF(ISERROR(FIND(""Wall end panel"",A76))=FALSE,VLOOKUP(KitchenDoorMaterial,SheetsData,5,0)/9,IF(ISERROR(FIND(""Tower end panel"",A76))=FALSE,VL"&amp;"OOKUP(KitchenDoorMaterial,SheetsData,5,0),IF(ISERROR(FIND(""Fillers"",A76))=FALSE,(((0.06*(C76/1000))*2)*VLOOKUP(""H/F (18mm)"",SheetsData,8,0))+(((0.06*(C76/1000))*2)*VLOOKUP(""H/F (9mm)"",SheetsData,8,0)),IF(ISERROR(FIND(""corner post"",A76))=FALSE,(((B"&amp;"76/1000)*0.05)*2)*VLOOKUP(KitchenDoorMaterial,SheetsData,8,0),IF(ISERROR(FIND(""Pelmet"",A76))=FALSE,((((B76/1000)*(C76/1000))*2)*VLOOKUP(""H/F (18mm)"",SheetsData,8,0)),IF(ISERROR(FIND(""door"",A76))=TRUE,""Check description"",IF(KitchenDoorStyle=""Flat"&amp;""",((B76/1000)*(C76/1000))*VLOOKUP(KitchenDoorMaterial,SheetsData,8,0),IF(LEFT(KitchenDoorStyle,5)=""Panel"",(((((B76/1000)*2)*0.08)+((((C76/1000)-0.16)*2)*0.08))*VLOOKUP(""H/F (22mm)"",SheetsData,8,0))+(((B76/1000)-0.14)*((C76/1000)-0.14)*VLOOKUP(""H/F ("&amp;"9mm)"",SheetsData,8,0)),IF(KitchenDoorStyle=""In-frame flat"",((((((B76/1000)*0.019)*0.038)+((((C76-38)/1000)*0.038)*0.038))*2)*VLOOKUP(""Tulip (solid m3)"",SolidData,5,0))+(((B76-76)/1000)*((C76-38)/1000))*VLOOKUP(""H/F (22mm)"",SheetsData,8,0),IF(LEFT(K"&amp;"itchenDoorStyle,14)=""In-frame panel"",(((((((B76/1000)*0.019)*0.038)+((((C76-38)/1000)*0.038)*0.038))*2)*VLOOKUP(""Tulip (solid m3)"",SolidData,5,0))+(((((((B76-76)/1000)*2)*0.08)+(((((C76-198)/1000)*2)*0.08)))*VLOOKUP(""H/F (22mm)"",SheetsData,8,0))+((("&amp;"B76-216)/1000)*((C76-178)/1000)*VLOOKUP(""H/F (9mm)"",SheetsData,8,0)))))))))))))))))))))))))))))))))"),3.9872346143509807)</f>
        <v>3.987234614</v>
      </c>
      <c r="F76" s="152">
        <f>IFERROR(__xludf.DUMMYFUNCTION("IF(OR(A76="""",AND(ISERROR(FIND(""drawer box"",A76))=FALSE,KitchenDrawerType=""Solid dovetail"")),"""",IF(ISERROR(FIND(""bins"",A76))=FALSE,VLOOKUP(""Base carcass 600"",KitchensData,6,0),IF(OR(ISERROR(FIND(""larder"",A76))=FALSE,ISERROR(FIND(""unit"",A76)"&amp;")=FALSE),VLOOKUP(LEFT(A76,FIND("" "",A76))&amp;""carcass ""&amp;RIGHT(A76,LEN(A76)-len(regexextract(A76,"".* ""))),KitchensData,6,0),IF(ISERROR(FIND(""drawer front"",A76))=FALSE,IF(ISERROR(FIND(""veneer"",KitchenCarcassMaterial))=TRUE,0,(((B76+C76)/1000)*2)*VLOOK"&amp;"UP(""Edge banding (per M)"",SheetsData,5,0)),IF(ISERROR(FIND(""drawer box"",A76))=FALSE,IF(ISERROR(FIND(""veneer"",KitchenCarcassMaterial))=TRUE,0,(((C76+D76)/1000)*2)*VLOOKUP(""Edge banding (per M)"",SheetsData,5,0)),IF(ISERROR(FIND(""shelf"",A76))=FALSE"&amp;",IF(ISERROR(FIND(""veneer"",KitchenCarcassMaterial))=TRUE,0,(C76/1000)*VLOOKUP(""Edge banding (per M)"",SheetsData,5,0)),IF(AND(ISERROR(FIND(""carcass"",A76))=FALSE,ISERROR(FIND(""shelf"",A76))=TRUE),IF(ISERROR(FIND(""veneer"",KitchenCarcassMaterial))=TRU"&amp;"E,0,((2*(B76+C76))/1000)*VLOOKUP(""Edge banding (per M)"",SheetsData,5,0)),IF(ISERROR(FIND(""door"",A76))=TRUE,"""",IF(ISERROR(FIND(""veneer"",KitchenDoorMaterial))=TRUE,"""",((2*(B76+C76))/1000)*VLOOKUP(""Edge banding (per M)"",SheetsData,5,0))))))))))"),0.0)</f>
        <v>0</v>
      </c>
      <c r="G76" s="153" t="str">
        <f>IF(A76="","",IF(ISERROR(FIND("bins",A76))=FALSE,VLOOKUP("Base carcass 600",KitchensData,7,0),IF(OR(ISERROR(FIND("larder",A76))=FALSE,ISERROR(FIND("fridge/freezer",A76))=FALSE,ISERROR(FIND("double oven",A76))=FALSE,ISERROR(FIND("single oven",A76))=FALSE),VLOOKUP(LEFT(A76,FIND(" ",A76))&amp;"carcass "&amp;RIGHT(A76,LEN(A76)-(LEN(A76)-3)),KitchensData,7,0),IF(AND(ISERROR(FIND("carcass",A76))=FALSE,ISERROR(FIND("shelf",A76))=TRUE),IF(OR(ISERROR(FIND("Base",A76))=FALSE,ISERROR(FIND("Tower",A76))=FALSE),IF(OR(ISERROR(FIND("1200",A76))=FALSE, ISERROR(FIND("lost corner",A76))=FALSE),6*VLOOKUP("Plinth foot (2 Parts 80mm)",FurnitureData,5,0),4*VLOOKUP("Plinth foot (2 Parts 80mm)",FurnitureData,5,0)),""),""))))</f>
        <v/>
      </c>
      <c r="H76" s="115" t="str">
        <f>IF(OR(A76="",ISERROR(FIND("door",A76))=TRUE),"",IF(ISERROR(FIND("Wall",A76))=FALSE,VLOOKUP("Hinges &amp; plates (Hettich thick door)",FurnitureData,5,0)*2,IF(ISERROR(FIND("Base",A76))=FALSE,VLOOKUP("Hinges &amp; plates (Hettich thick door)",FurnitureData,5,0)*3,IF(ISERROR(FIND("Boiler",A76))=FALSE,VLOOKUP("Hinges &amp; plates (Hettich thick door)",FurnitureData,5,0)*4,IF(ISERROR(FIND("Tower",A76))=FALSE,VLOOKUP("Hinges &amp; plates (Hettich thick door)",FurnitureData,5,0)*5)))))</f>
        <v/>
      </c>
      <c r="I76" s="115" t="str">
        <f>IF(ISERROR(FIND("shelf",A76))=FALSE,(VLOOKUP("Shelf pegs",FurnitureData,5,0)/100)*4,"")</f>
        <v/>
      </c>
      <c r="J76" s="152" t="str">
        <f>IF(OR(ISERROR(FIND("fridge/freezer",A76))=FALSE,ISERROR(FIND("larder",A76))=FALSE,AND(ISERROR(FIND("Base",A76))=FALSE,ISERROR(FIND("bins",A76))=TRUE,ISERROR(FIND("no shelves",A76))=TRUE,OR(ISERROR(FIND("carcass",A76))=FALSE,ISERROR(FIND("unit",A76))=FALSE))),VLOOKUP("Deep shelf "&amp;C76,KitchensData,18,0),IF(AND(ISERROR(FIND("Wall",A76))=FALSE,ISERROR(FIND("carcass",A76))=FALSE),2*VLOOKUP("Shallow shelf "&amp;C76,KitchensData,18,0),IF(AND(ISERROR(FIND("Tower",A76))=FALSE,ISERROR(FIND("oven",A76))=FALSE),4*VLOOKUP("Deep shelf "&amp;C76,KitchensData,18,0),IF(AND(ISERROR(FIND("Tower",A76))=FALSE,ISERROR(FIND("carcass",A76))=FALSE),5*VLOOKUP("Deep shelf "&amp;C76,KitchensData,18,0),""))))</f>
        <v/>
      </c>
      <c r="K76" s="152" t="str">
        <f>IF(ISERROR(FIND("sink",A76))=FALSE,VLOOKUP("Sink liner - Aluminium "&amp;RIGHT(A76,LEN(A76)-22)&amp;"mm",ExceptionalData,5,0),IF(ISERROR(FIND("bins",A76))=FALSE,VLOOKUP("Drawer runners and clip set for bin unit (500) Dynapro",FurnitureData,5,0)+(2*VLOOKUP("Bin (42L Anthracite)",FurnitureData,5,0)),IF(ISERROR(FIND("larder",A76))=FALSE,VLOOKUP("Pull out larder unit 600mm",FurnitureData,5,0),IF(AND(ISERROR(FIND("drawer box",A76))=FALSE,ISERROR(FIND("internal",A76))=TRUE),VLOOKUP("Drawer runners and clip set (550) Dynapro",FurnitureData,5,0),IF(ISERROR(FIND("internal drawer box",A76))=FALSE,VLOOKUP("Drawer runners and clip set (450) Dynapro",FurnitureData,5,0),"")))))</f>
        <v/>
      </c>
      <c r="L76" s="152">
        <f t="shared" si="3"/>
        <v>3.987234614</v>
      </c>
      <c r="M76" s="154">
        <f>IFERROR(__xludf.DUMMYFUNCTION("IF(A76="""","""",IF(OR(ISERROR(FIND(""larder"",A76))=FALSE,ISERROR(FIND(""unit"",A76))=FALSE),VLOOKUP(LEFT(A76,FIND("" "",A76))&amp;""carcass ""&amp;RIGHT(A76,LEN(A76)-len(regexextract(A76,"".* ""))),KitchensData,13,0),IF(ISERROR(FIND(""bins"",A76))=FALSE,0.95,IF"&amp;"(ISERROR(FIND(""Cutlery insert 600"",A76))=FALSE,1.3,IF(ISERROR(FIND(""Cutlery insert 1200"",A76))=FALSE,2,IF(ISERROR(FIND(""Pan/tray rack 600"",A76))=FALSE,3.25,IF(ISERROR(FIND(""Pan/tray rack 1200"",A76))=FALSE,5.9,IF(ISERROR(FIND(""split"",A76))=FALSE,"&amp;"(((C76/1000)*0.022)*2)+VLOOKUP(SUBSTITUTE(A76,"" split"",""""),KitchensData,13,0),IF(AND(ISERROR(FIND(""drawer front"",A76))=FALSE,KitchenDoorStyle=""Flat""),(((B76/1000)*(C76/1000))*2)+((((B76+C76)/1000)*2)*0.022),IF(AND(ISERROR(FIND(""drawer front"",A76"&amp;"))=FALSE,LEFT(KitchenDoorStyle,5)=""Panel""),(((B76/1000)*(C76/1000))*2)+((((B76+C76)/1000)*2)*0.022)+((((C76/1000)-0.16)*0.013)*2)+((((D76/1000)-0.16)*0.013)*2),IF(AND(ISERROR(FIND(""drawer front"",A76))=FALSE,KitchenDoorStyle=""In-frame flat""),((((B76-"&amp;"76)/1000)*((C76-38)/1000))*2)+(MID(KitchenDoorMaterial,FIND(""("",KitchenDoorMaterial)+1,2)/1000)*((((B76-76)+(C76-38))/1000)*2)+(((B76/1000)*0.032)*2)+((((B76-76)/1000)*0.032)*2)+(((B76/1000)*0.019)*4)+(((C76/1000)*0.032)*2)+((((C76-38)/1000)*0.032)*2)+("&amp;"((C76/1000)*0.038)*4),IF(AND(ISERROR(FIND(""drawer front"",A76))=FALSE,LEFT(KitchenDoorStyle,14)=""In-frame panel""),((((B76-76)/1000)*((C76-38)/1000))*2)+((MID(KitchenDoorMaterial,FIND(""("",KitchenDoorMaterial)+1,2)/1000)*((((B76-76)+(C76-38))/1000)*2))"&amp;"+((((B76-236)/1000)+((C76-198)/1000)*2)*0.013)+(((B76/1000)*0.032)*2)+((((B76-76)/1000)*0.032)*2)+(((B76/1000)*0.019)*4)+(((C76/1000)*0.032)*2)+((((C76-38)/1000)*0.032)*2)+(((C76/1000)*0.038)*4),IF(ISERROR(FIND(""drawer box"",A76))=FALSE,((((B76/1000)*(D7"&amp;"6/1000))+((B76/1000)*(C76/1000)))*4)+((((D76/1000)+(C76/1000))*0.016)*4)+(((C76/1000)*(D76/1000))*2),IF(OR(ISERROR(FIND(""shelf"",A76))=FALSE,ISERROR(FIND(""spacer"",A76))=FALSE,,ISERROR(FIND(""filler panel"",A76))=FALSE),(((C76/1000)*(D76/1000))*2)+((((C"&amp;"76+D76)*2)/1000)*0.022),IF(ISERROR(FIND(""lost corner"",A76))=FALSE,(((B76/1000)*(C76/1000))*2)+((B76/1000)*(C76/1000))+((B76/1000)*((C76/2)/1000))+((((B76/1000)*0.025)+((C76/1000)*0.025))*2),IF(ISERROR(FIND(""carcass"",A76))=FALSE,(((C76/1000)*(D76/1000)"&amp;")*2)+(((B76/1000)*(D76/1000))*2)+((B76/1000)*(C76/1000))+((((B76/1000)*0.025)+((C76/1000)*0.025))*2),IF(AND(ISERROR(FIND(""door"",A76))=FALSE,KitchenDoorStyle=""Flat""),(((B76/1000)*(C76/1000))*2)+(MID(KitchenDoorMaterial,FIND(""("",KitchenDoorMaterial)+1"&amp;",2)/1000)*(((B76+C76)/1000)*2),IF(AND(ISERROR(FIND(""door"",A76))=FALSE,LEFT(KitchenDoorStyle,5)=""Panel""),(((B76/1000)*(C76/1000))*2)+((MID(KitchenDoorMaterial,FIND(""("",KitchenDoorMaterial)+1,2)/1000)*(((B76+C76)/1000)*2))+(((((B76-160)+(C76-160))*2)/"&amp;"1000)*(0.013)),IF(AND(ISERROR(FIND(""door"",A76))=FALSE,KitchenDoorStyle=""In-frame flat""),((((B76-76)/1000)*((C76-38)/1000))*2)+(MID(KitchenDoorMaterial,FIND(""("",KitchenDoorMaterial)+1,2)/1000)*((((B76-76)+(C76-38))/1000)*2)+(((B76/1000)*0.032)*2)+((("&amp;"(B76-76)/1000)*0.032)*2)+(((B76/1000)*0.019)*4)+(((C76/1000)*0.032)*2)+((((C76-38)/1000)*0.032)*2)+(((C76/1000)*0.038)*4),IF(AND(ISERROR(FIND(""door"",A76))=FALSE,LEFT(KitchenDoorStyle,14)=""In-frame panel""),((((B76-76)/1000)*((C76-38)/1000))*2)+((MID(Ki"&amp;"tchenDoorMaterial,FIND(""("",KitchenDoorMaterial)+1,2)/1000)*((((B76-76)+(C76-38))/1000)*2))+((((B76-236)/1000)+((C76-198)/1000)*2)*0.013)+(((B76/1000)*0.032)*2)+((((B76-76)/1000)*0.032)*2)+(((B76/1000)*0.019)*4)+(((C76/1000)*0.032)*2)+((((C76-38)/1000)*0"&amp;".032)*2)+(((C76/1000)*0.038)*4),IF(ISERROR(FIND(""Plinth"",A76))=FALSE,((B76/1000)*(C76/1000))+(((C76/1000)*0.018)*2)+(((B76/1000)*0.018)*2),IF(ISERROR(FIND(""Cornice"",A76))=FALSE,(((C76/1000)*0.1)*2)+(((C76/1000)*0.044)*2)+(((B76/1000)*0.08)*2),IF(ISERR"&amp;"OR(FIND(""Base end panel"",A76))=FALSE,((B76/1000)*(C76/1000))+(0.022*((B76/1000)+((C76/1000)*2)))+((B76/1000)*0.05),IF(ISERROR(FIND(""Wall end panel"",A76))=FALSE,((B76/1000)*(C76/1000))+(0.022*((B76/1000)+((C76/1000)*2)))+((B76/1000)*0.05),IF(ISERROR(FI"&amp;"ND(""Tower end panel"",A76))=FALSE,((B76/1000)*(C76/1000))+(0.022*((B76/1000)+((C76/1000)*2)))+((B76/1000)*0.05),IF(ISERROR(FIND(""Fillers"",A76))=FALSE,((C76/1000)*0.06)+((C76/1000)*0.069)+((0.06*0.018)*2)+((0.06*0.009)*2)+((C76/1000)*0.009)+((C76/1000)*"&amp;"0.018),IF(ISERROR(FIND(""corner post"",A76))=FALSE,(((B76/1000*0.05)*2)+((B76/1000)*0.022)*2)+((B76/1000)*0.072)+((B76/1000)*0.05)+((0.072*0.022)*2)+((0.05*0.022)*2),IF(ISERROR(FIND(""Pelmet"",A76))=FALSE,((C76/1000)*0.05)+((C76/1000)*0.068)+((0.05*0.018)"&amp;"*4)+(((C76/1000)*0.018))*2))))))))))))))))))))))))))))"),0.47424)</f>
        <v>0.47424</v>
      </c>
      <c r="N76" s="152">
        <f>IF(M76="","",IF(AND(ISERROR(FIND("carcass",A76))=TRUE,ISERROR(FIND("unit",A76))=TRUE,ISERROR(FIND("insert",A76))=TRUE,ISERROR(FIND("rack",A76))=TRUE,ISERROR(FIND("box",A76))=TRUE,ISERROR(FIND("shelf",#REF!))=TRUE),VLOOKUP(KitchenDoorFinish,Finishing!$A$2:$K$10,9,0)*M76,VLOOKUP(KitchenCarcassFinish,Finishing!$A$2:$K$40,9,0)*M76))</f>
        <v>3.5568</v>
      </c>
      <c r="O76" s="155">
        <v>0.5</v>
      </c>
      <c r="P76" s="155">
        <v>0.5</v>
      </c>
      <c r="Q76" s="152">
        <f>IF(OR(O76="",P76=""),"",((O76*X76)*(VLOOKUP("Workshop",Labour!$A$3:$E$20,4,0)/8))+((P76*AE76)*(VLOOKUP("Finishing",Labour!$A$3:$E$20,4,0)/8)))</f>
        <v>35.875</v>
      </c>
      <c r="R76" s="152">
        <f t="shared" si="4"/>
        <v>43.41903461</v>
      </c>
      <c r="S76" s="156">
        <f>IF(OR(O76="",P76=""),"",IF(OR(ISERROR(FIND("carcass",$A76))=FALSE,ISERROR(FIND("unit",$A76))=FALSE),VLOOKUP(KitchenCarcassMaterial,FixedListsCarcassMaterial,2,0),0))</f>
        <v>0</v>
      </c>
      <c r="T76" s="156">
        <f>IF(OR(O76="",P76=""),"",IF(ISERROR(FIND("door",$A76))=FALSE,VLOOKUP(KitchenDoorStyle,FixedListsDoorStyle,2,0),0))</f>
        <v>0</v>
      </c>
      <c r="U76" s="156">
        <f>IF(OR(O76="",P76=""),"",IF(ISERROR(FIND("door",$A76))=FALSE,VLOOKUP(KitchenDoorMaterial,FixedListsDoorMaterial,2,0),0))</f>
        <v>0</v>
      </c>
      <c r="V76" s="156">
        <f>IF(OR(O76="",P76=""),"",IF(ISERROR(FIND("drawer",$A76))=FALSE,VLOOKUP(KitchenDrawerType,FixedListsDrawerType,2,0),0))</f>
        <v>1</v>
      </c>
      <c r="W76" s="156">
        <f>IF(OR(O76="",P76=""),"",IF(OR(S76&gt;0, T76&gt;0,V76&gt;0),VLOOKUP(KitchenHandleType,FixedListsHandleType,2,FALSE)*IF(KitchenHandleType="Simple",0,IF(S76&gt;0,VLOOKUP(KitchenHandleType,FixedListsHandleType,4,FALSE),IF(OR(T76&gt;0,V76&gt;0),1-VLOOKUP(KitchenHandleType,FixedListsHandleType,4,FALSE),"Error"))),0))</f>
        <v>0</v>
      </c>
      <c r="X76" s="156">
        <f t="shared" si="5"/>
        <v>1</v>
      </c>
      <c r="Y76" s="156">
        <f>IF(OR(O76="",P76=""),"",IF(OR(ISERROR(FIND("carcass",$A76))=FALSE,ISERROR(FIND("unit",$A76))=FALSE),VLOOKUP(KitchenCarcassMaterial,FixedListsCarcassMaterial,3,0),0))</f>
        <v>0</v>
      </c>
      <c r="Z76" s="156">
        <f>IF(OR(O76="",P76=""),"",IF(ISERROR(FIND("door",$A76))=FALSE,VLOOKUP(KitchenDoorStyle,FixedListsDoorStyle,3,0),0))</f>
        <v>0</v>
      </c>
      <c r="AA76" s="156">
        <f>IF(OR(O76="",P76=""),"",IF(ISERROR(FIND("door",$A76))=FALSE,VLOOKUP(KitchenDoorMaterial,FixedListsDoorMaterial,3,0),0))</f>
        <v>0</v>
      </c>
      <c r="AB76" s="156">
        <f>IF(OR(O76="",P76=""),"",IF(ISERROR(FIND("drawer",$A76))=FALSE,VLOOKUP(KitchenDrawerType,FixedListsDrawerType,3,0),0))</f>
        <v>1</v>
      </c>
      <c r="AC76" s="156">
        <f>IF(OR(O76="",P76=""),"",IF(OR(Y76&gt;0,Z76&gt;0,AB76&gt;0),VLOOKUP(KitchenHandleType,FixedListsHandleType,3,FALSE),0))</f>
        <v>1</v>
      </c>
      <c r="AD76" s="156">
        <f>IF(OR(O76="",P76=""),"",IF(OR(ISERROR(FIND("carcass",$A76))=FALSE,ISERROR(FIND("unit",$A76))=FALSE),VLOOKUP(KitchenCarcassFinish,FixedListsFinishes,3,0),IF(OR(ISERROR(FIND("door",$A76))=FALSE,ISERROR(FIND("Plinth",$A76))=FALSE,ISERROR(FIND("Cornice",$A76))=FALSE,ISERROR(FIND("Fillers",$A76))=FALSE,ISERROR(FIND("Pelmet",$A76))=FALSE,ISERROR(FIND("panel",$A76))=FALSE,ISERROR(FIND("post",$A76))=FALSE),VLOOKUP(KitchenDoorFinish,FixedListsFinishes,3,0),IF(OR(ISERROR(FIND("drawer",$A76))=FALSE,ISERROR(FIND("insert",$A76))=FALSE,ISERROR(FIND("rck",$A76))=FALSE),VLOOKUP(KitchenCarcassFinish,FixedListsFinishes,3,0),0))))</f>
        <v>1</v>
      </c>
      <c r="AE76" s="156">
        <f t="shared" si="6"/>
        <v>1</v>
      </c>
      <c r="AF76" s="157" t="str">
        <f>IF(AND(KitchenHandleType="Channel",OR(ISERROR(FIND("arcass",$A76))=FALSE,ISERROR(FIND("unit",$A76))=FALSE)),IF(ISERROR(FIND("Tower",$A76))=TRUE,IF(KitchenHandleFinish="Match carcass",IF(ISERROR(FIND("Walnut",KitchenCarcassMaterial))=FALSE,(0.035*0.075*($C76/1000))*VLOOKUP("Walnut (solid m3)",SolidData,4,FALSE),IF(ISERROR(FIND("Oak",KitchenCarcassMaterial))=FALSE,(0.035*0.075*($C76/1000))*VLOOKUP("Oak (solid m3)",SolidData,4,FALSE),IF(ISERROR(FIND("ply",KitchenCarcassMaterial))=FALSE,(0.1*($C76/1000))*VLOOKUP("Birch ply (24mm)",SheetsData,7,FALSE),IF(ISERROR(FIND("H/F",KitchenCarcassMaterial))=FALSE,(0.1*($C76/1000))*VLOOKUP("H/F (22mm)",SheetsData,7,FALSE),"Carcass - not tower - new material")))),IF(KitchenHandleFinish="Match door",IF(ISERROR(FIND("Walnut",KitchenDoorMaterial))=FALSE,(0.035*0.075*($C76/1000))*VLOOKUP("Walnut (solid m3)",SolidData,4,FALSE),IF(ISERROR(FIND("Oak",KitchenDoorMaterial))=FALSE,(0.035*0.075*($C76/1000))*VLOOKUP("Oak (solid m3)",SolidData,4,FALSE),IF(ISERROR(FIND("ply",KitchenDoorMaterial))=FALSE,(0.1*($C76/1000))*VLOOKUP("Birch ply (24mm)",SheetsData,7,FALSE),IF(ISERROR(FIND("H/F",KitchenCarcassMaterial))=FALSE,(0.1*($C76/1000))*VLOOKUP("H/F (22mm)",SheetsData,7,FALSE),"Door - not tower - new material")))),"Channel - not tower - handle set to other")),IF(ISERROR(FIND("Tower",$A76))=FALSE,IF(KitchenHandleFinish="Match carcass",IF(ISERROR(FIND("Walnut",KitchenCarcassMaterial))=FALSE,(0.035*0.075*($B76/1000))*VLOOKUP("Walnut (solid m3)",SolidData,4,FALSE),IF(ISERROR(FIND("Oak",KitchenCarcassMaterial))=FALSE,(0.035*0.075*($B76/1000))*VLOOKUP("Oak (solid m3)",SolidData,4,FALSE),IF(ISERROR(FIND("ply",KitchenCarcassMaterial))=FALSE,(0.1*($B76/1000))*VLOOKUP("Birch ply (24mm)",SheetsData,7,FALSE),IF(ISERROR(FIND("H/F",KitchenCarcassMaterial))=FALSE,(0.1*($C76/1000))*VLOOKUP("H/F (22mm)",SheetsData,7,FALSE),"Carcass - tower - new material")))),IF(KitchenHandleFinish="Match door",IF(ISERROR(FIND("Walnut",KitchenDoorMaterial))=FALSE,(0.035*0.075*($B76/1000))*VLOOKUP("Walnut (solid m3)",SolidData,4,FALSE),IF(ISERROR(FIND("Oak",KitchenDoorMaterial))=FALSE,(0.035*0.075*($B76/1000))*VLOOKUP("Oak (solid m3)",SolidData,4,FALSE),IF(ISERROR(FIND("ply",KitchenDoorMaterial))=FALSE,(0.1*($B76/1000))*VLOOKUP("Birch ply (24mm)",SheetData,7,FALSE),IF(ISERROR(FIND("H/F",KitchenCarcassMaterial))=FALSE,(0.1*($C76/1000))*VLOOKUP("H/F (22mm)",SheetsData,7,FALSE),"Door - tower - new material")))),"Channel - tower - handle set to other")))),"")</f>
        <v/>
      </c>
    </row>
    <row r="77">
      <c r="A77" s="150" t="s">
        <v>185</v>
      </c>
      <c r="B77" s="115" t="str">
        <f t="shared" si="1"/>
        <v>360</v>
      </c>
      <c r="C77" s="115" t="str">
        <f>IFERROR(__xludf.DUMMYFUNCTION("IF(A77="""","""",IF(OR(RIGHT(A77,LEN(A77)-len(regexextract(A77,"".* "")))=""1200"",RIGHT(A77,LEN(A77)-len(regexextract(A77,"".* "")))=""600"",RIGHT(A77,LEN(A77)-len(regexextract(A77,"".* "")))=""400"",RIGHT(A77,LEN(A77)-len(regexextract(A77,"".* "")))=""3"&amp;"00"",RIGHT(A77,LEN(A77)-len(regexextract(A77,"".* "")))=""700"",RIGHT(A77,LEN(A77)-len(regexextract(A77,"".* "")))=""2400"",RIGHT(A77,LEN(A77)-len(regexextract(A77,"".* "")))=""650"",RIGHT(A77,LEN(A77)-len(regexextract(A77,"".* "")))=""350"",RIGHT(A77,LEN"&amp;"(A77)-len(regexextract(A77,"".* "")))=""50""),RIGHT(A77,LEN(A77)-len(regexextract(A77,"".* ""))),IF(OR(ISERROR(FIND(""spacer"",A77))=FALSE,ISERROR(FIND(""filler panel"",A77))=FALSE),""1000"",""Unexpected size in description"")))"),"1200")</f>
        <v>1200</v>
      </c>
      <c r="D77" s="151" t="str">
        <f t="shared" si="2"/>
        <v/>
      </c>
      <c r="E77" s="152">
        <f>IFERROR(__xludf.DUMMYFUNCTION("IF(OR(A77="""",AND(ISERROR(FIND(""drawer box"",A77))=FALSE,KitchenDrawerType="""")),"""",IF(OR(ISERROR(FIND(""larder"",A77))=FALSE,ISERROR(FIND(""fridge/freezer"",A77))=FALSE,ISERROR(FIND(""double oven"",A77))=FALSE,ISERROR(FIND(""single oven"",A77))=FALS"&amp;"E),VLOOKUP(LEFT(A77,FIND("" "",A77))&amp;""carcass ""&amp;RIGHT(A77,LEN(A77)-(LEN(A77)-3)),KitchensData,5,0),IF(ISERROR(FIND(""sink"",A77))=FALSE,VLOOKUP(LEFT(A77,FIND("" "",A77))&amp;""carcass ""&amp;VALUE(REGEXREPLACE(A77,""[^[:digit:]]"", """")),KitchensData,5,0)+(((C"&amp;"77/1000)*(300/1000))*VLOOKUP(KitchenCarcassMaterial,SheetsData,8,0)),IF(ISERROR(FIND(""bins"",A77))=FALSE,IF(ISERROR(FIND(""veneer"",KitchenCarcassMaterial))=FALSE,VLOOKUP(""Base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600"",A77))=FALSE,IF(ISERROR(FIND(""veneer"""&amp;",KitchenCarcassMaterial))=FALSE,0.54*(VLOOKUP(LEFT(KitchenCarcassMaterial,FIND(""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1200"",A77))=FALSE,"&amp;"IF(ISERROR(FIND(""veneer"",KitchenCarcassMaterial))=FALSE,0.84*(VLOOKUP(LEFT(KitchenCarcassMaterial,FIND(""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600"",A77))=FALSE,IF(ISERROR(FIND(""veneer"",KitchenCarcassMaterial))=FALSE,1.44*(VLOOKUP(LEFT(KitchenCarcassMaterial,FIND(""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1200"",A77))=FALSE,IF(ISERROR(FIND(""veneer"",KitchenCarcassMaterial))=FALSE,2.7*(VLOOKUP(LEFT(KitchenCarcassMaterial,FIND(""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front"",A77))=FALSE,((B77/1000)*(C77/1000))*VLOOKUP(KitchenDoorMaterial,SheetsData,8,0),IF(AND(KitchenDrawerType=""Match carcass"",ISERROR(FIND(""drawer box"",A77))=FALSE),(((((B77/1000)*(C77/1000))+((B77/1000"&amp;")*(D77/1000)))*2)*VLOOKUP(KitchenCarcassMaterial,SheetsData,8,0))+(((C77/1000)*(D77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box"",A77))=FALSE),(((((B77/1000)*(C77/1000))+((B77/1000)*(D77/1000)))*2)*(16/1000)*VLOOKUP(LEFT(KitchenCarcassMaterial,FIND("" "&amp;""",KitchenCarcassMaterial))&amp;""(solid m3)"",SolidData,5,0))+(((C77/1000)*(D77/1000))*VLOOKUP(LEFT(KitchenCarcassMaterial,FIND(""("",KitchenCarcassMaterial)-1)&amp;IF(OR(ISERROR(FIND(""ply"",KitchenCarcassMaterial))=FALSE,ISERROR(FIND(""H/F"",KitchenCarcassMate"&amp;"rial))=FALSE),""(9mm)"",""(10mm)""),SheetsData,8,0)),IF(ISERROR(FIND(""spacer"",A77))=FALSE,((D77/1000)*(C77/1000))*VLOOKUP(""Poplar ply (18mm)"",SheetsData,8,0),IF(ISERROR(FIND(""filler panel"",A77))=FALSE,((B77/1000)*(C77/1000))*VLOOKUP(KitchenDoorMater"&amp;"ial,SheetsData,8,0),IF(ISERROR(FIND(""shelf"",A77))=FALSE,((D77/1000)*(C77/1000))*VLOOKUP(KitchenCarcassMaterial,SheetsData,8,0),IF(ISERROR(FIND(""lost corner"",A77))=FALSE,VLOOKUP(LEFT(A77,FIND("" "",A77))&amp;""carcass ""&amp;VALUE(REGEXREPLACE(A77,""[^[:digit:"&amp;"]]"", """")),KitchensData,5,0)+((((B77/1000)*(C77/1000))+((B77/1000)*(60/1000)))*VLOOKUP(KitchenCarcassMaterial,SheetsData,8,0)),IF(ISERROR(FIND(""carcass"",A77))=FALSE,(((((B77/1000)*2)*(D77/1000))+(((C77/1000)*2)*(D77/1000)))*VLOOKUP(KitchenCarcassMater"&amp;"ial,SheetsData,8,0))+((B77/1000)*(C77/1000))*VLOOKUP(LEFT(KitchenCarcassMaterial,FIND(""("",KitchenCarcassMaterial)-1)&amp;IF(OR(ISERROR(FIND(""ply"",KitchenCarcassMaterial))=FALSE,ISERROR(FIND(""H/F"",KitchenCarcassMaterial))=FALSE),""(9mm)"",""(10mm)""),She"&amp;"etsData,8,0),IF(OR(ISERROR(FIND(""Plinth"",A77))=FALSE,ISERROR(FIND(""Cornice (flat)"",A77))=FALSE),((B77/1000)*(C77/1000))*VLOOKUP(""H/F (18mm)"",SheetsData,8,0),IF(ISERROR(FIND(""Cornice (stacked)"",A77))=FALSE,((0.08*(C77/1000))*2)*VLOOKUP(""H/F (22mm)"&amp;""",SheetsData,8,0),IF(ISERROR(FIND(""Base end panel"",A77))=FALSE,VLOOKUP(KitchenDoorMaterial,SheetsData,5,0)/3,IF(ISERROR(FIND(""Wall end panel"",A77))=FALSE,VLOOKUP(KitchenDoorMaterial,SheetsData,5,0)/9,IF(ISERROR(FIND(""Tower end panel"",A77))=FALSE,VL"&amp;"OOKUP(KitchenDoorMaterial,SheetsData,5,0),IF(ISERROR(FIND(""Fillers"",A77))=FALSE,(((0.06*(C77/1000))*2)*VLOOKUP(""H/F (18mm)"",SheetsData,8,0))+(((0.06*(C77/1000))*2)*VLOOKUP(""H/F (9mm)"",SheetsData,8,0)),IF(ISERROR(FIND(""corner post"",A77))=FALSE,(((B"&amp;"77/1000)*0.05)*2)*VLOOKUP(KitchenDoorMaterial,SheetsData,8,0),IF(ISERROR(FIND(""Pelmet"",A77))=FALSE,((((B77/1000)*(C77/1000))*2)*VLOOKUP(""H/F (18mm)"",SheetsData,8,0)),IF(ISERROR(FIND(""door"",A77))=TRUE,""Check description"",IF(KitchenDoorStyle=""Flat"&amp;""",((B77/1000)*(C77/1000))*VLOOKUP(KitchenDoorMaterial,SheetsData,8,0),IF(LEFT(KitchenDoorStyle,5)=""Panel"",(((((B77/1000)*2)*0.08)+((((C77/1000)-0.16)*2)*0.08))*VLOOKUP(""H/F (22mm)"",SheetsData,8,0))+(((B77/1000)-0.14)*((C77/1000)-0.14)*VLOOKUP(""H/F ("&amp;"9mm)"",SheetsData,8,0)),IF(KitchenDoorStyle=""In-frame flat"",((((((B77/1000)*0.019)*0.038)+((((C77-38)/1000)*0.038)*0.038))*2)*VLOOKUP(""Tulip (solid m3)"",SolidData,5,0))+(((B77-76)/1000)*((C77-38)/1000))*VLOOKUP(""H/F (22mm)"",SheetsData,8,0),IF(LEFT(K"&amp;"itchenDoorStyle,14)=""In-frame panel"",(((((((B77/1000)*0.019)*0.038)+((((C77-38)/1000)*0.038)*0.038))*2)*VLOOKUP(""Tulip (solid m3)"",SolidData,5,0))+(((((((B77-76)/1000)*2)*0.08)+(((((C77-198)/1000)*2)*0.08)))*VLOOKUP(""H/F (22mm)"",SheetsData,8,0))+((("&amp;"B77-216)/1000)*((C77-178)/1000)*VLOOKUP(""H/F (9mm)"",SheetsData,8,0)))))))))))))))))))))))))))))))))"),7.974469228701961)</f>
        <v>7.974469229</v>
      </c>
      <c r="F77" s="152">
        <f>IFERROR(__xludf.DUMMYFUNCTION("IF(OR(A77="""",AND(ISERROR(FIND(""drawer box"",A77))=FALSE,KitchenDrawerType=""Solid dovetail"")),"""",IF(ISERROR(FIND(""bins"",A77))=FALSE,VLOOKUP(""Base carcass 600"",KitchensData,6,0),IF(OR(ISERROR(FIND(""larder"",A77))=FALSE,ISERROR(FIND(""unit"",A77)"&amp;")=FALSE),VLOOKUP(LEFT(A77,FIND("" "",A77))&amp;""carcass ""&amp;RIGHT(A77,LEN(A77)-len(regexextract(A77,"".* ""))),KitchensData,6,0),IF(ISERROR(FIND(""drawer front"",A77))=FALSE,IF(ISERROR(FIND(""veneer"",KitchenCarcassMaterial))=TRUE,0,(((B77+C77)/1000)*2)*VLOOK"&amp;"UP(""Edge banding (per M)"",SheetsData,5,0)),IF(ISERROR(FIND(""drawer box"",A77))=FALSE,IF(ISERROR(FIND(""veneer"",KitchenCarcassMaterial))=TRUE,0,(((C77+D77)/1000)*2)*VLOOKUP(""Edge banding (per M)"",SheetsData,5,0)),IF(ISERROR(FIND(""shelf"",A77))=FALSE"&amp;",IF(ISERROR(FIND(""veneer"",KitchenCarcassMaterial))=TRUE,0,(C77/1000)*VLOOKUP(""Edge banding (per M)"",SheetsData,5,0)),IF(AND(ISERROR(FIND(""carcass"",A77))=FALSE,ISERROR(FIND(""shelf"",A77))=TRUE),IF(ISERROR(FIND(""veneer"",KitchenCarcassMaterial))=TRU"&amp;"E,0,((2*(B77+C77))/1000)*VLOOKUP(""Edge banding (per M)"",SheetsData,5,0)),IF(ISERROR(FIND(""door"",A77))=TRUE,"""",IF(ISERROR(FIND(""veneer"",KitchenDoorMaterial))=TRUE,"""",((2*(B77+C77))/1000)*VLOOKUP(""Edge banding (per M)"",SheetsData,5,0))))))))))"),0.0)</f>
        <v>0</v>
      </c>
      <c r="G77" s="153" t="str">
        <f>IF(A77="","",IF(ISERROR(FIND("bins",A77))=FALSE,VLOOKUP("Base carcass 600",KitchensData,7,0),IF(OR(ISERROR(FIND("larder",A77))=FALSE,ISERROR(FIND("fridge/freezer",A77))=FALSE,ISERROR(FIND("double oven",A77))=FALSE,ISERROR(FIND("single oven",A77))=FALSE),VLOOKUP(LEFT(A77,FIND(" ",A77))&amp;"carcass "&amp;RIGHT(A77,LEN(A77)-(LEN(A77)-3)),KitchensData,7,0),IF(AND(ISERROR(FIND("carcass",A77))=FALSE,ISERROR(FIND("shelf",A77))=TRUE),IF(OR(ISERROR(FIND("Base",A77))=FALSE,ISERROR(FIND("Tower",A77))=FALSE),IF(OR(ISERROR(FIND("1200",A77))=FALSE, ISERROR(FIND("lost corner",A77))=FALSE),6*VLOOKUP("Plinth foot (2 Parts 80mm)",FurnitureData,5,0),4*VLOOKUP("Plinth foot (2 Parts 80mm)",FurnitureData,5,0)),""),""))))</f>
        <v/>
      </c>
      <c r="H77" s="115" t="str">
        <f>IF(OR(A77="",ISERROR(FIND("door",A77))=TRUE),"",IF(ISERROR(FIND("Wall",A77))=FALSE,VLOOKUP("Hinges &amp; plates (Hettich thick door)",FurnitureData,5,0)*2,IF(ISERROR(FIND("Base",A77))=FALSE,VLOOKUP("Hinges &amp; plates (Hettich thick door)",FurnitureData,5,0)*3,IF(ISERROR(FIND("Boiler",A77))=FALSE,VLOOKUP("Hinges &amp; plates (Hettich thick door)",FurnitureData,5,0)*4,IF(ISERROR(FIND("Tower",A77))=FALSE,VLOOKUP("Hinges &amp; plates (Hettich thick door)",FurnitureData,5,0)*5)))))</f>
        <v/>
      </c>
      <c r="I77" s="115" t="str">
        <f>IF(ISERROR(FIND("shelf",A77))=FALSE,(VLOOKUP("Shelf pegs",FurnitureData,5,0)/100)*4,"")</f>
        <v/>
      </c>
      <c r="J77" s="152" t="str">
        <f>IF(OR(ISERROR(FIND("fridge/freezer",A77))=FALSE,ISERROR(FIND("larder",A77))=FALSE,AND(ISERROR(FIND("Base",A77))=FALSE,ISERROR(FIND("bins",A77))=TRUE,ISERROR(FIND("no shelves",A77))=TRUE,OR(ISERROR(FIND("carcass",A77))=FALSE,ISERROR(FIND("unit",A77))=FALSE))),VLOOKUP("Deep shelf "&amp;C77,KitchensData,18,0),IF(AND(ISERROR(FIND("Wall",A77))=FALSE,ISERROR(FIND("carcass",A77))=FALSE),2*VLOOKUP("Shallow shelf "&amp;C77,KitchensData,18,0),IF(AND(ISERROR(FIND("Tower",A77))=FALSE,ISERROR(FIND("oven",A77))=FALSE),4*VLOOKUP("Deep shelf "&amp;C77,KitchensData,18,0),IF(AND(ISERROR(FIND("Tower",A77))=FALSE,ISERROR(FIND("carcass",A77))=FALSE),5*VLOOKUP("Deep shelf "&amp;C77,KitchensData,18,0),""))))</f>
        <v/>
      </c>
      <c r="K77" s="152" t="str">
        <f>IF(ISERROR(FIND("sink",A77))=FALSE,VLOOKUP("Sink liner - Aluminium "&amp;RIGHT(A77,LEN(A77)-22)&amp;"mm",ExceptionalData,5,0),IF(ISERROR(FIND("bins",A77))=FALSE,VLOOKUP("Drawer runners and clip set for bin unit (500) Dynapro",FurnitureData,5,0)+(2*VLOOKUP("Bin (42L Anthracite)",FurnitureData,5,0)),IF(ISERROR(FIND("larder",A77))=FALSE,VLOOKUP("Pull out larder unit 600mm",FurnitureData,5,0),IF(AND(ISERROR(FIND("drawer box",A77))=FALSE,ISERROR(FIND("internal",A77))=TRUE),VLOOKUP("Drawer runners and clip set (550) Dynapro",FurnitureData,5,0),IF(ISERROR(FIND("internal drawer box",A77))=FALSE,VLOOKUP("Drawer runners and clip set (450) Dynapro",FurnitureData,5,0),"")))))</f>
        <v/>
      </c>
      <c r="L77" s="152">
        <f t="shared" si="3"/>
        <v>7.974469229</v>
      </c>
      <c r="M77" s="154">
        <f>IFERROR(__xludf.DUMMYFUNCTION("IF(A77="""","""",IF(OR(ISERROR(FIND(""larder"",A77))=FALSE,ISERROR(FIND(""unit"",A77))=FALSE),VLOOKUP(LEFT(A77,FIND("" "",A77))&amp;""carcass ""&amp;RIGHT(A77,LEN(A77)-len(regexextract(A77,"".* ""))),KitchensData,13,0),IF(ISERROR(FIND(""bins"",A77))=FALSE,0.95,IF"&amp;"(ISERROR(FIND(""Cutlery insert 600"",A77))=FALSE,1.3,IF(ISERROR(FIND(""Cutlery insert 1200"",A77))=FALSE,2,IF(ISERROR(FIND(""Pan/tray rack 600"",A77))=FALSE,3.25,IF(ISERROR(FIND(""Pan/tray rack 1200"",A77))=FALSE,5.9,IF(ISERROR(FIND(""split"",A77))=FALSE,"&amp;"(((C77/1000)*0.022)*2)+VLOOKUP(SUBSTITUTE(A77,"" split"",""""),KitchensData,13,0),IF(AND(ISERROR(FIND(""drawer front"",A77))=FALSE,KitchenDoorStyle=""Flat""),(((B77/1000)*(C77/1000))*2)+((((B77+C77)/1000)*2)*0.022),IF(AND(ISERROR(FIND(""drawer front"",A77"&amp;"))=FALSE,LEFT(KitchenDoorStyle,5)=""Panel""),(((B77/1000)*(C77/1000))*2)+((((B77+C77)/1000)*2)*0.022)+((((C77/1000)-0.16)*0.013)*2)+((((D77/1000)-0.16)*0.013)*2),IF(AND(ISERROR(FIND(""drawer front"",A77))=FALSE,KitchenDoorStyle=""In-frame flat""),((((B77-"&amp;"76)/1000)*((C77-38)/1000))*2)+(MID(KitchenDoorMaterial,FIND(""("",KitchenDoorMaterial)+1,2)/1000)*((((B77-76)+(C77-38))/1000)*2)+(((B77/1000)*0.032)*2)+((((B77-76)/1000)*0.032)*2)+(((B77/1000)*0.019)*4)+(((C77/1000)*0.032)*2)+((((C77-38)/1000)*0.032)*2)+("&amp;"((C77/1000)*0.038)*4),IF(AND(ISERROR(FIND(""drawer front"",A77))=FALSE,LEFT(KitchenDoorStyle,14)=""In-frame panel""),((((B77-76)/1000)*((C77-38)/1000))*2)+((MID(KitchenDoorMaterial,FIND(""("",KitchenDoorMaterial)+1,2)/1000)*((((B77-76)+(C77-38))/1000)*2))"&amp;"+((((B77-236)/1000)+((C77-198)/1000)*2)*0.013)+(((B77/1000)*0.032)*2)+((((B77-76)/1000)*0.032)*2)+(((B77/1000)*0.019)*4)+(((C77/1000)*0.032)*2)+((((C77-38)/1000)*0.032)*2)+(((C77/1000)*0.038)*4),IF(ISERROR(FIND(""drawer box"",A77))=FALSE,((((B77/1000)*(D7"&amp;"7/1000))+((B77/1000)*(C77/1000)))*4)+((((D77/1000)+(C77/1000))*0.016)*4)+(((C77/1000)*(D77/1000))*2),IF(OR(ISERROR(FIND(""shelf"",A77))=FALSE,ISERROR(FIND(""spacer"",A77))=FALSE,,ISERROR(FIND(""filler panel"",A77))=FALSE),(((C77/1000)*(D77/1000))*2)+((((C"&amp;"77+D77)*2)/1000)*0.022),IF(ISERROR(FIND(""lost corner"",A77))=FALSE,(((B77/1000)*(C77/1000))*2)+((B77/1000)*(C77/1000))+((B77/1000)*((C77/2)/1000))+((((B77/1000)*0.025)+((C77/1000)*0.025))*2),IF(ISERROR(FIND(""carcass"",A77))=FALSE,(((C77/1000)*(D77/1000)"&amp;")*2)+(((B77/1000)*(D77/1000))*2)+((B77/1000)*(C77/1000))+((((B77/1000)*0.025)+((C77/1000)*0.025))*2),IF(AND(ISERROR(FIND(""door"",A77))=FALSE,KitchenDoorStyle=""Flat""),(((B77/1000)*(C77/1000))*2)+(MID(KitchenDoorMaterial,FIND(""("",KitchenDoorMaterial)+1"&amp;",2)/1000)*(((B77+C77)/1000)*2),IF(AND(ISERROR(FIND(""door"",A77))=FALSE,LEFT(KitchenDoorStyle,5)=""Panel""),(((B77/1000)*(C77/1000))*2)+((MID(KitchenDoorMaterial,FIND(""("",KitchenDoorMaterial)+1,2)/1000)*(((B77+C77)/1000)*2))+(((((B77-160)+(C77-160))*2)/"&amp;"1000)*(0.013)),IF(AND(ISERROR(FIND(""door"",A77))=FALSE,KitchenDoorStyle=""In-frame flat""),((((B77-76)/1000)*((C77-38)/1000))*2)+(MID(KitchenDoorMaterial,FIND(""("",KitchenDoorMaterial)+1,2)/1000)*((((B77-76)+(C77-38))/1000)*2)+(((B77/1000)*0.032)*2)+((("&amp;"(B77-76)/1000)*0.032)*2)+(((B77/1000)*0.019)*4)+(((C77/1000)*0.032)*2)+((((C77-38)/1000)*0.032)*2)+(((C77/1000)*0.038)*4),IF(AND(ISERROR(FIND(""door"",A77))=FALSE,LEFT(KitchenDoorStyle,14)=""In-frame panel""),((((B77-76)/1000)*((C77-38)/1000))*2)+((MID(Ki"&amp;"tchenDoorMaterial,FIND(""("",KitchenDoorMaterial)+1,2)/1000)*((((B77-76)+(C77-38))/1000)*2))+((((B77-236)/1000)+((C77-198)/1000)*2)*0.013)+(((B77/1000)*0.032)*2)+((((B77-76)/1000)*0.032)*2)+(((B77/1000)*0.019)*4)+(((C77/1000)*0.032)*2)+((((C77-38)/1000)*0"&amp;".032)*2)+(((C77/1000)*0.038)*4),IF(ISERROR(FIND(""Plinth"",A77))=FALSE,((B77/1000)*(C77/1000))+(((C77/1000)*0.018)*2)+(((B77/1000)*0.018)*2),IF(ISERROR(FIND(""Cornice"",A77))=FALSE,(((C77/1000)*0.1)*2)+(((C77/1000)*0.044)*2)+(((B77/1000)*0.08)*2),IF(ISERR"&amp;"OR(FIND(""Base end panel"",A77))=FALSE,((B77/1000)*(C77/1000))+(0.022*((B77/1000)+((C77/1000)*2)))+((B77/1000)*0.05),IF(ISERROR(FIND(""Wall end panel"",A77))=FALSE,((B77/1000)*(C77/1000))+(0.022*((B77/1000)+((C77/1000)*2)))+((B77/1000)*0.05),IF(ISERROR(FI"&amp;"ND(""Tower end panel"",A77))=FALSE,((B77/1000)*(C77/1000))+(0.022*((B77/1000)+((C77/1000)*2)))+((B77/1000)*0.05),IF(ISERROR(FIND(""Fillers"",A77))=FALSE,((C77/1000)*0.06)+((C77/1000)*0.069)+((0.06*0.018)*2)+((0.06*0.009)*2)+((C77/1000)*0.009)+((C77/1000)*"&amp;"0.018),IF(ISERROR(FIND(""corner post"",A77))=FALSE,(((B77/1000*0.05)*2)+((B77/1000)*0.022)*2)+((B77/1000)*0.072)+((B77/1000)*0.05)+((0.072*0.022)*2)+((0.05*0.022)*2),IF(ISERROR(FIND(""Pelmet"",A77))=FALSE,((C77/1000)*0.05)+((C77/1000)*0.068)+((0.05*0.018)"&amp;"*4)+(((C77/1000)*0.018))*2))))))))))))))))))))))))))))"),0.93264)</f>
        <v>0.93264</v>
      </c>
      <c r="N77" s="152">
        <f>IF(M77="","",IF(AND(ISERROR(FIND("carcass",A77))=TRUE,ISERROR(FIND("unit",A77))=TRUE,ISERROR(FIND("insert",A77))=TRUE,ISERROR(FIND("rack",A77))=TRUE,ISERROR(FIND("box",A77))=TRUE,ISERROR(FIND("shelf",#REF!))=TRUE),VLOOKUP(KitchenDoorFinish,Finishing!$A$2:$K$10,9,0)*M77,VLOOKUP(KitchenCarcassFinish,Finishing!$A$2:$K$40,9,0)*M77))</f>
        <v>6.9948</v>
      </c>
      <c r="O77" s="155">
        <v>0.5</v>
      </c>
      <c r="P77" s="155">
        <v>0.5</v>
      </c>
      <c r="Q77" s="152">
        <f>IF(OR(O77="",P77=""),"",((O77*X77)*(VLOOKUP("Workshop",Labour!$A$3:$E$20,4,0)/8))+((P77*AE77)*(VLOOKUP("Finishing",Labour!$A$3:$E$20,4,0)/8)))</f>
        <v>35.875</v>
      </c>
      <c r="R77" s="152">
        <f t="shared" si="4"/>
        <v>50.84426923</v>
      </c>
      <c r="S77" s="156">
        <f>IF(OR(O77="",P77=""),"",IF(OR(ISERROR(FIND("carcass",$A77))=FALSE,ISERROR(FIND("unit",$A77))=FALSE),VLOOKUP(KitchenCarcassMaterial,FixedListsCarcassMaterial,2,0),0))</f>
        <v>0</v>
      </c>
      <c r="T77" s="156">
        <f>IF(OR(O77="",P77=""),"",IF(ISERROR(FIND("door",$A77))=FALSE,VLOOKUP(KitchenDoorStyle,FixedListsDoorStyle,2,0),0))</f>
        <v>0</v>
      </c>
      <c r="U77" s="156">
        <f>IF(OR(O77="",P77=""),"",IF(ISERROR(FIND("door",$A77))=FALSE,VLOOKUP(KitchenDoorMaterial,FixedListsDoorMaterial,2,0),0))</f>
        <v>0</v>
      </c>
      <c r="V77" s="156">
        <f>IF(OR(O77="",P77=""),"",IF(ISERROR(FIND("drawer",$A77))=FALSE,VLOOKUP(KitchenDrawerType,FixedListsDrawerType,2,0),0))</f>
        <v>1</v>
      </c>
      <c r="W77" s="156">
        <f>IF(OR(O77="",P77=""),"",IF(OR(S77&gt;0, T77&gt;0,V77&gt;0),VLOOKUP(KitchenHandleType,FixedListsHandleType,2,FALSE)*IF(KitchenHandleType="Simple",0,IF(S77&gt;0,VLOOKUP(KitchenHandleType,FixedListsHandleType,4,FALSE),IF(OR(T77&gt;0,V77&gt;0),1-VLOOKUP(KitchenHandleType,FixedListsHandleType,4,FALSE),"Error"))),0))</f>
        <v>0</v>
      </c>
      <c r="X77" s="156">
        <f t="shared" si="5"/>
        <v>1</v>
      </c>
      <c r="Y77" s="156">
        <f>IF(OR(O77="",P77=""),"",IF(OR(ISERROR(FIND("carcass",$A77))=FALSE,ISERROR(FIND("unit",$A77))=FALSE),VLOOKUP(KitchenCarcassMaterial,FixedListsCarcassMaterial,3,0),0))</f>
        <v>0</v>
      </c>
      <c r="Z77" s="156">
        <f>IF(OR(O77="",P77=""),"",IF(ISERROR(FIND("door",$A77))=FALSE,VLOOKUP(KitchenDoorStyle,FixedListsDoorStyle,3,0),0))</f>
        <v>0</v>
      </c>
      <c r="AA77" s="156">
        <f>IF(OR(O77="",P77=""),"",IF(ISERROR(FIND("door",$A77))=FALSE,VLOOKUP(KitchenDoorMaterial,FixedListsDoorMaterial,3,0),0))</f>
        <v>0</v>
      </c>
      <c r="AB77" s="156">
        <f>IF(OR(O77="",P77=""),"",IF(ISERROR(FIND("drawer",$A77))=FALSE,VLOOKUP(KitchenDrawerType,FixedListsDrawerType,3,0),0))</f>
        <v>1</v>
      </c>
      <c r="AC77" s="156">
        <f>IF(OR(O77="",P77=""),"",IF(OR(Y77&gt;0,Z77&gt;0,AB77&gt;0),VLOOKUP(KitchenHandleType,FixedListsHandleType,3,FALSE),0))</f>
        <v>1</v>
      </c>
      <c r="AD77" s="156">
        <f>IF(OR(O77="",P77=""),"",IF(OR(ISERROR(FIND("carcass",$A77))=FALSE,ISERROR(FIND("unit",$A77))=FALSE),VLOOKUP(KitchenCarcassFinish,FixedListsFinishes,3,0),IF(OR(ISERROR(FIND("door",$A77))=FALSE,ISERROR(FIND("Plinth",$A77))=FALSE,ISERROR(FIND("Cornice",$A77))=FALSE,ISERROR(FIND("Fillers",$A77))=FALSE,ISERROR(FIND("Pelmet",$A77))=FALSE,ISERROR(FIND("panel",$A77))=FALSE,ISERROR(FIND("post",$A77))=FALSE),VLOOKUP(KitchenDoorFinish,FixedListsFinishes,3,0),IF(OR(ISERROR(FIND("drawer",$A77))=FALSE,ISERROR(FIND("insert",$A77))=FALSE,ISERROR(FIND("rck",$A77))=FALSE),VLOOKUP(KitchenCarcassFinish,FixedListsFinishes,3,0),0))))</f>
        <v>1</v>
      </c>
      <c r="AE77" s="156">
        <f t="shared" si="6"/>
        <v>1</v>
      </c>
      <c r="AF77" s="157" t="str">
        <f>IF(AND(KitchenHandleType="Channel",OR(ISERROR(FIND("arcass",$A77))=FALSE,ISERROR(FIND("unit",$A77))=FALSE)),IF(ISERROR(FIND("Tower",$A77))=TRUE,IF(KitchenHandleFinish="Match carcass",IF(ISERROR(FIND("Walnut",KitchenCarcassMaterial))=FALSE,(0.035*0.075*($C77/1000))*VLOOKUP("Walnut (solid m3)",SolidData,4,FALSE),IF(ISERROR(FIND("Oak",KitchenCarcassMaterial))=FALSE,(0.035*0.075*($C77/1000))*VLOOKUP("Oak (solid m3)",SolidData,4,FALSE),IF(ISERROR(FIND("ply",KitchenCarcassMaterial))=FALSE,(0.1*($C77/1000))*VLOOKUP("Birch ply (24mm)",SheetsData,7,FALSE),IF(ISERROR(FIND("H/F",KitchenCarcassMaterial))=FALSE,(0.1*($C77/1000))*VLOOKUP("H/F (22mm)",SheetsData,7,FALSE),"Carcass - not tower - new material")))),IF(KitchenHandleFinish="Match door",IF(ISERROR(FIND("Walnut",KitchenDoorMaterial))=FALSE,(0.035*0.075*($C77/1000))*VLOOKUP("Walnut (solid m3)",SolidData,4,FALSE),IF(ISERROR(FIND("Oak",KitchenDoorMaterial))=FALSE,(0.035*0.075*($C77/1000))*VLOOKUP("Oak (solid m3)",SolidData,4,FALSE),IF(ISERROR(FIND("ply",KitchenDoorMaterial))=FALSE,(0.1*($C77/1000))*VLOOKUP("Birch ply (24mm)",SheetsData,7,FALSE),IF(ISERROR(FIND("H/F",KitchenCarcassMaterial))=FALSE,(0.1*($C77/1000))*VLOOKUP("H/F (22mm)",SheetsData,7,FALSE),"Door - not tower - new material")))),"Channel - not tower - handle set to other")),IF(ISERROR(FIND("Tower",$A77))=FALSE,IF(KitchenHandleFinish="Match carcass",IF(ISERROR(FIND("Walnut",KitchenCarcassMaterial))=FALSE,(0.035*0.075*($B77/1000))*VLOOKUP("Walnut (solid m3)",SolidData,4,FALSE),IF(ISERROR(FIND("Oak",KitchenCarcassMaterial))=FALSE,(0.035*0.075*($B77/1000))*VLOOKUP("Oak (solid m3)",SolidData,4,FALSE),IF(ISERROR(FIND("ply",KitchenCarcassMaterial))=FALSE,(0.1*($B77/1000))*VLOOKUP("Birch ply (24mm)",SheetsData,7,FALSE),IF(ISERROR(FIND("H/F",KitchenCarcassMaterial))=FALSE,(0.1*($C77/1000))*VLOOKUP("H/F (22mm)",SheetsData,7,FALSE),"Carcass - tower - new material")))),IF(KitchenHandleFinish="Match door",IF(ISERROR(FIND("Walnut",KitchenDoorMaterial))=FALSE,(0.035*0.075*($B77/1000))*VLOOKUP("Walnut (solid m3)",SolidData,4,FALSE),IF(ISERROR(FIND("Oak",KitchenDoorMaterial))=FALSE,(0.035*0.075*($B77/1000))*VLOOKUP("Oak (solid m3)",SolidData,4,FALSE),IF(ISERROR(FIND("ply",KitchenDoorMaterial))=FALSE,(0.1*($B77/1000))*VLOOKUP("Birch ply (24mm)",SheetData,7,FALSE),IF(ISERROR(FIND("H/F",KitchenCarcassMaterial))=FALSE,(0.1*($C77/1000))*VLOOKUP("H/F (22mm)",SheetsData,7,FALSE),"Door - tower - new material")))),"Channel - tower - handle set to other")))),"")</f>
        <v/>
      </c>
    </row>
    <row r="78">
      <c r="A78" s="150" t="s">
        <v>186</v>
      </c>
      <c r="B78" s="115">
        <f t="shared" si="1"/>
        <v>800</v>
      </c>
      <c r="C78" s="115" t="str">
        <f>IFERROR(__xludf.DUMMYFUNCTION("IF(A78="""","""",IF(OR(RIGHT(A78,LEN(A78)-len(regexextract(A78,"".* "")))=""1200"",RIGHT(A78,LEN(A78)-len(regexextract(A78,"".* "")))=""600"",RIGHT(A78,LEN(A78)-len(regexextract(A78,"".* "")))=""400"",RIGHT(A78,LEN(A78)-len(regexextract(A78,"".* "")))=""3"&amp;"00"",RIGHT(A78,LEN(A78)-len(regexextract(A78,"".* "")))=""700"",RIGHT(A78,LEN(A78)-len(regexextract(A78,"".* "")))=""2400"",RIGHT(A78,LEN(A78)-len(regexextract(A78,"".* "")))=""650"",RIGHT(A78,LEN(A78)-len(regexextract(A78,"".* "")))=""350"",RIGHT(A78,LEN"&amp;"(A78)-len(regexextract(A78,"".* "")))=""50""),RIGHT(A78,LEN(A78)-len(regexextract(A78,"".* ""))),IF(OR(ISERROR(FIND(""spacer"",A78))=FALSE,ISERROR(FIND(""filler panel"",A78))=FALSE),""1000"",""Unexpected size in description"")))"),"600")</f>
        <v>600</v>
      </c>
      <c r="D78" s="151">
        <f t="shared" si="2"/>
        <v>600</v>
      </c>
      <c r="E78" s="152">
        <f>IFERROR(__xludf.DUMMYFUNCTION("IF(OR(A78="""",AND(ISERROR(FIND(""drawer box"",A78))=FALSE,KitchenDrawerType="""")),"""",IF(OR(ISERROR(FIND(""larder"",A78))=FALSE,ISERROR(FIND(""fridge/freezer"",A78))=FALSE,ISERROR(FIND(""double oven"",A78))=FALSE,ISERROR(FIND(""single oven"",A78))=FALS"&amp;"E),VLOOKUP(LEFT(A78,FIND("" "",A78))&amp;""carcass ""&amp;RIGHT(A78,LEN(A78)-(LEN(A78)-3)),KitchensData,5,0),IF(ISERROR(FIND(""sink"",A78))=FALSE,VLOOKUP(LEFT(A78,FIND("" "",A78))&amp;""carcass ""&amp;VALUE(REGEXREPLACE(A78,""[^[:digit:]]"", """")),KitchensData,5,0)+(((C"&amp;"78/1000)*(300/1000))*VLOOKUP(KitchenCarcassMaterial,SheetsData,8,0)),IF(ISERROR(FIND(""bins"",A78))=FALSE,IF(ISERROR(FIND(""veneer"",KitchenCarcassMaterial))=FALSE,VLOOKUP(""Base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600"",A78))=FALSE,IF(ISERROR(FIND(""veneer"""&amp;",KitchenCarcassMaterial))=FALSE,0.54*(VLOOKUP(LEFT(KitchenCarcassMaterial,FIND(""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1200"",A78))=FALSE,"&amp;"IF(ISERROR(FIND(""veneer"",KitchenCarcassMaterial))=FALSE,0.84*(VLOOKUP(LEFT(KitchenCarcassMaterial,FIND(""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600"",A78))=FALSE,IF(ISERROR(FIND(""veneer"",KitchenCarcassMaterial))=FALSE,1.44*(VLOOKUP(LEFT(KitchenCarcassMaterial,FIND(""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1200"",A78))=FALSE,IF(ISERROR(FIND(""veneer"",KitchenCarcassMaterial))=FALSE,2.7*(VLOOKUP(LEFT(KitchenCarcassMaterial,FIND(""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front"",A78))=FALSE,((B78/1000)*(C78/1000))*VLOOKUP(KitchenDoorMaterial,SheetsData,8,0),IF(AND(KitchenDrawerType=""Match carcass"",ISERROR(FIND(""drawer box"",A78))=FALSE),(((((B78/1000)*(C78/1000))+((B78/1000"&amp;")*(D78/1000)))*2)*VLOOKUP(KitchenCarcassMaterial,SheetsData,8,0))+(((C78/1000)*(D78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box"",A78))=FALSE),(((((B78/1000)*(C78/1000))+((B78/1000)*(D78/1000)))*2)*(16/1000)*VLOOKUP(LEFT(KitchenCarcassMaterial,FIND("" "&amp;""",KitchenCarcassMaterial))&amp;""(solid m3)"",SolidData,5,0))+(((C78/1000)*(D78/1000))*VLOOKUP(LEFT(KitchenCarcassMaterial,FIND(""("",KitchenCarcassMaterial)-1)&amp;IF(OR(ISERROR(FIND(""ply"",KitchenCarcassMaterial))=FALSE,ISERROR(FIND(""H/F"",KitchenCarcassMate"&amp;"rial))=FALSE),""(9mm)"",""(10mm)""),SheetsData,8,0)),IF(ISERROR(FIND(""spacer"",A78))=FALSE,((D78/1000)*(C78/1000))*VLOOKUP(""Poplar ply (18mm)"",SheetsData,8,0),IF(ISERROR(FIND(""filler panel"",A78))=FALSE,((B78/1000)*(C78/1000))*VLOOKUP(KitchenDoorMater"&amp;"ial,SheetsData,8,0),IF(ISERROR(FIND(""shelf"",A78))=FALSE,((D78/1000)*(C78/1000))*VLOOKUP(KitchenCarcassMaterial,SheetsData,8,0),IF(ISERROR(FIND(""lost corner"",A78))=FALSE,VLOOKUP(LEFT(A78,FIND("" "",A78))&amp;""carcass ""&amp;VALUE(REGEXREPLACE(A78,""[^[:digit:"&amp;"]]"", """")),KitchensData,5,0)+((((B78/1000)*(C78/1000))+((B78/1000)*(60/1000)))*VLOOKUP(KitchenCarcassMaterial,SheetsData,8,0)),IF(ISERROR(FIND(""carcass"",A78))=FALSE,(((((B78/1000)*2)*(D78/1000))+(((C78/1000)*2)*(D78/1000)))*VLOOKUP(KitchenCarcassMater"&amp;"ial,SheetsData,8,0))+((B78/1000)*(C78/1000))*VLOOKUP(LEFT(KitchenCarcassMaterial,FIND(""("",KitchenCarcassMaterial)-1)&amp;IF(OR(ISERROR(FIND(""ply"",KitchenCarcassMaterial))=FALSE,ISERROR(FIND(""H/F"",KitchenCarcassMaterial))=FALSE),""(9mm)"",""(10mm)""),She"&amp;"etsData,8,0),IF(OR(ISERROR(FIND(""Plinth"",A78))=FALSE,ISERROR(FIND(""Cornice (flat)"",A78))=FALSE),((B78/1000)*(C78/1000))*VLOOKUP(""H/F (18mm)"",SheetsData,8,0),IF(ISERROR(FIND(""Cornice (stacked)"",A78))=FALSE,((0.08*(C78/1000))*2)*VLOOKUP(""H/F (22mm)"&amp;""",SheetsData,8,0),IF(ISERROR(FIND(""Base end panel"",A78))=FALSE,VLOOKUP(KitchenDoorMaterial,SheetsData,5,0)/3,IF(ISERROR(FIND(""Wall end panel"",A78))=FALSE,VLOOKUP(KitchenDoorMaterial,SheetsData,5,0)/9,IF(ISERROR(FIND(""Tower end panel"",A78))=FALSE,VL"&amp;"OOKUP(KitchenDoorMaterial,SheetsData,5,0),IF(ISERROR(FIND(""Fillers"",A78))=FALSE,(((0.06*(C78/1000))*2)*VLOOKUP(""H/F (18mm)"",SheetsData,8,0))+(((0.06*(C78/1000))*2)*VLOOKUP(""H/F (9mm)"",SheetsData,8,0)),IF(ISERROR(FIND(""corner post"",A78))=FALSE,(((B"&amp;"78/1000)*0.05)*2)*VLOOKUP(KitchenDoorMaterial,SheetsData,8,0),IF(ISERROR(FIND(""Pelmet"",A78))=FALSE,((((B78/1000)*(C78/1000))*2)*VLOOKUP(""H/F (18mm)"",SheetsData,8,0)),IF(ISERROR(FIND(""door"",A78))=TRUE,""Check description"",IF(KitchenDoorStyle=""Flat"&amp;""",((B78/1000)*(C78/1000))*VLOOKUP(KitchenDoorMaterial,SheetsData,8,0),IF(LEFT(KitchenDoorStyle,5)=""Panel"",(((((B78/1000)*2)*0.08)+((((C78/1000)-0.16)*2)*0.08))*VLOOKUP(""H/F (22mm)"",SheetsData,8,0))+(((B78/1000)-0.14)*((C78/1000)-0.14)*VLOOKUP(""H/F ("&amp;"9mm)"",SheetsData,8,0)),IF(KitchenDoorStyle=""In-frame flat"",((((((B78/1000)*0.019)*0.038)+((((C78-38)/1000)*0.038)*0.038))*2)*VLOOKUP(""Tulip (solid m3)"",SolidData,5,0))+(((B78-76)/1000)*((C78-38)/1000))*VLOOKUP(""H/F (22mm)"",SheetsData,8,0),IF(LEFT(K"&amp;"itchenDoorStyle,14)=""In-frame panel"",(((((((B78/1000)*0.019)*0.038)+((((C78-38)/1000)*0.038)*0.038))*2)*VLOOKUP(""Tulip (solid m3)"",SolidData,5,0))+(((((((B78-76)/1000)*2)*0.08)+(((((C78-198)/1000)*2)*0.08)))*VLOOKUP(""H/F (22mm)"",SheetsData,8,0))+((("&amp;"B78-216)/1000)*((C78-178)/1000)*VLOOKUP(""H/F (9mm)"",SheetsData,8,0)))))))))))))))))))))))))))))))))"),90.08868583714056)</f>
        <v>90.08868584</v>
      </c>
      <c r="F78" s="152">
        <f>IFERROR(__xludf.DUMMYFUNCTION("IF(OR(A78="""",AND(ISERROR(FIND(""drawer box"",A78))=FALSE,KitchenDrawerType=""Solid dovetail"")),"""",IF(ISERROR(FIND(""bins"",A78))=FALSE,VLOOKUP(""Base carcass 600"",KitchensData,6,0),IF(OR(ISERROR(FIND(""larder"",A78))=FALSE,ISERROR(FIND(""unit"",A78)"&amp;")=FALSE),VLOOKUP(LEFT(A78,FIND("" "",A78))&amp;""carcass ""&amp;RIGHT(A78,LEN(A78)-len(regexextract(A78,"".* ""))),KitchensData,6,0),IF(ISERROR(FIND(""drawer front"",A78))=FALSE,IF(ISERROR(FIND(""veneer"",KitchenCarcassMaterial))=TRUE,0,(((B78+C78)/1000)*2)*VLOOK"&amp;"UP(""Edge banding (per M)"",SheetsData,5,0)),IF(ISERROR(FIND(""drawer box"",A78))=FALSE,IF(ISERROR(FIND(""veneer"",KitchenCarcassMaterial))=TRUE,0,(((C78+D78)/1000)*2)*VLOOKUP(""Edge banding (per M)"",SheetsData,5,0)),IF(ISERROR(FIND(""shelf"",A78))=FALSE"&amp;",IF(ISERROR(FIND(""veneer"",KitchenCarcassMaterial))=TRUE,0,(C78/1000)*VLOOKUP(""Edge banding (per M)"",SheetsData,5,0)),IF(AND(ISERROR(FIND(""carcass"",A78))=FALSE,ISERROR(FIND(""shelf"",A78))=TRUE),IF(ISERROR(FIND(""veneer"",KitchenCarcassMaterial))=TRU"&amp;"E,0,((2*(B78+C78))/1000)*VLOOKUP(""Edge banding (per M)"",SheetsData,5,0)),IF(ISERROR(FIND(""door"",A78))=TRUE,"""",IF(ISERROR(FIND(""veneer"",KitchenDoorMaterial))=TRUE,"""",((2*(B78+C78))/1000)*VLOOKUP(""Edge banding (per M)"",SheetsData,5,0))))))))))"),0.0)</f>
        <v>0</v>
      </c>
      <c r="G78" s="153">
        <f>IF(A78="","",IF(ISERROR(FIND("bins",A78))=FALSE,VLOOKUP("Base carcass 600",KitchensData,7,0),IF(OR(ISERROR(FIND("larder",A78))=FALSE,ISERROR(FIND("fridge/freezer",A78))=FALSE,ISERROR(FIND("double oven",A78))=FALSE,ISERROR(FIND("single oven",A78))=FALSE),VLOOKUP(LEFT(A78,FIND(" ",A78))&amp;"carcass "&amp;RIGHT(A78,LEN(A78)-(LEN(A78)-3)),KitchensData,7,0),IF(AND(ISERROR(FIND("carcass",A78))=FALSE,ISERROR(FIND("shelf",A78))=TRUE),IF(OR(ISERROR(FIND("Base",A78))=FALSE,ISERROR(FIND("Tower",A78))=FALSE),IF(OR(ISERROR(FIND("1200",A78))=FALSE, ISERROR(FIND("lost corner",A78))=FALSE),6*VLOOKUP("Plinth foot (2 Parts 80mm)",FurnitureData,5,0),4*VLOOKUP("Plinth foot (2 Parts 80mm)",FurnitureData,5,0)),""),""))))</f>
        <v>3.8</v>
      </c>
      <c r="H78" s="115" t="str">
        <f>IF(OR(A78="",ISERROR(FIND("door",A78))=TRUE),"",IF(ISERROR(FIND("Wall",A78))=FALSE,VLOOKUP("Hinges &amp; plates (Hettich thick door)",FurnitureData,5,0)*2,IF(ISERROR(FIND("Base",A78))=FALSE,VLOOKUP("Hinges &amp; plates (Hettich thick door)",FurnitureData,5,0)*3,IF(ISERROR(FIND("Boiler",A78))=FALSE,VLOOKUP("Hinges &amp; plates (Hettich thick door)",FurnitureData,5,0)*4,IF(ISERROR(FIND("Tower",A78))=FALSE,VLOOKUP("Hinges &amp; plates (Hettich thick door)",FurnitureData,5,0)*5)))))</f>
        <v/>
      </c>
      <c r="I78" s="115" t="str">
        <f>IF(ISERROR(FIND("shelf",A78))=FALSE,(VLOOKUP("Shelf pegs",FurnitureData,5,0)/100)*4,"")</f>
        <v/>
      </c>
      <c r="J78" s="152" t="str">
        <f>IF(OR(ISERROR(FIND("fridge/freezer",A78))=FALSE,ISERROR(FIND("larder",A78))=FALSE,AND(ISERROR(FIND("Base",A78))=FALSE,ISERROR(FIND("bins",A78))=TRUE,ISERROR(FIND("no shelves",A78))=TRUE,OR(ISERROR(FIND("carcass",A78))=FALSE,ISERROR(FIND("unit",A78))=FALSE))),VLOOKUP("Deep shelf "&amp;C78,KitchensData,18,0),IF(AND(ISERROR(FIND("Wall",A78))=FALSE,ISERROR(FIND("carcass",A78))=FALSE),2*VLOOKUP("Shallow shelf "&amp;C78,KitchensData,18,0),IF(AND(ISERROR(FIND("Tower",A78))=FALSE,ISERROR(FIND("oven",A78))=FALSE),4*VLOOKUP("Deep shelf "&amp;C78,KitchensData,18,0),IF(AND(ISERROR(FIND("Tower",A78))=FALSE,ISERROR(FIND("carcass",A78))=FALSE),5*VLOOKUP("Deep shelf "&amp;C78,KitchensData,18,0),""))))</f>
        <v/>
      </c>
      <c r="K78" s="152">
        <f>IF(ISERROR(FIND("sink",A78))=FALSE,VLOOKUP("Sink liner - Aluminium "&amp;RIGHT(A78,LEN(A78)-22)&amp;"mm",ExceptionalData,5,0),IF(ISERROR(FIND("bins",A78))=FALSE,VLOOKUP("Drawer runners and clip set for bin unit (500) Dynapro",FurnitureData,5,0)+(2*VLOOKUP("Bin (42L Anthracite)",FurnitureData,5,0)),IF(ISERROR(FIND("larder",A78))=FALSE,VLOOKUP("Pull out larder unit 600mm",FurnitureData,5,0),IF(AND(ISERROR(FIND("drawer box",A78))=FALSE,ISERROR(FIND("internal",A78))=TRUE),VLOOKUP("Drawer runners and clip set (550) Dynapro",FurnitureData,5,0),IF(ISERROR(FIND("internal drawer box",A78))=FALSE,VLOOKUP("Drawer runners and clip set (450) Dynapro",FurnitureData,5,0),"")))))</f>
        <v>109.88</v>
      </c>
      <c r="L78" s="152">
        <f t="shared" si="3"/>
        <v>203.7686858</v>
      </c>
      <c r="M78" s="154">
        <f>IFERROR(__xludf.DUMMYFUNCTION("IF(A78="""","""",IF(OR(ISERROR(FIND(""larder"",A78))=FALSE,ISERROR(FIND(""unit"",A78))=FALSE),VLOOKUP(LEFT(A78,FIND("" "",A78))&amp;""carcass ""&amp;RIGHT(A78,LEN(A78)-len(regexextract(A78,"".* ""))),KitchensData,13,0),IF(ISERROR(FIND(""bins"",A78))=FALSE,0.95,IF"&amp;"(ISERROR(FIND(""Cutlery insert 600"",A78))=FALSE,1.3,IF(ISERROR(FIND(""Cutlery insert 1200"",A78))=FALSE,2,IF(ISERROR(FIND(""Pan/tray rack 600"",A78))=FALSE,3.25,IF(ISERROR(FIND(""Pan/tray rack 1200"",A78))=FALSE,5.9,IF(ISERROR(FIND(""split"",A78))=FALSE,"&amp;"(((C78/1000)*0.022)*2)+VLOOKUP(SUBSTITUTE(A78,"" split"",""""),KitchensData,13,0),IF(AND(ISERROR(FIND(""drawer front"",A78))=FALSE,KitchenDoorStyle=""Flat""),(((B78/1000)*(C78/1000))*2)+((((B78+C78)/1000)*2)*0.022),IF(AND(ISERROR(FIND(""drawer front"",A78"&amp;"))=FALSE,LEFT(KitchenDoorStyle,5)=""Panel""),(((B78/1000)*(C78/1000))*2)+((((B78+C78)/1000)*2)*0.022)+((((C78/1000)-0.16)*0.013)*2)+((((D78/1000)-0.16)*0.013)*2),IF(AND(ISERROR(FIND(""drawer front"",A78))=FALSE,KitchenDoorStyle=""In-frame flat""),((((B78-"&amp;"76)/1000)*((C78-38)/1000))*2)+(MID(KitchenDoorMaterial,FIND(""("",KitchenDoorMaterial)+1,2)/1000)*((((B78-76)+(C78-38))/1000)*2)+(((B78/1000)*0.032)*2)+((((B78-76)/1000)*0.032)*2)+(((B78/1000)*0.019)*4)+(((C78/1000)*0.032)*2)+((((C78-38)/1000)*0.032)*2)+("&amp;"((C78/1000)*0.038)*4),IF(AND(ISERROR(FIND(""drawer front"",A78))=FALSE,LEFT(KitchenDoorStyle,14)=""In-frame panel""),((((B78-76)/1000)*((C78-38)/1000))*2)+((MID(KitchenDoorMaterial,FIND(""("",KitchenDoorMaterial)+1,2)/1000)*((((B78-76)+(C78-38))/1000)*2))"&amp;"+((((B78-236)/1000)+((C78-198)/1000)*2)*0.013)+(((B78/1000)*0.032)*2)+((((B78-76)/1000)*0.032)*2)+(((B78/1000)*0.019)*4)+(((C78/1000)*0.032)*2)+((((C78-38)/1000)*0.032)*2)+(((C78/1000)*0.038)*4),IF(ISERROR(FIND(""drawer box"",A78))=FALSE,((((B78/1000)*(D7"&amp;"8/1000))+((B78/1000)*(C78/1000)))*4)+((((D78/1000)+(C78/1000))*0.016)*4)+(((C78/1000)*(D78/1000))*2),IF(OR(ISERROR(FIND(""shelf"",A78))=FALSE,ISERROR(FIND(""spacer"",A78))=FALSE,,ISERROR(FIND(""filler panel"",A78))=FALSE),(((C78/1000)*(D78/1000))*2)+((((C"&amp;"78+D78)*2)/1000)*0.022),IF(ISERROR(FIND(""lost corner"",A78))=FALSE,(((B78/1000)*(C78/1000))*2)+((B78/1000)*(C78/1000))+((B78/1000)*((C78/2)/1000))+((((B78/1000)*0.025)+((C78/1000)*0.025))*2),IF(ISERROR(FIND(""carcass"",A78))=FALSE,(((C78/1000)*(D78/1000)"&amp;")*2)+(((B78/1000)*(D78/1000))*2)+((B78/1000)*(C78/1000))+((((B78/1000)*0.025)+((C78/1000)*0.025))*2),IF(AND(ISERROR(FIND(""door"",A78))=FALSE,KitchenDoorStyle=""Flat""),(((B78/1000)*(C78/1000))*2)+(MID(KitchenDoorMaterial,FIND(""("",KitchenDoorMaterial)+1"&amp;",2)/1000)*(((B78+C78)/1000)*2),IF(AND(ISERROR(FIND(""door"",A78))=FALSE,LEFT(KitchenDoorStyle,5)=""Panel""),(((B78/1000)*(C78/1000))*2)+((MID(KitchenDoorMaterial,FIND(""("",KitchenDoorMaterial)+1,2)/1000)*(((B78+C78)/1000)*2))+(((((B78-160)+(C78-160))*2)/"&amp;"1000)*(0.013)),IF(AND(ISERROR(FIND(""door"",A78))=FALSE,KitchenDoorStyle=""In-frame flat""),((((B78-76)/1000)*((C78-38)/1000))*2)+(MID(KitchenDoorMaterial,FIND(""("",KitchenDoorMaterial)+1,2)/1000)*((((B78-76)+(C78-38))/1000)*2)+(((B78/1000)*0.032)*2)+((("&amp;"(B78-76)/1000)*0.032)*2)+(((B78/1000)*0.019)*4)+(((C78/1000)*0.032)*2)+((((C78-38)/1000)*0.032)*2)+(((C78/1000)*0.038)*4),IF(AND(ISERROR(FIND(""door"",A78))=FALSE,LEFT(KitchenDoorStyle,14)=""In-frame panel""),((((B78-76)/1000)*((C78-38)/1000))*2)+((MID(Ki"&amp;"tchenDoorMaterial,FIND(""("",KitchenDoorMaterial)+1,2)/1000)*((((B78-76)+(C78-38))/1000)*2))+((((B78-236)/1000)+((C78-198)/1000)*2)*0.013)+(((B78/1000)*0.032)*2)+((((B78-76)/1000)*0.032)*2)+(((B78/1000)*0.019)*4)+(((C78/1000)*0.032)*2)+((((C78-38)/1000)*0"&amp;".032)*2)+(((C78/1000)*0.038)*4),IF(ISERROR(FIND(""Plinth"",A78))=FALSE,((B78/1000)*(C78/1000))+(((C78/1000)*0.018)*2)+(((B78/1000)*0.018)*2),IF(ISERROR(FIND(""Cornice"",A78))=FALSE,(((C78/1000)*0.1)*2)+(((C78/1000)*0.044)*2)+(((B78/1000)*0.08)*2),IF(ISERR"&amp;"OR(FIND(""Base end panel"",A78))=FALSE,((B78/1000)*(C78/1000))+(0.022*((B78/1000)+((C78/1000)*2)))+((B78/1000)*0.05),IF(ISERROR(FIND(""Wall end panel"",A78))=FALSE,((B78/1000)*(C78/1000))+(0.022*((B78/1000)+((C78/1000)*2)))+((B78/1000)*0.05),IF(ISERROR(FI"&amp;"ND(""Tower end panel"",A78))=FALSE,((B78/1000)*(C78/1000))+(0.022*((B78/1000)+((C78/1000)*2)))+((B78/1000)*0.05),IF(ISERROR(FIND(""Fillers"",A78))=FALSE,((C78/1000)*0.06)+((C78/1000)*0.069)+((0.06*0.018)*2)+((0.06*0.009)*2)+((C78/1000)*0.009)+((C78/1000)*"&amp;"0.018),IF(ISERROR(FIND(""corner post"",A78))=FALSE,(((B78/1000*0.05)*2)+((B78/1000)*0.022)*2)+((B78/1000)*0.072)+((B78/1000)*0.05)+((0.072*0.022)*2)+((0.05*0.022)*2),IF(ISERROR(FIND(""Pelmet"",A78))=FALSE,((C78/1000)*0.05)+((C78/1000)*0.068)+((0.05*0.018)"&amp;"*4)+(((C78/1000)*0.018))*2))))))))))))))))))))))))))))"),2.23)</f>
        <v>2.23</v>
      </c>
      <c r="N78" s="152">
        <f>IF(M78="","",IF(AND(ISERROR(FIND("carcass",A78))=TRUE,ISERROR(FIND("unit",A78))=TRUE,ISERROR(FIND("insert",A78))=TRUE,ISERROR(FIND("rack",A78))=TRUE,ISERROR(FIND("box",A78))=TRUE,ISERROR(FIND("shelf",#REF!))=TRUE),VLOOKUP(KitchenDoorFinish,Finishing!$A$2:$K$10,9,0)*M78,VLOOKUP(KitchenCarcassFinish,Finishing!$A$2:$K$40,9,0)*M78))</f>
        <v>8.3625</v>
      </c>
      <c r="O78" s="155">
        <v>3.0</v>
      </c>
      <c r="P78" s="155">
        <v>1.0</v>
      </c>
      <c r="Q78" s="152">
        <f>IF(OR(O78="",P78=""),"",((O78*X78)*(VLOOKUP("Workshop",Labour!$A$3:$E$20,4,0)/8))+((P78*AE78)*(VLOOKUP("Finishing",Labour!$A$3:$E$20,4,0)/8)))</f>
        <v>159.25</v>
      </c>
      <c r="R78" s="152">
        <f t="shared" si="4"/>
        <v>371.3811858</v>
      </c>
      <c r="S78" s="156">
        <f>IF(OR(O78="",P78=""),"",IF(OR(ISERROR(FIND("carcass",$A78))=FALSE,ISERROR(FIND("unit",$A78))=FALSE),VLOOKUP(KitchenCarcassMaterial,FixedListsCarcassMaterial,2,0),0))</f>
        <v>1</v>
      </c>
      <c r="T78" s="156">
        <f>IF(OR(O78="",P78=""),"",IF(ISERROR(FIND("door",$A78))=FALSE,VLOOKUP(KitchenDoorStyle,FixedListsDoorStyle,2,0),0))</f>
        <v>0</v>
      </c>
      <c r="U78" s="156">
        <f>IF(OR(O78="",P78=""),"",IF(ISERROR(FIND("door",$A78))=FALSE,VLOOKUP(KitchenDoorMaterial,FixedListsDoorMaterial,2,0),0))</f>
        <v>0</v>
      </c>
      <c r="V78" s="156">
        <f>IF(OR(O78="",P78=""),"",IF(ISERROR(FIND("drawer",$A78))=FALSE,VLOOKUP(KitchenDrawerType,FixedListsDrawerType,2,0),0))</f>
        <v>0</v>
      </c>
      <c r="W78" s="156">
        <f>IF(OR(O78="",P78=""),"",IF(OR(S78&gt;0, T78&gt;0,V78&gt;0),VLOOKUP(KitchenHandleType,FixedListsHandleType,2,FALSE)*IF(KitchenHandleType="Simple",0,IF(S78&gt;0,VLOOKUP(KitchenHandleType,FixedListsHandleType,4,FALSE),IF(OR(T78&gt;0,V78&gt;0),1-VLOOKUP(KitchenHandleType,FixedListsHandleType,4,FALSE),"Error"))),0))</f>
        <v>0</v>
      </c>
      <c r="X78" s="156">
        <f t="shared" si="5"/>
        <v>1</v>
      </c>
      <c r="Y78" s="156">
        <f>IF(OR(O78="",P78=""),"",IF(OR(ISERROR(FIND("carcass",$A78))=FALSE,ISERROR(FIND("unit",$A78))=FALSE),VLOOKUP(KitchenCarcassMaterial,FixedListsCarcassMaterial,3,0),0))</f>
        <v>1</v>
      </c>
      <c r="Z78" s="156">
        <f>IF(OR(O78="",P78=""),"",IF(ISERROR(FIND("door",$A78))=FALSE,VLOOKUP(KitchenDoorStyle,FixedListsDoorStyle,3,0),0))</f>
        <v>0</v>
      </c>
      <c r="AA78" s="156">
        <f>IF(OR(O78="",P78=""),"",IF(ISERROR(FIND("door",$A78))=FALSE,VLOOKUP(KitchenDoorMaterial,FixedListsDoorMaterial,3,0),0))</f>
        <v>0</v>
      </c>
      <c r="AB78" s="156">
        <f>IF(OR(O78="",P78=""),"",IF(ISERROR(FIND("drawer",$A78))=FALSE,VLOOKUP(KitchenDrawerType,FixedListsDrawerType,3,0),0))</f>
        <v>0</v>
      </c>
      <c r="AC78" s="156">
        <f>IF(OR(O78="",P78=""),"",IF(OR(Y78&gt;0,Z78&gt;0,AB78&gt;0),VLOOKUP(KitchenHandleType,FixedListsHandleType,3,FALSE),0))</f>
        <v>1</v>
      </c>
      <c r="AD78" s="156">
        <f>IF(OR(O78="",P78=""),"",IF(OR(ISERROR(FIND("carcass",$A78))=FALSE,ISERROR(FIND("unit",$A78))=FALSE),VLOOKUP(KitchenCarcassFinish,FixedListsFinishes,3,0),IF(OR(ISERROR(FIND("door",$A78))=FALSE,ISERROR(FIND("Plinth",$A78))=FALSE,ISERROR(FIND("Cornice",$A78))=FALSE,ISERROR(FIND("Fillers",$A78))=FALSE,ISERROR(FIND("Pelmet",$A78))=FALSE,ISERROR(FIND("panel",$A78))=FALSE,ISERROR(FIND("post",$A78))=FALSE),VLOOKUP(KitchenDoorFinish,FixedListsFinishes,3,0),IF(OR(ISERROR(FIND("drawer",$A78))=FALSE,ISERROR(FIND("insert",$A78))=FALSE,ISERROR(FIND("rck",$A78))=FALSE),VLOOKUP(KitchenCarcassFinish,FixedListsFinishes,3,0),0))))</f>
        <v>1</v>
      </c>
      <c r="AE78" s="156">
        <f t="shared" si="6"/>
        <v>1</v>
      </c>
      <c r="AF78" s="157" t="str">
        <f>IF(AND(KitchenHandleType="Channel",OR(ISERROR(FIND("arcass",$A78))=FALSE,ISERROR(FIND("unit",$A78))=FALSE)),IF(ISERROR(FIND("Tower",$A78))=TRUE,IF(KitchenHandleFinish="Match carcass",IF(ISERROR(FIND("Walnut",KitchenCarcassMaterial))=FALSE,(0.035*0.075*($C78/1000))*VLOOKUP("Walnut (solid m3)",SolidData,4,FALSE),IF(ISERROR(FIND("Oak",KitchenCarcassMaterial))=FALSE,(0.035*0.075*($C78/1000))*VLOOKUP("Oak (solid m3)",SolidData,4,FALSE),IF(ISERROR(FIND("ply",KitchenCarcassMaterial))=FALSE,(0.1*($C78/1000))*VLOOKUP("Birch ply (24mm)",SheetsData,7,FALSE),IF(ISERROR(FIND("H/F",KitchenCarcassMaterial))=FALSE,(0.1*($C78/1000))*VLOOKUP("H/F (22mm)",SheetsData,7,FALSE),"Carcass - not tower - new material")))),IF(KitchenHandleFinish="Match door",IF(ISERROR(FIND("Walnut",KitchenDoorMaterial))=FALSE,(0.035*0.075*($C78/1000))*VLOOKUP("Walnut (solid m3)",SolidData,4,FALSE),IF(ISERROR(FIND("Oak",KitchenDoorMaterial))=FALSE,(0.035*0.075*($C78/1000))*VLOOKUP("Oak (solid m3)",SolidData,4,FALSE),IF(ISERROR(FIND("ply",KitchenDoorMaterial))=FALSE,(0.1*($C78/1000))*VLOOKUP("Birch ply (24mm)",SheetsData,7,FALSE),IF(ISERROR(FIND("H/F",KitchenCarcassMaterial))=FALSE,(0.1*($C78/1000))*VLOOKUP("H/F (22mm)",SheetsData,7,FALSE),"Door - not tower - new material")))),"Channel - not tower - handle set to other")),IF(ISERROR(FIND("Tower",$A78))=FALSE,IF(KitchenHandleFinish="Match carcass",IF(ISERROR(FIND("Walnut",KitchenCarcassMaterial))=FALSE,(0.035*0.075*($B78/1000))*VLOOKUP("Walnut (solid m3)",SolidData,4,FALSE),IF(ISERROR(FIND("Oak",KitchenCarcassMaterial))=FALSE,(0.035*0.075*($B78/1000))*VLOOKUP("Oak (solid m3)",SolidData,4,FALSE),IF(ISERROR(FIND("ply",KitchenCarcassMaterial))=FALSE,(0.1*($B78/1000))*VLOOKUP("Birch ply (24mm)",SheetsData,7,FALSE),IF(ISERROR(FIND("H/F",KitchenCarcassMaterial))=FALSE,(0.1*($C78/1000))*VLOOKUP("H/F (22mm)",SheetsData,7,FALSE),"Carcass - tower - new material")))),IF(KitchenHandleFinish="Match door",IF(ISERROR(FIND("Walnut",KitchenDoorMaterial))=FALSE,(0.035*0.075*($B78/1000))*VLOOKUP("Walnut (solid m3)",SolidData,4,FALSE),IF(ISERROR(FIND("Oak",KitchenDoorMaterial))=FALSE,(0.035*0.075*($B78/1000))*VLOOKUP("Oak (solid m3)",SolidData,4,FALSE),IF(ISERROR(FIND("ply",KitchenDoorMaterial))=FALSE,(0.1*($B78/1000))*VLOOKUP("Birch ply (24mm)",SheetData,7,FALSE),IF(ISERROR(FIND("H/F",KitchenCarcassMaterial))=FALSE,(0.1*($C78/1000))*VLOOKUP("H/F (22mm)",SheetsData,7,FALSE),"Door - tower - new material")))),"Channel - tower - handle set to other")))),"")</f>
        <v/>
      </c>
    </row>
    <row r="79">
      <c r="A79" s="150" t="s">
        <v>187</v>
      </c>
      <c r="B79" s="115" t="str">
        <f t="shared" si="1"/>
        <v/>
      </c>
      <c r="C79" s="115" t="str">
        <f>IFERROR(__xludf.DUMMYFUNCTION("IF(A79="""","""",IF(OR(RIGHT(A79,LEN(A79)-len(regexextract(A79,"".* "")))=""1200"",RIGHT(A79,LEN(A79)-len(regexextract(A79,"".* "")))=""600"",RIGHT(A79,LEN(A79)-len(regexextract(A79,"".* "")))=""400"",RIGHT(A79,LEN(A79)-len(regexextract(A79,"".* "")))=""3"&amp;"00"",RIGHT(A79,LEN(A79)-len(regexextract(A79,"".* "")))=""700"",RIGHT(A79,LEN(A79)-len(regexextract(A79,"".* "")))=""2400"",RIGHT(A79,LEN(A79)-len(regexextract(A79,"".* "")))=""650"",RIGHT(A79,LEN(A79)-len(regexextract(A79,"".* "")))=""350"",RIGHT(A79,LEN"&amp;"(A79)-len(regexextract(A79,"".* "")))=""50""),RIGHT(A79,LEN(A79)-len(regexextract(A79,"".* ""))),IF(OR(ISERROR(FIND(""spacer"",A79))=FALSE,ISERROR(FIND(""filler panel"",A79))=FALSE),""1000"",""Unexpected size in description"")))"),"600")</f>
        <v>600</v>
      </c>
      <c r="D79" s="151" t="str">
        <f t="shared" si="2"/>
        <v/>
      </c>
      <c r="E79" s="152">
        <f>IFERROR(__xludf.DUMMYFUNCTION("IF(OR(A79="""",AND(ISERROR(FIND(""drawer box"",A79))=FALSE,KitchenDrawerType="""")),"""",IF(OR(ISERROR(FIND(""larder"",A79))=FALSE,ISERROR(FIND(""fridge/freezer"",A79))=FALSE,ISERROR(FIND(""double oven"",A79))=FALSE,ISERROR(FIND(""single oven"",A79))=FALS"&amp;"E),VLOOKUP(LEFT(A79,FIND("" "",A79))&amp;""carcass ""&amp;RIGHT(A79,LEN(A79)-(LEN(A79)-3)),KitchensData,5,0),IF(ISERROR(FIND(""sink"",A79))=FALSE,VLOOKUP(LEFT(A79,FIND("" "",A79))&amp;""carcass ""&amp;VALUE(REGEXREPLACE(A79,""[^[:digit:]]"", """")),KitchensData,5,0)+(((C"&amp;"79/1000)*(300/1000))*VLOOKUP(KitchenCarcassMaterial,SheetsData,8,0)),IF(ISERROR(FIND(""bins"",A79))=FALSE,IF(ISERROR(FIND(""veneer"",KitchenCarcassMaterial))=FALSE,VLOOKUP(""Base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600"",A79))=FALSE,IF(ISERROR(FIND(""veneer"""&amp;",KitchenCarcassMaterial))=FALSE,0.54*(VLOOKUP(LEFT(KitchenCarcassMaterial,FIND(""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1200"",A79))=FALSE,"&amp;"IF(ISERROR(FIND(""veneer"",KitchenCarcassMaterial))=FALSE,0.84*(VLOOKUP(LEFT(KitchenCarcassMaterial,FIND(""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600"",A79))=FALSE,IF(ISERROR(FIND(""veneer"",KitchenCarcassMaterial))=FALSE,1.44*(VLOOKUP(LEFT(KitchenCarcassMaterial,FIND(""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1200"",A79))=FALSE,IF(ISERROR(FIND(""veneer"",KitchenCarcassMaterial))=FALSE,2.7*(VLOOKUP(LEFT(KitchenCarcassMaterial,FIND(""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front"",A79))=FALSE,((B79/1000)*(C79/1000))*VLOOKUP(KitchenDoorMaterial,SheetsData,8,0),IF(AND(KitchenDrawerType=""Match carcass"",ISERROR(FIND(""drawer box"",A79))=FALSE),(((((B79/1000)*(C79/1000))+((B79/1000"&amp;")*(D79/1000)))*2)*VLOOKUP(KitchenCarcassMaterial,SheetsData,8,0))+(((C79/1000)*(D79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box"",A79))=FALSE),(((((B79/1000)*(C79/1000))+((B79/1000)*(D79/1000)))*2)*(16/1000)*VLOOKUP(LEFT(KitchenCarcassMaterial,FIND("" "&amp;""",KitchenCarcassMaterial))&amp;""(solid m3)"",SolidData,5,0))+(((C79/1000)*(D79/1000))*VLOOKUP(LEFT(KitchenCarcassMaterial,FIND(""("",KitchenCarcassMaterial)-1)&amp;IF(OR(ISERROR(FIND(""ply"",KitchenCarcassMaterial))=FALSE,ISERROR(FIND(""H/F"",KitchenCarcassMate"&amp;"rial))=FALSE),""(9mm)"",""(10mm)""),SheetsData,8,0)),IF(ISERROR(FIND(""spacer"",A79))=FALSE,((D79/1000)*(C79/1000))*VLOOKUP(""Poplar ply (18mm)"",SheetsData,8,0),IF(ISERROR(FIND(""filler panel"",A79))=FALSE,((B79/1000)*(C79/1000))*VLOOKUP(KitchenDoorMater"&amp;"ial,SheetsData,8,0),IF(ISERROR(FIND(""shelf"",A79))=FALSE,((D79/1000)*(C79/1000))*VLOOKUP(KitchenCarcassMaterial,SheetsData,8,0),IF(ISERROR(FIND(""lost corner"",A79))=FALSE,VLOOKUP(LEFT(A79,FIND("" "",A79))&amp;""carcass ""&amp;VALUE(REGEXREPLACE(A79,""[^[:digit:"&amp;"]]"", """")),KitchensData,5,0)+((((B79/1000)*(C79/1000))+((B79/1000)*(60/1000)))*VLOOKUP(KitchenCarcassMaterial,SheetsData,8,0)),IF(ISERROR(FIND(""carcass"",A79))=FALSE,(((((B79/1000)*2)*(D79/1000))+(((C79/1000)*2)*(D79/1000)))*VLOOKUP(KitchenCarcassMater"&amp;"ial,SheetsData,8,0))+((B79/1000)*(C79/1000))*VLOOKUP(LEFT(KitchenCarcassMaterial,FIND(""("",KitchenCarcassMaterial)-1)&amp;IF(OR(ISERROR(FIND(""ply"",KitchenCarcassMaterial))=FALSE,ISERROR(FIND(""H/F"",KitchenCarcassMaterial))=FALSE),""(9mm)"",""(10mm)""),She"&amp;"etsData,8,0),IF(OR(ISERROR(FIND(""Plinth"",A79))=FALSE,ISERROR(FIND(""Cornice (flat)"",A79))=FALSE),((B79/1000)*(C79/1000))*VLOOKUP(""H/F (18mm)"",SheetsData,8,0),IF(ISERROR(FIND(""Cornice (stacked)"",A79))=FALSE,((0.08*(C79/1000))*2)*VLOOKUP(""H/F (22mm)"&amp;""",SheetsData,8,0),IF(ISERROR(FIND(""Base end panel"",A79))=FALSE,VLOOKUP(KitchenDoorMaterial,SheetsData,5,0)/3,IF(ISERROR(FIND(""Wall end panel"",A79))=FALSE,VLOOKUP(KitchenDoorMaterial,SheetsData,5,0)/9,IF(ISERROR(FIND(""Tower end panel"",A79))=FALSE,VL"&amp;"OOKUP(KitchenDoorMaterial,SheetsData,5,0),IF(ISERROR(FIND(""Fillers"",A79))=FALSE,(((0.06*(C79/1000))*2)*VLOOKUP(""H/F (18mm)"",SheetsData,8,0))+(((0.06*(C79/1000))*2)*VLOOKUP(""H/F (9mm)"",SheetsData,8,0)),IF(ISERROR(FIND(""corner post"",A79))=FALSE,(((B"&amp;"79/1000)*0.05)*2)*VLOOKUP(KitchenDoorMaterial,SheetsData,8,0),IF(ISERROR(FIND(""Pelmet"",A79))=FALSE,((((B79/1000)*(C79/1000))*2)*VLOOKUP(""H/F (18mm)"",SheetsData,8,0)),IF(ISERROR(FIND(""door"",A79))=TRUE,""Check description"",IF(KitchenDoorStyle=""Flat"&amp;""",((B79/1000)*(C79/1000))*VLOOKUP(KitchenDoorMaterial,SheetsData,8,0),IF(LEFT(KitchenDoorStyle,5)=""Panel"",(((((B79/1000)*2)*0.08)+((((C79/1000)-0.16)*2)*0.08))*VLOOKUP(""H/F (22mm)"",SheetsData,8,0))+(((B79/1000)-0.14)*((C79/1000)-0.14)*VLOOKUP(""H/F ("&amp;"9mm)"",SheetsData,8,0)),IF(KitchenDoorStyle=""In-frame flat"",((((((B79/1000)*0.019)*0.038)+((((C79-38)/1000)*0.038)*0.038))*2)*VLOOKUP(""Tulip (solid m3)"",SolidData,5,0))+(((B79-76)/1000)*((C79-38)/1000))*VLOOKUP(""H/F (22mm)"",SheetsData,8,0),IF(LEFT(K"&amp;"itchenDoorStyle,14)=""In-frame panel"",(((((((B79/1000)*0.019)*0.038)+((((C79-38)/1000)*0.038)*0.038))*2)*VLOOKUP(""Tulip (solid m3)"",SolidData,5,0))+(((((((B79-76)/1000)*2)*0.08)+(((((C79-198)/1000)*2)*0.08)))*VLOOKUP(""H/F (22mm)"",SheetsData,8,0))+((("&amp;"B79-216)/1000)*((C79-178)/1000)*VLOOKUP(""H/F (9mm)"",SheetsData,8,0)))))))))))))))))))))))))))))))))"),17.94981187852728)</f>
        <v>17.94981188</v>
      </c>
      <c r="F79" s="152" t="str">
        <f>IFERROR(__xludf.DUMMYFUNCTION("IF(OR(A79="""",AND(ISERROR(FIND(""drawer box"",A79))=FALSE,KitchenDrawerType=""Solid dovetail"")),"""",IF(ISERROR(FIND(""bins"",A79))=FALSE,VLOOKUP(""Base carcass 600"",KitchensData,6,0),IF(OR(ISERROR(FIND(""larder"",A79))=FALSE,ISERROR(FIND(""unit"",A79)"&amp;")=FALSE),VLOOKUP(LEFT(A79,FIND("" "",A79))&amp;""carcass ""&amp;RIGHT(A79,LEN(A79)-len(regexextract(A79,"".* ""))),KitchensData,6,0),IF(ISERROR(FIND(""drawer front"",A79))=FALSE,IF(ISERROR(FIND(""veneer"",KitchenCarcassMaterial))=TRUE,0,(((B79+C79)/1000)*2)*VLOOK"&amp;"UP(""Edge banding (per M)"",SheetsData,5,0)),IF(ISERROR(FIND(""drawer box"",A79))=FALSE,IF(ISERROR(FIND(""veneer"",KitchenCarcassMaterial))=TRUE,0,(((C79+D79)/1000)*2)*VLOOKUP(""Edge banding (per M)"",SheetsData,5,0)),IF(ISERROR(FIND(""shelf"",A79))=FALSE"&amp;",IF(ISERROR(FIND(""veneer"",KitchenCarcassMaterial))=TRUE,0,(C79/1000)*VLOOKUP(""Edge banding (per M)"",SheetsData,5,0)),IF(AND(ISERROR(FIND(""carcass"",A79))=FALSE,ISERROR(FIND(""shelf"",A79))=TRUE),IF(ISERROR(FIND(""veneer"",KitchenCarcassMaterial))=TRU"&amp;"E,0,((2*(B79+C79))/1000)*VLOOKUP(""Edge banding (per M)"",SheetsData,5,0)),IF(ISERROR(FIND(""door"",A79))=TRUE,"""",IF(ISERROR(FIND(""veneer"",KitchenDoorMaterial))=TRUE,"""",((2*(B79+C79))/1000)*VLOOKUP(""Edge banding (per M)"",SheetsData,5,0))))))))))"),"")</f>
        <v/>
      </c>
      <c r="G79" s="153" t="str">
        <f>IF(A79="","",IF(ISERROR(FIND("bins",A79))=FALSE,VLOOKUP("Base carcass 600",KitchensData,7,0),IF(OR(ISERROR(FIND("larder",A79))=FALSE,ISERROR(FIND("fridge/freezer",A79))=FALSE,ISERROR(FIND("double oven",A79))=FALSE,ISERROR(FIND("single oven",A79))=FALSE),VLOOKUP(LEFT(A79,FIND(" ",A79))&amp;"carcass "&amp;RIGHT(A79,LEN(A79)-(LEN(A79)-3)),KitchensData,7,0),IF(AND(ISERROR(FIND("carcass",A79))=FALSE,ISERROR(FIND("shelf",A79))=TRUE),IF(OR(ISERROR(FIND("Base",A79))=FALSE,ISERROR(FIND("Tower",A79))=FALSE),IF(OR(ISERROR(FIND("1200",A79))=FALSE, ISERROR(FIND("lost corner",A79))=FALSE),6*VLOOKUP("Plinth foot (2 Parts 80mm)",FurnitureData,5,0),4*VLOOKUP("Plinth foot (2 Parts 80mm)",FurnitureData,5,0)),""),""))))</f>
        <v/>
      </c>
      <c r="H79" s="115" t="str">
        <f>IF(OR(A79="",ISERROR(FIND("door",A79))=TRUE),"",IF(ISERROR(FIND("Wall",A79))=FALSE,VLOOKUP("Hinges &amp; plates (Hettich thick door)",FurnitureData,5,0)*2,IF(ISERROR(FIND("Base",A79))=FALSE,VLOOKUP("Hinges &amp; plates (Hettich thick door)",FurnitureData,5,0)*3,IF(ISERROR(FIND("Boiler",A79))=FALSE,VLOOKUP("Hinges &amp; plates (Hettich thick door)",FurnitureData,5,0)*4,IF(ISERROR(FIND("Tower",A79))=FALSE,VLOOKUP("Hinges &amp; plates (Hettich thick door)",FurnitureData,5,0)*5)))))</f>
        <v/>
      </c>
      <c r="I79" s="115" t="str">
        <f>IF(ISERROR(FIND("shelf",A79))=FALSE,(VLOOKUP("Shelf pegs",FurnitureData,5,0)/100)*4,"")</f>
        <v/>
      </c>
      <c r="J79" s="152" t="str">
        <f>IF(OR(ISERROR(FIND("fridge/freezer",A79))=FALSE,ISERROR(FIND("larder",A79))=FALSE,AND(ISERROR(FIND("Base",A79))=FALSE,ISERROR(FIND("bins",A79))=TRUE,ISERROR(FIND("no shelves",A79))=TRUE,OR(ISERROR(FIND("carcass",A79))=FALSE,ISERROR(FIND("unit",A79))=FALSE))),VLOOKUP("Deep shelf "&amp;C79,KitchensData,18,0),IF(AND(ISERROR(FIND("Wall",A79))=FALSE,ISERROR(FIND("carcass",A79))=FALSE),2*VLOOKUP("Shallow shelf "&amp;C79,KitchensData,18,0),IF(AND(ISERROR(FIND("Tower",A79))=FALSE,ISERROR(FIND("oven",A79))=FALSE),4*VLOOKUP("Deep shelf "&amp;C79,KitchensData,18,0),IF(AND(ISERROR(FIND("Tower",A79))=FALSE,ISERROR(FIND("carcass",A79))=FALSE),5*VLOOKUP("Deep shelf "&amp;C79,KitchensData,18,0),""))))</f>
        <v/>
      </c>
      <c r="K79" s="152" t="str">
        <f>IF(ISERROR(FIND("sink",A79))=FALSE,VLOOKUP("Sink liner - Aluminium "&amp;RIGHT(A79,LEN(A79)-22)&amp;"mm",ExceptionalData,5,0),IF(ISERROR(FIND("bins",A79))=FALSE,VLOOKUP("Drawer runners and clip set for bin unit (500) Dynapro",FurnitureData,5,0)+(2*VLOOKUP("Bin (42L Anthracite)",FurnitureData,5,0)),IF(ISERROR(FIND("larder",A79))=FALSE,VLOOKUP("Pull out larder unit 600mm",FurnitureData,5,0),IF(AND(ISERROR(FIND("drawer box",A79))=FALSE,ISERROR(FIND("internal",A79))=TRUE),VLOOKUP("Drawer runners and clip set (550) Dynapro",FurnitureData,5,0),IF(ISERROR(FIND("internal drawer box",A79))=FALSE,VLOOKUP("Drawer runners and clip set (450) Dynapro",FurnitureData,5,0),"")))))</f>
        <v/>
      </c>
      <c r="L79" s="152">
        <f t="shared" si="3"/>
        <v>17.94981188</v>
      </c>
      <c r="M79" s="154">
        <f>IFERROR(__xludf.DUMMYFUNCTION("IF(A79="""","""",IF(OR(ISERROR(FIND(""larder"",A79))=FALSE,ISERROR(FIND(""unit"",A79))=FALSE),VLOOKUP(LEFT(A79,FIND("" "",A79))&amp;""carcass ""&amp;RIGHT(A79,LEN(A79)-len(regexextract(A79,"".* ""))),KitchensData,13,0),IF(ISERROR(FIND(""bins"",A79))=FALSE,0.95,IF"&amp;"(ISERROR(FIND(""Cutlery insert 600"",A79))=FALSE,1.3,IF(ISERROR(FIND(""Cutlery insert 1200"",A79))=FALSE,2,IF(ISERROR(FIND(""Pan/tray rack 600"",A79))=FALSE,3.25,IF(ISERROR(FIND(""Pan/tray rack 1200"",A79))=FALSE,5.9,IF(ISERROR(FIND(""split"",A79))=FALSE,"&amp;"(((C79/1000)*0.022)*2)+VLOOKUP(SUBSTITUTE(A79,"" split"",""""),KitchensData,13,0),IF(AND(ISERROR(FIND(""drawer front"",A79))=FALSE,KitchenDoorStyle=""Flat""),(((B79/1000)*(C79/1000))*2)+((((B79+C79)/1000)*2)*0.022),IF(AND(ISERROR(FIND(""drawer front"",A79"&amp;"))=FALSE,LEFT(KitchenDoorStyle,5)=""Panel""),(((B79/1000)*(C79/1000))*2)+((((B79+C79)/1000)*2)*0.022)+((((C79/1000)-0.16)*0.013)*2)+((((D79/1000)-0.16)*0.013)*2),IF(AND(ISERROR(FIND(""drawer front"",A79))=FALSE,KitchenDoorStyle=""In-frame flat""),((((B79-"&amp;"76)/1000)*((C79-38)/1000))*2)+(MID(KitchenDoorMaterial,FIND(""("",KitchenDoorMaterial)+1,2)/1000)*((((B79-76)+(C79-38))/1000)*2)+(((B79/1000)*0.032)*2)+((((B79-76)/1000)*0.032)*2)+(((B79/1000)*0.019)*4)+(((C79/1000)*0.032)*2)+((((C79-38)/1000)*0.032)*2)+("&amp;"((C79/1000)*0.038)*4),IF(AND(ISERROR(FIND(""drawer front"",A79))=FALSE,LEFT(KitchenDoorStyle,14)=""In-frame panel""),((((B79-76)/1000)*((C79-38)/1000))*2)+((MID(KitchenDoorMaterial,FIND(""("",KitchenDoorMaterial)+1,2)/1000)*((((B79-76)+(C79-38))/1000)*2))"&amp;"+((((B79-236)/1000)+((C79-198)/1000)*2)*0.013)+(((B79/1000)*0.032)*2)+((((B79-76)/1000)*0.032)*2)+(((B79/1000)*0.019)*4)+(((C79/1000)*0.032)*2)+((((C79-38)/1000)*0.032)*2)+(((C79/1000)*0.038)*4),IF(ISERROR(FIND(""drawer box"",A79))=FALSE,((((B79/1000)*(D7"&amp;"9/1000))+((B79/1000)*(C79/1000)))*4)+((((D79/1000)+(C79/1000))*0.016)*4)+(((C79/1000)*(D79/1000))*2),IF(OR(ISERROR(FIND(""shelf"",A79))=FALSE,ISERROR(FIND(""spacer"",A79))=FALSE,,ISERROR(FIND(""filler panel"",A79))=FALSE),(((C79/1000)*(D79/1000))*2)+((((C"&amp;"79+D79)*2)/1000)*0.022),IF(ISERROR(FIND(""lost corner"",A79))=FALSE,(((B79/1000)*(C79/1000))*2)+((B79/1000)*(C79/1000))+((B79/1000)*((C79/2)/1000))+((((B79/1000)*0.025)+((C79/1000)*0.025))*2),IF(ISERROR(FIND(""carcass"",A79))=FALSE,(((C79/1000)*(D79/1000)"&amp;")*2)+(((B79/1000)*(D79/1000))*2)+((B79/1000)*(C79/1000))+((((B79/1000)*0.025)+((C79/1000)*0.025))*2),IF(AND(ISERROR(FIND(""door"",A79))=FALSE,KitchenDoorStyle=""Flat""),(((B79/1000)*(C79/1000))*2)+(MID(KitchenDoorMaterial,FIND(""("",KitchenDoorMaterial)+1"&amp;",2)/1000)*(((B79+C79)/1000)*2),IF(AND(ISERROR(FIND(""door"",A79))=FALSE,LEFT(KitchenDoorStyle,5)=""Panel""),(((B79/1000)*(C79/1000))*2)+((MID(KitchenDoorMaterial,FIND(""("",KitchenDoorMaterial)+1,2)/1000)*(((B79+C79)/1000)*2))+(((((B79-160)+(C79-160))*2)/"&amp;"1000)*(0.013)),IF(AND(ISERROR(FIND(""door"",A79))=FALSE,KitchenDoorStyle=""In-frame flat""),((((B79-76)/1000)*((C79-38)/1000))*2)+(MID(KitchenDoorMaterial,FIND(""("",KitchenDoorMaterial)+1,2)/1000)*((((B79-76)+(C79-38))/1000)*2)+(((B79/1000)*0.032)*2)+((("&amp;"(B79-76)/1000)*0.032)*2)+(((B79/1000)*0.019)*4)+(((C79/1000)*0.032)*2)+((((C79-38)/1000)*0.032)*2)+(((C79/1000)*0.038)*4),IF(AND(ISERROR(FIND(""door"",A79))=FALSE,LEFT(KitchenDoorStyle,14)=""In-frame panel""),((((B79-76)/1000)*((C79-38)/1000))*2)+((MID(Ki"&amp;"tchenDoorMaterial,FIND(""("",KitchenDoorMaterial)+1,2)/1000)*((((B79-76)+(C79-38))/1000)*2))+((((B79-236)/1000)+((C79-198)/1000)*2)*0.013)+(((B79/1000)*0.032)*2)+((((B79-76)/1000)*0.032)*2)+(((B79/1000)*0.019)*4)+(((C79/1000)*0.032)*2)+((((C79-38)/1000)*0"&amp;".032)*2)+(((C79/1000)*0.038)*4),IF(ISERROR(FIND(""Plinth"",A79))=FALSE,((B79/1000)*(C79/1000))+(((C79/1000)*0.018)*2)+(((B79/1000)*0.018)*2),IF(ISERROR(FIND(""Cornice"",A79))=FALSE,(((C79/1000)*0.1)*2)+(((C79/1000)*0.044)*2)+(((B79/1000)*0.08)*2),IF(ISERR"&amp;"OR(FIND(""Base end panel"",A79))=FALSE,((B79/1000)*(C79/1000))+(0.022*((B79/1000)+((C79/1000)*2)))+((B79/1000)*0.05),IF(ISERROR(FIND(""Wall end panel"",A79))=FALSE,((B79/1000)*(C79/1000))+(0.022*((B79/1000)+((C79/1000)*2)))+((B79/1000)*0.05),IF(ISERROR(FI"&amp;"ND(""Tower end panel"",A79))=FALSE,((B79/1000)*(C79/1000))+(0.022*((B79/1000)+((C79/1000)*2)))+((B79/1000)*0.05),IF(ISERROR(FIND(""Fillers"",A79))=FALSE,((C79/1000)*0.06)+((C79/1000)*0.069)+((0.06*0.018)*2)+((0.06*0.009)*2)+((C79/1000)*0.009)+((C79/1000)*"&amp;"0.018),IF(ISERROR(FIND(""corner post"",A79))=FALSE,(((B79/1000*0.05)*2)+((B79/1000)*0.022)*2)+((B79/1000)*0.072)+((B79/1000)*0.05)+((0.072*0.022)*2)+((0.05*0.022)*2),IF(ISERROR(FIND(""Pelmet"",A79))=FALSE,((C79/1000)*0.05)+((C79/1000)*0.068)+((0.05*0.018)"&amp;"*4)+(((C79/1000)*0.018))*2))))))))))))))))))))))))))))"),1.3)</f>
        <v>1.3</v>
      </c>
      <c r="N79" s="152">
        <f>IF(M79="","",IF(AND(ISERROR(FIND("carcass",A79))=TRUE,ISERROR(FIND("unit",A79))=TRUE,ISERROR(FIND("insert",A79))=TRUE,ISERROR(FIND("rack",A79))=TRUE,ISERROR(FIND("box",A79))=TRUE,ISERROR(FIND("shelf",#REF!))=TRUE),VLOOKUP(KitchenDoorFinish,Finishing!$A$2:$K$10,9,0)*M79,VLOOKUP(KitchenCarcassFinish,Finishing!$A$2:$K$40,9,0)*M79))</f>
        <v>4.875</v>
      </c>
      <c r="O79" s="155">
        <v>2.0</v>
      </c>
      <c r="P79" s="155">
        <v>1.0</v>
      </c>
      <c r="Q79" s="152">
        <f>IF(OR(O79="",P79=""),"",((O79*X79)*(VLOOKUP("Workshop",Labour!$A$3:$E$20,4,0)/8))+((P79*AE79)*(VLOOKUP("Finishing",Labour!$A$3:$E$20,4,0)/8)))</f>
        <v>115.5</v>
      </c>
      <c r="R79" s="152">
        <f t="shared" si="4"/>
        <v>138.3248119</v>
      </c>
      <c r="S79" s="156">
        <f>IF(OR(O79="",P79=""),"",IF(OR(ISERROR(FIND("carcass",$A79))=FALSE,ISERROR(FIND("unit",$A79))=FALSE),VLOOKUP(KitchenCarcassMaterial,FixedListsCarcassMaterial,2,0),0))</f>
        <v>0</v>
      </c>
      <c r="T79" s="156">
        <f>IF(OR(O79="",P79=""),"",IF(ISERROR(FIND("door",$A79))=FALSE,VLOOKUP(KitchenDoorStyle,FixedListsDoorStyle,2,0),0))</f>
        <v>0</v>
      </c>
      <c r="U79" s="156">
        <f>IF(OR(O79="",P79=""),"",IF(ISERROR(FIND("door",$A79))=FALSE,VLOOKUP(KitchenDoorMaterial,FixedListsDoorMaterial,2,0),0))</f>
        <v>0</v>
      </c>
      <c r="V79" s="156">
        <f>IF(OR(O79="",P79=""),"",IF(ISERROR(FIND("drawer",$A79))=FALSE,VLOOKUP(KitchenDrawerType,FixedListsDrawerType,2,0),0))</f>
        <v>0</v>
      </c>
      <c r="W79" s="156">
        <f>IF(OR(O79="",P79=""),"",IF(OR(S79&gt;0, T79&gt;0,V79&gt;0),VLOOKUP(KitchenHandleType,FixedListsHandleType,2,FALSE)*IF(KitchenHandleType="Simple",0,IF(S79&gt;0,VLOOKUP(KitchenHandleType,FixedListsHandleType,4,FALSE),IF(OR(T79&gt;0,V79&gt;0),1-VLOOKUP(KitchenHandleType,FixedListsHandleType,4,FALSE),"Error"))),0))</f>
        <v>0</v>
      </c>
      <c r="X79" s="156">
        <f t="shared" si="5"/>
        <v>1</v>
      </c>
      <c r="Y79" s="156">
        <f>IF(OR(O79="",P79=""),"",IF(OR(ISERROR(FIND("carcass",$A79))=FALSE,ISERROR(FIND("unit",$A79))=FALSE),VLOOKUP(KitchenCarcassMaterial,FixedListsCarcassMaterial,3,0),0))</f>
        <v>0</v>
      </c>
      <c r="Z79" s="156">
        <f>IF(OR(O79="",P79=""),"",IF(ISERROR(FIND("door",$A79))=FALSE,VLOOKUP(KitchenDoorStyle,FixedListsDoorStyle,3,0),0))</f>
        <v>0</v>
      </c>
      <c r="AA79" s="156">
        <f>IF(OR(O79="",P79=""),"",IF(ISERROR(FIND("door",$A79))=FALSE,VLOOKUP(KitchenDoorMaterial,FixedListsDoorMaterial,3,0),0))</f>
        <v>0</v>
      </c>
      <c r="AB79" s="156">
        <f>IF(OR(O79="",P79=""),"",IF(ISERROR(FIND("drawer",$A79))=FALSE,VLOOKUP(KitchenDrawerType,FixedListsDrawerType,3,0),0))</f>
        <v>0</v>
      </c>
      <c r="AC79" s="156">
        <f>IF(OR(O79="",P79=""),"",IF(OR(Y79&gt;0,Z79&gt;0,AB79&gt;0),VLOOKUP(KitchenHandleType,FixedListsHandleType,3,FALSE),0))</f>
        <v>0</v>
      </c>
      <c r="AD79" s="156">
        <f>IF(OR(O79="",P79=""),"",IF(OR(ISERROR(FIND("carcass",$A79))=FALSE,ISERROR(FIND("unit",$A79))=FALSE),VLOOKUP(KitchenCarcassFinish,FixedListsFinishes,3,0),IF(OR(ISERROR(FIND("door",$A79))=FALSE,ISERROR(FIND("Plinth",$A79))=FALSE,ISERROR(FIND("Cornice",$A79))=FALSE,ISERROR(FIND("Fillers",$A79))=FALSE,ISERROR(FIND("Pelmet",$A79))=FALSE,ISERROR(FIND("panel",$A79))=FALSE,ISERROR(FIND("post",$A79))=FALSE),VLOOKUP(KitchenDoorFinish,FixedListsFinishes,3,0),IF(OR(ISERROR(FIND("drawer",$A79))=FALSE,ISERROR(FIND("insert",$A79))=FALSE,ISERROR(FIND("rck",$A79))=FALSE),VLOOKUP(KitchenCarcassFinish,FixedListsFinishes,3,0),0))))</f>
        <v>1</v>
      </c>
      <c r="AE79" s="156">
        <f t="shared" si="6"/>
        <v>1</v>
      </c>
      <c r="AF79" s="157" t="str">
        <f>IF(AND(KitchenHandleType="Channel",OR(ISERROR(FIND("arcass",$A79))=FALSE,ISERROR(FIND("unit",$A79))=FALSE)),IF(ISERROR(FIND("Tower",$A79))=TRUE,IF(KitchenHandleFinish="Match carcass",IF(ISERROR(FIND("Walnut",KitchenCarcassMaterial))=FALSE,(0.035*0.075*($C79/1000))*VLOOKUP("Walnut (solid m3)",SolidData,4,FALSE),IF(ISERROR(FIND("Oak",KitchenCarcassMaterial))=FALSE,(0.035*0.075*($C79/1000))*VLOOKUP("Oak (solid m3)",SolidData,4,FALSE),IF(ISERROR(FIND("ply",KitchenCarcassMaterial))=FALSE,(0.1*($C79/1000))*VLOOKUP("Birch ply (24mm)",SheetsData,7,FALSE),IF(ISERROR(FIND("H/F",KitchenCarcassMaterial))=FALSE,(0.1*($C79/1000))*VLOOKUP("H/F (22mm)",SheetsData,7,FALSE),"Carcass - not tower - new material")))),IF(KitchenHandleFinish="Match door",IF(ISERROR(FIND("Walnut",KitchenDoorMaterial))=FALSE,(0.035*0.075*($C79/1000))*VLOOKUP("Walnut (solid m3)",SolidData,4,FALSE),IF(ISERROR(FIND("Oak",KitchenDoorMaterial))=FALSE,(0.035*0.075*($C79/1000))*VLOOKUP("Oak (solid m3)",SolidData,4,FALSE),IF(ISERROR(FIND("ply",KitchenDoorMaterial))=FALSE,(0.1*($C79/1000))*VLOOKUP("Birch ply (24mm)",SheetsData,7,FALSE),IF(ISERROR(FIND("H/F",KitchenCarcassMaterial))=FALSE,(0.1*($C79/1000))*VLOOKUP("H/F (22mm)",SheetsData,7,FALSE),"Door - not tower - new material")))),"Channel - not tower - handle set to other")),IF(ISERROR(FIND("Tower",$A79))=FALSE,IF(KitchenHandleFinish="Match carcass",IF(ISERROR(FIND("Walnut",KitchenCarcassMaterial))=FALSE,(0.035*0.075*($B79/1000))*VLOOKUP("Walnut (solid m3)",SolidData,4,FALSE),IF(ISERROR(FIND("Oak",KitchenCarcassMaterial))=FALSE,(0.035*0.075*($B79/1000))*VLOOKUP("Oak (solid m3)",SolidData,4,FALSE),IF(ISERROR(FIND("ply",KitchenCarcassMaterial))=FALSE,(0.1*($B79/1000))*VLOOKUP("Birch ply (24mm)",SheetsData,7,FALSE),IF(ISERROR(FIND("H/F",KitchenCarcassMaterial))=FALSE,(0.1*($C79/1000))*VLOOKUP("H/F (22mm)",SheetsData,7,FALSE),"Carcass - tower - new material")))),IF(KitchenHandleFinish="Match door",IF(ISERROR(FIND("Walnut",KitchenDoorMaterial))=FALSE,(0.035*0.075*($B79/1000))*VLOOKUP("Walnut (solid m3)",SolidData,4,FALSE),IF(ISERROR(FIND("Oak",KitchenDoorMaterial))=FALSE,(0.035*0.075*($B79/1000))*VLOOKUP("Oak (solid m3)",SolidData,4,FALSE),IF(ISERROR(FIND("ply",KitchenDoorMaterial))=FALSE,(0.1*($B79/1000))*VLOOKUP("Birch ply (24mm)",SheetData,7,FALSE),IF(ISERROR(FIND("H/F",KitchenCarcassMaterial))=FALSE,(0.1*($C79/1000))*VLOOKUP("H/F (22mm)",SheetsData,7,FALSE),"Door - tower - new material")))),"Channel - tower - handle set to other")))),"")</f>
        <v/>
      </c>
    </row>
    <row r="80">
      <c r="A80" s="150" t="s">
        <v>188</v>
      </c>
      <c r="B80" s="115" t="str">
        <f t="shared" si="1"/>
        <v/>
      </c>
      <c r="C80" s="115" t="str">
        <f>IFERROR(__xludf.DUMMYFUNCTION("IF(A80="""","""",IF(OR(RIGHT(A80,LEN(A80)-len(regexextract(A80,"".* "")))=""1200"",RIGHT(A80,LEN(A80)-len(regexextract(A80,"".* "")))=""600"",RIGHT(A80,LEN(A80)-len(regexextract(A80,"".* "")))=""400"",RIGHT(A80,LEN(A80)-len(regexextract(A80,"".* "")))=""3"&amp;"00"",RIGHT(A80,LEN(A80)-len(regexextract(A80,"".* "")))=""700"",RIGHT(A80,LEN(A80)-len(regexextract(A80,"".* "")))=""2400"",RIGHT(A80,LEN(A80)-len(regexextract(A80,"".* "")))=""650"",RIGHT(A80,LEN(A80)-len(regexextract(A80,"".* "")))=""350"",RIGHT(A80,LEN"&amp;"(A80)-len(regexextract(A80,"".* "")))=""50""),RIGHT(A80,LEN(A80)-len(regexextract(A80,"".* ""))),IF(OR(ISERROR(FIND(""spacer"",A80))=FALSE,ISERROR(FIND(""filler panel"",A80))=FALSE),""1000"",""Unexpected size in description"")))"),"1200")</f>
        <v>1200</v>
      </c>
      <c r="D80" s="151" t="str">
        <f t="shared" si="2"/>
        <v/>
      </c>
      <c r="E80" s="152">
        <f>IFERROR(__xludf.DUMMYFUNCTION("IF(OR(A80="""",AND(ISERROR(FIND(""drawer box"",A80))=FALSE,KitchenDrawerType="""")),"""",IF(OR(ISERROR(FIND(""larder"",A80))=FALSE,ISERROR(FIND(""fridge/freezer"",A80))=FALSE,ISERROR(FIND(""double oven"",A80))=FALSE,ISERROR(FIND(""single oven"",A80))=FALS"&amp;"E),VLOOKUP(LEFT(A80,FIND("" "",A80))&amp;""carcass ""&amp;RIGHT(A80,LEN(A80)-(LEN(A80)-3)),KitchensData,5,0),IF(ISERROR(FIND(""sink"",A80))=FALSE,VLOOKUP(LEFT(A80,FIND("" "",A80))&amp;""carcass ""&amp;VALUE(REGEXREPLACE(A80,""[^[:digit:]]"", """")),KitchensData,5,0)+(((C"&amp;"80/1000)*(300/1000))*VLOOKUP(KitchenCarcassMaterial,SheetsData,8,0)),IF(ISERROR(FIND(""bins"",A80))=FALSE,IF(ISERROR(FIND(""veneer"",KitchenCarcassMaterial))=FALSE,VLOOKUP(""Base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600"",A80))=FALSE,IF(ISERROR(FIND(""veneer"""&amp;",KitchenCarcassMaterial))=FALSE,0.54*(VLOOKUP(LEFT(KitchenCarcassMaterial,FIND(""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1200"",A80))=FALSE,"&amp;"IF(ISERROR(FIND(""veneer"",KitchenCarcassMaterial))=FALSE,0.84*(VLOOKUP(LEFT(KitchenCarcassMaterial,FIND(""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600"",A80))=FALSE,IF(ISERROR(FIND(""veneer"",KitchenCarcassMaterial))=FALSE,1.44*(VLOOKUP(LEFT(KitchenCarcassMaterial,FIND(""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1200"",A80))=FALSE,IF(ISERROR(FIND(""veneer"",KitchenCarcassMaterial))=FALSE,2.7*(VLOOKUP(LEFT(KitchenCarcassMaterial,FIND(""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front"",A80))=FALSE,((B80/1000)*(C80/1000))*VLOOKUP(KitchenDoorMaterial,SheetsData,8,0),IF(AND(KitchenDrawerType=""Match carcass"",ISERROR(FIND(""drawer box"",A80))=FALSE),(((((B80/1000)*(C80/1000))+((B80/1000"&amp;")*(D80/1000)))*2)*VLOOKUP(KitchenCarcassMaterial,SheetsData,8,0))+(((C80/1000)*(D80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box"",A80))=FALSE),(((((B80/1000)*(C80/1000))+((B80/1000)*(D80/1000)))*2)*(16/1000)*VLOOKUP(LEFT(KitchenCarcassMaterial,FIND("" "&amp;""",KitchenCarcassMaterial))&amp;""(solid m3)"",SolidData,5,0))+(((C80/1000)*(D80/1000))*VLOOKUP(LEFT(KitchenCarcassMaterial,FIND(""("",KitchenCarcassMaterial)-1)&amp;IF(OR(ISERROR(FIND(""ply"",KitchenCarcassMaterial))=FALSE,ISERROR(FIND(""H/F"",KitchenCarcassMate"&amp;"rial))=FALSE),""(9mm)"",""(10mm)""),SheetsData,8,0)),IF(ISERROR(FIND(""spacer"",A80))=FALSE,((D80/1000)*(C80/1000))*VLOOKUP(""Poplar ply (18mm)"",SheetsData,8,0),IF(ISERROR(FIND(""filler panel"",A80))=FALSE,((B80/1000)*(C80/1000))*VLOOKUP(KitchenDoorMater"&amp;"ial,SheetsData,8,0),IF(ISERROR(FIND(""shelf"",A80))=FALSE,((D80/1000)*(C80/1000))*VLOOKUP(KitchenCarcassMaterial,SheetsData,8,0),IF(ISERROR(FIND(""lost corner"",A80))=FALSE,VLOOKUP(LEFT(A80,FIND("" "",A80))&amp;""carcass ""&amp;VALUE(REGEXREPLACE(A80,""[^[:digit:"&amp;"]]"", """")),KitchensData,5,0)+((((B80/1000)*(C80/1000))+((B80/1000)*(60/1000)))*VLOOKUP(KitchenCarcassMaterial,SheetsData,8,0)),IF(ISERROR(FIND(""carcass"",A80))=FALSE,(((((B80/1000)*2)*(D80/1000))+(((C80/1000)*2)*(D80/1000)))*VLOOKUP(KitchenCarcassMater"&amp;"ial,SheetsData,8,0))+((B80/1000)*(C80/1000))*VLOOKUP(LEFT(KitchenCarcassMaterial,FIND(""("",KitchenCarcassMaterial)-1)&amp;IF(OR(ISERROR(FIND(""ply"",KitchenCarcassMaterial))=FALSE,ISERROR(FIND(""H/F"",KitchenCarcassMaterial))=FALSE),""(9mm)"",""(10mm)""),She"&amp;"etsData,8,0),IF(OR(ISERROR(FIND(""Plinth"",A80))=FALSE,ISERROR(FIND(""Cornice (flat)"",A80))=FALSE),((B80/1000)*(C80/1000))*VLOOKUP(""H/F (18mm)"",SheetsData,8,0),IF(ISERROR(FIND(""Cornice (stacked)"",A80))=FALSE,((0.08*(C80/1000))*2)*VLOOKUP(""H/F (22mm)"&amp;""",SheetsData,8,0),IF(ISERROR(FIND(""Base end panel"",A80))=FALSE,VLOOKUP(KitchenDoorMaterial,SheetsData,5,0)/3,IF(ISERROR(FIND(""Wall end panel"",A80))=FALSE,VLOOKUP(KitchenDoorMaterial,SheetsData,5,0)/9,IF(ISERROR(FIND(""Tower end panel"",A80))=FALSE,VL"&amp;"OOKUP(KitchenDoorMaterial,SheetsData,5,0),IF(ISERROR(FIND(""Fillers"",A80))=FALSE,(((0.06*(C80/1000))*2)*VLOOKUP(""H/F (18mm)"",SheetsData,8,0))+(((0.06*(C80/1000))*2)*VLOOKUP(""H/F (9mm)"",SheetsData,8,0)),IF(ISERROR(FIND(""corner post"",A80))=FALSE,(((B"&amp;"80/1000)*0.05)*2)*VLOOKUP(KitchenDoorMaterial,SheetsData,8,0),IF(ISERROR(FIND(""Pelmet"",A80))=FALSE,((((B80/1000)*(C80/1000))*2)*VLOOKUP(""H/F (18mm)"",SheetsData,8,0)),IF(ISERROR(FIND(""door"",A80))=TRUE,""Check description"",IF(KitchenDoorStyle=""Flat"&amp;""",((B80/1000)*(C80/1000))*VLOOKUP(KitchenDoorMaterial,SheetsData,8,0),IF(LEFT(KitchenDoorStyle,5)=""Panel"",(((((B80/1000)*2)*0.08)+((((C80/1000)-0.16)*2)*0.08))*VLOOKUP(""H/F (22mm)"",SheetsData,8,0))+(((B80/1000)-0.14)*((C80/1000)-0.14)*VLOOKUP(""H/F ("&amp;"9mm)"",SheetsData,8,0)),IF(KitchenDoorStyle=""In-frame flat"",((((((B80/1000)*0.019)*0.038)+((((C80-38)/1000)*0.038)*0.038))*2)*VLOOKUP(""Tulip (solid m3)"",SolidData,5,0))+(((B80-76)/1000)*((C80-38)/1000))*VLOOKUP(""H/F (22mm)"",SheetsData,8,0),IF(LEFT(K"&amp;"itchenDoorStyle,14)=""In-frame panel"",(((((((B80/1000)*0.019)*0.038)+((((C80-38)/1000)*0.038)*0.038))*2)*VLOOKUP(""Tulip (solid m3)"",SolidData,5,0))+(((((((B80-76)/1000)*2)*0.08)+(((((C80-198)/1000)*2)*0.08)))*VLOOKUP(""H/F (22mm)"",SheetsData,8,0))+((("&amp;"B80-216)/1000)*((C80-178)/1000)*VLOOKUP(""H/F (9mm)"",SheetsData,8,0)))))))))))))))))))))))))))))))))"),27.921929588820213)</f>
        <v>27.92192959</v>
      </c>
      <c r="F80" s="152" t="str">
        <f>IFERROR(__xludf.DUMMYFUNCTION("IF(OR(A80="""",AND(ISERROR(FIND(""drawer box"",A80))=FALSE,KitchenDrawerType=""Solid dovetail"")),"""",IF(ISERROR(FIND(""bins"",A80))=FALSE,VLOOKUP(""Base carcass 600"",KitchensData,6,0),IF(OR(ISERROR(FIND(""larder"",A80))=FALSE,ISERROR(FIND(""unit"",A80)"&amp;")=FALSE),VLOOKUP(LEFT(A80,FIND("" "",A80))&amp;""carcass ""&amp;RIGHT(A80,LEN(A80)-len(regexextract(A80,"".* ""))),KitchensData,6,0),IF(ISERROR(FIND(""drawer front"",A80))=FALSE,IF(ISERROR(FIND(""veneer"",KitchenCarcassMaterial))=TRUE,0,(((B80+C80)/1000)*2)*VLOOK"&amp;"UP(""Edge banding (per M)"",SheetsData,5,0)),IF(ISERROR(FIND(""drawer box"",A80))=FALSE,IF(ISERROR(FIND(""veneer"",KitchenCarcassMaterial))=TRUE,0,(((C80+D80)/1000)*2)*VLOOKUP(""Edge banding (per M)"",SheetsData,5,0)),IF(ISERROR(FIND(""shelf"",A80))=FALSE"&amp;",IF(ISERROR(FIND(""veneer"",KitchenCarcassMaterial))=TRUE,0,(C80/1000)*VLOOKUP(""Edge banding (per M)"",SheetsData,5,0)),IF(AND(ISERROR(FIND(""carcass"",A80))=FALSE,ISERROR(FIND(""shelf"",A80))=TRUE),IF(ISERROR(FIND(""veneer"",KitchenCarcassMaterial))=TRU"&amp;"E,0,((2*(B80+C80))/1000)*VLOOKUP(""Edge banding (per M)"",SheetsData,5,0)),IF(ISERROR(FIND(""door"",A80))=TRUE,"""",IF(ISERROR(FIND(""veneer"",KitchenDoorMaterial))=TRUE,"""",((2*(B80+C80))/1000)*VLOOKUP(""Edge banding (per M)"",SheetsData,5,0))))))))))"),"")</f>
        <v/>
      </c>
      <c r="G80" s="153" t="str">
        <f>IF(A80="","",IF(ISERROR(FIND("bins",A80))=FALSE,VLOOKUP("Base carcass 600",KitchensData,7,0),IF(OR(ISERROR(FIND("larder",A80))=FALSE,ISERROR(FIND("fridge/freezer",A80))=FALSE,ISERROR(FIND("double oven",A80))=FALSE,ISERROR(FIND("single oven",A80))=FALSE),VLOOKUP(LEFT(A80,FIND(" ",A80))&amp;"carcass "&amp;RIGHT(A80,LEN(A80)-(LEN(A80)-3)),KitchensData,7,0),IF(AND(ISERROR(FIND("carcass",A80))=FALSE,ISERROR(FIND("shelf",A80))=TRUE),IF(OR(ISERROR(FIND("Base",A80))=FALSE,ISERROR(FIND("Tower",A80))=FALSE),IF(OR(ISERROR(FIND("1200",A80))=FALSE, ISERROR(FIND("lost corner",A80))=FALSE),6*VLOOKUP("Plinth foot (2 Parts 80mm)",FurnitureData,5,0),4*VLOOKUP("Plinth foot (2 Parts 80mm)",FurnitureData,5,0)),""),""))))</f>
        <v/>
      </c>
      <c r="H80" s="115" t="str">
        <f>IF(OR(A80="",ISERROR(FIND("door",A80))=TRUE),"",IF(ISERROR(FIND("Wall",A80))=FALSE,VLOOKUP("Hinges &amp; plates (Hettich thick door)",FurnitureData,5,0)*2,IF(ISERROR(FIND("Base",A80))=FALSE,VLOOKUP("Hinges &amp; plates (Hettich thick door)",FurnitureData,5,0)*3,IF(ISERROR(FIND("Boiler",A80))=FALSE,VLOOKUP("Hinges &amp; plates (Hettich thick door)",FurnitureData,5,0)*4,IF(ISERROR(FIND("Tower",A80))=FALSE,VLOOKUP("Hinges &amp; plates (Hettich thick door)",FurnitureData,5,0)*5)))))</f>
        <v/>
      </c>
      <c r="I80" s="115" t="str">
        <f>IF(ISERROR(FIND("shelf",A80))=FALSE,(VLOOKUP("Shelf pegs",FurnitureData,5,0)/100)*4,"")</f>
        <v/>
      </c>
      <c r="J80" s="152" t="str">
        <f>IF(OR(ISERROR(FIND("fridge/freezer",A80))=FALSE,ISERROR(FIND("larder",A80))=FALSE,AND(ISERROR(FIND("Base",A80))=FALSE,ISERROR(FIND("bins",A80))=TRUE,ISERROR(FIND("no shelves",A80))=TRUE,OR(ISERROR(FIND("carcass",A80))=FALSE,ISERROR(FIND("unit",A80))=FALSE))),VLOOKUP("Deep shelf "&amp;C80,KitchensData,18,0),IF(AND(ISERROR(FIND("Wall",A80))=FALSE,ISERROR(FIND("carcass",A80))=FALSE),2*VLOOKUP("Shallow shelf "&amp;C80,KitchensData,18,0),IF(AND(ISERROR(FIND("Tower",A80))=FALSE,ISERROR(FIND("oven",A80))=FALSE),4*VLOOKUP("Deep shelf "&amp;C80,KitchensData,18,0),IF(AND(ISERROR(FIND("Tower",A80))=FALSE,ISERROR(FIND("carcass",A80))=FALSE),5*VLOOKUP("Deep shelf "&amp;C80,KitchensData,18,0),""))))</f>
        <v/>
      </c>
      <c r="K80" s="152" t="str">
        <f>IF(ISERROR(FIND("sink",A80))=FALSE,VLOOKUP("Sink liner - Aluminium "&amp;RIGHT(A80,LEN(A80)-22)&amp;"mm",ExceptionalData,5,0),IF(ISERROR(FIND("bins",A80))=FALSE,VLOOKUP("Drawer runners and clip set for bin unit (500) Dynapro",FurnitureData,5,0)+(2*VLOOKUP("Bin (42L Anthracite)",FurnitureData,5,0)),IF(ISERROR(FIND("larder",A80))=FALSE,VLOOKUP("Pull out larder unit 600mm",FurnitureData,5,0),IF(AND(ISERROR(FIND("drawer box",A80))=FALSE,ISERROR(FIND("internal",A80))=TRUE),VLOOKUP("Drawer runners and clip set (550) Dynapro",FurnitureData,5,0),IF(ISERROR(FIND("internal drawer box",A80))=FALSE,VLOOKUP("Drawer runners and clip set (450) Dynapro",FurnitureData,5,0),"")))))</f>
        <v/>
      </c>
      <c r="L80" s="152">
        <f t="shared" si="3"/>
        <v>27.92192959</v>
      </c>
      <c r="M80" s="154">
        <f>IFERROR(__xludf.DUMMYFUNCTION("IF(A80="""","""",IF(OR(ISERROR(FIND(""larder"",A80))=FALSE,ISERROR(FIND(""unit"",A80))=FALSE),VLOOKUP(LEFT(A80,FIND("" "",A80))&amp;""carcass ""&amp;RIGHT(A80,LEN(A80)-len(regexextract(A80,"".* ""))),KitchensData,13,0),IF(ISERROR(FIND(""bins"",A80))=FALSE,0.95,IF"&amp;"(ISERROR(FIND(""Cutlery insert 600"",A80))=FALSE,1.3,IF(ISERROR(FIND(""Cutlery insert 1200"",A80))=FALSE,2,IF(ISERROR(FIND(""Pan/tray rack 600"",A80))=FALSE,3.25,IF(ISERROR(FIND(""Pan/tray rack 1200"",A80))=FALSE,5.9,IF(ISERROR(FIND(""split"",A80))=FALSE,"&amp;"(((C80/1000)*0.022)*2)+VLOOKUP(SUBSTITUTE(A80,"" split"",""""),KitchensData,13,0),IF(AND(ISERROR(FIND(""drawer front"",A80))=FALSE,KitchenDoorStyle=""Flat""),(((B80/1000)*(C80/1000))*2)+((((B80+C80)/1000)*2)*0.022),IF(AND(ISERROR(FIND(""drawer front"",A80"&amp;"))=FALSE,LEFT(KitchenDoorStyle,5)=""Panel""),(((B80/1000)*(C80/1000))*2)+((((B80+C80)/1000)*2)*0.022)+((((C80/1000)-0.16)*0.013)*2)+((((D80/1000)-0.16)*0.013)*2),IF(AND(ISERROR(FIND(""drawer front"",A80))=FALSE,KitchenDoorStyle=""In-frame flat""),((((B80-"&amp;"76)/1000)*((C80-38)/1000))*2)+(MID(KitchenDoorMaterial,FIND(""("",KitchenDoorMaterial)+1,2)/1000)*((((B80-76)+(C80-38))/1000)*2)+(((B80/1000)*0.032)*2)+((((B80-76)/1000)*0.032)*2)+(((B80/1000)*0.019)*4)+(((C80/1000)*0.032)*2)+((((C80-38)/1000)*0.032)*2)+("&amp;"((C80/1000)*0.038)*4),IF(AND(ISERROR(FIND(""drawer front"",A80))=FALSE,LEFT(KitchenDoorStyle,14)=""In-frame panel""),((((B80-76)/1000)*((C80-38)/1000))*2)+((MID(KitchenDoorMaterial,FIND(""("",KitchenDoorMaterial)+1,2)/1000)*((((B80-76)+(C80-38))/1000)*2))"&amp;"+((((B80-236)/1000)+((C80-198)/1000)*2)*0.013)+(((B80/1000)*0.032)*2)+((((B80-76)/1000)*0.032)*2)+(((B80/1000)*0.019)*4)+(((C80/1000)*0.032)*2)+((((C80-38)/1000)*0.032)*2)+(((C80/1000)*0.038)*4),IF(ISERROR(FIND(""drawer box"",A80))=FALSE,((((B80/1000)*(D8"&amp;"0/1000))+((B80/1000)*(C80/1000)))*4)+((((D80/1000)+(C80/1000))*0.016)*4)+(((C80/1000)*(D80/1000))*2),IF(OR(ISERROR(FIND(""shelf"",A80))=FALSE,ISERROR(FIND(""spacer"",A80))=FALSE,,ISERROR(FIND(""filler panel"",A80))=FALSE),(((C80/1000)*(D80/1000))*2)+((((C"&amp;"80+D80)*2)/1000)*0.022),IF(ISERROR(FIND(""lost corner"",A80))=FALSE,(((B80/1000)*(C80/1000))*2)+((B80/1000)*(C80/1000))+((B80/1000)*((C80/2)/1000))+((((B80/1000)*0.025)+((C80/1000)*0.025))*2),IF(ISERROR(FIND(""carcass"",A80))=FALSE,(((C80/1000)*(D80/1000)"&amp;")*2)+(((B80/1000)*(D80/1000))*2)+((B80/1000)*(C80/1000))+((((B80/1000)*0.025)+((C80/1000)*0.025))*2),IF(AND(ISERROR(FIND(""door"",A80))=FALSE,KitchenDoorStyle=""Flat""),(((B80/1000)*(C80/1000))*2)+(MID(KitchenDoorMaterial,FIND(""("",KitchenDoorMaterial)+1"&amp;",2)/1000)*(((B80+C80)/1000)*2),IF(AND(ISERROR(FIND(""door"",A80))=FALSE,LEFT(KitchenDoorStyle,5)=""Panel""),(((B80/1000)*(C80/1000))*2)+((MID(KitchenDoorMaterial,FIND(""("",KitchenDoorMaterial)+1,2)/1000)*(((B80+C80)/1000)*2))+(((((B80-160)+(C80-160))*2)/"&amp;"1000)*(0.013)),IF(AND(ISERROR(FIND(""door"",A80))=FALSE,KitchenDoorStyle=""In-frame flat""),((((B80-76)/1000)*((C80-38)/1000))*2)+(MID(KitchenDoorMaterial,FIND(""("",KitchenDoorMaterial)+1,2)/1000)*((((B80-76)+(C80-38))/1000)*2)+(((B80/1000)*0.032)*2)+((("&amp;"(B80-76)/1000)*0.032)*2)+(((B80/1000)*0.019)*4)+(((C80/1000)*0.032)*2)+((((C80-38)/1000)*0.032)*2)+(((C80/1000)*0.038)*4),IF(AND(ISERROR(FIND(""door"",A80))=FALSE,LEFT(KitchenDoorStyle,14)=""In-frame panel""),((((B80-76)/1000)*((C80-38)/1000))*2)+((MID(Ki"&amp;"tchenDoorMaterial,FIND(""("",KitchenDoorMaterial)+1,2)/1000)*((((B80-76)+(C80-38))/1000)*2))+((((B80-236)/1000)+((C80-198)/1000)*2)*0.013)+(((B80/1000)*0.032)*2)+((((B80-76)/1000)*0.032)*2)+(((B80/1000)*0.019)*4)+(((C80/1000)*0.032)*2)+((((C80-38)/1000)*0"&amp;".032)*2)+(((C80/1000)*0.038)*4),IF(ISERROR(FIND(""Plinth"",A80))=FALSE,((B80/1000)*(C80/1000))+(((C80/1000)*0.018)*2)+(((B80/1000)*0.018)*2),IF(ISERROR(FIND(""Cornice"",A80))=FALSE,(((C80/1000)*0.1)*2)+(((C80/1000)*0.044)*2)+(((B80/1000)*0.08)*2),IF(ISERR"&amp;"OR(FIND(""Base end panel"",A80))=FALSE,((B80/1000)*(C80/1000))+(0.022*((B80/1000)+((C80/1000)*2)))+((B80/1000)*0.05),IF(ISERROR(FIND(""Wall end panel"",A80))=FALSE,((B80/1000)*(C80/1000))+(0.022*((B80/1000)+((C80/1000)*2)))+((B80/1000)*0.05),IF(ISERROR(FI"&amp;"ND(""Tower end panel"",A80))=FALSE,((B80/1000)*(C80/1000))+(0.022*((B80/1000)+((C80/1000)*2)))+((B80/1000)*0.05),IF(ISERROR(FIND(""Fillers"",A80))=FALSE,((C80/1000)*0.06)+((C80/1000)*0.069)+((0.06*0.018)*2)+((0.06*0.009)*2)+((C80/1000)*0.009)+((C80/1000)*"&amp;"0.018),IF(ISERROR(FIND(""corner post"",A80))=FALSE,(((B80/1000*0.05)*2)+((B80/1000)*0.022)*2)+((B80/1000)*0.072)+((B80/1000)*0.05)+((0.072*0.022)*2)+((0.05*0.022)*2),IF(ISERROR(FIND(""Pelmet"",A80))=FALSE,((C80/1000)*0.05)+((C80/1000)*0.068)+((0.05*0.018)"&amp;"*4)+(((C80/1000)*0.018))*2))))))))))))))))))))))))))))"),2.0)</f>
        <v>2</v>
      </c>
      <c r="N80" s="152">
        <f>IF(M80="","",IF(AND(ISERROR(FIND("carcass",A80))=TRUE,ISERROR(FIND("unit",A80))=TRUE,ISERROR(FIND("insert",A80))=TRUE,ISERROR(FIND("rack",A80))=TRUE,ISERROR(FIND("box",A80))=TRUE,ISERROR(FIND("shelf",#REF!))=TRUE),VLOOKUP(KitchenDoorFinish,Finishing!$A$2:$K$10,9,0)*M80,VLOOKUP(KitchenCarcassFinish,Finishing!$A$2:$K$40,9,0)*M80))</f>
        <v>7.5</v>
      </c>
      <c r="O80" s="155">
        <v>2.5</v>
      </c>
      <c r="P80" s="155">
        <v>1.5</v>
      </c>
      <c r="Q80" s="152">
        <f>IF(OR(O80="",P80=""),"",((O80*X80)*(VLOOKUP("Workshop",Labour!$A$3:$E$20,4,0)/8))+((P80*AE80)*(VLOOKUP("Finishing",Labour!$A$3:$E$20,4,0)/8)))</f>
        <v>151.375</v>
      </c>
      <c r="R80" s="152">
        <f t="shared" si="4"/>
        <v>186.7969296</v>
      </c>
      <c r="S80" s="156">
        <f>IF(OR(O80="",P80=""),"",IF(OR(ISERROR(FIND("carcass",$A80))=FALSE,ISERROR(FIND("unit",$A80))=FALSE),VLOOKUP(KitchenCarcassMaterial,FixedListsCarcassMaterial,2,0),0))</f>
        <v>0</v>
      </c>
      <c r="T80" s="156">
        <f>IF(OR(O80="",P80=""),"",IF(ISERROR(FIND("door",$A80))=FALSE,VLOOKUP(KitchenDoorStyle,FixedListsDoorStyle,2,0),0))</f>
        <v>0</v>
      </c>
      <c r="U80" s="156">
        <f>IF(OR(O80="",P80=""),"",IF(ISERROR(FIND("door",$A80))=FALSE,VLOOKUP(KitchenDoorMaterial,FixedListsDoorMaterial,2,0),0))</f>
        <v>0</v>
      </c>
      <c r="V80" s="156">
        <f>IF(OR(O80="",P80=""),"",IF(ISERROR(FIND("drawer",$A80))=FALSE,VLOOKUP(KitchenDrawerType,FixedListsDrawerType,2,0),0))</f>
        <v>0</v>
      </c>
      <c r="W80" s="156">
        <f>IF(OR(O80="",P80=""),"",IF(OR(S80&gt;0, T80&gt;0,V80&gt;0),VLOOKUP(KitchenHandleType,FixedListsHandleType,2,FALSE)*IF(KitchenHandleType="Simple",0,IF(S80&gt;0,VLOOKUP(KitchenHandleType,FixedListsHandleType,4,FALSE),IF(OR(T80&gt;0,V80&gt;0),1-VLOOKUP(KitchenHandleType,FixedListsHandleType,4,FALSE),"Error"))),0))</f>
        <v>0</v>
      </c>
      <c r="X80" s="156">
        <f t="shared" si="5"/>
        <v>1</v>
      </c>
      <c r="Y80" s="156">
        <f>IF(OR(O80="",P80=""),"",IF(OR(ISERROR(FIND("carcass",$A80))=FALSE,ISERROR(FIND("unit",$A80))=FALSE),VLOOKUP(KitchenCarcassMaterial,FixedListsCarcassMaterial,3,0),0))</f>
        <v>0</v>
      </c>
      <c r="Z80" s="156">
        <f>IF(OR(O80="",P80=""),"",IF(ISERROR(FIND("door",$A80))=FALSE,VLOOKUP(KitchenDoorStyle,FixedListsDoorStyle,3,0),0))</f>
        <v>0</v>
      </c>
      <c r="AA80" s="156">
        <f>IF(OR(O80="",P80=""),"",IF(ISERROR(FIND("door",$A80))=FALSE,VLOOKUP(KitchenDoorMaterial,FixedListsDoorMaterial,3,0),0))</f>
        <v>0</v>
      </c>
      <c r="AB80" s="156">
        <f>IF(OR(O80="",P80=""),"",IF(ISERROR(FIND("drawer",$A80))=FALSE,VLOOKUP(KitchenDrawerType,FixedListsDrawerType,3,0),0))</f>
        <v>0</v>
      </c>
      <c r="AC80" s="156">
        <f>IF(OR(O80="",P80=""),"",IF(OR(Y80&gt;0,Z80&gt;0,AB80&gt;0),VLOOKUP(KitchenHandleType,FixedListsHandleType,3,FALSE),0))</f>
        <v>0</v>
      </c>
      <c r="AD80" s="156">
        <f>IF(OR(O80="",P80=""),"",IF(OR(ISERROR(FIND("carcass",$A80))=FALSE,ISERROR(FIND("unit",$A80))=FALSE),VLOOKUP(KitchenCarcassFinish,FixedListsFinishes,3,0),IF(OR(ISERROR(FIND("door",$A80))=FALSE,ISERROR(FIND("Plinth",$A80))=FALSE,ISERROR(FIND("Cornice",$A80))=FALSE,ISERROR(FIND("Fillers",$A80))=FALSE,ISERROR(FIND("Pelmet",$A80))=FALSE,ISERROR(FIND("panel",$A80))=FALSE,ISERROR(FIND("post",$A80))=FALSE),VLOOKUP(KitchenDoorFinish,FixedListsFinishes,3,0),IF(OR(ISERROR(FIND("drawer",$A80))=FALSE,ISERROR(FIND("insert",$A80))=FALSE,ISERROR(FIND("rck",$A80))=FALSE),VLOOKUP(KitchenCarcassFinish,FixedListsFinishes,3,0),0))))</f>
        <v>1</v>
      </c>
      <c r="AE80" s="156">
        <f t="shared" si="6"/>
        <v>1</v>
      </c>
      <c r="AF80" s="157" t="str">
        <f>IF(AND(KitchenHandleType="Channel",OR(ISERROR(FIND("arcass",$A80))=FALSE,ISERROR(FIND("unit",$A80))=FALSE)),IF(ISERROR(FIND("Tower",$A80))=TRUE,IF(KitchenHandleFinish="Match carcass",IF(ISERROR(FIND("Walnut",KitchenCarcassMaterial))=FALSE,(0.035*0.075*($C80/1000))*VLOOKUP("Walnut (solid m3)",SolidData,4,FALSE),IF(ISERROR(FIND("Oak",KitchenCarcassMaterial))=FALSE,(0.035*0.075*($C80/1000))*VLOOKUP("Oak (solid m3)",SolidData,4,FALSE),IF(ISERROR(FIND("ply",KitchenCarcassMaterial))=FALSE,(0.1*($C80/1000))*VLOOKUP("Birch ply (24mm)",SheetsData,7,FALSE),IF(ISERROR(FIND("H/F",KitchenCarcassMaterial))=FALSE,(0.1*($C80/1000))*VLOOKUP("H/F (22mm)",SheetsData,7,FALSE),"Carcass - not tower - new material")))),IF(KitchenHandleFinish="Match door",IF(ISERROR(FIND("Walnut",KitchenDoorMaterial))=FALSE,(0.035*0.075*($C80/1000))*VLOOKUP("Walnut (solid m3)",SolidData,4,FALSE),IF(ISERROR(FIND("Oak",KitchenDoorMaterial))=FALSE,(0.035*0.075*($C80/1000))*VLOOKUP("Oak (solid m3)",SolidData,4,FALSE),IF(ISERROR(FIND("ply",KitchenDoorMaterial))=FALSE,(0.1*($C80/1000))*VLOOKUP("Birch ply (24mm)",SheetsData,7,FALSE),IF(ISERROR(FIND("H/F",KitchenCarcassMaterial))=FALSE,(0.1*($C80/1000))*VLOOKUP("H/F (22mm)",SheetsData,7,FALSE),"Door - not tower - new material")))),"Channel - not tower - handle set to other")),IF(ISERROR(FIND("Tower",$A80))=FALSE,IF(KitchenHandleFinish="Match carcass",IF(ISERROR(FIND("Walnut",KitchenCarcassMaterial))=FALSE,(0.035*0.075*($B80/1000))*VLOOKUP("Walnut (solid m3)",SolidData,4,FALSE),IF(ISERROR(FIND("Oak",KitchenCarcassMaterial))=FALSE,(0.035*0.075*($B80/1000))*VLOOKUP("Oak (solid m3)",SolidData,4,FALSE),IF(ISERROR(FIND("ply",KitchenCarcassMaterial))=FALSE,(0.1*($B80/1000))*VLOOKUP("Birch ply (24mm)",SheetsData,7,FALSE),IF(ISERROR(FIND("H/F",KitchenCarcassMaterial))=FALSE,(0.1*($C80/1000))*VLOOKUP("H/F (22mm)",SheetsData,7,FALSE),"Carcass - tower - new material")))),IF(KitchenHandleFinish="Match door",IF(ISERROR(FIND("Walnut",KitchenDoorMaterial))=FALSE,(0.035*0.075*($B80/1000))*VLOOKUP("Walnut (solid m3)",SolidData,4,FALSE),IF(ISERROR(FIND("Oak",KitchenDoorMaterial))=FALSE,(0.035*0.075*($B80/1000))*VLOOKUP("Oak (solid m3)",SolidData,4,FALSE),IF(ISERROR(FIND("ply",KitchenDoorMaterial))=FALSE,(0.1*($B80/1000))*VLOOKUP("Birch ply (24mm)",SheetData,7,FALSE),IF(ISERROR(FIND("H/F",KitchenCarcassMaterial))=FALSE,(0.1*($C80/1000))*VLOOKUP("H/F (22mm)",SheetsData,7,FALSE),"Door - tower - new material")))),"Channel - tower - handle set to other")))),"")</f>
        <v/>
      </c>
    </row>
    <row r="81">
      <c r="A81" s="150" t="s">
        <v>189</v>
      </c>
      <c r="B81" s="115" t="str">
        <f t="shared" si="1"/>
        <v/>
      </c>
      <c r="C81" s="115" t="str">
        <f>IFERROR(__xludf.DUMMYFUNCTION("IF(A81="""","""",IF(OR(RIGHT(A81,LEN(A81)-len(regexextract(A81,"".* "")))=""1200"",RIGHT(A81,LEN(A81)-len(regexextract(A81,"".* "")))=""600"",RIGHT(A81,LEN(A81)-len(regexextract(A81,"".* "")))=""400"",RIGHT(A81,LEN(A81)-len(regexextract(A81,"".* "")))=""3"&amp;"00"",RIGHT(A81,LEN(A81)-len(regexextract(A81,"".* "")))=""700"",RIGHT(A81,LEN(A81)-len(regexextract(A81,"".* "")))=""2400"",RIGHT(A81,LEN(A81)-len(regexextract(A81,"".* "")))=""650"",RIGHT(A81,LEN(A81)-len(regexextract(A81,"".* "")))=""350"",RIGHT(A81,LEN"&amp;"(A81)-len(regexextract(A81,"".* "")))=""50""),RIGHT(A81,LEN(A81)-len(regexextract(A81,"".* ""))),IF(OR(ISERROR(FIND(""spacer"",A81))=FALSE,ISERROR(FIND(""filler panel"",A81))=FALSE),""1000"",""Unexpected size in description"")))"),"600")</f>
        <v>600</v>
      </c>
      <c r="D81" s="151" t="str">
        <f t="shared" si="2"/>
        <v/>
      </c>
      <c r="E81" s="152">
        <f>IFERROR(__xludf.DUMMYFUNCTION("IF(OR(A81="""",AND(ISERROR(FIND(""drawer box"",A81))=FALSE,KitchenDrawerType="""")),"""",IF(OR(ISERROR(FIND(""larder"",A81))=FALSE,ISERROR(FIND(""fridge/freezer"",A81))=FALSE,ISERROR(FIND(""double oven"",A81))=FALSE,ISERROR(FIND(""single oven"",A81))=FALS"&amp;"E),VLOOKUP(LEFT(A81,FIND("" "",A81))&amp;""carcass ""&amp;RIGHT(A81,LEN(A81)-(LEN(A81)-3)),KitchensData,5,0),IF(ISERROR(FIND(""sink"",A81))=FALSE,VLOOKUP(LEFT(A81,FIND("" "",A81))&amp;""carcass ""&amp;VALUE(REGEXREPLACE(A81,""[^[:digit:]]"", """")),KitchensData,5,0)+(((C"&amp;"81/1000)*(300/1000))*VLOOKUP(KitchenCarcassMaterial,SheetsData,8,0)),IF(ISERROR(FIND(""bins"",A81))=FALSE,IF(ISERROR(FIND(""veneer"",KitchenCarcassMaterial))=FALSE,VLOOKUP(""Base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600"",A81))=FALSE,IF(ISERROR(FIND(""veneer"""&amp;",KitchenCarcassMaterial))=FALSE,0.54*(VLOOKUP(LEFT(KitchenCarcassMaterial,FIND(""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1200"",A81))=FALSE,"&amp;"IF(ISERROR(FIND(""veneer"",KitchenCarcassMaterial))=FALSE,0.84*(VLOOKUP(LEFT(KitchenCarcassMaterial,FIND(""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600"",A81))=FALSE,IF(ISERROR(FIND(""veneer"",KitchenCarcassMaterial))=FALSE,1.44*(VLOOKUP(LEFT(KitchenCarcassMaterial,FIND(""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1200"",A81))=FALSE,IF(ISERROR(FIND(""veneer"",KitchenCarcassMaterial))=FALSE,2.7*(VLOOKUP(LEFT(KitchenCarcassMaterial,FIND(""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front"",A81))=FALSE,((B81/1000)*(C81/1000))*VLOOKUP(KitchenDoorMaterial,SheetsData,8,0),IF(AND(KitchenDrawerType=""Match carcass"",ISERROR(FIND(""drawer box"",A81))=FALSE),(((((B81/1000)*(C81/1000))+((B81/1000"&amp;")*(D81/1000)))*2)*VLOOKUP(KitchenCarcassMaterial,SheetsData,8,0))+(((C81/1000)*(D81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box"",A81))=FALSE),(((((B81/1000)*(C81/1000))+((B81/1000)*(D81/1000)))*2)*(16/1000)*VLOOKUP(LEFT(KitchenCarcassMaterial,FIND("" "&amp;""",KitchenCarcassMaterial))&amp;""(solid m3)"",SolidData,5,0))+(((C81/1000)*(D81/1000))*VLOOKUP(LEFT(KitchenCarcassMaterial,FIND(""("",KitchenCarcassMaterial)-1)&amp;IF(OR(ISERROR(FIND(""ply"",KitchenCarcassMaterial))=FALSE,ISERROR(FIND(""H/F"",KitchenCarcassMate"&amp;"rial))=FALSE),""(9mm)"",""(10mm)""),SheetsData,8,0)),IF(ISERROR(FIND(""spacer"",A81))=FALSE,((D81/1000)*(C81/1000))*VLOOKUP(""Poplar ply (18mm)"",SheetsData,8,0),IF(ISERROR(FIND(""filler panel"",A81))=FALSE,((B81/1000)*(C81/1000))*VLOOKUP(KitchenDoorMater"&amp;"ial,SheetsData,8,0),IF(ISERROR(FIND(""shelf"",A81))=FALSE,((D81/1000)*(C81/1000))*VLOOKUP(KitchenCarcassMaterial,SheetsData,8,0),IF(ISERROR(FIND(""lost corner"",A81))=FALSE,VLOOKUP(LEFT(A81,FIND("" "",A81))&amp;""carcass ""&amp;VALUE(REGEXREPLACE(A81,""[^[:digit:"&amp;"]]"", """")),KitchensData,5,0)+((((B81/1000)*(C81/1000))+((B81/1000)*(60/1000)))*VLOOKUP(KitchenCarcassMaterial,SheetsData,8,0)),IF(ISERROR(FIND(""carcass"",A81))=FALSE,(((((B81/1000)*2)*(D81/1000))+(((C81/1000)*2)*(D81/1000)))*VLOOKUP(KitchenCarcassMater"&amp;"ial,SheetsData,8,0))+((B81/1000)*(C81/1000))*VLOOKUP(LEFT(KitchenCarcassMaterial,FIND(""("",KitchenCarcassMaterial)-1)&amp;IF(OR(ISERROR(FIND(""ply"",KitchenCarcassMaterial))=FALSE,ISERROR(FIND(""H/F"",KitchenCarcassMaterial))=FALSE),""(9mm)"",""(10mm)""),She"&amp;"etsData,8,0),IF(OR(ISERROR(FIND(""Plinth"",A81))=FALSE,ISERROR(FIND(""Cornice (flat)"",A81))=FALSE),((B81/1000)*(C81/1000))*VLOOKUP(""H/F (18mm)"",SheetsData,8,0),IF(ISERROR(FIND(""Cornice (stacked)"",A81))=FALSE,((0.08*(C81/1000))*2)*VLOOKUP(""H/F (22mm)"&amp;""",SheetsData,8,0),IF(ISERROR(FIND(""Base end panel"",A81))=FALSE,VLOOKUP(KitchenDoorMaterial,SheetsData,5,0)/3,IF(ISERROR(FIND(""Wall end panel"",A81))=FALSE,VLOOKUP(KitchenDoorMaterial,SheetsData,5,0)/9,IF(ISERROR(FIND(""Tower end panel"",A81))=FALSE,VL"&amp;"OOKUP(KitchenDoorMaterial,SheetsData,5,0),IF(ISERROR(FIND(""Fillers"",A81))=FALSE,(((0.06*(C81/1000))*2)*VLOOKUP(""H/F (18mm)"",SheetsData,8,0))+(((0.06*(C81/1000))*2)*VLOOKUP(""H/F (9mm)"",SheetsData,8,0)),IF(ISERROR(FIND(""corner post"",A81))=FALSE,(((B"&amp;"81/1000)*0.05)*2)*VLOOKUP(KitchenDoorMaterial,SheetsData,8,0),IF(ISERROR(FIND(""Pelmet"",A81))=FALSE,((((B81/1000)*(C81/1000))*2)*VLOOKUP(""H/F (18mm)"",SheetsData,8,0)),IF(ISERROR(FIND(""door"",A81))=TRUE,""Check description"",IF(KitchenDoorStyle=""Flat"&amp;""",((B81/1000)*(C81/1000))*VLOOKUP(KitchenDoorMaterial,SheetsData,8,0),IF(LEFT(KitchenDoorStyle,5)=""Panel"",(((((B81/1000)*2)*0.08)+((((C81/1000)-0.16)*2)*0.08))*VLOOKUP(""H/F (22mm)"",SheetsData,8,0))+(((B81/1000)-0.14)*((C81/1000)-0.14)*VLOOKUP(""H/F ("&amp;"9mm)"",SheetsData,8,0)),IF(KitchenDoorStyle=""In-frame flat"",((((((B81/1000)*0.019)*0.038)+((((C81-38)/1000)*0.038)*0.038))*2)*VLOOKUP(""Tulip (solid m3)"",SolidData,5,0))+(((B81-76)/1000)*((C81-38)/1000))*VLOOKUP(""H/F (22mm)"",SheetsData,8,0),IF(LEFT(K"&amp;"itchenDoorStyle,14)=""In-frame panel"",(((((((B81/1000)*0.019)*0.038)+((((C81-38)/1000)*0.038)*0.038))*2)*VLOOKUP(""Tulip (solid m3)"",SolidData,5,0))+(((((((B81-76)/1000)*2)*0.08)+(((((C81-198)/1000)*2)*0.08)))*VLOOKUP(""H/F (22mm)"",SheetsData,8,0))+((("&amp;"B81-216)/1000)*((C81-178)/1000)*VLOOKUP(""H/F (9mm)"",SheetsData,8,0)))))))))))))))))))))))))))))))))"),47.866165009406075)</f>
        <v>47.86616501</v>
      </c>
      <c r="F81" s="152" t="str">
        <f>IFERROR(__xludf.DUMMYFUNCTION("IF(OR(A81="""",AND(ISERROR(FIND(""drawer box"",A81))=FALSE,KitchenDrawerType=""Solid dovetail"")),"""",IF(ISERROR(FIND(""bins"",A81))=FALSE,VLOOKUP(""Base carcass 600"",KitchensData,6,0),IF(OR(ISERROR(FIND(""larder"",A81))=FALSE,ISERROR(FIND(""unit"",A81)"&amp;")=FALSE),VLOOKUP(LEFT(A81,FIND("" "",A81))&amp;""carcass ""&amp;RIGHT(A81,LEN(A81)-len(regexextract(A81,"".* ""))),KitchensData,6,0),IF(ISERROR(FIND(""drawer front"",A81))=FALSE,IF(ISERROR(FIND(""veneer"",KitchenCarcassMaterial))=TRUE,0,(((B81+C81)/1000)*2)*VLOOK"&amp;"UP(""Edge banding (per M)"",SheetsData,5,0)),IF(ISERROR(FIND(""drawer box"",A81))=FALSE,IF(ISERROR(FIND(""veneer"",KitchenCarcassMaterial))=TRUE,0,(((C81+D81)/1000)*2)*VLOOKUP(""Edge banding (per M)"",SheetsData,5,0)),IF(ISERROR(FIND(""shelf"",A81))=FALSE"&amp;",IF(ISERROR(FIND(""veneer"",KitchenCarcassMaterial))=TRUE,0,(C81/1000)*VLOOKUP(""Edge banding (per M)"",SheetsData,5,0)),IF(AND(ISERROR(FIND(""carcass"",A81))=FALSE,ISERROR(FIND(""shelf"",A81))=TRUE),IF(ISERROR(FIND(""veneer"",KitchenCarcassMaterial))=TRU"&amp;"E,0,((2*(B81+C81))/1000)*VLOOKUP(""Edge banding (per M)"",SheetsData,5,0)),IF(ISERROR(FIND(""door"",A81))=TRUE,"""",IF(ISERROR(FIND(""veneer"",KitchenDoorMaterial))=TRUE,"""",((2*(B81+C81))/1000)*VLOOKUP(""Edge banding (per M)"",SheetsData,5,0))))))))))"),"")</f>
        <v/>
      </c>
      <c r="G81" s="153" t="str">
        <f>IF(A81="","",IF(ISERROR(FIND("bins",A81))=FALSE,VLOOKUP("Base carcass 600",KitchensData,7,0),IF(OR(ISERROR(FIND("larder",A81))=FALSE,ISERROR(FIND("fridge/freezer",A81))=FALSE,ISERROR(FIND("double oven",A81))=FALSE,ISERROR(FIND("single oven",A81))=FALSE),VLOOKUP(LEFT(A81,FIND(" ",A81))&amp;"carcass "&amp;RIGHT(A81,LEN(A81)-(LEN(A81)-3)),KitchensData,7,0),IF(AND(ISERROR(FIND("carcass",A81))=FALSE,ISERROR(FIND("shelf",A81))=TRUE),IF(OR(ISERROR(FIND("Base",A81))=FALSE,ISERROR(FIND("Tower",A81))=FALSE),IF(OR(ISERROR(FIND("1200",A81))=FALSE, ISERROR(FIND("lost corner",A81))=FALSE),6*VLOOKUP("Plinth foot (2 Parts 80mm)",FurnitureData,5,0),4*VLOOKUP("Plinth foot (2 Parts 80mm)",FurnitureData,5,0)),""),""))))</f>
        <v/>
      </c>
      <c r="H81" s="115" t="str">
        <f>IF(OR(A81="",ISERROR(FIND("door",A81))=TRUE),"",IF(ISERROR(FIND("Wall",A81))=FALSE,VLOOKUP("Hinges &amp; plates (Hettich thick door)",FurnitureData,5,0)*2,IF(ISERROR(FIND("Base",A81))=FALSE,VLOOKUP("Hinges &amp; plates (Hettich thick door)",FurnitureData,5,0)*3,IF(ISERROR(FIND("Boiler",A81))=FALSE,VLOOKUP("Hinges &amp; plates (Hettich thick door)",FurnitureData,5,0)*4,IF(ISERROR(FIND("Tower",A81))=FALSE,VLOOKUP("Hinges &amp; plates (Hettich thick door)",FurnitureData,5,0)*5)))))</f>
        <v/>
      </c>
      <c r="I81" s="115" t="str">
        <f>IF(ISERROR(FIND("shelf",A81))=FALSE,(VLOOKUP("Shelf pegs",FurnitureData,5,0)/100)*4,"")</f>
        <v/>
      </c>
      <c r="J81" s="152" t="str">
        <f>IF(OR(ISERROR(FIND("fridge/freezer",A81))=FALSE,ISERROR(FIND("larder",A81))=FALSE,AND(ISERROR(FIND("Base",A81))=FALSE,ISERROR(FIND("bins",A81))=TRUE,ISERROR(FIND("no shelves",A81))=TRUE,OR(ISERROR(FIND("carcass",A81))=FALSE,ISERROR(FIND("unit",A81))=FALSE))),VLOOKUP("Deep shelf "&amp;C81,KitchensData,18,0),IF(AND(ISERROR(FIND("Wall",A81))=FALSE,ISERROR(FIND("carcass",A81))=FALSE),2*VLOOKUP("Shallow shelf "&amp;C81,KitchensData,18,0),IF(AND(ISERROR(FIND("Tower",A81))=FALSE,ISERROR(FIND("oven",A81))=FALSE),4*VLOOKUP("Deep shelf "&amp;C81,KitchensData,18,0),IF(AND(ISERROR(FIND("Tower",A81))=FALSE,ISERROR(FIND("carcass",A81))=FALSE),5*VLOOKUP("Deep shelf "&amp;C81,KitchensData,18,0),""))))</f>
        <v/>
      </c>
      <c r="K81" s="152" t="str">
        <f>IF(ISERROR(FIND("sink",A81))=FALSE,VLOOKUP("Sink liner - Aluminium "&amp;RIGHT(A81,LEN(A81)-22)&amp;"mm",ExceptionalData,5,0),IF(ISERROR(FIND("bins",A81))=FALSE,VLOOKUP("Drawer runners and clip set for bin unit (500) Dynapro",FurnitureData,5,0)+(2*VLOOKUP("Bin (42L Anthracite)",FurnitureData,5,0)),IF(ISERROR(FIND("larder",A81))=FALSE,VLOOKUP("Pull out larder unit 600mm",FurnitureData,5,0),IF(AND(ISERROR(FIND("drawer box",A81))=FALSE,ISERROR(FIND("internal",A81))=TRUE),VLOOKUP("Drawer runners and clip set (550) Dynapro",FurnitureData,5,0),IF(ISERROR(FIND("internal drawer box",A81))=FALSE,VLOOKUP("Drawer runners and clip set (450) Dynapro",FurnitureData,5,0),"")))))</f>
        <v/>
      </c>
      <c r="L81" s="152">
        <f t="shared" si="3"/>
        <v>47.86616501</v>
      </c>
      <c r="M81" s="154">
        <f>IFERROR(__xludf.DUMMYFUNCTION("IF(A81="""","""",IF(OR(ISERROR(FIND(""larder"",A81))=FALSE,ISERROR(FIND(""unit"",A81))=FALSE),VLOOKUP(LEFT(A81,FIND("" "",A81))&amp;""carcass ""&amp;RIGHT(A81,LEN(A81)-len(regexextract(A81,"".* ""))),KitchensData,13,0),IF(ISERROR(FIND(""bins"",A81))=FALSE,0.95,IF"&amp;"(ISERROR(FIND(""Cutlery insert 600"",A81))=FALSE,1.3,IF(ISERROR(FIND(""Cutlery insert 1200"",A81))=FALSE,2,IF(ISERROR(FIND(""Pan/tray rack 600"",A81))=FALSE,3.25,IF(ISERROR(FIND(""Pan/tray rack 1200"",A81))=FALSE,5.9,IF(ISERROR(FIND(""split"",A81))=FALSE,"&amp;"(((C81/1000)*0.022)*2)+VLOOKUP(SUBSTITUTE(A81,"" split"",""""),KitchensData,13,0),IF(AND(ISERROR(FIND(""drawer front"",A81))=FALSE,KitchenDoorStyle=""Flat""),(((B81/1000)*(C81/1000))*2)+((((B81+C81)/1000)*2)*0.022),IF(AND(ISERROR(FIND(""drawer front"",A81"&amp;"))=FALSE,LEFT(KitchenDoorStyle,5)=""Panel""),(((B81/1000)*(C81/1000))*2)+((((B81+C81)/1000)*2)*0.022)+((((C81/1000)-0.16)*0.013)*2)+((((D81/1000)-0.16)*0.013)*2),IF(AND(ISERROR(FIND(""drawer front"",A81))=FALSE,KitchenDoorStyle=""In-frame flat""),((((B81-"&amp;"76)/1000)*((C81-38)/1000))*2)+(MID(KitchenDoorMaterial,FIND(""("",KitchenDoorMaterial)+1,2)/1000)*((((B81-76)+(C81-38))/1000)*2)+(((B81/1000)*0.032)*2)+((((B81-76)/1000)*0.032)*2)+(((B81/1000)*0.019)*4)+(((C81/1000)*0.032)*2)+((((C81-38)/1000)*0.032)*2)+("&amp;"((C81/1000)*0.038)*4),IF(AND(ISERROR(FIND(""drawer front"",A81))=FALSE,LEFT(KitchenDoorStyle,14)=""In-frame panel""),((((B81-76)/1000)*((C81-38)/1000))*2)+((MID(KitchenDoorMaterial,FIND(""("",KitchenDoorMaterial)+1,2)/1000)*((((B81-76)+(C81-38))/1000)*2))"&amp;"+((((B81-236)/1000)+((C81-198)/1000)*2)*0.013)+(((B81/1000)*0.032)*2)+((((B81-76)/1000)*0.032)*2)+(((B81/1000)*0.019)*4)+(((C81/1000)*0.032)*2)+((((C81-38)/1000)*0.032)*2)+(((C81/1000)*0.038)*4),IF(ISERROR(FIND(""drawer box"",A81))=FALSE,((((B81/1000)*(D8"&amp;"1/1000))+((B81/1000)*(C81/1000)))*4)+((((D81/1000)+(C81/1000))*0.016)*4)+(((C81/1000)*(D81/1000))*2),IF(OR(ISERROR(FIND(""shelf"",A81))=FALSE,ISERROR(FIND(""spacer"",A81))=FALSE,,ISERROR(FIND(""filler panel"",A81))=FALSE),(((C81/1000)*(D81/1000))*2)+((((C"&amp;"81+D81)*2)/1000)*0.022),IF(ISERROR(FIND(""lost corner"",A81))=FALSE,(((B81/1000)*(C81/1000))*2)+((B81/1000)*(C81/1000))+((B81/1000)*((C81/2)/1000))+((((B81/1000)*0.025)+((C81/1000)*0.025))*2),IF(ISERROR(FIND(""carcass"",A81))=FALSE,(((C81/1000)*(D81/1000)"&amp;")*2)+(((B81/1000)*(D81/1000))*2)+((B81/1000)*(C81/1000))+((((B81/1000)*0.025)+((C81/1000)*0.025))*2),IF(AND(ISERROR(FIND(""door"",A81))=FALSE,KitchenDoorStyle=""Flat""),(((B81/1000)*(C81/1000))*2)+(MID(KitchenDoorMaterial,FIND(""("",KitchenDoorMaterial)+1"&amp;",2)/1000)*(((B81+C81)/1000)*2),IF(AND(ISERROR(FIND(""door"",A81))=FALSE,LEFT(KitchenDoorStyle,5)=""Panel""),(((B81/1000)*(C81/1000))*2)+((MID(KitchenDoorMaterial,FIND(""("",KitchenDoorMaterial)+1,2)/1000)*(((B81+C81)/1000)*2))+(((((B81-160)+(C81-160))*2)/"&amp;"1000)*(0.013)),IF(AND(ISERROR(FIND(""door"",A81))=FALSE,KitchenDoorStyle=""In-frame flat""),((((B81-76)/1000)*((C81-38)/1000))*2)+(MID(KitchenDoorMaterial,FIND(""("",KitchenDoorMaterial)+1,2)/1000)*((((B81-76)+(C81-38))/1000)*2)+(((B81/1000)*0.032)*2)+((("&amp;"(B81-76)/1000)*0.032)*2)+(((B81/1000)*0.019)*4)+(((C81/1000)*0.032)*2)+((((C81-38)/1000)*0.032)*2)+(((C81/1000)*0.038)*4),IF(AND(ISERROR(FIND(""door"",A81))=FALSE,LEFT(KitchenDoorStyle,14)=""In-frame panel""),((((B81-76)/1000)*((C81-38)/1000))*2)+((MID(Ki"&amp;"tchenDoorMaterial,FIND(""("",KitchenDoorMaterial)+1,2)/1000)*((((B81-76)+(C81-38))/1000)*2))+((((B81-236)/1000)+((C81-198)/1000)*2)*0.013)+(((B81/1000)*0.032)*2)+((((B81-76)/1000)*0.032)*2)+(((B81/1000)*0.019)*4)+(((C81/1000)*0.032)*2)+((((C81-38)/1000)*0"&amp;".032)*2)+(((C81/1000)*0.038)*4),IF(ISERROR(FIND(""Plinth"",A81))=FALSE,((B81/1000)*(C81/1000))+(((C81/1000)*0.018)*2)+(((B81/1000)*0.018)*2),IF(ISERROR(FIND(""Cornice"",A81))=FALSE,(((C81/1000)*0.1)*2)+(((C81/1000)*0.044)*2)+(((B81/1000)*0.08)*2),IF(ISERR"&amp;"OR(FIND(""Base end panel"",A81))=FALSE,((B81/1000)*(C81/1000))+(0.022*((B81/1000)+((C81/1000)*2)))+((B81/1000)*0.05),IF(ISERROR(FIND(""Wall end panel"",A81))=FALSE,((B81/1000)*(C81/1000))+(0.022*((B81/1000)+((C81/1000)*2)))+((B81/1000)*0.05),IF(ISERROR(FI"&amp;"ND(""Tower end panel"",A81))=FALSE,((B81/1000)*(C81/1000))+(0.022*((B81/1000)+((C81/1000)*2)))+((B81/1000)*0.05),IF(ISERROR(FIND(""Fillers"",A81))=FALSE,((C81/1000)*0.06)+((C81/1000)*0.069)+((0.06*0.018)*2)+((0.06*0.009)*2)+((C81/1000)*0.009)+((C81/1000)*"&amp;"0.018),IF(ISERROR(FIND(""corner post"",A81))=FALSE,(((B81/1000*0.05)*2)+((B81/1000)*0.022)*2)+((B81/1000)*0.072)+((B81/1000)*0.05)+((0.072*0.022)*2)+((0.05*0.022)*2),IF(ISERROR(FIND(""Pelmet"",A81))=FALSE,((C81/1000)*0.05)+((C81/1000)*0.068)+((0.05*0.018)"&amp;"*4)+(((C81/1000)*0.018))*2))))))))))))))))))))))))))))"),3.25)</f>
        <v>3.25</v>
      </c>
      <c r="N81" s="152">
        <f>IF(M81="","",IF(AND(ISERROR(FIND("carcass",A81))=TRUE,ISERROR(FIND("unit",A81))=TRUE,ISERROR(FIND("insert",A81))=TRUE,ISERROR(FIND("rack",A81))=TRUE,ISERROR(FIND("box",A81))=TRUE,ISERROR(FIND("shelf",#REF!))=TRUE),VLOOKUP(KitchenDoorFinish,Finishing!$A$2:$K$10,9,0)*M81,VLOOKUP(KitchenCarcassFinish,Finishing!$A$2:$K$40,9,0)*M81))</f>
        <v>12.1875</v>
      </c>
      <c r="O81" s="155">
        <v>2.0</v>
      </c>
      <c r="P81" s="155">
        <v>1.0</v>
      </c>
      <c r="Q81" s="152">
        <f>IF(OR(O81="",P81=""),"",((O81*X81)*(VLOOKUP("Workshop",Labour!$A$3:$E$20,4,0)/8))+((P81*AE81)*(VLOOKUP("Finishing",Labour!$A$3:$E$20,4,0)/8)))</f>
        <v>115.5</v>
      </c>
      <c r="R81" s="152">
        <f t="shared" si="4"/>
        <v>175.553665</v>
      </c>
      <c r="S81" s="156">
        <f>IF(OR(O81="",P81=""),"",IF(OR(ISERROR(FIND("carcass",$A81))=FALSE,ISERROR(FIND("unit",$A81))=FALSE),VLOOKUP(KitchenCarcassMaterial,FixedListsCarcassMaterial,2,0),0))</f>
        <v>0</v>
      </c>
      <c r="T81" s="156">
        <f>IF(OR(O81="",P81=""),"",IF(ISERROR(FIND("door",$A81))=FALSE,VLOOKUP(KitchenDoorStyle,FixedListsDoorStyle,2,0),0))</f>
        <v>0</v>
      </c>
      <c r="U81" s="156">
        <f>IF(OR(O81="",P81=""),"",IF(ISERROR(FIND("door",$A81))=FALSE,VLOOKUP(KitchenDoorMaterial,FixedListsDoorMaterial,2,0),0))</f>
        <v>0</v>
      </c>
      <c r="V81" s="156">
        <f>IF(OR(O81="",P81=""),"",IF(ISERROR(FIND("drawer",$A81))=FALSE,VLOOKUP(KitchenDrawerType,FixedListsDrawerType,2,0),0))</f>
        <v>0</v>
      </c>
      <c r="W81" s="156">
        <f>IF(OR(O81="",P81=""),"",IF(OR(S81&gt;0, T81&gt;0,V81&gt;0),VLOOKUP(KitchenHandleType,FixedListsHandleType,2,FALSE)*IF(KitchenHandleType="Simple",0,IF(S81&gt;0,VLOOKUP(KitchenHandleType,FixedListsHandleType,4,FALSE),IF(OR(T81&gt;0,V81&gt;0),1-VLOOKUP(KitchenHandleType,FixedListsHandleType,4,FALSE),"Error"))),0))</f>
        <v>0</v>
      </c>
      <c r="X81" s="156">
        <f t="shared" si="5"/>
        <v>1</v>
      </c>
      <c r="Y81" s="156">
        <f>IF(OR(O81="",P81=""),"",IF(OR(ISERROR(FIND("carcass",$A81))=FALSE,ISERROR(FIND("unit",$A81))=FALSE),VLOOKUP(KitchenCarcassMaterial,FixedListsCarcassMaterial,3,0),0))</f>
        <v>0</v>
      </c>
      <c r="Z81" s="156">
        <f>IF(OR(O81="",P81=""),"",IF(ISERROR(FIND("door",$A81))=FALSE,VLOOKUP(KitchenDoorStyle,FixedListsDoorStyle,3,0),0))</f>
        <v>0</v>
      </c>
      <c r="AA81" s="156">
        <f>IF(OR(O81="",P81=""),"",IF(ISERROR(FIND("door",$A81))=FALSE,VLOOKUP(KitchenDoorMaterial,FixedListsDoorMaterial,3,0),0))</f>
        <v>0</v>
      </c>
      <c r="AB81" s="156">
        <f>IF(OR(O81="",P81=""),"",IF(ISERROR(FIND("drawer",$A81))=FALSE,VLOOKUP(KitchenDrawerType,FixedListsDrawerType,3,0),0))</f>
        <v>0</v>
      </c>
      <c r="AC81" s="156">
        <f>IF(OR(O81="",P81=""),"",IF(OR(Y81&gt;0,Z81&gt;0,AB81&gt;0),VLOOKUP(KitchenHandleType,FixedListsHandleType,3,FALSE),0))</f>
        <v>0</v>
      </c>
      <c r="AD81" s="156">
        <f>IF(OR(O81="",P81=""),"",IF(OR(ISERROR(FIND("carcass",$A81))=FALSE,ISERROR(FIND("unit",$A81))=FALSE),VLOOKUP(KitchenCarcassFinish,FixedListsFinishes,3,0),IF(OR(ISERROR(FIND("door",$A81))=FALSE,ISERROR(FIND("Plinth",$A81))=FALSE,ISERROR(FIND("Cornice",$A81))=FALSE,ISERROR(FIND("Fillers",$A81))=FALSE,ISERROR(FIND("Pelmet",$A81))=FALSE,ISERROR(FIND("panel",$A81))=FALSE,ISERROR(FIND("post",$A81))=FALSE),VLOOKUP(KitchenDoorFinish,FixedListsFinishes,3,0),IF(OR(ISERROR(FIND("drawer",$A81))=FALSE,ISERROR(FIND("insert",$A81))=FALSE,ISERROR(FIND("rck",$A81))=FALSE),VLOOKUP(KitchenCarcassFinish,FixedListsFinishes,3,0),0))))</f>
        <v>0</v>
      </c>
      <c r="AE81" s="156">
        <f t="shared" si="6"/>
        <v>1</v>
      </c>
      <c r="AF81" s="157" t="str">
        <f>IF(AND(KitchenHandleType="Channel",OR(ISERROR(FIND("arcass",$A81))=FALSE,ISERROR(FIND("unit",$A81))=FALSE)),IF(ISERROR(FIND("Tower",$A81))=TRUE,IF(KitchenHandleFinish="Match carcass",IF(ISERROR(FIND("Walnut",KitchenCarcassMaterial))=FALSE,(0.035*0.075*($C81/1000))*VLOOKUP("Walnut (solid m3)",SolidData,4,FALSE),IF(ISERROR(FIND("Oak",KitchenCarcassMaterial))=FALSE,(0.035*0.075*($C81/1000))*VLOOKUP("Oak (solid m3)",SolidData,4,FALSE),IF(ISERROR(FIND("ply",KitchenCarcassMaterial))=FALSE,(0.1*($C81/1000))*VLOOKUP("Birch ply (24mm)",SheetsData,7,FALSE),IF(ISERROR(FIND("H/F",KitchenCarcassMaterial))=FALSE,(0.1*($C81/1000))*VLOOKUP("H/F (22mm)",SheetsData,7,FALSE),"Carcass - not tower - new material")))),IF(KitchenHandleFinish="Match door",IF(ISERROR(FIND("Walnut",KitchenDoorMaterial))=FALSE,(0.035*0.075*($C81/1000))*VLOOKUP("Walnut (solid m3)",SolidData,4,FALSE),IF(ISERROR(FIND("Oak",KitchenDoorMaterial))=FALSE,(0.035*0.075*($C81/1000))*VLOOKUP("Oak (solid m3)",SolidData,4,FALSE),IF(ISERROR(FIND("ply",KitchenDoorMaterial))=FALSE,(0.1*($C81/1000))*VLOOKUP("Birch ply (24mm)",SheetsData,7,FALSE),IF(ISERROR(FIND("H/F",KitchenCarcassMaterial))=FALSE,(0.1*($C81/1000))*VLOOKUP("H/F (22mm)",SheetsData,7,FALSE),"Door - not tower - new material")))),"Channel - not tower - handle set to other")),IF(ISERROR(FIND("Tower",$A81))=FALSE,IF(KitchenHandleFinish="Match carcass",IF(ISERROR(FIND("Walnut",KitchenCarcassMaterial))=FALSE,(0.035*0.075*($B81/1000))*VLOOKUP("Walnut (solid m3)",SolidData,4,FALSE),IF(ISERROR(FIND("Oak",KitchenCarcassMaterial))=FALSE,(0.035*0.075*($B81/1000))*VLOOKUP("Oak (solid m3)",SolidData,4,FALSE),IF(ISERROR(FIND("ply",KitchenCarcassMaterial))=FALSE,(0.1*($B81/1000))*VLOOKUP("Birch ply (24mm)",SheetsData,7,FALSE),IF(ISERROR(FIND("H/F",KitchenCarcassMaterial))=FALSE,(0.1*($C81/1000))*VLOOKUP("H/F (22mm)",SheetsData,7,FALSE),"Carcass - tower - new material")))),IF(KitchenHandleFinish="Match door",IF(ISERROR(FIND("Walnut",KitchenDoorMaterial))=FALSE,(0.035*0.075*($B81/1000))*VLOOKUP("Walnut (solid m3)",SolidData,4,FALSE),IF(ISERROR(FIND("Oak",KitchenDoorMaterial))=FALSE,(0.035*0.075*($B81/1000))*VLOOKUP("Oak (solid m3)",SolidData,4,FALSE),IF(ISERROR(FIND("ply",KitchenDoorMaterial))=FALSE,(0.1*($B81/1000))*VLOOKUP("Birch ply (24mm)",SheetData,7,FALSE),IF(ISERROR(FIND("H/F",KitchenCarcassMaterial))=FALSE,(0.1*($C81/1000))*VLOOKUP("H/F (22mm)",SheetsData,7,FALSE),"Door - tower - new material")))),"Channel - tower - handle set to other")))),"")</f>
        <v/>
      </c>
    </row>
    <row r="82">
      <c r="A82" s="150" t="s">
        <v>190</v>
      </c>
      <c r="B82" s="115" t="str">
        <f t="shared" si="1"/>
        <v/>
      </c>
      <c r="C82" s="115" t="str">
        <f>IFERROR(__xludf.DUMMYFUNCTION("IF(A82="""","""",IF(OR(RIGHT(A82,LEN(A82)-len(regexextract(A82,"".* "")))=""1200"",RIGHT(A82,LEN(A82)-len(regexextract(A82,"".* "")))=""600"",RIGHT(A82,LEN(A82)-len(regexextract(A82,"".* "")))=""400"",RIGHT(A82,LEN(A82)-len(regexextract(A82,"".* "")))=""3"&amp;"00"",RIGHT(A82,LEN(A82)-len(regexextract(A82,"".* "")))=""700"",RIGHT(A82,LEN(A82)-len(regexextract(A82,"".* "")))=""2400"",RIGHT(A82,LEN(A82)-len(regexextract(A82,"".* "")))=""650"",RIGHT(A82,LEN(A82)-len(regexextract(A82,"".* "")))=""350"",RIGHT(A82,LEN"&amp;"(A82)-len(regexextract(A82,"".* "")))=""50""),RIGHT(A82,LEN(A82)-len(regexextract(A82,"".* ""))),IF(OR(ISERROR(FIND(""spacer"",A82))=FALSE,ISERROR(FIND(""filler panel"",A82))=FALSE),""1000"",""Unexpected size in description"")))"),"1200")</f>
        <v>1200</v>
      </c>
      <c r="D82" s="151" t="str">
        <f t="shared" si="2"/>
        <v/>
      </c>
      <c r="E82" s="152">
        <f>IFERROR(__xludf.DUMMYFUNCTION("IF(OR(A82="""",AND(ISERROR(FIND(""drawer box"",A82))=FALSE,KitchenDrawerType="""")),"""",IF(OR(ISERROR(FIND(""larder"",A82))=FALSE,ISERROR(FIND(""fridge/freezer"",A82))=FALSE,ISERROR(FIND(""double oven"",A82))=FALSE,ISERROR(FIND(""single oven"",A82))=FALS"&amp;"E),VLOOKUP(LEFT(A82,FIND("" "",A82))&amp;""carcass ""&amp;RIGHT(A82,LEN(A82)-(LEN(A82)-3)),KitchensData,5,0),IF(ISERROR(FIND(""sink"",A82))=FALSE,VLOOKUP(LEFT(A82,FIND("" "",A82))&amp;""carcass ""&amp;VALUE(REGEXREPLACE(A82,""[^[:digit:]]"", """")),KitchensData,5,0)+(((C"&amp;"82/1000)*(300/1000))*VLOOKUP(KitchenCarcassMaterial,SheetsData,8,0)),IF(ISERROR(FIND(""bins"",A82))=FALSE,IF(ISERROR(FIND(""veneer"",KitchenCarcassMaterial))=FALSE,VLOOKUP(""Base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600"",A82))=FALSE,IF(ISERROR(FIND(""veneer"""&amp;",KitchenCarcassMaterial))=FALSE,0.54*(VLOOKUP(LEFT(KitchenCarcassMaterial,FIND(""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1200"",A82))=FALSE,"&amp;"IF(ISERROR(FIND(""veneer"",KitchenCarcassMaterial))=FALSE,0.84*(VLOOKUP(LEFT(KitchenCarcassMaterial,FIND(""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600"",A82))=FALSE,IF(ISERROR(FIND(""veneer"",KitchenCarcassMaterial))=FALSE,1.44*(VLOOKUP(LEFT(KitchenCarcassMaterial,FIND(""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1200"",A82))=FALSE,IF(ISERROR(FIND(""veneer"",KitchenCarcassMaterial))=FALSE,2.7*(VLOOKUP(LEFT(KitchenCarcassMaterial,FIND(""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front"",A82))=FALSE,((B82/1000)*(C82/1000))*VLOOKUP(KitchenDoorMaterial,SheetsData,8,0),IF(AND(KitchenDrawerType=""Match carcass"",ISERROR(FIND(""drawer box"",A82))=FALSE),(((((B82/1000)*(C82/1000))+((B82/1000"&amp;")*(D82/1000)))*2)*VLOOKUP(KitchenCarcassMaterial,SheetsData,8,0))+(((C82/1000)*(D82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box"",A82))=FALSE),(((((B82/1000)*(C82/1000))+((B82/1000)*(D82/1000)))*2)*(16/1000)*VLOOKUP(LEFT(KitchenCarcassMaterial,FIND("" "&amp;""",KitchenCarcassMaterial))&amp;""(solid m3)"",SolidData,5,0))+(((C82/1000)*(D82/1000))*VLOOKUP(LEFT(KitchenCarcassMaterial,FIND(""("",KitchenCarcassMaterial)-1)&amp;IF(OR(ISERROR(FIND(""ply"",KitchenCarcassMaterial))=FALSE,ISERROR(FIND(""H/F"",KitchenCarcassMate"&amp;"rial))=FALSE),""(9mm)"",""(10mm)""),SheetsData,8,0)),IF(ISERROR(FIND(""spacer"",A82))=FALSE,((D82/1000)*(C82/1000))*VLOOKUP(""Poplar ply (18mm)"",SheetsData,8,0),IF(ISERROR(FIND(""filler panel"",A82))=FALSE,((B82/1000)*(C82/1000))*VLOOKUP(KitchenDoorMater"&amp;"ial,SheetsData,8,0),IF(ISERROR(FIND(""shelf"",A82))=FALSE,((D82/1000)*(C82/1000))*VLOOKUP(KitchenCarcassMaterial,SheetsData,8,0),IF(ISERROR(FIND(""lost corner"",A82))=FALSE,VLOOKUP(LEFT(A82,FIND("" "",A82))&amp;""carcass ""&amp;VALUE(REGEXREPLACE(A82,""[^[:digit:"&amp;"]]"", """")),KitchensData,5,0)+((((B82/1000)*(C82/1000))+((B82/1000)*(60/1000)))*VLOOKUP(KitchenCarcassMaterial,SheetsData,8,0)),IF(ISERROR(FIND(""carcass"",A82))=FALSE,(((((B82/1000)*2)*(D82/1000))+(((C82/1000)*2)*(D82/1000)))*VLOOKUP(KitchenCarcassMater"&amp;"ial,SheetsData,8,0))+((B82/1000)*(C82/1000))*VLOOKUP(LEFT(KitchenCarcassMaterial,FIND(""("",KitchenCarcassMaterial)-1)&amp;IF(OR(ISERROR(FIND(""ply"",KitchenCarcassMaterial))=FALSE,ISERROR(FIND(""H/F"",KitchenCarcassMaterial))=FALSE),""(9mm)"",""(10mm)""),She"&amp;"etsData,8,0),IF(OR(ISERROR(FIND(""Plinth"",A82))=FALSE,ISERROR(FIND(""Cornice (flat)"",A82))=FALSE),((B82/1000)*(C82/1000))*VLOOKUP(""H/F (18mm)"",SheetsData,8,0),IF(ISERROR(FIND(""Cornice (stacked)"",A82))=FALSE,((0.08*(C82/1000))*2)*VLOOKUP(""H/F (22mm)"&amp;""",SheetsData,8,0),IF(ISERROR(FIND(""Base end panel"",A82))=FALSE,VLOOKUP(KitchenDoorMaterial,SheetsData,5,0)/3,IF(ISERROR(FIND(""Wall end panel"",A82))=FALSE,VLOOKUP(KitchenDoorMaterial,SheetsData,5,0)/9,IF(ISERROR(FIND(""Tower end panel"",A82))=FALSE,VL"&amp;"OOKUP(KitchenDoorMaterial,SheetsData,5,0),IF(ISERROR(FIND(""Fillers"",A82))=FALSE,(((0.06*(C82/1000))*2)*VLOOKUP(""H/F (18mm)"",SheetsData,8,0))+(((0.06*(C82/1000))*2)*VLOOKUP(""H/F (9mm)"",SheetsData,8,0)),IF(ISERROR(FIND(""corner post"",A82))=FALSE,(((B"&amp;"82/1000)*0.05)*2)*VLOOKUP(KitchenDoorMaterial,SheetsData,8,0),IF(ISERROR(FIND(""Pelmet"",A82))=FALSE,((((B82/1000)*(C82/1000))*2)*VLOOKUP(""H/F (18mm)"",SheetsData,8,0)),IF(ISERROR(FIND(""door"",A82))=TRUE,""Check description"",IF(KitchenDoorStyle=""Flat"&amp;""",((B82/1000)*(C82/1000))*VLOOKUP(KitchenDoorMaterial,SheetsData,8,0),IF(LEFT(KitchenDoorStyle,5)=""Panel"",(((((B82/1000)*2)*0.08)+((((C82/1000)-0.16)*2)*0.08))*VLOOKUP(""H/F (22mm)"",SheetsData,8,0))+(((B82/1000)-0.14)*((C82/1000)-0.14)*VLOOKUP(""H/F ("&amp;"9mm)"",SheetsData,8,0)),IF(KitchenDoorStyle=""In-frame flat"",((((((B82/1000)*0.019)*0.038)+((((C82-38)/1000)*0.038)*0.038))*2)*VLOOKUP(""Tulip (solid m3)"",SolidData,5,0))+(((B82-76)/1000)*((C82-38)/1000))*VLOOKUP(""H/F (22mm)"",SheetsData,8,0),IF(LEFT(K"&amp;"itchenDoorStyle,14)=""In-frame panel"",(((((((B82/1000)*0.019)*0.038)+((((C82-38)/1000)*0.038)*0.038))*2)*VLOOKUP(""Tulip (solid m3)"",SolidData,5,0))+(((((((B82-76)/1000)*2)*0.08)+(((((C82-198)/1000)*2)*0.08)))*VLOOKUP(""H/F (22mm)"",SheetsData,8,0))+((("&amp;"B82-216)/1000)*((C82-178)/1000)*VLOOKUP(""H/F (9mm)"",SheetsData,8,0)))))))))))))))))))))))))))))))))"),89.74905939263641)</f>
        <v>89.74905939</v>
      </c>
      <c r="F82" s="152" t="str">
        <f>IFERROR(__xludf.DUMMYFUNCTION("IF(OR(A82="""",AND(ISERROR(FIND(""drawer box"",A82))=FALSE,KitchenDrawerType=""Solid dovetail"")),"""",IF(ISERROR(FIND(""bins"",A82))=FALSE,VLOOKUP(""Base carcass 600"",KitchensData,6,0),IF(OR(ISERROR(FIND(""larder"",A82))=FALSE,ISERROR(FIND(""unit"",A82)"&amp;")=FALSE),VLOOKUP(LEFT(A82,FIND("" "",A82))&amp;""carcass ""&amp;RIGHT(A82,LEN(A82)-len(regexextract(A82,"".* ""))),KitchensData,6,0),IF(ISERROR(FIND(""drawer front"",A82))=FALSE,IF(ISERROR(FIND(""veneer"",KitchenCarcassMaterial))=TRUE,0,(((B82+C82)/1000)*2)*VLOOK"&amp;"UP(""Edge banding (per M)"",SheetsData,5,0)),IF(ISERROR(FIND(""drawer box"",A82))=FALSE,IF(ISERROR(FIND(""veneer"",KitchenCarcassMaterial))=TRUE,0,(((C82+D82)/1000)*2)*VLOOKUP(""Edge banding (per M)"",SheetsData,5,0)),IF(ISERROR(FIND(""shelf"",A82))=FALSE"&amp;",IF(ISERROR(FIND(""veneer"",KitchenCarcassMaterial))=TRUE,0,(C82/1000)*VLOOKUP(""Edge banding (per M)"",SheetsData,5,0)),IF(AND(ISERROR(FIND(""carcass"",A82))=FALSE,ISERROR(FIND(""shelf"",A82))=TRUE),IF(ISERROR(FIND(""veneer"",KitchenCarcassMaterial))=TRU"&amp;"E,0,((2*(B82+C82))/1000)*VLOOKUP(""Edge banding (per M)"",SheetsData,5,0)),IF(ISERROR(FIND(""door"",A82))=TRUE,"""",IF(ISERROR(FIND(""veneer"",KitchenDoorMaterial))=TRUE,"""",((2*(B82+C82))/1000)*VLOOKUP(""Edge banding (per M)"",SheetsData,5,0))))))))))"),"")</f>
        <v/>
      </c>
      <c r="G82" s="153" t="str">
        <f>IF(A82="","",IF(ISERROR(FIND("bins",A82))=FALSE,VLOOKUP("Base carcass 600",KitchensData,7,0),IF(OR(ISERROR(FIND("larder",A82))=FALSE,ISERROR(FIND("fridge/freezer",A82))=FALSE,ISERROR(FIND("double oven",A82))=FALSE,ISERROR(FIND("single oven",A82))=FALSE),VLOOKUP(LEFT(A82,FIND(" ",A82))&amp;"carcass "&amp;RIGHT(A82,LEN(A82)-(LEN(A82)-3)),KitchensData,7,0),IF(AND(ISERROR(FIND("carcass",A82))=FALSE,ISERROR(FIND("shelf",A82))=TRUE),IF(OR(ISERROR(FIND("Base",A82))=FALSE,ISERROR(FIND("Tower",A82))=FALSE),IF(OR(ISERROR(FIND("1200",A82))=FALSE, ISERROR(FIND("lost corner",A82))=FALSE),6*VLOOKUP("Plinth foot (2 Parts 80mm)",FurnitureData,5,0),4*VLOOKUP("Plinth foot (2 Parts 80mm)",FurnitureData,5,0)),""),""))))</f>
        <v/>
      </c>
      <c r="H82" s="115" t="str">
        <f>IF(OR(A82="",ISERROR(FIND("door",A82))=TRUE),"",IF(ISERROR(FIND("Wall",A82))=FALSE,VLOOKUP("Hinges &amp; plates (Hettich thick door)",FurnitureData,5,0)*2,IF(ISERROR(FIND("Base",A82))=FALSE,VLOOKUP("Hinges &amp; plates (Hettich thick door)",FurnitureData,5,0)*3,IF(ISERROR(FIND("Boiler",A82))=FALSE,VLOOKUP("Hinges &amp; plates (Hettich thick door)",FurnitureData,5,0)*4,IF(ISERROR(FIND("Tower",A82))=FALSE,VLOOKUP("Hinges &amp; plates (Hettich thick door)",FurnitureData,5,0)*5)))))</f>
        <v/>
      </c>
      <c r="I82" s="115" t="str">
        <f>IF(ISERROR(FIND("shelf",A82))=FALSE,(VLOOKUP("Shelf pegs",FurnitureData,5,0)/100)*4,"")</f>
        <v/>
      </c>
      <c r="J82" s="152" t="str">
        <f>IF(OR(ISERROR(FIND("fridge/freezer",A82))=FALSE,ISERROR(FIND("larder",A82))=FALSE,AND(ISERROR(FIND("Base",A82))=FALSE,ISERROR(FIND("bins",A82))=TRUE,ISERROR(FIND("no shelves",A82))=TRUE,OR(ISERROR(FIND("carcass",A82))=FALSE,ISERROR(FIND("unit",A82))=FALSE))),VLOOKUP("Deep shelf "&amp;C82,KitchensData,18,0),IF(AND(ISERROR(FIND("Wall",A82))=FALSE,ISERROR(FIND("carcass",A82))=FALSE),2*VLOOKUP("Shallow shelf "&amp;C82,KitchensData,18,0),IF(AND(ISERROR(FIND("Tower",A82))=FALSE,ISERROR(FIND("oven",A82))=FALSE),4*VLOOKUP("Deep shelf "&amp;C82,KitchensData,18,0),IF(AND(ISERROR(FIND("Tower",A82))=FALSE,ISERROR(FIND("carcass",A82))=FALSE),5*VLOOKUP("Deep shelf "&amp;C82,KitchensData,18,0),""))))</f>
        <v/>
      </c>
      <c r="K82" s="152" t="str">
        <f>IF(ISERROR(FIND("sink",A82))=FALSE,VLOOKUP("Sink liner - Aluminium "&amp;RIGHT(A82,LEN(A82)-22)&amp;"mm",ExceptionalData,5,0),IF(ISERROR(FIND("bins",A82))=FALSE,VLOOKUP("Drawer runners and clip set for bin unit (500) Dynapro",FurnitureData,5,0)+(2*VLOOKUP("Bin (42L Anthracite)",FurnitureData,5,0)),IF(ISERROR(FIND("larder",A82))=FALSE,VLOOKUP("Pull out larder unit 600mm",FurnitureData,5,0),IF(AND(ISERROR(FIND("drawer box",A82))=FALSE,ISERROR(FIND("internal",A82))=TRUE),VLOOKUP("Drawer runners and clip set (550) Dynapro",FurnitureData,5,0),IF(ISERROR(FIND("internal drawer box",A82))=FALSE,VLOOKUP("Drawer runners and clip set (450) Dynapro",FurnitureData,5,0),"")))))</f>
        <v/>
      </c>
      <c r="L82" s="152">
        <f t="shared" si="3"/>
        <v>89.74905939</v>
      </c>
      <c r="M82" s="154">
        <f>IFERROR(__xludf.DUMMYFUNCTION("IF(A82="""","""",IF(OR(ISERROR(FIND(""larder"",A82))=FALSE,ISERROR(FIND(""unit"",A82))=FALSE),VLOOKUP(LEFT(A82,FIND("" "",A82))&amp;""carcass ""&amp;RIGHT(A82,LEN(A82)-len(regexextract(A82,"".* ""))),KitchensData,13,0),IF(ISERROR(FIND(""bins"",A82))=FALSE,0.95,IF"&amp;"(ISERROR(FIND(""Cutlery insert 600"",A82))=FALSE,1.3,IF(ISERROR(FIND(""Cutlery insert 1200"",A82))=FALSE,2,IF(ISERROR(FIND(""Pan/tray rack 600"",A82))=FALSE,3.25,IF(ISERROR(FIND(""Pan/tray rack 1200"",A82))=FALSE,5.9,IF(ISERROR(FIND(""split"",A82))=FALSE,"&amp;"(((C82/1000)*0.022)*2)+VLOOKUP(SUBSTITUTE(A82,"" split"",""""),KitchensData,13,0),IF(AND(ISERROR(FIND(""drawer front"",A82))=FALSE,KitchenDoorStyle=""Flat""),(((B82/1000)*(C82/1000))*2)+((((B82+C82)/1000)*2)*0.022),IF(AND(ISERROR(FIND(""drawer front"",A82"&amp;"))=FALSE,LEFT(KitchenDoorStyle,5)=""Panel""),(((B82/1000)*(C82/1000))*2)+((((B82+C82)/1000)*2)*0.022)+((((C82/1000)-0.16)*0.013)*2)+((((D82/1000)-0.16)*0.013)*2),IF(AND(ISERROR(FIND(""drawer front"",A82))=FALSE,KitchenDoorStyle=""In-frame flat""),((((B82-"&amp;"76)/1000)*((C82-38)/1000))*2)+(MID(KitchenDoorMaterial,FIND(""("",KitchenDoorMaterial)+1,2)/1000)*((((B82-76)+(C82-38))/1000)*2)+(((B82/1000)*0.032)*2)+((((B82-76)/1000)*0.032)*2)+(((B82/1000)*0.019)*4)+(((C82/1000)*0.032)*2)+((((C82-38)/1000)*0.032)*2)+("&amp;"((C82/1000)*0.038)*4),IF(AND(ISERROR(FIND(""drawer front"",A82))=FALSE,LEFT(KitchenDoorStyle,14)=""In-frame panel""),((((B82-76)/1000)*((C82-38)/1000))*2)+((MID(KitchenDoorMaterial,FIND(""("",KitchenDoorMaterial)+1,2)/1000)*((((B82-76)+(C82-38))/1000)*2))"&amp;"+((((B82-236)/1000)+((C82-198)/1000)*2)*0.013)+(((B82/1000)*0.032)*2)+((((B82-76)/1000)*0.032)*2)+(((B82/1000)*0.019)*4)+(((C82/1000)*0.032)*2)+((((C82-38)/1000)*0.032)*2)+(((C82/1000)*0.038)*4),IF(ISERROR(FIND(""drawer box"",A82))=FALSE,((((B82/1000)*(D8"&amp;"2/1000))+((B82/1000)*(C82/1000)))*4)+((((D82/1000)+(C82/1000))*0.016)*4)+(((C82/1000)*(D82/1000))*2),IF(OR(ISERROR(FIND(""shelf"",A82))=FALSE,ISERROR(FIND(""spacer"",A82))=FALSE,,ISERROR(FIND(""filler panel"",A82))=FALSE),(((C82/1000)*(D82/1000))*2)+((((C"&amp;"82+D82)*2)/1000)*0.022),IF(ISERROR(FIND(""lost corner"",A82))=FALSE,(((B82/1000)*(C82/1000))*2)+((B82/1000)*(C82/1000))+((B82/1000)*((C82/2)/1000))+((((B82/1000)*0.025)+((C82/1000)*0.025))*2),IF(ISERROR(FIND(""carcass"",A82))=FALSE,(((C82/1000)*(D82/1000)"&amp;")*2)+(((B82/1000)*(D82/1000))*2)+((B82/1000)*(C82/1000))+((((B82/1000)*0.025)+((C82/1000)*0.025))*2),IF(AND(ISERROR(FIND(""door"",A82))=FALSE,KitchenDoorStyle=""Flat""),(((B82/1000)*(C82/1000))*2)+(MID(KitchenDoorMaterial,FIND(""("",KitchenDoorMaterial)+1"&amp;",2)/1000)*(((B82+C82)/1000)*2),IF(AND(ISERROR(FIND(""door"",A82))=FALSE,LEFT(KitchenDoorStyle,5)=""Panel""),(((B82/1000)*(C82/1000))*2)+((MID(KitchenDoorMaterial,FIND(""("",KitchenDoorMaterial)+1,2)/1000)*(((B82+C82)/1000)*2))+(((((B82-160)+(C82-160))*2)/"&amp;"1000)*(0.013)),IF(AND(ISERROR(FIND(""door"",A82))=FALSE,KitchenDoorStyle=""In-frame flat""),((((B82-76)/1000)*((C82-38)/1000))*2)+(MID(KitchenDoorMaterial,FIND(""("",KitchenDoorMaterial)+1,2)/1000)*((((B82-76)+(C82-38))/1000)*2)+(((B82/1000)*0.032)*2)+((("&amp;"(B82-76)/1000)*0.032)*2)+(((B82/1000)*0.019)*4)+(((C82/1000)*0.032)*2)+((((C82-38)/1000)*0.032)*2)+(((C82/1000)*0.038)*4),IF(AND(ISERROR(FIND(""door"",A82))=FALSE,LEFT(KitchenDoorStyle,14)=""In-frame panel""),((((B82-76)/1000)*((C82-38)/1000))*2)+((MID(Ki"&amp;"tchenDoorMaterial,FIND(""("",KitchenDoorMaterial)+1,2)/1000)*((((B82-76)+(C82-38))/1000)*2))+((((B82-236)/1000)+((C82-198)/1000)*2)*0.013)+(((B82/1000)*0.032)*2)+((((B82-76)/1000)*0.032)*2)+(((B82/1000)*0.019)*4)+(((C82/1000)*0.032)*2)+((((C82-38)/1000)*0"&amp;".032)*2)+(((C82/1000)*0.038)*4),IF(ISERROR(FIND(""Plinth"",A82))=FALSE,((B82/1000)*(C82/1000))+(((C82/1000)*0.018)*2)+(((B82/1000)*0.018)*2),IF(ISERROR(FIND(""Cornice"",A82))=FALSE,(((C82/1000)*0.1)*2)+(((C82/1000)*0.044)*2)+(((B82/1000)*0.08)*2),IF(ISERR"&amp;"OR(FIND(""Base end panel"",A82))=FALSE,((B82/1000)*(C82/1000))+(0.022*((B82/1000)+((C82/1000)*2)))+((B82/1000)*0.05),IF(ISERROR(FIND(""Wall end panel"",A82))=FALSE,((B82/1000)*(C82/1000))+(0.022*((B82/1000)+((C82/1000)*2)))+((B82/1000)*0.05),IF(ISERROR(FI"&amp;"ND(""Tower end panel"",A82))=FALSE,((B82/1000)*(C82/1000))+(0.022*((B82/1000)+((C82/1000)*2)))+((B82/1000)*0.05),IF(ISERROR(FIND(""Fillers"",A82))=FALSE,((C82/1000)*0.06)+((C82/1000)*0.069)+((0.06*0.018)*2)+((0.06*0.009)*2)+((C82/1000)*0.009)+((C82/1000)*"&amp;"0.018),IF(ISERROR(FIND(""corner post"",A82))=FALSE,(((B82/1000*0.05)*2)+((B82/1000)*0.022)*2)+((B82/1000)*0.072)+((B82/1000)*0.05)+((0.072*0.022)*2)+((0.05*0.022)*2),IF(ISERROR(FIND(""Pelmet"",A82))=FALSE,((C82/1000)*0.05)+((C82/1000)*0.068)+((0.05*0.018)"&amp;"*4)+(((C82/1000)*0.018))*2))))))))))))))))))))))))))))"),5.9)</f>
        <v>5.9</v>
      </c>
      <c r="N82" s="152">
        <f>IF(M82="","",IF(AND(ISERROR(FIND("carcass",A82))=TRUE,ISERROR(FIND("unit",A82))=TRUE,ISERROR(FIND("insert",A82))=TRUE,ISERROR(FIND("rack",A82))=TRUE,ISERROR(FIND("box",A82))=TRUE,ISERROR(FIND("shelf",#REF!))=TRUE),VLOOKUP(KitchenDoorFinish,Finishing!$A$2:$K$10,9,0)*M82,VLOOKUP(KitchenCarcassFinish,Finishing!$A$2:$K$40,9,0)*M82))</f>
        <v>22.125</v>
      </c>
      <c r="O82" s="155">
        <v>2.5</v>
      </c>
      <c r="P82" s="155">
        <v>1.5</v>
      </c>
      <c r="Q82" s="152">
        <f>IF(OR(O82="",P82=""),"",((O82*X82)*(VLOOKUP("Workshop",Labour!$A$3:$E$20,4,0)/8))+((P82*AE82)*(VLOOKUP("Finishing",Labour!$A$3:$E$20,4,0)/8)))</f>
        <v>151.375</v>
      </c>
      <c r="R82" s="152">
        <f t="shared" si="4"/>
        <v>263.2490594</v>
      </c>
      <c r="S82" s="156">
        <f>IF(OR(O82="",P82=""),"",IF(OR(ISERROR(FIND("carcass",$A82))=FALSE,ISERROR(FIND("unit",$A82))=FALSE),VLOOKUP(KitchenCarcassMaterial,FixedListsCarcassMaterial,2,0),0))</f>
        <v>0</v>
      </c>
      <c r="T82" s="156">
        <f>IF(OR(O82="",P82=""),"",IF(ISERROR(FIND("door",$A82))=FALSE,VLOOKUP(KitchenDoorStyle,FixedListsDoorStyle,2,0),0))</f>
        <v>0</v>
      </c>
      <c r="U82" s="156">
        <f>IF(OR(O82="",P82=""),"",IF(ISERROR(FIND("door",$A82))=FALSE,VLOOKUP(KitchenDoorMaterial,FixedListsDoorMaterial,2,0),0))</f>
        <v>0</v>
      </c>
      <c r="V82" s="156">
        <f>IF(OR(O82="",P82=""),"",IF(ISERROR(FIND("drawer",$A82))=FALSE,VLOOKUP(KitchenDrawerType,FixedListsDrawerType,2,0),0))</f>
        <v>0</v>
      </c>
      <c r="W82" s="156">
        <f>IF(OR(O82="",P82=""),"",IF(OR(S82&gt;0, T82&gt;0,V82&gt;0),VLOOKUP(KitchenHandleType,FixedListsHandleType,2,FALSE)*IF(KitchenHandleType="Simple",0,IF(S82&gt;0,VLOOKUP(KitchenHandleType,FixedListsHandleType,4,FALSE),IF(OR(T82&gt;0,V82&gt;0),1-VLOOKUP(KitchenHandleType,FixedListsHandleType,4,FALSE),"Error"))),0))</f>
        <v>0</v>
      </c>
      <c r="X82" s="156">
        <f t="shared" si="5"/>
        <v>1</v>
      </c>
      <c r="Y82" s="156">
        <f>IF(OR(O82="",P82=""),"",IF(OR(ISERROR(FIND("carcass",$A82))=FALSE,ISERROR(FIND("unit",$A82))=FALSE),VLOOKUP(KitchenCarcassMaterial,FixedListsCarcassMaterial,3,0),0))</f>
        <v>0</v>
      </c>
      <c r="Z82" s="156">
        <f>IF(OR(O82="",P82=""),"",IF(ISERROR(FIND("door",$A82))=FALSE,VLOOKUP(KitchenDoorStyle,FixedListsDoorStyle,3,0),0))</f>
        <v>0</v>
      </c>
      <c r="AA82" s="156">
        <f>IF(OR(O82="",P82=""),"",IF(ISERROR(FIND("door",$A82))=FALSE,VLOOKUP(KitchenDoorMaterial,FixedListsDoorMaterial,3,0),0))</f>
        <v>0</v>
      </c>
      <c r="AB82" s="156">
        <f>IF(OR(O82="",P82=""),"",IF(ISERROR(FIND("drawer",$A82))=FALSE,VLOOKUP(KitchenDrawerType,FixedListsDrawerType,3,0),0))</f>
        <v>0</v>
      </c>
      <c r="AC82" s="156">
        <f>IF(OR(O82="",P82=""),"",IF(OR(Y82&gt;0,Z82&gt;0,AB82&gt;0),VLOOKUP(KitchenHandleType,FixedListsHandleType,3,FALSE),0))</f>
        <v>0</v>
      </c>
      <c r="AD82" s="156">
        <f>IF(OR(O82="",P82=""),"",IF(OR(ISERROR(FIND("carcass",$A82))=FALSE,ISERROR(FIND("unit",$A82))=FALSE),VLOOKUP(KitchenCarcassFinish,FixedListsFinishes,3,0),IF(OR(ISERROR(FIND("door",$A82))=FALSE,ISERROR(FIND("Plinth",$A82))=FALSE,ISERROR(FIND("Cornice",$A82))=FALSE,ISERROR(FIND("Fillers",$A82))=FALSE,ISERROR(FIND("Pelmet",$A82))=FALSE,ISERROR(FIND("panel",$A82))=FALSE,ISERROR(FIND("post",$A82))=FALSE),VLOOKUP(KitchenDoorFinish,FixedListsFinishes,3,0),IF(OR(ISERROR(FIND("drawer",$A82))=FALSE,ISERROR(FIND("insert",$A82))=FALSE,ISERROR(FIND("rck",$A82))=FALSE),VLOOKUP(KitchenCarcassFinish,FixedListsFinishes,3,0),0))))</f>
        <v>0</v>
      </c>
      <c r="AE82" s="156">
        <f t="shared" si="6"/>
        <v>1</v>
      </c>
      <c r="AF82" s="157" t="str">
        <f>IF(AND(KitchenHandleType="Channel",OR(ISERROR(FIND("arcass",$A82))=FALSE,ISERROR(FIND("unit",$A82))=FALSE)),IF(ISERROR(FIND("Tower",$A82))=TRUE,IF(KitchenHandleFinish="Match carcass",IF(ISERROR(FIND("Walnut",KitchenCarcassMaterial))=FALSE,(0.035*0.075*($C82/1000))*VLOOKUP("Walnut (solid m3)",SolidData,4,FALSE),IF(ISERROR(FIND("Oak",KitchenCarcassMaterial))=FALSE,(0.035*0.075*($C82/1000))*VLOOKUP("Oak (solid m3)",SolidData,4,FALSE),IF(ISERROR(FIND("ply",KitchenCarcassMaterial))=FALSE,(0.1*($C82/1000))*VLOOKUP("Birch ply (24mm)",SheetsData,7,FALSE),IF(ISERROR(FIND("H/F",KitchenCarcassMaterial))=FALSE,(0.1*($C82/1000))*VLOOKUP("H/F (22mm)",SheetsData,7,FALSE),"Carcass - not tower - new material")))),IF(KitchenHandleFinish="Match door",IF(ISERROR(FIND("Walnut",KitchenDoorMaterial))=FALSE,(0.035*0.075*($C82/1000))*VLOOKUP("Walnut (solid m3)",SolidData,4,FALSE),IF(ISERROR(FIND("Oak",KitchenDoorMaterial))=FALSE,(0.035*0.075*($C82/1000))*VLOOKUP("Oak (solid m3)",SolidData,4,FALSE),IF(ISERROR(FIND("ply",KitchenDoorMaterial))=FALSE,(0.1*($C82/1000))*VLOOKUP("Birch ply (24mm)",SheetsData,7,FALSE),IF(ISERROR(FIND("H/F",KitchenCarcassMaterial))=FALSE,(0.1*($C82/1000))*VLOOKUP("H/F (22mm)",SheetsData,7,FALSE),"Door - not tower - new material")))),"Channel - not tower - handle set to other")),IF(ISERROR(FIND("Tower",$A82))=FALSE,IF(KitchenHandleFinish="Match carcass",IF(ISERROR(FIND("Walnut",KitchenCarcassMaterial))=FALSE,(0.035*0.075*($B82/1000))*VLOOKUP("Walnut (solid m3)",SolidData,4,FALSE),IF(ISERROR(FIND("Oak",KitchenCarcassMaterial))=FALSE,(0.035*0.075*($B82/1000))*VLOOKUP("Oak (solid m3)",SolidData,4,FALSE),IF(ISERROR(FIND("ply",KitchenCarcassMaterial))=FALSE,(0.1*($B82/1000))*VLOOKUP("Birch ply (24mm)",SheetsData,7,FALSE),IF(ISERROR(FIND("H/F",KitchenCarcassMaterial))=FALSE,(0.1*($C82/1000))*VLOOKUP("H/F (22mm)",SheetsData,7,FALSE),"Carcass - tower - new material")))),IF(KitchenHandleFinish="Match door",IF(ISERROR(FIND("Walnut",KitchenDoorMaterial))=FALSE,(0.035*0.075*($B82/1000))*VLOOKUP("Walnut (solid m3)",SolidData,4,FALSE),IF(ISERROR(FIND("Oak",KitchenDoorMaterial))=FALSE,(0.035*0.075*($B82/1000))*VLOOKUP("Oak (solid m3)",SolidData,4,FALSE),IF(ISERROR(FIND("ply",KitchenDoorMaterial))=FALSE,(0.1*($B82/1000))*VLOOKUP("Birch ply (24mm)",SheetData,7,FALSE),IF(ISERROR(FIND("H/F",KitchenCarcassMaterial))=FALSE,(0.1*($C82/1000))*VLOOKUP("H/F (22mm)",SheetsData,7,FALSE),"Door - tower - new material")))),"Channel - tower - handle set to other")))),"")</f>
        <v/>
      </c>
    </row>
    <row r="83">
      <c r="A83" s="150" t="s">
        <v>191</v>
      </c>
      <c r="B83" s="115">
        <f t="shared" si="1"/>
        <v>800</v>
      </c>
      <c r="C83" s="115" t="str">
        <f>IFERROR(__xludf.DUMMYFUNCTION("IF(A83="""","""",IF(OR(RIGHT(A83,LEN(A83)-len(regexextract(A83,"".* "")))=""1200"",RIGHT(A83,LEN(A83)-len(regexextract(A83,"".* "")))=""600"",RIGHT(A83,LEN(A83)-len(regexextract(A83,"".* "")))=""400"",RIGHT(A83,LEN(A83)-len(regexextract(A83,"".* "")))=""3"&amp;"00"",RIGHT(A83,LEN(A83)-len(regexextract(A83,"".* "")))=""700"",RIGHT(A83,LEN(A83)-len(regexextract(A83,"".* "")))=""2400"",RIGHT(A83,LEN(A83)-len(regexextract(A83,"".* "")))=""650"",RIGHT(A83,LEN(A83)-len(regexextract(A83,"".* "")))=""350"",RIGHT(A83,LEN"&amp;"(A83)-len(regexextract(A83,"".* "")))=""50""),RIGHT(A83,LEN(A83)-len(regexextract(A83,"".* ""))),IF(OR(ISERROR(FIND(""spacer"",A83))=FALSE,ISERROR(FIND(""filler panel"",A83))=FALSE),""1000"",""Unexpected size in description"")))"),"1200")</f>
        <v>1200</v>
      </c>
      <c r="D83" s="151">
        <f t="shared" si="2"/>
        <v>300</v>
      </c>
      <c r="E83" s="152">
        <f>IFERROR(__xludf.DUMMYFUNCTION("IF(OR(A83="""",AND(ISERROR(FIND(""drawer box"",A83))=FALSE,KitchenDrawerType="""")),"""",IF(OR(ISERROR(FIND(""larder"",A83))=FALSE,ISERROR(FIND(""fridge/freezer"",A83))=FALSE,ISERROR(FIND(""double oven"",A83))=FALSE,ISERROR(FIND(""single oven"",A83))=FALS"&amp;"E),VLOOKUP(LEFT(A83,FIND("" "",A83))&amp;""carcass ""&amp;RIGHT(A83,LEN(A83)-(LEN(A83)-3)),KitchensData,5,0),IF(ISERROR(FIND(""sink"",A83))=FALSE,VLOOKUP(LEFT(A83,FIND("" "",A83))&amp;""carcass ""&amp;VALUE(REGEXREPLACE(A83,""[^[:digit:]]"", """")),KitchensData,5,0)+(((C"&amp;"83/1000)*(300/1000))*VLOOKUP(KitchenCarcassMaterial,SheetsData,8,0)),IF(ISERROR(FIND(""bins"",A83))=FALSE,IF(ISERROR(FIND(""veneer"",KitchenCarcassMaterial))=FALSE,VLOOKUP(""Base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600"",A83))=FALSE,IF(ISERROR(FIND(""veneer"""&amp;",KitchenCarcassMaterial))=FALSE,0.54*(VLOOKUP(LEFT(KitchenCarcassMaterial,FIND(""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1200"",A83))=FALSE,"&amp;"IF(ISERROR(FIND(""veneer"",KitchenCarcassMaterial))=FALSE,0.84*(VLOOKUP(LEFT(KitchenCarcassMaterial,FIND(""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600"",A83))=FALSE,IF(ISERROR(FIND(""veneer"",KitchenCarcassMaterial))=FALSE,1.44*(VLOOKUP(LEFT(KitchenCarcassMaterial,FIND(""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1200"",A83))=FALSE,IF(ISERROR(FIND(""veneer"",KitchenCarcassMaterial))=FALSE,2.7*(VLOOKUP(LEFT(KitchenCarcassMaterial,FIND(""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front"",A83))=FALSE,((B83/1000)*(C83/1000))*VLOOKUP(KitchenDoorMaterial,SheetsData,8,0),IF(AND(KitchenDrawerType=""Match carcass"",ISERROR(FIND(""drawer box"",A83))=FALSE),(((((B83/1000)*(C83/1000))+((B83/1000"&amp;")*(D83/1000)))*2)*VLOOKUP(KitchenCarcassMaterial,SheetsData,8,0))+(((C83/1000)*(D83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box"",A83))=FALSE),(((((B83/1000)*(C83/1000))+((B83/1000)*(D83/1000)))*2)*(16/1000)*VLOOKUP(LEFT(KitchenCarcassMaterial,FIND("" "&amp;""",KitchenCarcassMaterial))&amp;""(solid m3)"",SolidData,5,0))+(((C83/1000)*(D83/1000))*VLOOKUP(LEFT(KitchenCarcassMaterial,FIND(""("",KitchenCarcassMaterial)-1)&amp;IF(OR(ISERROR(FIND(""ply"",KitchenCarcassMaterial))=FALSE,ISERROR(FIND(""H/F"",KitchenCarcassMate"&amp;"rial))=FALSE),""(9mm)"",""(10mm)""),SheetsData,8,0)),IF(ISERROR(FIND(""spacer"",A83))=FALSE,((D83/1000)*(C83/1000))*VLOOKUP(""Poplar ply (18mm)"",SheetsData,8,0),IF(ISERROR(FIND(""filler panel"",A83))=FALSE,((B83/1000)*(C83/1000))*VLOOKUP(KitchenDoorMater"&amp;"ial,SheetsData,8,0),IF(ISERROR(FIND(""shelf"",A83))=FALSE,((D83/1000)*(C83/1000))*VLOOKUP(KitchenCarcassMaterial,SheetsData,8,0),IF(ISERROR(FIND(""lost corner"",A83))=FALSE,VLOOKUP(LEFT(A83,FIND("" "",A83))&amp;""carcass ""&amp;VALUE(REGEXREPLACE(A83,""[^[:digit:"&amp;"]]"", """")),KitchensData,5,0)+((((B83/1000)*(C83/1000))+((B83/1000)*(60/1000)))*VLOOKUP(KitchenCarcassMaterial,SheetsData,8,0)),IF(ISERROR(FIND(""carcass"",A83))=FALSE,(((((B83/1000)*2)*(D83/1000))+(((C83/1000)*2)*(D83/1000)))*VLOOKUP(KitchenCarcassMater"&amp;"ial,SheetsData,8,0))+((B83/1000)*(C83/1000))*VLOOKUP(LEFT(KitchenCarcassMaterial,FIND(""("",KitchenCarcassMaterial)-1)&amp;IF(OR(ISERROR(FIND(""ply"",KitchenCarcassMaterial))=FALSE,ISERROR(FIND(""H/F"",KitchenCarcassMaterial))=FALSE),""(9mm)"",""(10mm)""),She"&amp;"etsData,8,0),IF(OR(ISERROR(FIND(""Plinth"",A83))=FALSE,ISERROR(FIND(""Cornice (flat)"",A83))=FALSE),((B83/1000)*(C83/1000))*VLOOKUP(""H/F (18mm)"",SheetsData,8,0),IF(ISERROR(FIND(""Cornice (stacked)"",A83))=FALSE,((0.08*(C83/1000))*2)*VLOOKUP(""H/F (22mm)"&amp;""",SheetsData,8,0),IF(ISERROR(FIND(""Base end panel"",A83))=FALSE,VLOOKUP(KitchenDoorMaterial,SheetsData,5,0)/3,IF(ISERROR(FIND(""Wall end panel"",A83))=FALSE,VLOOKUP(KitchenDoorMaterial,SheetsData,5,0)/9,IF(ISERROR(FIND(""Tower end panel"",A83))=FALSE,VL"&amp;"OOKUP(KitchenDoorMaterial,SheetsData,5,0),IF(ISERROR(FIND(""Fillers"",A83))=FALSE,(((0.06*(C83/1000))*2)*VLOOKUP(""H/F (18mm)"",SheetsData,8,0))+(((0.06*(C83/1000))*2)*VLOOKUP(""H/F (9mm)"",SheetsData,8,0)),IF(ISERROR(FIND(""corner post"",A83))=FALSE,(((B"&amp;"83/1000)*0.05)*2)*VLOOKUP(KitchenDoorMaterial,SheetsData,8,0),IF(ISERROR(FIND(""Pelmet"",A83))=FALSE,((((B83/1000)*(C83/1000))*2)*VLOOKUP(""H/F (18mm)"",SheetsData,8,0)),IF(ISERROR(FIND(""door"",A83))=TRUE,""Check description"",IF(KitchenDoorStyle=""Flat"&amp;""",((B83/1000)*(C83/1000))*VLOOKUP(KitchenDoorMaterial,SheetsData,8,0),IF(LEFT(KitchenDoorStyle,5)=""Panel"",(((((B83/1000)*2)*0.08)+((((C83/1000)-0.16)*2)*0.08))*VLOOKUP(""H/F (22mm)"",SheetsData,8,0))+(((B83/1000)-0.14)*((C83/1000)-0.14)*VLOOKUP(""H/F ("&amp;"9mm)"",SheetsData,8,0)),IF(KitchenDoorStyle=""In-frame flat"",((((((B83/1000)*0.019)*0.038)+((((C83-38)/1000)*0.038)*0.038))*2)*VLOOKUP(""Tulip (solid m3)"",SolidData,5,0))+(((B83-76)/1000)*((C83-38)/1000))*VLOOKUP(""H/F (22mm)"",SheetsData,8,0),IF(LEFT(K"&amp;"itchenDoorStyle,14)=""In-frame panel"",(((((((B83/1000)*0.019)*0.038)+((((C83-38)/1000)*0.038)*0.038))*2)*VLOOKUP(""Tulip (solid m3)"",SolidData,5,0))+(((((((B83-76)/1000)*2)*0.08)+(((((C83-198)/1000)*2)*0.08)))*VLOOKUP(""H/F (22mm)"",SheetsData,8,0))+((("&amp;"B83-216)/1000)*((C83-178)/1000)*VLOOKUP(""H/F (9mm)"",SheetsData,8,0)))))))))))))))))))))))))))))))))"),60.511959150765925)</f>
        <v>60.51195915</v>
      </c>
      <c r="F83" s="152">
        <f>IFERROR(__xludf.DUMMYFUNCTION("IF(OR(A83="""",AND(ISERROR(FIND(""drawer box"",A83))=FALSE,KitchenDrawerType=""Solid dovetail"")),"""",IF(ISERROR(FIND(""bins"",A83))=FALSE,VLOOKUP(""Base carcass 600"",KitchensData,6,0),IF(OR(ISERROR(FIND(""larder"",A83))=FALSE,ISERROR(FIND(""unit"",A83)"&amp;")=FALSE),VLOOKUP(LEFT(A83,FIND("" "",A83))&amp;""carcass ""&amp;RIGHT(A83,LEN(A83)-len(regexextract(A83,"".* ""))),KitchensData,6,0),IF(ISERROR(FIND(""drawer front"",A83))=FALSE,IF(ISERROR(FIND(""veneer"",KitchenCarcassMaterial))=TRUE,0,(((B83+C83)/1000)*2)*VLOOK"&amp;"UP(""Edge banding (per M)"",SheetsData,5,0)),IF(ISERROR(FIND(""drawer box"",A83))=FALSE,IF(ISERROR(FIND(""veneer"",KitchenCarcassMaterial))=TRUE,0,(((C83+D83)/1000)*2)*VLOOKUP(""Edge banding (per M)"",SheetsData,5,0)),IF(ISERROR(FIND(""shelf"",A83))=FALSE"&amp;",IF(ISERROR(FIND(""veneer"",KitchenCarcassMaterial))=TRUE,0,(C83/1000)*VLOOKUP(""Edge banding (per M)"",SheetsData,5,0)),IF(AND(ISERROR(FIND(""carcass"",A83))=FALSE,ISERROR(FIND(""shelf"",A83))=TRUE),IF(ISERROR(FIND(""veneer"",KitchenCarcassMaterial))=TRU"&amp;"E,0,((2*(B83+C83))/1000)*VLOOKUP(""Edge banding (per M)"",SheetsData,5,0)),IF(ISERROR(FIND(""door"",A83))=TRUE,"""",IF(ISERROR(FIND(""veneer"",KitchenDoorMaterial))=TRUE,"""",((2*(B83+C83))/1000)*VLOOKUP(""Edge banding (per M)"",SheetsData,5,0))))))))))"),0.0)</f>
        <v>0</v>
      </c>
      <c r="G83" s="153">
        <f>IF(A83="","",IF(ISERROR(FIND("bins",A83))=FALSE,VLOOKUP("Base carcass 600",KitchensData,7,0),IF(OR(ISERROR(FIND("larder",A83))=FALSE,ISERROR(FIND("fridge/freezer",A83))=FALSE,ISERROR(FIND("double oven",A83))=FALSE,ISERROR(FIND("single oven",A83))=FALSE),VLOOKUP(LEFT(A83,FIND(" ",A83))&amp;"carcass "&amp;RIGHT(A83,LEN(A83)-(LEN(A83)-3)),KitchensData,7,0),IF(AND(ISERROR(FIND("carcass",A83))=FALSE,ISERROR(FIND("shelf",A83))=TRUE),IF(OR(ISERROR(FIND("Base",A83))=FALSE,ISERROR(FIND("Tower",A83))=FALSE),IF(OR(ISERROR(FIND("1200",A83))=FALSE, ISERROR(FIND("lost corner",A83))=FALSE),6*VLOOKUP("Plinth foot (2 Parts 80mm)",FurnitureData,5,0),4*VLOOKUP("Plinth foot (2 Parts 80mm)",FurnitureData,5,0)),""),""))))</f>
        <v>5.7</v>
      </c>
      <c r="H83" s="115" t="str">
        <f>IF(OR(A83="",ISERROR(FIND("door",A83))=TRUE),"",IF(ISERROR(FIND("Wall",A83))=FALSE,VLOOKUP("Hinges &amp; plates (Hettich thick door)",FurnitureData,5,0)*2,IF(ISERROR(FIND("Base",A83))=FALSE,VLOOKUP("Hinges &amp; plates (Hettich thick door)",FurnitureData,5,0)*3,IF(ISERROR(FIND("Boiler",A83))=FALSE,VLOOKUP("Hinges &amp; plates (Hettich thick door)",FurnitureData,5,0)*4,IF(ISERROR(FIND("Tower",A83))=FALSE,VLOOKUP("Hinges &amp; plates (Hettich thick door)",FurnitureData,5,0)*5)))))</f>
        <v/>
      </c>
      <c r="I83" s="115" t="str">
        <f>IF(ISERROR(FIND("shelf",A83))=FALSE,(VLOOKUP("Shelf pegs",FurnitureData,5,0)/100)*4,"")</f>
        <v/>
      </c>
      <c r="J83" s="152">
        <f>IF(OR(ISERROR(FIND("fridge/freezer",A83))=FALSE,ISERROR(FIND("larder",A83))=FALSE,AND(ISERROR(FIND("Base",A83))=FALSE,ISERROR(FIND("bins",A83))=TRUE,ISERROR(FIND("no shelves",A83))=TRUE,OR(ISERROR(FIND("carcass",A83))=FALSE,ISERROR(FIND("unit",A83))=FALSE))),VLOOKUP("Deep shelf "&amp;C83,KitchensData,18,0),IF(AND(ISERROR(FIND("Wall",A83))=FALSE,ISERROR(FIND("carcass",A83))=FALSE),2*VLOOKUP("Shallow shelf "&amp;C83,KitchensData,18,0),IF(AND(ISERROR(FIND("Tower",A83))=FALSE,ISERROR(FIND("oven",A83))=FALSE),4*VLOOKUP("Deep shelf "&amp;C83,KitchensData,18,0),IF(AND(ISERROR(FIND("Tower",A83))=FALSE,ISERROR(FIND("carcass",A83))=FALSE),5*VLOOKUP("Deep shelf "&amp;C83,KitchensData,18,0),""))))</f>
        <v>71.4644825</v>
      </c>
      <c r="K83" s="152" t="str">
        <f>IF(ISERROR(FIND("sink",A83))=FALSE,VLOOKUP("Sink liner - Aluminium "&amp;RIGHT(A83,LEN(A83)-22)&amp;"mm",ExceptionalData,5,0),IF(ISERROR(FIND("bins",A83))=FALSE,VLOOKUP("Drawer runners and clip set for bin unit (500) Dynapro",FurnitureData,5,0)+(2*VLOOKUP("Bin (42L Anthracite)",FurnitureData,5,0)),IF(ISERROR(FIND("larder",A83))=FALSE,VLOOKUP("Pull out larder unit 600mm",FurnitureData,5,0),IF(AND(ISERROR(FIND("drawer box",A83))=FALSE,ISERROR(FIND("internal",A83))=TRUE),VLOOKUP("Drawer runners and clip set (550) Dynapro",FurnitureData,5,0),IF(ISERROR(FIND("internal drawer box",A83))=FALSE,VLOOKUP("Drawer runners and clip set (450) Dynapro",FurnitureData,5,0),"")))))</f>
        <v/>
      </c>
      <c r="L83" s="152">
        <f t="shared" si="3"/>
        <v>137.6764417</v>
      </c>
      <c r="M83" s="154">
        <f>IFERROR(__xludf.DUMMYFUNCTION("IF(A83="""","""",IF(OR(ISERROR(FIND(""larder"",A83))=FALSE,ISERROR(FIND(""unit"",A83))=FALSE),VLOOKUP(LEFT(A83,FIND("" "",A83))&amp;""carcass ""&amp;RIGHT(A83,LEN(A83)-len(regexextract(A83,"".* ""))),KitchensData,13,0),IF(ISERROR(FIND(""bins"",A83))=FALSE,0.95,IF"&amp;"(ISERROR(FIND(""Cutlery insert 600"",A83))=FALSE,1.3,IF(ISERROR(FIND(""Cutlery insert 1200"",A83))=FALSE,2,IF(ISERROR(FIND(""Pan/tray rack 600"",A83))=FALSE,3.25,IF(ISERROR(FIND(""Pan/tray rack 1200"",A83))=FALSE,5.9,IF(ISERROR(FIND(""split"",A83))=FALSE,"&amp;"(((C83/1000)*0.022)*2)+VLOOKUP(SUBSTITUTE(A83,"" split"",""""),KitchensData,13,0),IF(AND(ISERROR(FIND(""drawer front"",A83))=FALSE,KitchenDoorStyle=""Flat""),(((B83/1000)*(C83/1000))*2)+((((B83+C83)/1000)*2)*0.022),IF(AND(ISERROR(FIND(""drawer front"",A83"&amp;"))=FALSE,LEFT(KitchenDoorStyle,5)=""Panel""),(((B83/1000)*(C83/1000))*2)+((((B83+C83)/1000)*2)*0.022)+((((C83/1000)-0.16)*0.013)*2)+((((D83/1000)-0.16)*0.013)*2),IF(AND(ISERROR(FIND(""drawer front"",A83))=FALSE,KitchenDoorStyle=""In-frame flat""),((((B83-"&amp;"76)/1000)*((C83-38)/1000))*2)+(MID(KitchenDoorMaterial,FIND(""("",KitchenDoorMaterial)+1,2)/1000)*((((B83-76)+(C83-38))/1000)*2)+(((B83/1000)*0.032)*2)+((((B83-76)/1000)*0.032)*2)+(((B83/1000)*0.019)*4)+(((C83/1000)*0.032)*2)+((((C83-38)/1000)*0.032)*2)+("&amp;"((C83/1000)*0.038)*4),IF(AND(ISERROR(FIND(""drawer front"",A83))=FALSE,LEFT(KitchenDoorStyle,14)=""In-frame panel""),((((B83-76)/1000)*((C83-38)/1000))*2)+((MID(KitchenDoorMaterial,FIND(""("",KitchenDoorMaterial)+1,2)/1000)*((((B83-76)+(C83-38))/1000)*2))"&amp;"+((((B83-236)/1000)+((C83-198)/1000)*2)*0.013)+(((B83/1000)*0.032)*2)+((((B83-76)/1000)*0.032)*2)+(((B83/1000)*0.019)*4)+(((C83/1000)*0.032)*2)+((((C83-38)/1000)*0.032)*2)+(((C83/1000)*0.038)*4),IF(ISERROR(FIND(""drawer box"",A83))=FALSE,((((B83/1000)*(D8"&amp;"3/1000))+((B83/1000)*(C83/1000)))*4)+((((D83/1000)+(C83/1000))*0.016)*4)+(((C83/1000)*(D83/1000))*2),IF(OR(ISERROR(FIND(""shelf"",A83))=FALSE,ISERROR(FIND(""spacer"",A83))=FALSE,,ISERROR(FIND(""filler panel"",A83))=FALSE),(((C83/1000)*(D83/1000))*2)+((((C"&amp;"83+D83)*2)/1000)*0.022),IF(ISERROR(FIND(""lost corner"",A83))=FALSE,(((B83/1000)*(C83/1000))*2)+((B83/1000)*(C83/1000))+((B83/1000)*((C83/2)/1000))+((((B83/1000)*0.025)+((C83/1000)*0.025))*2),IF(ISERROR(FIND(""carcass"",A83))=FALSE,(((C83/1000)*(D83/1000)"&amp;")*2)+(((B83/1000)*(D83/1000))*2)+((B83/1000)*(C83/1000))+((((B83/1000)*0.025)+((C83/1000)*0.025))*2),IF(AND(ISERROR(FIND(""door"",A83))=FALSE,KitchenDoorStyle=""Flat""),(((B83/1000)*(C83/1000))*2)+(MID(KitchenDoorMaterial,FIND(""("",KitchenDoorMaterial)+1"&amp;",2)/1000)*(((B83+C83)/1000)*2),IF(AND(ISERROR(FIND(""door"",A83))=FALSE,LEFT(KitchenDoorStyle,5)=""Panel""),(((B83/1000)*(C83/1000))*2)+((MID(KitchenDoorMaterial,FIND(""("",KitchenDoorMaterial)+1,2)/1000)*(((B83+C83)/1000)*2))+(((((B83-160)+(C83-160))*2)/"&amp;"1000)*(0.013)),IF(AND(ISERROR(FIND(""door"",A83))=FALSE,KitchenDoorStyle=""In-frame flat""),((((B83-76)/1000)*((C83-38)/1000))*2)+(MID(KitchenDoorMaterial,FIND(""("",KitchenDoorMaterial)+1,2)/1000)*((((B83-76)+(C83-38))/1000)*2)+(((B83/1000)*0.032)*2)+((("&amp;"(B83-76)/1000)*0.032)*2)+(((B83/1000)*0.019)*4)+(((C83/1000)*0.032)*2)+((((C83-38)/1000)*0.032)*2)+(((C83/1000)*0.038)*4),IF(AND(ISERROR(FIND(""door"",A83))=FALSE,LEFT(KitchenDoorStyle,14)=""In-frame panel""),((((B83-76)/1000)*((C83-38)/1000))*2)+((MID(Ki"&amp;"tchenDoorMaterial,FIND(""("",KitchenDoorMaterial)+1,2)/1000)*((((B83-76)+(C83-38))/1000)*2))+((((B83-236)/1000)+((C83-198)/1000)*2)*0.013)+(((B83/1000)*0.032)*2)+((((B83-76)/1000)*0.032)*2)+(((B83/1000)*0.019)*4)+(((C83/1000)*0.032)*2)+((((C83-38)/1000)*0"&amp;".032)*2)+(((C83/1000)*0.038)*4),IF(ISERROR(FIND(""Plinth"",A83))=FALSE,((B83/1000)*(C83/1000))+(((C83/1000)*0.018)*2)+(((B83/1000)*0.018)*2),IF(ISERROR(FIND(""Cornice"",A83))=FALSE,(((C83/1000)*0.1)*2)+(((C83/1000)*0.044)*2)+(((B83/1000)*0.08)*2),IF(ISERR"&amp;"OR(FIND(""Base end panel"",A83))=FALSE,((B83/1000)*(C83/1000))+(0.022*((B83/1000)+((C83/1000)*2)))+((B83/1000)*0.05),IF(ISERROR(FIND(""Wall end panel"",A83))=FALSE,((B83/1000)*(C83/1000))+(0.022*((B83/1000)+((C83/1000)*2)))+((B83/1000)*0.05),IF(ISERROR(FI"&amp;"ND(""Tower end panel"",A83))=FALSE,((B83/1000)*(C83/1000))+(0.022*((B83/1000)+((C83/1000)*2)))+((B83/1000)*0.05),IF(ISERROR(FIND(""Fillers"",A83))=FALSE,((C83/1000)*0.06)+((C83/1000)*0.069)+((0.06*0.018)*2)+((0.06*0.009)*2)+((C83/1000)*0.009)+((C83/1000)*"&amp;"0.018),IF(ISERROR(FIND(""corner post"",A83))=FALSE,(((B83/1000*0.05)*2)+((B83/1000)*0.022)*2)+((B83/1000)*0.072)+((B83/1000)*0.05)+((0.072*0.022)*2)+((0.05*0.022)*2),IF(ISERROR(FIND(""Pelmet"",A83))=FALSE,((C83/1000)*0.05)+((C83/1000)*0.068)+((0.05*0.018)"&amp;"*4)+(((C83/1000)*0.018))*2))))))))))))))))))))))))))))"),2.2600000000000002)</f>
        <v>2.26</v>
      </c>
      <c r="N83" s="152">
        <f>IF(M83="","",IF(AND(ISERROR(FIND("carcass",A83))=TRUE,ISERROR(FIND("unit",A83))=TRUE,ISERROR(FIND("insert",A83))=TRUE,ISERROR(FIND("rack",A83))=TRUE,ISERROR(FIND("box",A83))=TRUE,ISERROR(FIND("shelf",#REF!))=TRUE),VLOOKUP(KitchenDoorFinish,Finishing!$A$2:$K$10,9,0)*M83,VLOOKUP(KitchenCarcassFinish,Finishing!$A$2:$K$40,9,0)*M83))</f>
        <v>8.475</v>
      </c>
      <c r="O83" s="155">
        <v>1.0</v>
      </c>
      <c r="P83" s="155">
        <v>1.0</v>
      </c>
      <c r="Q83" s="152">
        <f>IF(OR(O83="",P83=""),"",((O83*X83)*(VLOOKUP("Workshop",Labour!$A$3:$E$20,4,0)/8))+((P83*AE83)*(VLOOKUP("Finishing",Labour!$A$3:$E$20,4,0)/8)))</f>
        <v>71.75</v>
      </c>
      <c r="R83" s="152">
        <f t="shared" si="4"/>
        <v>217.9014417</v>
      </c>
      <c r="S83" s="156">
        <f>IF(OR(O83="",P83=""),"",IF(OR(ISERROR(FIND("carcass",$A83))=FALSE,ISERROR(FIND("unit",$A83))=FALSE),VLOOKUP(KitchenCarcassMaterial,FixedListsCarcassMaterial,2,0),0))</f>
        <v>1</v>
      </c>
      <c r="T83" s="156">
        <f>IF(OR(O83="",P83=""),"",IF(ISERROR(FIND("door",$A83))=FALSE,VLOOKUP(KitchenDoorStyle,FixedListsDoorStyle,2,0),0))</f>
        <v>0</v>
      </c>
      <c r="U83" s="156">
        <f>IF(OR(O83="",P83=""),"",IF(ISERROR(FIND("door",$A83))=FALSE,VLOOKUP(KitchenDoorMaterial,FixedListsDoorMaterial,2,0),0))</f>
        <v>0</v>
      </c>
      <c r="V83" s="156">
        <f>IF(OR(O83="",P83=""),"",IF(ISERROR(FIND("drawer",$A83))=FALSE,VLOOKUP(KitchenDrawerType,FixedListsDrawerType,2,0),0))</f>
        <v>0</v>
      </c>
      <c r="W83" s="156">
        <f>IF(OR(O83="",P83=""),"",IF(OR(S83&gt;0, T83&gt;0,V83&gt;0),VLOOKUP(KitchenHandleType,FixedListsHandleType,2,FALSE)*IF(KitchenHandleType="Simple",0,IF(S83&gt;0,VLOOKUP(KitchenHandleType,FixedListsHandleType,4,FALSE),IF(OR(T83&gt;0,V83&gt;0),1-VLOOKUP(KitchenHandleType,FixedListsHandleType,4,FALSE),"Error"))),0))</f>
        <v>0</v>
      </c>
      <c r="X83" s="156">
        <f t="shared" si="5"/>
        <v>1</v>
      </c>
      <c r="Y83" s="156">
        <f>IF(OR(O83="",P83=""),"",IF(OR(ISERROR(FIND("carcass",$A83))=FALSE,ISERROR(FIND("unit",$A83))=FALSE),VLOOKUP(KitchenCarcassMaterial,FixedListsCarcassMaterial,3,0),0))</f>
        <v>1</v>
      </c>
      <c r="Z83" s="156">
        <f>IF(OR(O83="",P83=""),"",IF(ISERROR(FIND("door",$A83))=FALSE,VLOOKUP(KitchenDoorStyle,FixedListsDoorStyle,3,0),0))</f>
        <v>0</v>
      </c>
      <c r="AA83" s="156">
        <f>IF(OR(O83="",P83=""),"",IF(ISERROR(FIND("door",$A83))=FALSE,VLOOKUP(KitchenDoorMaterial,FixedListsDoorMaterial,3,0),0))</f>
        <v>0</v>
      </c>
      <c r="AB83" s="156">
        <f>IF(OR(O83="",P83=""),"",IF(ISERROR(FIND("drawer",$A83))=FALSE,VLOOKUP(KitchenDrawerType,FixedListsDrawerType,3,0),0))</f>
        <v>0</v>
      </c>
      <c r="AC83" s="156">
        <f>IF(OR(O83="",P83=""),"",IF(OR(Y83&gt;0,Z83&gt;0,AB83&gt;0),VLOOKUP(KitchenHandleType,FixedListsHandleType,3,FALSE),0))</f>
        <v>1</v>
      </c>
      <c r="AD83" s="156">
        <f>IF(OR(O83="",P83=""),"",IF(OR(ISERROR(FIND("carcass",$A83))=FALSE,ISERROR(FIND("unit",$A83))=FALSE),VLOOKUP(KitchenCarcassFinish,FixedListsFinishes,3,0),IF(OR(ISERROR(FIND("door",$A83))=FALSE,ISERROR(FIND("Plinth",$A83))=FALSE,ISERROR(FIND("Cornice",$A83))=FALSE,ISERROR(FIND("Fillers",$A83))=FALSE,ISERROR(FIND("Pelmet",$A83))=FALSE,ISERROR(FIND("panel",$A83))=FALSE,ISERROR(FIND("post",$A83))=FALSE),VLOOKUP(KitchenDoorFinish,FixedListsFinishes,3,0),IF(OR(ISERROR(FIND("drawer",$A83))=FALSE,ISERROR(FIND("insert",$A83))=FALSE,ISERROR(FIND("rck",$A83))=FALSE),VLOOKUP(KitchenCarcassFinish,FixedListsFinishes,3,0),0))))</f>
        <v>1</v>
      </c>
      <c r="AE83" s="156">
        <f t="shared" si="6"/>
        <v>1</v>
      </c>
      <c r="AF83" s="157" t="str">
        <f>IF(AND(KitchenHandleType="Channel",OR(ISERROR(FIND("arcass",$A83))=FALSE,ISERROR(FIND("unit",$A83))=FALSE)),IF(ISERROR(FIND("Tower",$A83))=TRUE,IF(KitchenHandleFinish="Match carcass",IF(ISERROR(FIND("Walnut",KitchenCarcassMaterial))=FALSE,(0.035*0.075*($C83/1000))*VLOOKUP("Walnut (solid m3)",SolidData,4,FALSE),IF(ISERROR(FIND("Oak",KitchenCarcassMaterial))=FALSE,(0.035*0.075*($C83/1000))*VLOOKUP("Oak (solid m3)",SolidData,4,FALSE),IF(ISERROR(FIND("ply",KitchenCarcassMaterial))=FALSE,(0.1*($C83/1000))*VLOOKUP("Birch ply (24mm)",SheetsData,7,FALSE),IF(ISERROR(FIND("H/F",KitchenCarcassMaterial))=FALSE,(0.1*($C83/1000))*VLOOKUP("H/F (22mm)",SheetsData,7,FALSE),"Carcass - not tower - new material")))),IF(KitchenHandleFinish="Match door",IF(ISERROR(FIND("Walnut",KitchenDoorMaterial))=FALSE,(0.035*0.075*($C83/1000))*VLOOKUP("Walnut (solid m3)",SolidData,4,FALSE),IF(ISERROR(FIND("Oak",KitchenDoorMaterial))=FALSE,(0.035*0.075*($C83/1000))*VLOOKUP("Oak (solid m3)",SolidData,4,FALSE),IF(ISERROR(FIND("ply",KitchenDoorMaterial))=FALSE,(0.1*($C83/1000))*VLOOKUP("Birch ply (24mm)",SheetsData,7,FALSE),IF(ISERROR(FIND("H/F",KitchenCarcassMaterial))=FALSE,(0.1*($C83/1000))*VLOOKUP("H/F (22mm)",SheetsData,7,FALSE),"Door - not tower - new material")))),"Channel - not tower - handle set to other")),IF(ISERROR(FIND("Tower",$A83))=FALSE,IF(KitchenHandleFinish="Match carcass",IF(ISERROR(FIND("Walnut",KitchenCarcassMaterial))=FALSE,(0.035*0.075*($B83/1000))*VLOOKUP("Walnut (solid m3)",SolidData,4,FALSE),IF(ISERROR(FIND("Oak",KitchenCarcassMaterial))=FALSE,(0.035*0.075*($B83/1000))*VLOOKUP("Oak (solid m3)",SolidData,4,FALSE),IF(ISERROR(FIND("ply",KitchenCarcassMaterial))=FALSE,(0.1*($B83/1000))*VLOOKUP("Birch ply (24mm)",SheetsData,7,FALSE),IF(ISERROR(FIND("H/F",KitchenCarcassMaterial))=FALSE,(0.1*($C83/1000))*VLOOKUP("H/F (22mm)",SheetsData,7,FALSE),"Carcass - tower - new material")))),IF(KitchenHandleFinish="Match door",IF(ISERROR(FIND("Walnut",KitchenDoorMaterial))=FALSE,(0.035*0.075*($B83/1000))*VLOOKUP("Walnut (solid m3)",SolidData,4,FALSE),IF(ISERROR(FIND("Oak",KitchenDoorMaterial))=FALSE,(0.035*0.075*($B83/1000))*VLOOKUP("Oak (solid m3)",SolidData,4,FALSE),IF(ISERROR(FIND("ply",KitchenDoorMaterial))=FALSE,(0.1*($B83/1000))*VLOOKUP("Birch ply (24mm)",SheetData,7,FALSE),IF(ISERROR(FIND("H/F",KitchenCarcassMaterial))=FALSE,(0.1*($C83/1000))*VLOOKUP("H/F (22mm)",SheetsData,7,FALSE),"Door - tower - new material")))),"Channel - tower - handle set to other")))),"")</f>
        <v/>
      </c>
    </row>
    <row r="84">
      <c r="A84" s="150" t="s">
        <v>192</v>
      </c>
      <c r="B84" s="115">
        <f t="shared" si="1"/>
        <v>800</v>
      </c>
      <c r="C84" s="115" t="str">
        <f>IFERROR(__xludf.DUMMYFUNCTION("IF(A84="""","""",IF(OR(RIGHT(A84,LEN(A84)-len(regexextract(A84,"".* "")))=""1200"",RIGHT(A84,LEN(A84)-len(regexextract(A84,"".* "")))=""600"",RIGHT(A84,LEN(A84)-len(regexextract(A84,"".* "")))=""400"",RIGHT(A84,LEN(A84)-len(regexextract(A84,"".* "")))=""3"&amp;"00"",RIGHT(A84,LEN(A84)-len(regexextract(A84,"".* "")))=""700"",RIGHT(A84,LEN(A84)-len(regexextract(A84,"".* "")))=""2400"",RIGHT(A84,LEN(A84)-len(regexextract(A84,"".* "")))=""650"",RIGHT(A84,LEN(A84)-len(regexextract(A84,"".* "")))=""350"",RIGHT(A84,LEN"&amp;"(A84)-len(regexextract(A84,"".* "")))=""50""),RIGHT(A84,LEN(A84)-len(regexextract(A84,"".* ""))),IF(OR(ISERROR(FIND(""spacer"",A84))=FALSE,ISERROR(FIND(""filler panel"",A84))=FALSE),""1000"",""Unexpected size in description"")))"),"600")</f>
        <v>600</v>
      </c>
      <c r="D84" s="151">
        <f t="shared" si="2"/>
        <v>300</v>
      </c>
      <c r="E84" s="152">
        <f>IFERROR(__xludf.DUMMYFUNCTION("IF(OR(A84="""",AND(ISERROR(FIND(""drawer box"",A84))=FALSE,KitchenDrawerType="""")),"""",IF(OR(ISERROR(FIND(""larder"",A84))=FALSE,ISERROR(FIND(""fridge/freezer"",A84))=FALSE,ISERROR(FIND(""double oven"",A84))=FALSE,ISERROR(FIND(""single oven"",A84))=FALS"&amp;"E),VLOOKUP(LEFT(A84,FIND("" "",A84))&amp;""carcass ""&amp;RIGHT(A84,LEN(A84)-(LEN(A84)-3)),KitchensData,5,0),IF(ISERROR(FIND(""sink"",A84))=FALSE,VLOOKUP(LEFT(A84,FIND("" "",A84))&amp;""carcass ""&amp;VALUE(REGEXREPLACE(A84,""[^[:digit:]]"", """")),KitchensData,5,0)+(((C"&amp;"84/1000)*(300/1000))*VLOOKUP(KitchenCarcassMaterial,SheetsData,8,0)),IF(ISERROR(FIND(""bins"",A84))=FALSE,IF(ISERROR(FIND(""veneer"",KitchenCarcassMaterial))=FALSE,VLOOKUP(""Base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600"",A84))=FALSE,IF(ISERROR(FIND(""veneer"""&amp;",KitchenCarcassMaterial))=FALSE,0.54*(VLOOKUP(LEFT(KitchenCarcassMaterial,FIND(""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1200"",A84))=FALSE,"&amp;"IF(ISERROR(FIND(""veneer"",KitchenCarcassMaterial))=FALSE,0.84*(VLOOKUP(LEFT(KitchenCarcassMaterial,FIND(""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600"",A84))=FALSE,IF(ISERROR(FIND(""veneer"",KitchenCarcassMaterial))=FALSE,1.44*(VLOOKUP(LEFT(KitchenCarcassMaterial,FIND(""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1200"",A84))=FALSE,IF(ISERROR(FIND(""veneer"",KitchenCarcassMaterial))=FALSE,2.7*(VLOOKUP(LEFT(KitchenCarcassMaterial,FIND(""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front"",A84))=FALSE,((B84/1000)*(C84/1000))*VLOOKUP(KitchenDoorMaterial,SheetsData,8,0),IF(AND(KitchenDrawerType=""Match carcass"",ISERROR(FIND(""drawer box"",A84))=FALSE),(((((B84/1000)*(C84/1000))+((B84/1000"&amp;")*(D84/1000)))*2)*VLOOKUP(KitchenCarcassMaterial,SheetsData,8,0))+(((C84/1000)*(D84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box"",A84))=FALSE),(((((B84/1000)*(C84/1000))+((B84/1000)*(D84/1000)))*2)*(16/1000)*VLOOKUP(LEFT(KitchenCarcassMaterial,FIND("" "&amp;""",KitchenCarcassMaterial))&amp;""(solid m3)"",SolidData,5,0))+(((C84/1000)*(D84/1000))*VLOOKUP(LEFT(KitchenCarcassMaterial,FIND(""("",KitchenCarcassMaterial)-1)&amp;IF(OR(ISERROR(FIND(""ply"",KitchenCarcassMaterial))=FALSE,ISERROR(FIND(""H/F"",KitchenCarcassMate"&amp;"rial))=FALSE),""(9mm)"",""(10mm)""),SheetsData,8,0)),IF(ISERROR(FIND(""spacer"",A84))=FALSE,((D84/1000)*(C84/1000))*VLOOKUP(""Poplar ply (18mm)"",SheetsData,8,0),IF(ISERROR(FIND(""filler panel"",A84))=FALSE,((B84/1000)*(C84/1000))*VLOOKUP(KitchenDoorMater"&amp;"ial,SheetsData,8,0),IF(ISERROR(FIND(""shelf"",A84))=FALSE,((D84/1000)*(C84/1000))*VLOOKUP(KitchenCarcassMaterial,SheetsData,8,0),IF(ISERROR(FIND(""lost corner"",A84))=FALSE,VLOOKUP(LEFT(A84,FIND("" "",A84))&amp;""carcass ""&amp;VALUE(REGEXREPLACE(A84,""[^[:digit:"&amp;"]]"", """")),KitchensData,5,0)+((((B84/1000)*(C84/1000))+((B84/1000)*(60/1000)))*VLOOKUP(KitchenCarcassMaterial,SheetsData,8,0)),IF(ISERROR(FIND(""carcass"",A84))=FALSE,(((((B84/1000)*2)*(D84/1000))+(((C84/1000)*2)*(D84/1000)))*VLOOKUP(KitchenCarcassMater"&amp;"ial,SheetsData,8,0))+((B84/1000)*(C84/1000))*VLOOKUP(LEFT(KitchenCarcassMaterial,FIND(""("",KitchenCarcassMaterial)-1)&amp;IF(OR(ISERROR(FIND(""ply"",KitchenCarcassMaterial))=FALSE,ISERROR(FIND(""H/F"",KitchenCarcassMaterial))=FALSE),""(9mm)"",""(10mm)""),She"&amp;"etsData,8,0),IF(OR(ISERROR(FIND(""Plinth"",A84))=FALSE,ISERROR(FIND(""Cornice (flat)"",A84))=FALSE),((B84/1000)*(C84/1000))*VLOOKUP(""H/F (18mm)"",SheetsData,8,0),IF(ISERROR(FIND(""Cornice (stacked)"",A84))=FALSE,((0.08*(C84/1000))*2)*VLOOKUP(""H/F (22mm)"&amp;""",SheetsData,8,0),IF(ISERROR(FIND(""Base end panel"",A84))=FALSE,VLOOKUP(KitchenDoorMaterial,SheetsData,5,0)/3,IF(ISERROR(FIND(""Wall end panel"",A84))=FALSE,VLOOKUP(KitchenDoorMaterial,SheetsData,5,0)/9,IF(ISERROR(FIND(""Tower end panel"",A84))=FALSE,VL"&amp;"OOKUP(KitchenDoorMaterial,SheetsData,5,0),IF(ISERROR(FIND(""Fillers"",A84))=FALSE,(((0.06*(C84/1000))*2)*VLOOKUP(""H/F (18mm)"",SheetsData,8,0))+(((0.06*(C84/1000))*2)*VLOOKUP(""H/F (9mm)"",SheetsData,8,0)),IF(ISERROR(FIND(""corner post"",A84))=FALSE,(((B"&amp;"84/1000)*0.05)*2)*VLOOKUP(KitchenDoorMaterial,SheetsData,8,0),IF(ISERROR(FIND(""Pelmet"",A84))=FALSE,((((B84/1000)*(C84/1000))*2)*VLOOKUP(""H/F (18mm)"",SheetsData,8,0)),IF(ISERROR(FIND(""door"",A84))=TRUE,""Check description"",IF(KitchenDoorStyle=""Flat"&amp;""",((B84/1000)*(C84/1000))*VLOOKUP(KitchenDoorMaterial,SheetsData,8,0),IF(LEFT(KitchenDoorStyle,5)=""Panel"",(((((B84/1000)*2)*0.08)+((((C84/1000)-0.16)*2)*0.08))*VLOOKUP(""H/F (22mm)"",SheetsData,8,0))+(((B84/1000)-0.14)*((C84/1000)-0.14)*VLOOKUP(""H/F ("&amp;"9mm)"",SheetsData,8,0)),IF(KitchenDoorStyle=""In-frame flat"",((((((B84/1000)*0.019)*0.038)+((((C84-38)/1000)*0.038)*0.038))*2)*VLOOKUP(""Tulip (solid m3)"",SolidData,5,0))+(((B84-76)/1000)*((C84-38)/1000))*VLOOKUP(""H/F (22mm)"",SheetsData,8,0),IF(LEFT(K"&amp;"itchenDoorStyle,14)=""In-frame panel"",(((((((B84/1000)*0.019)*0.038)+((((C84-38)/1000)*0.038)*0.038))*2)*VLOOKUP(""Tulip (solid m3)"",SolidData,5,0))+(((((((B84-76)/1000)*2)*0.08)+(((((C84-198)/1000)*2)*0.08)))*VLOOKUP(""H/F (22mm)"",SheetsData,8,0))+((("&amp;"B84-216)/1000)*((C84-178)/1000)*VLOOKUP(""H/F (9mm)"",SheetsData,8,0)))))))))))))))))))))))))))))))))"),38.23367374361731)</f>
        <v>38.23367374</v>
      </c>
      <c r="F84" s="152">
        <f>IFERROR(__xludf.DUMMYFUNCTION("IF(OR(A84="""",AND(ISERROR(FIND(""drawer box"",A84))=FALSE,KitchenDrawerType=""Solid dovetail"")),"""",IF(ISERROR(FIND(""bins"",A84))=FALSE,VLOOKUP(""Base carcass 600"",KitchensData,6,0),IF(OR(ISERROR(FIND(""larder"",A84))=FALSE,ISERROR(FIND(""unit"",A84)"&amp;")=FALSE),VLOOKUP(LEFT(A84,FIND("" "",A84))&amp;""carcass ""&amp;RIGHT(A84,LEN(A84)-len(regexextract(A84,"".* ""))),KitchensData,6,0),IF(ISERROR(FIND(""drawer front"",A84))=FALSE,IF(ISERROR(FIND(""veneer"",KitchenCarcassMaterial))=TRUE,0,(((B84+C84)/1000)*2)*VLOOK"&amp;"UP(""Edge banding (per M)"",SheetsData,5,0)),IF(ISERROR(FIND(""drawer box"",A84))=FALSE,IF(ISERROR(FIND(""veneer"",KitchenCarcassMaterial))=TRUE,0,(((C84+D84)/1000)*2)*VLOOKUP(""Edge banding (per M)"",SheetsData,5,0)),IF(ISERROR(FIND(""shelf"",A84))=FALSE"&amp;",IF(ISERROR(FIND(""veneer"",KitchenCarcassMaterial))=TRUE,0,(C84/1000)*VLOOKUP(""Edge banding (per M)"",SheetsData,5,0)),IF(AND(ISERROR(FIND(""carcass"",A84))=FALSE,ISERROR(FIND(""shelf"",A84))=TRUE),IF(ISERROR(FIND(""veneer"",KitchenCarcassMaterial))=TRU"&amp;"E,0,((2*(B84+C84))/1000)*VLOOKUP(""Edge banding (per M)"",SheetsData,5,0)),IF(ISERROR(FIND(""door"",A84))=TRUE,"""",IF(ISERROR(FIND(""veneer"",KitchenDoorMaterial))=TRUE,"""",((2*(B84+C84))/1000)*VLOOKUP(""Edge banding (per M)"",SheetsData,5,0))))))))))"),0.0)</f>
        <v>0</v>
      </c>
      <c r="G84" s="153">
        <f>IF(A84="","",IF(ISERROR(FIND("bins",A84))=FALSE,VLOOKUP("Base carcass 600",KitchensData,7,0),IF(OR(ISERROR(FIND("larder",A84))=FALSE,ISERROR(FIND("fridge/freezer",A84))=FALSE,ISERROR(FIND("double oven",A84))=FALSE,ISERROR(FIND("single oven",A84))=FALSE),VLOOKUP(LEFT(A84,FIND(" ",A84))&amp;"carcass "&amp;RIGHT(A84,LEN(A84)-(LEN(A84)-3)),KitchensData,7,0),IF(AND(ISERROR(FIND("carcass",A84))=FALSE,ISERROR(FIND("shelf",A84))=TRUE),IF(OR(ISERROR(FIND("Base",A84))=FALSE,ISERROR(FIND("Tower",A84))=FALSE),IF(OR(ISERROR(FIND("1200",A84))=FALSE, ISERROR(FIND("lost corner",A84))=FALSE),6*VLOOKUP("Plinth foot (2 Parts 80mm)",FurnitureData,5,0),4*VLOOKUP("Plinth foot (2 Parts 80mm)",FurnitureData,5,0)),""),""))))</f>
        <v>3.8</v>
      </c>
      <c r="H84" s="115" t="str">
        <f>IF(OR(A84="",ISERROR(FIND("door",A84))=TRUE),"",IF(ISERROR(FIND("Wall",A84))=FALSE,VLOOKUP("Hinges &amp; plates (Hettich thick door)",FurnitureData,5,0)*2,IF(ISERROR(FIND("Base",A84))=FALSE,VLOOKUP("Hinges &amp; plates (Hettich thick door)",FurnitureData,5,0)*3,IF(ISERROR(FIND("Boiler",A84))=FALSE,VLOOKUP("Hinges &amp; plates (Hettich thick door)",FurnitureData,5,0)*4,IF(ISERROR(FIND("Tower",A84))=FALSE,VLOOKUP("Hinges &amp; plates (Hettich thick door)",FurnitureData,5,0)*5)))))</f>
        <v/>
      </c>
      <c r="I84" s="115" t="str">
        <f>IF(ISERROR(FIND("shelf",A84))=FALSE,(VLOOKUP("Shelf pegs",FurnitureData,5,0)/100)*4,"")</f>
        <v/>
      </c>
      <c r="J84" s="152">
        <f>IF(OR(ISERROR(FIND("fridge/freezer",A84))=FALSE,ISERROR(FIND("larder",A84))=FALSE,AND(ISERROR(FIND("Base",A84))=FALSE,ISERROR(FIND("bins",A84))=TRUE,ISERROR(FIND("no shelves",A84))=TRUE,OR(ISERROR(FIND("carcass",A84))=FALSE,ISERROR(FIND("unit",A84))=FALSE))),VLOOKUP("Deep shelf "&amp;C84,KitchensData,18,0),IF(AND(ISERROR(FIND("Wall",A84))=FALSE,ISERROR(FIND("carcass",A84))=FALSE),2*VLOOKUP("Shallow shelf "&amp;C84,KitchensData,18,0),IF(AND(ISERROR(FIND("Tower",A84))=FALSE,ISERROR(FIND("oven",A84))=FALSE),4*VLOOKUP("Deep shelf "&amp;C84,KitchensData,18,0),IF(AND(ISERROR(FIND("Tower",A84))=FALSE,ISERROR(FIND("carcass",A84))=FALSE),5*VLOOKUP("Deep shelf "&amp;C84,KitchensData,18,0),""))))</f>
        <v>53.89994125</v>
      </c>
      <c r="K84" s="152" t="str">
        <f>IF(ISERROR(FIND("sink",A84))=FALSE,VLOOKUP("Sink liner - Aluminium "&amp;RIGHT(A84,LEN(A84)-22)&amp;"mm",ExceptionalData,5,0),IF(ISERROR(FIND("bins",A84))=FALSE,VLOOKUP("Drawer runners and clip set for bin unit (500) Dynapro",FurnitureData,5,0)+(2*VLOOKUP("Bin (42L Anthracite)",FurnitureData,5,0)),IF(ISERROR(FIND("larder",A84))=FALSE,VLOOKUP("Pull out larder unit 600mm",FurnitureData,5,0),IF(AND(ISERROR(FIND("drawer box",A84))=FALSE,ISERROR(FIND("internal",A84))=TRUE),VLOOKUP("Drawer runners and clip set (550) Dynapro",FurnitureData,5,0),IF(ISERROR(FIND("internal drawer box",A84))=FALSE,VLOOKUP("Drawer runners and clip set (450) Dynapro",FurnitureData,5,0),"")))))</f>
        <v/>
      </c>
      <c r="L84" s="152">
        <f t="shared" si="3"/>
        <v>95.933615</v>
      </c>
      <c r="M84" s="154">
        <f>IFERROR(__xludf.DUMMYFUNCTION("IF(A84="""","""",IF(OR(ISERROR(FIND(""larder"",A84))=FALSE,ISERROR(FIND(""unit"",A84))=FALSE),VLOOKUP(LEFT(A84,FIND("" "",A84))&amp;""carcass ""&amp;RIGHT(A84,LEN(A84)-len(regexextract(A84,"".* ""))),KitchensData,13,0),IF(ISERROR(FIND(""bins"",A84))=FALSE,0.95,IF"&amp;"(ISERROR(FIND(""Cutlery insert 600"",A84))=FALSE,1.3,IF(ISERROR(FIND(""Cutlery insert 1200"",A84))=FALSE,2,IF(ISERROR(FIND(""Pan/tray rack 600"",A84))=FALSE,3.25,IF(ISERROR(FIND(""Pan/tray rack 1200"",A84))=FALSE,5.9,IF(ISERROR(FIND(""split"",A84))=FALSE,"&amp;"(((C84/1000)*0.022)*2)+VLOOKUP(SUBSTITUTE(A84,"" split"",""""),KitchensData,13,0),IF(AND(ISERROR(FIND(""drawer front"",A84))=FALSE,KitchenDoorStyle=""Flat""),(((B84/1000)*(C84/1000))*2)+((((B84+C84)/1000)*2)*0.022),IF(AND(ISERROR(FIND(""drawer front"",A84"&amp;"))=FALSE,LEFT(KitchenDoorStyle,5)=""Panel""),(((B84/1000)*(C84/1000))*2)+((((B84+C84)/1000)*2)*0.022)+((((C84/1000)-0.16)*0.013)*2)+((((D84/1000)-0.16)*0.013)*2),IF(AND(ISERROR(FIND(""drawer front"",A84))=FALSE,KitchenDoorStyle=""In-frame flat""),((((B84-"&amp;"76)/1000)*((C84-38)/1000))*2)+(MID(KitchenDoorMaterial,FIND(""("",KitchenDoorMaterial)+1,2)/1000)*((((B84-76)+(C84-38))/1000)*2)+(((B84/1000)*0.032)*2)+((((B84-76)/1000)*0.032)*2)+(((B84/1000)*0.019)*4)+(((C84/1000)*0.032)*2)+((((C84-38)/1000)*0.032)*2)+("&amp;"((C84/1000)*0.038)*4),IF(AND(ISERROR(FIND(""drawer front"",A84))=FALSE,LEFT(KitchenDoorStyle,14)=""In-frame panel""),((((B84-76)/1000)*((C84-38)/1000))*2)+((MID(KitchenDoorMaterial,FIND(""("",KitchenDoorMaterial)+1,2)/1000)*((((B84-76)+(C84-38))/1000)*2))"&amp;"+((((B84-236)/1000)+((C84-198)/1000)*2)*0.013)+(((B84/1000)*0.032)*2)+((((B84-76)/1000)*0.032)*2)+(((B84/1000)*0.019)*4)+(((C84/1000)*0.032)*2)+((((C84-38)/1000)*0.032)*2)+(((C84/1000)*0.038)*4),IF(ISERROR(FIND(""drawer box"",A84))=FALSE,((((B84/1000)*(D8"&amp;"4/1000))+((B84/1000)*(C84/1000)))*4)+((((D84/1000)+(C84/1000))*0.016)*4)+(((C84/1000)*(D84/1000))*2),IF(OR(ISERROR(FIND(""shelf"",A84))=FALSE,ISERROR(FIND(""spacer"",A84))=FALSE,,ISERROR(FIND(""filler panel"",A84))=FALSE),(((C84/1000)*(D84/1000))*2)+((((C"&amp;"84+D84)*2)/1000)*0.022),IF(ISERROR(FIND(""lost corner"",A84))=FALSE,(((B84/1000)*(C84/1000))*2)+((B84/1000)*(C84/1000))+((B84/1000)*((C84/2)/1000))+((((B84/1000)*0.025)+((C84/1000)*0.025))*2),IF(ISERROR(FIND(""carcass"",A84))=FALSE,(((C84/1000)*(D84/1000)"&amp;")*2)+(((B84/1000)*(D84/1000))*2)+((B84/1000)*(C84/1000))+((((B84/1000)*0.025)+((C84/1000)*0.025))*2),IF(AND(ISERROR(FIND(""door"",A84))=FALSE,KitchenDoorStyle=""Flat""),(((B84/1000)*(C84/1000))*2)+(MID(KitchenDoorMaterial,FIND(""("",KitchenDoorMaterial)+1"&amp;",2)/1000)*(((B84+C84)/1000)*2),IF(AND(ISERROR(FIND(""door"",A84))=FALSE,LEFT(KitchenDoorStyle,5)=""Panel""),(((B84/1000)*(C84/1000))*2)+((MID(KitchenDoorMaterial,FIND(""("",KitchenDoorMaterial)+1,2)/1000)*(((B84+C84)/1000)*2))+(((((B84-160)+(C84-160))*2)/"&amp;"1000)*(0.013)),IF(AND(ISERROR(FIND(""door"",A84))=FALSE,KitchenDoorStyle=""In-frame flat""),((((B84-76)/1000)*((C84-38)/1000))*2)+(MID(KitchenDoorMaterial,FIND(""("",KitchenDoorMaterial)+1,2)/1000)*((((B84-76)+(C84-38))/1000)*2)+(((B84/1000)*0.032)*2)+((("&amp;"(B84-76)/1000)*0.032)*2)+(((B84/1000)*0.019)*4)+(((C84/1000)*0.032)*2)+((((C84-38)/1000)*0.032)*2)+(((C84/1000)*0.038)*4),IF(AND(ISERROR(FIND(""door"",A84))=FALSE,LEFT(KitchenDoorStyle,14)=""In-frame panel""),((((B84-76)/1000)*((C84-38)/1000))*2)+((MID(Ki"&amp;"tchenDoorMaterial,FIND(""("",KitchenDoorMaterial)+1,2)/1000)*((((B84-76)+(C84-38))/1000)*2))+((((B84-236)/1000)+((C84-198)/1000)*2)*0.013)+(((B84/1000)*0.032)*2)+((((B84-76)/1000)*0.032)*2)+(((B84/1000)*0.019)*4)+(((C84/1000)*0.032)*2)+((((C84-38)/1000)*0"&amp;".032)*2)+(((C84/1000)*0.038)*4),IF(ISERROR(FIND(""Plinth"",A84))=FALSE,((B84/1000)*(C84/1000))+(((C84/1000)*0.018)*2)+(((B84/1000)*0.018)*2),IF(ISERROR(FIND(""Cornice"",A84))=FALSE,(((C84/1000)*0.1)*2)+(((C84/1000)*0.044)*2)+(((B84/1000)*0.08)*2),IF(ISERR"&amp;"OR(FIND(""Base end panel"",A84))=FALSE,((B84/1000)*(C84/1000))+(0.022*((B84/1000)+((C84/1000)*2)))+((B84/1000)*0.05),IF(ISERROR(FIND(""Wall end panel"",A84))=FALSE,((B84/1000)*(C84/1000))+(0.022*((B84/1000)+((C84/1000)*2)))+((B84/1000)*0.05),IF(ISERROR(FI"&amp;"ND(""Tower end panel"",A84))=FALSE,((B84/1000)*(C84/1000))+(0.022*((B84/1000)+((C84/1000)*2)))+((B84/1000)*0.05),IF(ISERROR(FIND(""Fillers"",A84))=FALSE,((C84/1000)*0.06)+((C84/1000)*0.069)+((0.06*0.018)*2)+((0.06*0.009)*2)+((C84/1000)*0.009)+((C84/1000)*"&amp;"0.018),IF(ISERROR(FIND(""corner post"",A84))=FALSE,(((B84/1000*0.05)*2)+((B84/1000)*0.022)*2)+((B84/1000)*0.072)+((B84/1000)*0.05)+((0.072*0.022)*2)+((0.05*0.022)*2),IF(ISERROR(FIND(""Pelmet"",A84))=FALSE,((C84/1000)*0.05)+((C84/1000)*0.068)+((0.05*0.018)"&amp;"*4)+(((C84/1000)*0.018))*2))))))))))))))))))))))))))))"),1.39)</f>
        <v>1.39</v>
      </c>
      <c r="N84" s="152">
        <f>IF(M84="","",IF(AND(ISERROR(FIND("carcass",A84))=TRUE,ISERROR(FIND("unit",A84))=TRUE,ISERROR(FIND("insert",A84))=TRUE,ISERROR(FIND("rack",A84))=TRUE,ISERROR(FIND("box",A84))=TRUE,ISERROR(FIND("shelf",#REF!))=TRUE),VLOOKUP(KitchenDoorFinish,Finishing!$A$2:$K$10,9,0)*M84,VLOOKUP(KitchenCarcassFinish,Finishing!$A$2:$K$40,9,0)*M84))</f>
        <v>5.2125</v>
      </c>
      <c r="O84" s="155">
        <v>1.0</v>
      </c>
      <c r="P84" s="155">
        <v>1.0</v>
      </c>
      <c r="Q84" s="152">
        <f>IF(OR(O84="",P84=""),"",((O84*X84)*(VLOOKUP("Workshop",Labour!$A$3:$E$20,4,0)/8))+((P84*AE84)*(VLOOKUP("Finishing",Labour!$A$3:$E$20,4,0)/8)))</f>
        <v>71.75</v>
      </c>
      <c r="R84" s="152">
        <f t="shared" si="4"/>
        <v>172.896115</v>
      </c>
      <c r="S84" s="156">
        <f>IF(OR(O84="",P84=""),"",IF(OR(ISERROR(FIND("carcass",$A84))=FALSE,ISERROR(FIND("unit",$A84))=FALSE),VLOOKUP(KitchenCarcassMaterial,FixedListsCarcassMaterial,2,0),0))</f>
        <v>1</v>
      </c>
      <c r="T84" s="156">
        <f>IF(OR(O84="",P84=""),"",IF(ISERROR(FIND("door",$A84))=FALSE,VLOOKUP(KitchenDoorStyle,FixedListsDoorStyle,2,0),0))</f>
        <v>0</v>
      </c>
      <c r="U84" s="156">
        <f>IF(OR(O84="",P84=""),"",IF(ISERROR(FIND("door",$A84))=FALSE,VLOOKUP(KitchenDoorMaterial,FixedListsDoorMaterial,2,0),0))</f>
        <v>0</v>
      </c>
      <c r="V84" s="156">
        <f>IF(OR(O84="",P84=""),"",IF(ISERROR(FIND("drawer",$A84))=FALSE,VLOOKUP(KitchenDrawerType,FixedListsDrawerType,2,0),0))</f>
        <v>0</v>
      </c>
      <c r="W84" s="156">
        <f>IF(OR(O84="",P84=""),"",IF(OR(S84&gt;0, T84&gt;0,V84&gt;0),VLOOKUP(KitchenHandleType,FixedListsHandleType,2,FALSE)*IF(KitchenHandleType="Simple",0,IF(S84&gt;0,VLOOKUP(KitchenHandleType,FixedListsHandleType,4,FALSE),IF(OR(T84&gt;0,V84&gt;0),1-VLOOKUP(KitchenHandleType,FixedListsHandleType,4,FALSE),"Error"))),0))</f>
        <v>0</v>
      </c>
      <c r="X84" s="156">
        <f t="shared" si="5"/>
        <v>1</v>
      </c>
      <c r="Y84" s="156">
        <f>IF(OR(O84="",P84=""),"",IF(OR(ISERROR(FIND("carcass",$A84))=FALSE,ISERROR(FIND("unit",$A84))=FALSE),VLOOKUP(KitchenCarcassMaterial,FixedListsCarcassMaterial,3,0),0))</f>
        <v>1</v>
      </c>
      <c r="Z84" s="156">
        <f>IF(OR(O84="",P84=""),"",IF(ISERROR(FIND("door",$A84))=FALSE,VLOOKUP(KitchenDoorStyle,FixedListsDoorStyle,3,0),0))</f>
        <v>0</v>
      </c>
      <c r="AA84" s="156">
        <f>IF(OR(O84="",P84=""),"",IF(ISERROR(FIND("door",$A84))=FALSE,VLOOKUP(KitchenDoorMaterial,FixedListsDoorMaterial,3,0),0))</f>
        <v>0</v>
      </c>
      <c r="AB84" s="156">
        <f>IF(OR(O84="",P84=""),"",IF(ISERROR(FIND("drawer",$A84))=FALSE,VLOOKUP(KitchenDrawerType,FixedListsDrawerType,3,0),0))</f>
        <v>0</v>
      </c>
      <c r="AC84" s="156">
        <f>IF(OR(O84="",P84=""),"",IF(OR(Y84&gt;0,Z84&gt;0,AB84&gt;0),VLOOKUP(KitchenHandleType,FixedListsHandleType,3,FALSE),0))</f>
        <v>1</v>
      </c>
      <c r="AD84" s="156">
        <f>IF(OR(O84="",P84=""),"",IF(OR(ISERROR(FIND("carcass",$A84))=FALSE,ISERROR(FIND("unit",$A84))=FALSE),VLOOKUP(KitchenCarcassFinish,FixedListsFinishes,3,0),IF(OR(ISERROR(FIND("door",$A84))=FALSE,ISERROR(FIND("Plinth",$A84))=FALSE,ISERROR(FIND("Cornice",$A84))=FALSE,ISERROR(FIND("Fillers",$A84))=FALSE,ISERROR(FIND("Pelmet",$A84))=FALSE,ISERROR(FIND("panel",$A84))=FALSE,ISERROR(FIND("post",$A84))=FALSE),VLOOKUP(KitchenDoorFinish,FixedListsFinishes,3,0),IF(OR(ISERROR(FIND("drawer",$A84))=FALSE,ISERROR(FIND("insert",$A84))=FALSE,ISERROR(FIND("rck",$A84))=FALSE),VLOOKUP(KitchenCarcassFinish,FixedListsFinishes,3,0),0))))</f>
        <v>1</v>
      </c>
      <c r="AE84" s="156">
        <f t="shared" si="6"/>
        <v>1</v>
      </c>
      <c r="AF84" s="157" t="str">
        <f>IF(AND(KitchenHandleType="Channel",OR(ISERROR(FIND("arcass",$A84))=FALSE,ISERROR(FIND("unit",$A84))=FALSE)),IF(ISERROR(FIND("Tower",$A84))=TRUE,IF(KitchenHandleFinish="Match carcass",IF(ISERROR(FIND("Walnut",KitchenCarcassMaterial))=FALSE,(0.035*0.075*($C84/1000))*VLOOKUP("Walnut (solid m3)",SolidData,4,FALSE),IF(ISERROR(FIND("Oak",KitchenCarcassMaterial))=FALSE,(0.035*0.075*($C84/1000))*VLOOKUP("Oak (solid m3)",SolidData,4,FALSE),IF(ISERROR(FIND("ply",KitchenCarcassMaterial))=FALSE,(0.1*($C84/1000))*VLOOKUP("Birch ply (24mm)",SheetsData,7,FALSE),IF(ISERROR(FIND("H/F",KitchenCarcassMaterial))=FALSE,(0.1*($C84/1000))*VLOOKUP("H/F (22mm)",SheetsData,7,FALSE),"Carcass - not tower - new material")))),IF(KitchenHandleFinish="Match door",IF(ISERROR(FIND("Walnut",KitchenDoorMaterial))=FALSE,(0.035*0.075*($C84/1000))*VLOOKUP("Walnut (solid m3)",SolidData,4,FALSE),IF(ISERROR(FIND("Oak",KitchenDoorMaterial))=FALSE,(0.035*0.075*($C84/1000))*VLOOKUP("Oak (solid m3)",SolidData,4,FALSE),IF(ISERROR(FIND("ply",KitchenDoorMaterial))=FALSE,(0.1*($C84/1000))*VLOOKUP("Birch ply (24mm)",SheetsData,7,FALSE),IF(ISERROR(FIND("H/F",KitchenCarcassMaterial))=FALSE,(0.1*($C84/1000))*VLOOKUP("H/F (22mm)",SheetsData,7,FALSE),"Door - not tower - new material")))),"Channel - not tower - handle set to other")),IF(ISERROR(FIND("Tower",$A84))=FALSE,IF(KitchenHandleFinish="Match carcass",IF(ISERROR(FIND("Walnut",KitchenCarcassMaterial))=FALSE,(0.035*0.075*($B84/1000))*VLOOKUP("Walnut (solid m3)",SolidData,4,FALSE),IF(ISERROR(FIND("Oak",KitchenCarcassMaterial))=FALSE,(0.035*0.075*($B84/1000))*VLOOKUP("Oak (solid m3)",SolidData,4,FALSE),IF(ISERROR(FIND("ply",KitchenCarcassMaterial))=FALSE,(0.1*($B84/1000))*VLOOKUP("Birch ply (24mm)",SheetsData,7,FALSE),IF(ISERROR(FIND("H/F",KitchenCarcassMaterial))=FALSE,(0.1*($C84/1000))*VLOOKUP("H/F (22mm)",SheetsData,7,FALSE),"Carcass - tower - new material")))),IF(KitchenHandleFinish="Match door",IF(ISERROR(FIND("Walnut",KitchenDoorMaterial))=FALSE,(0.035*0.075*($B84/1000))*VLOOKUP("Walnut (solid m3)",SolidData,4,FALSE),IF(ISERROR(FIND("Oak",KitchenDoorMaterial))=FALSE,(0.035*0.075*($B84/1000))*VLOOKUP("Oak (solid m3)",SolidData,4,FALSE),IF(ISERROR(FIND("ply",KitchenDoorMaterial))=FALSE,(0.1*($B84/1000))*VLOOKUP("Birch ply (24mm)",SheetData,7,FALSE),IF(ISERROR(FIND("H/F",KitchenCarcassMaterial))=FALSE,(0.1*($C84/1000))*VLOOKUP("H/F (22mm)",SheetsData,7,FALSE),"Door - tower - new material")))),"Channel - tower - handle set to other")))),"")</f>
        <v/>
      </c>
    </row>
    <row r="85">
      <c r="A85" s="150" t="s">
        <v>193</v>
      </c>
      <c r="B85" s="115">
        <f t="shared" si="1"/>
        <v>800</v>
      </c>
      <c r="C85" s="115" t="str">
        <f>IFERROR(__xludf.DUMMYFUNCTION("IF(A85="""","""",IF(OR(RIGHT(A85,LEN(A85)-len(regexextract(A85,"".* "")))=""1200"",RIGHT(A85,LEN(A85)-len(regexextract(A85,"".* "")))=""600"",RIGHT(A85,LEN(A85)-len(regexextract(A85,"".* "")))=""400"",RIGHT(A85,LEN(A85)-len(regexextract(A85,"".* "")))=""3"&amp;"00"",RIGHT(A85,LEN(A85)-len(regexextract(A85,"".* "")))=""700"",RIGHT(A85,LEN(A85)-len(regexextract(A85,"".* "")))=""2400"",RIGHT(A85,LEN(A85)-len(regexextract(A85,"".* "")))=""650"",RIGHT(A85,LEN(A85)-len(regexextract(A85,"".* "")))=""350"",RIGHT(A85,LEN"&amp;"(A85)-len(regexextract(A85,"".* "")))=""50""),RIGHT(A85,LEN(A85)-len(regexextract(A85,"".* ""))),IF(OR(ISERROR(FIND(""spacer"",A85))=FALSE,ISERROR(FIND(""filler panel"",A85))=FALSE),""1000"",""Unexpected size in description"")))"),"400")</f>
        <v>400</v>
      </c>
      <c r="D85" s="151">
        <f t="shared" si="2"/>
        <v>300</v>
      </c>
      <c r="E85" s="152">
        <f>IFERROR(__xludf.DUMMYFUNCTION("IF(OR(A85="""",AND(ISERROR(FIND(""drawer box"",A85))=FALSE,KitchenDrawerType="""")),"""",IF(OR(ISERROR(FIND(""larder"",A85))=FALSE,ISERROR(FIND(""fridge/freezer"",A85))=FALSE,ISERROR(FIND(""double oven"",A85))=FALSE,ISERROR(FIND(""single oven"",A85))=FALS"&amp;"E),VLOOKUP(LEFT(A85,FIND("" "",A85))&amp;""carcass ""&amp;RIGHT(A85,LEN(A85)-(LEN(A85)-3)),KitchensData,5,0),IF(ISERROR(FIND(""sink"",A85))=FALSE,VLOOKUP(LEFT(A85,FIND("" "",A85))&amp;""carcass ""&amp;VALUE(REGEXREPLACE(A85,""[^[:digit:]]"", """")),KitchensData,5,0)+(((C"&amp;"85/1000)*(300/1000))*VLOOKUP(KitchenCarcassMaterial,SheetsData,8,0)),IF(ISERROR(FIND(""bins"",A85))=FALSE,IF(ISERROR(FIND(""veneer"",KitchenCarcassMaterial))=FALSE,VLOOKUP(""Base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600"",A85))=FALSE,IF(ISERROR(FIND(""veneer"""&amp;",KitchenCarcassMaterial))=FALSE,0.54*(VLOOKUP(LEFT(KitchenCarcassMaterial,FIND(""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1200"",A85))=FALSE,"&amp;"IF(ISERROR(FIND(""veneer"",KitchenCarcassMaterial))=FALSE,0.84*(VLOOKUP(LEFT(KitchenCarcassMaterial,FIND(""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600"",A85))=FALSE,IF(ISERROR(FIND(""veneer"",KitchenCarcassMaterial))=FALSE,1.44*(VLOOKUP(LEFT(KitchenCarcassMaterial,FIND(""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1200"",A85))=FALSE,IF(ISERROR(FIND(""veneer"",KitchenCarcassMaterial))=FALSE,2.7*(VLOOKUP(LEFT(KitchenCarcassMaterial,FIND(""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front"",A85))=FALSE,((B85/1000)*(C85/1000))*VLOOKUP(KitchenDoorMaterial,SheetsData,8,0),IF(AND(KitchenDrawerType=""Match carcass"",ISERROR(FIND(""drawer box"",A85))=FALSE),(((((B85/1000)*(C85/1000))+((B85/1000"&amp;")*(D85/1000)))*2)*VLOOKUP(KitchenCarcassMaterial,SheetsData,8,0))+(((C85/1000)*(D85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box"",A85))=FALSE),(((((B85/1000)*(C85/1000))+((B85/1000)*(D85/1000)))*2)*(16/1000)*VLOOKUP(LEFT(KitchenCarcassMaterial,FIND("" "&amp;""",KitchenCarcassMaterial))&amp;""(solid m3)"",SolidData,5,0))+(((C85/1000)*(D85/1000))*VLOOKUP(LEFT(KitchenCarcassMaterial,FIND(""("",KitchenCarcassMaterial)-1)&amp;IF(OR(ISERROR(FIND(""ply"",KitchenCarcassMaterial))=FALSE,ISERROR(FIND(""H/F"",KitchenCarcassMate"&amp;"rial))=FALSE),""(9mm)"",""(10mm)""),SheetsData,8,0)),IF(ISERROR(FIND(""spacer"",A85))=FALSE,((D85/1000)*(C85/1000))*VLOOKUP(""Poplar ply (18mm)"",SheetsData,8,0),IF(ISERROR(FIND(""filler panel"",A85))=FALSE,((B85/1000)*(C85/1000))*VLOOKUP(KitchenDoorMater"&amp;"ial,SheetsData,8,0),IF(ISERROR(FIND(""shelf"",A85))=FALSE,((D85/1000)*(C85/1000))*VLOOKUP(KitchenCarcassMaterial,SheetsData,8,0),IF(ISERROR(FIND(""lost corner"",A85))=FALSE,VLOOKUP(LEFT(A85,FIND("" "",A85))&amp;""carcass ""&amp;VALUE(REGEXREPLACE(A85,""[^[:digit:"&amp;"]]"", """")),KitchensData,5,0)+((((B85/1000)*(C85/1000))+((B85/1000)*(60/1000)))*VLOOKUP(KitchenCarcassMaterial,SheetsData,8,0)),IF(ISERROR(FIND(""carcass"",A85))=FALSE,(((((B85/1000)*2)*(D85/1000))+(((C85/1000)*2)*(D85/1000)))*VLOOKUP(KitchenCarcassMater"&amp;"ial,SheetsData,8,0))+((B85/1000)*(C85/1000))*VLOOKUP(LEFT(KitchenCarcassMaterial,FIND(""("",KitchenCarcassMaterial)-1)&amp;IF(OR(ISERROR(FIND(""ply"",KitchenCarcassMaterial))=FALSE,ISERROR(FIND(""H/F"",KitchenCarcassMaterial))=FALSE),""(9mm)"",""(10mm)""),She"&amp;"etsData,8,0),IF(OR(ISERROR(FIND(""Plinth"",A85))=FALSE,ISERROR(FIND(""Cornice (flat)"",A85))=FALSE),((B85/1000)*(C85/1000))*VLOOKUP(""H/F (18mm)"",SheetsData,8,0),IF(ISERROR(FIND(""Cornice (stacked)"",A85))=FALSE,((0.08*(C85/1000))*2)*VLOOKUP(""H/F (22mm)"&amp;""",SheetsData,8,0),IF(ISERROR(FIND(""Base end panel"",A85))=FALSE,VLOOKUP(KitchenDoorMaterial,SheetsData,5,0)/3,IF(ISERROR(FIND(""Wall end panel"",A85))=FALSE,VLOOKUP(KitchenDoorMaterial,SheetsData,5,0)/9,IF(ISERROR(FIND(""Tower end panel"",A85))=FALSE,VL"&amp;"OOKUP(KitchenDoorMaterial,SheetsData,5,0),IF(ISERROR(FIND(""Fillers"",A85))=FALSE,(((0.06*(C85/1000))*2)*VLOOKUP(""H/F (18mm)"",SheetsData,8,0))+(((0.06*(C85/1000))*2)*VLOOKUP(""H/F (9mm)"",SheetsData,8,0)),IF(ISERROR(FIND(""corner post"",A85))=FALSE,(((B"&amp;"85/1000)*0.05)*2)*VLOOKUP(KitchenDoorMaterial,SheetsData,8,0),IF(ISERROR(FIND(""Pelmet"",A85))=FALSE,((((B85/1000)*(C85/1000))*2)*VLOOKUP(""H/F (18mm)"",SheetsData,8,0)),IF(ISERROR(FIND(""door"",A85))=TRUE,""Check description"",IF(KitchenDoorStyle=""Flat"&amp;""",((B85/1000)*(C85/1000))*VLOOKUP(KitchenDoorMaterial,SheetsData,8,0),IF(LEFT(KitchenDoorStyle,5)=""Panel"",(((((B85/1000)*2)*0.08)+((((C85/1000)-0.16)*2)*0.08))*VLOOKUP(""H/F (22mm)"",SheetsData,8,0))+(((B85/1000)-0.14)*((C85/1000)-0.14)*VLOOKUP(""H/F ("&amp;"9mm)"",SheetsData,8,0)),IF(KitchenDoorStyle=""In-frame flat"",((((((B85/1000)*0.019)*0.038)+((((C85-38)/1000)*0.038)*0.038))*2)*VLOOKUP(""Tulip (solid m3)"",SolidData,5,0))+(((B85-76)/1000)*((C85-38)/1000))*VLOOKUP(""H/F (22mm)"",SheetsData,8,0),IF(LEFT(K"&amp;"itchenDoorStyle,14)=""In-frame panel"",(((((((B85/1000)*0.019)*0.038)+((((C85-38)/1000)*0.038)*0.038))*2)*VLOOKUP(""Tulip (solid m3)"",SolidData,5,0))+(((((((B85-76)/1000)*2)*0.08)+(((((C85-198)/1000)*2)*0.08)))*VLOOKUP(""H/F (22mm)"",SheetsData,8,0))+((("&amp;"B85-216)/1000)*((C85-178)/1000)*VLOOKUP(""H/F (9mm)"",SheetsData,8,0)))))))))))))))))))))))))))))))))"),30.807578607901103)</f>
        <v>30.80757861</v>
      </c>
      <c r="F85" s="152">
        <f>IFERROR(__xludf.DUMMYFUNCTION("IF(OR(A85="""",AND(ISERROR(FIND(""drawer box"",A85))=FALSE,KitchenDrawerType=""Solid dovetail"")),"""",IF(ISERROR(FIND(""bins"",A85))=FALSE,VLOOKUP(""Base carcass 600"",KitchensData,6,0),IF(OR(ISERROR(FIND(""larder"",A85))=FALSE,ISERROR(FIND(""unit"",A85)"&amp;")=FALSE),VLOOKUP(LEFT(A85,FIND("" "",A85))&amp;""carcass ""&amp;RIGHT(A85,LEN(A85)-len(regexextract(A85,"".* ""))),KitchensData,6,0),IF(ISERROR(FIND(""drawer front"",A85))=FALSE,IF(ISERROR(FIND(""veneer"",KitchenCarcassMaterial))=TRUE,0,(((B85+C85)/1000)*2)*VLOOK"&amp;"UP(""Edge banding (per M)"",SheetsData,5,0)),IF(ISERROR(FIND(""drawer box"",A85))=FALSE,IF(ISERROR(FIND(""veneer"",KitchenCarcassMaterial))=TRUE,0,(((C85+D85)/1000)*2)*VLOOKUP(""Edge banding (per M)"",SheetsData,5,0)),IF(ISERROR(FIND(""shelf"",A85))=FALSE"&amp;",IF(ISERROR(FIND(""veneer"",KitchenCarcassMaterial))=TRUE,0,(C85/1000)*VLOOKUP(""Edge banding (per M)"",SheetsData,5,0)),IF(AND(ISERROR(FIND(""carcass"",A85))=FALSE,ISERROR(FIND(""shelf"",A85))=TRUE),IF(ISERROR(FIND(""veneer"",KitchenCarcassMaterial))=TRU"&amp;"E,0,((2*(B85+C85))/1000)*VLOOKUP(""Edge banding (per M)"",SheetsData,5,0)),IF(ISERROR(FIND(""door"",A85))=TRUE,"""",IF(ISERROR(FIND(""veneer"",KitchenDoorMaterial))=TRUE,"""",((2*(B85+C85))/1000)*VLOOKUP(""Edge banding (per M)"",SheetsData,5,0))))))))))"),0.0)</f>
        <v>0</v>
      </c>
      <c r="G85" s="153">
        <f>IF(A85="","",IF(ISERROR(FIND("bins",A85))=FALSE,VLOOKUP("Base carcass 600",KitchensData,7,0),IF(OR(ISERROR(FIND("larder",A85))=FALSE,ISERROR(FIND("fridge/freezer",A85))=FALSE,ISERROR(FIND("double oven",A85))=FALSE,ISERROR(FIND("single oven",A85))=FALSE),VLOOKUP(LEFT(A85,FIND(" ",A85))&amp;"carcass "&amp;RIGHT(A85,LEN(A85)-(LEN(A85)-3)),KitchensData,7,0),IF(AND(ISERROR(FIND("carcass",A85))=FALSE,ISERROR(FIND("shelf",A85))=TRUE),IF(OR(ISERROR(FIND("Base",A85))=FALSE,ISERROR(FIND("Tower",A85))=FALSE),IF(OR(ISERROR(FIND("1200",A85))=FALSE, ISERROR(FIND("lost corner",A85))=FALSE),6*VLOOKUP("Plinth foot (2 Parts 80mm)",FurnitureData,5,0),4*VLOOKUP("Plinth foot (2 Parts 80mm)",FurnitureData,5,0)),""),""))))</f>
        <v>3.8</v>
      </c>
      <c r="H85" s="115" t="str">
        <f>IF(OR(A85="",ISERROR(FIND("door",A85))=TRUE),"",IF(ISERROR(FIND("Wall",A85))=FALSE,VLOOKUP("Hinges &amp; plates (Hettich thick door)",FurnitureData,5,0)*2,IF(ISERROR(FIND("Base",A85))=FALSE,VLOOKUP("Hinges &amp; plates (Hettich thick door)",FurnitureData,5,0)*3,IF(ISERROR(FIND("Boiler",A85))=FALSE,VLOOKUP("Hinges &amp; plates (Hettich thick door)",FurnitureData,5,0)*4,IF(ISERROR(FIND("Tower",A85))=FALSE,VLOOKUP("Hinges &amp; plates (Hettich thick door)",FurnitureData,5,0)*5)))))</f>
        <v/>
      </c>
      <c r="I85" s="115" t="str">
        <f>IF(ISERROR(FIND("shelf",A85))=FALSE,(VLOOKUP("Shelf pegs",FurnitureData,5,0)/100)*4,"")</f>
        <v/>
      </c>
      <c r="J85" s="152">
        <f>IF(OR(ISERROR(FIND("fridge/freezer",A85))=FALSE,ISERROR(FIND("larder",A85))=FALSE,AND(ISERROR(FIND("Base",A85))=FALSE,ISERROR(FIND("bins",A85))=TRUE,ISERROR(FIND("no shelves",A85))=TRUE,OR(ISERROR(FIND("carcass",A85))=FALSE,ISERROR(FIND("unit",A85))=FALSE))),VLOOKUP("Deep shelf "&amp;C85,KitchensData,18,0),IF(AND(ISERROR(FIND("Wall",A85))=FALSE,ISERROR(FIND("carcass",A85))=FALSE),2*VLOOKUP("Shallow shelf "&amp;C85,KitchensData,18,0),IF(AND(ISERROR(FIND("Tower",A85))=FALSE,ISERROR(FIND("oven",A85))=FALSE),4*VLOOKUP("Deep shelf "&amp;C85,KitchensData,18,0),IF(AND(ISERROR(FIND("Tower",A85))=FALSE,ISERROR(FIND("carcass",A85))=FALSE),5*VLOOKUP("Deep shelf "&amp;C85,KitchensData,18,0),""))))</f>
        <v>48.04509417</v>
      </c>
      <c r="K85" s="152" t="str">
        <f>IF(ISERROR(FIND("sink",A85))=FALSE,VLOOKUP("Sink liner - Aluminium "&amp;RIGHT(A85,LEN(A85)-22)&amp;"mm",ExceptionalData,5,0),IF(ISERROR(FIND("bins",A85))=FALSE,VLOOKUP("Drawer runners and clip set for bin unit (500) Dynapro",FurnitureData,5,0)+(2*VLOOKUP("Bin (42L Anthracite)",FurnitureData,5,0)),IF(ISERROR(FIND("larder",A85))=FALSE,VLOOKUP("Pull out larder unit 600mm",FurnitureData,5,0),IF(AND(ISERROR(FIND("drawer box",A85))=FALSE,ISERROR(FIND("internal",A85))=TRUE),VLOOKUP("Drawer runners and clip set (550) Dynapro",FurnitureData,5,0),IF(ISERROR(FIND("internal drawer box",A85))=FALSE,VLOOKUP("Drawer runners and clip set (450) Dynapro",FurnitureData,5,0),"")))))</f>
        <v/>
      </c>
      <c r="L85" s="152">
        <f t="shared" si="3"/>
        <v>82.65267278</v>
      </c>
      <c r="M85" s="154">
        <f>IFERROR(__xludf.DUMMYFUNCTION("IF(A85="""","""",IF(OR(ISERROR(FIND(""larder"",A85))=FALSE,ISERROR(FIND(""unit"",A85))=FALSE),VLOOKUP(LEFT(A85,FIND("" "",A85))&amp;""carcass ""&amp;RIGHT(A85,LEN(A85)-len(regexextract(A85,"".* ""))),KitchensData,13,0),IF(ISERROR(FIND(""bins"",A85))=FALSE,0.95,IF"&amp;"(ISERROR(FIND(""Cutlery insert 600"",A85))=FALSE,1.3,IF(ISERROR(FIND(""Cutlery insert 1200"",A85))=FALSE,2,IF(ISERROR(FIND(""Pan/tray rack 600"",A85))=FALSE,3.25,IF(ISERROR(FIND(""Pan/tray rack 1200"",A85))=FALSE,5.9,IF(ISERROR(FIND(""split"",A85))=FALSE,"&amp;"(((C85/1000)*0.022)*2)+VLOOKUP(SUBSTITUTE(A85,"" split"",""""),KitchensData,13,0),IF(AND(ISERROR(FIND(""drawer front"",A85))=FALSE,KitchenDoorStyle=""Flat""),(((B85/1000)*(C85/1000))*2)+((((B85+C85)/1000)*2)*0.022),IF(AND(ISERROR(FIND(""drawer front"",A85"&amp;"))=FALSE,LEFT(KitchenDoorStyle,5)=""Panel""),(((B85/1000)*(C85/1000))*2)+((((B85+C85)/1000)*2)*0.022)+((((C85/1000)-0.16)*0.013)*2)+((((D85/1000)-0.16)*0.013)*2),IF(AND(ISERROR(FIND(""drawer front"",A85))=FALSE,KitchenDoorStyle=""In-frame flat""),((((B85-"&amp;"76)/1000)*((C85-38)/1000))*2)+(MID(KitchenDoorMaterial,FIND(""("",KitchenDoorMaterial)+1,2)/1000)*((((B85-76)+(C85-38))/1000)*2)+(((B85/1000)*0.032)*2)+((((B85-76)/1000)*0.032)*2)+(((B85/1000)*0.019)*4)+(((C85/1000)*0.032)*2)+((((C85-38)/1000)*0.032)*2)+("&amp;"((C85/1000)*0.038)*4),IF(AND(ISERROR(FIND(""drawer front"",A85))=FALSE,LEFT(KitchenDoorStyle,14)=""In-frame panel""),((((B85-76)/1000)*((C85-38)/1000))*2)+((MID(KitchenDoorMaterial,FIND(""("",KitchenDoorMaterial)+1,2)/1000)*((((B85-76)+(C85-38))/1000)*2))"&amp;"+((((B85-236)/1000)+((C85-198)/1000)*2)*0.013)+(((B85/1000)*0.032)*2)+((((B85-76)/1000)*0.032)*2)+(((B85/1000)*0.019)*4)+(((C85/1000)*0.032)*2)+((((C85-38)/1000)*0.032)*2)+(((C85/1000)*0.038)*4),IF(ISERROR(FIND(""drawer box"",A85))=FALSE,((((B85/1000)*(D8"&amp;"5/1000))+((B85/1000)*(C85/1000)))*4)+((((D85/1000)+(C85/1000))*0.016)*4)+(((C85/1000)*(D85/1000))*2),IF(OR(ISERROR(FIND(""shelf"",A85))=FALSE,ISERROR(FIND(""spacer"",A85))=FALSE,,ISERROR(FIND(""filler panel"",A85))=FALSE),(((C85/1000)*(D85/1000))*2)+((((C"&amp;"85+D85)*2)/1000)*0.022),IF(ISERROR(FIND(""lost corner"",A85))=FALSE,(((B85/1000)*(C85/1000))*2)+((B85/1000)*(C85/1000))+((B85/1000)*((C85/2)/1000))+((((B85/1000)*0.025)+((C85/1000)*0.025))*2),IF(ISERROR(FIND(""carcass"",A85))=FALSE,(((C85/1000)*(D85/1000)"&amp;")*2)+(((B85/1000)*(D85/1000))*2)+((B85/1000)*(C85/1000))+((((B85/1000)*0.025)+((C85/1000)*0.025))*2),IF(AND(ISERROR(FIND(""door"",A85))=FALSE,KitchenDoorStyle=""Flat""),(((B85/1000)*(C85/1000))*2)+(MID(KitchenDoorMaterial,FIND(""("",KitchenDoorMaterial)+1"&amp;",2)/1000)*(((B85+C85)/1000)*2),IF(AND(ISERROR(FIND(""door"",A85))=FALSE,LEFT(KitchenDoorStyle,5)=""Panel""),(((B85/1000)*(C85/1000))*2)+((MID(KitchenDoorMaterial,FIND(""("",KitchenDoorMaterial)+1,2)/1000)*(((B85+C85)/1000)*2))+(((((B85-160)+(C85-160))*2)/"&amp;"1000)*(0.013)),IF(AND(ISERROR(FIND(""door"",A85))=FALSE,KitchenDoorStyle=""In-frame flat""),((((B85-76)/1000)*((C85-38)/1000))*2)+(MID(KitchenDoorMaterial,FIND(""("",KitchenDoorMaterial)+1,2)/1000)*((((B85-76)+(C85-38))/1000)*2)+(((B85/1000)*0.032)*2)+((("&amp;"(B85-76)/1000)*0.032)*2)+(((B85/1000)*0.019)*4)+(((C85/1000)*0.032)*2)+((((C85-38)/1000)*0.032)*2)+(((C85/1000)*0.038)*4),IF(AND(ISERROR(FIND(""door"",A85))=FALSE,LEFT(KitchenDoorStyle,14)=""In-frame panel""),((((B85-76)/1000)*((C85-38)/1000))*2)+((MID(Ki"&amp;"tchenDoorMaterial,FIND(""("",KitchenDoorMaterial)+1,2)/1000)*((((B85-76)+(C85-38))/1000)*2))+((((B85-236)/1000)+((C85-198)/1000)*2)*0.013)+(((B85/1000)*0.032)*2)+((((B85-76)/1000)*0.032)*2)+(((B85/1000)*0.019)*4)+(((C85/1000)*0.032)*2)+((((C85-38)/1000)*0"&amp;".032)*2)+(((C85/1000)*0.038)*4),IF(ISERROR(FIND(""Plinth"",A85))=FALSE,((B85/1000)*(C85/1000))+(((C85/1000)*0.018)*2)+(((B85/1000)*0.018)*2),IF(ISERROR(FIND(""Cornice"",A85))=FALSE,(((C85/1000)*0.1)*2)+(((C85/1000)*0.044)*2)+(((B85/1000)*0.08)*2),IF(ISERR"&amp;"OR(FIND(""Base end panel"",A85))=FALSE,((B85/1000)*(C85/1000))+(0.022*((B85/1000)+((C85/1000)*2)))+((B85/1000)*0.05),IF(ISERROR(FIND(""Wall end panel"",A85))=FALSE,((B85/1000)*(C85/1000))+(0.022*((B85/1000)+((C85/1000)*2)))+((B85/1000)*0.05),IF(ISERROR(FI"&amp;"ND(""Tower end panel"",A85))=FALSE,((B85/1000)*(C85/1000))+(0.022*((B85/1000)+((C85/1000)*2)))+((B85/1000)*0.05),IF(ISERROR(FIND(""Fillers"",A85))=FALSE,((C85/1000)*0.06)+((C85/1000)*0.069)+((0.06*0.018)*2)+((0.06*0.009)*2)+((C85/1000)*0.009)+((C85/1000)*"&amp;"0.018),IF(ISERROR(FIND(""corner post"",A85))=FALSE,(((B85/1000*0.05)*2)+((B85/1000)*0.022)*2)+((B85/1000)*0.072)+((B85/1000)*0.05)+((0.072*0.022)*2)+((0.05*0.022)*2),IF(ISERROR(FIND(""Pelmet"",A85))=FALSE,((C85/1000)*0.05)+((C85/1000)*0.068)+((0.05*0.018)"&amp;"*4)+(((C85/1000)*0.018))*2))))))))))))))))))))))))))))"),1.1)</f>
        <v>1.1</v>
      </c>
      <c r="N85" s="152">
        <f>IF(M85="","",IF(AND(ISERROR(FIND("carcass",A85))=TRUE,ISERROR(FIND("unit",A85))=TRUE,ISERROR(FIND("insert",A85))=TRUE,ISERROR(FIND("rack",A85))=TRUE,ISERROR(FIND("box",A85))=TRUE,ISERROR(FIND("shelf",#REF!))=TRUE),VLOOKUP(KitchenDoorFinish,Finishing!$A$2:$K$10,9,0)*M85,VLOOKUP(KitchenCarcassFinish,Finishing!$A$2:$K$40,9,0)*M85))</f>
        <v>4.125</v>
      </c>
      <c r="O85" s="155">
        <v>1.0</v>
      </c>
      <c r="P85" s="155">
        <v>1.0</v>
      </c>
      <c r="Q85" s="152">
        <f>IF(OR(O85="",P85=""),"",((O85*X85)*(VLOOKUP("Workshop",Labour!$A$3:$E$20,4,0)/8))+((P85*AE85)*(VLOOKUP("Finishing",Labour!$A$3:$E$20,4,0)/8)))</f>
        <v>71.75</v>
      </c>
      <c r="R85" s="152">
        <f t="shared" si="4"/>
        <v>158.5276728</v>
      </c>
      <c r="S85" s="156">
        <f>IF(OR(O85="",P85=""),"",IF(OR(ISERROR(FIND("carcass",$A85))=FALSE,ISERROR(FIND("unit",$A85))=FALSE),VLOOKUP(KitchenCarcassMaterial,FixedListsCarcassMaterial,2,0),0))</f>
        <v>1</v>
      </c>
      <c r="T85" s="156">
        <f>IF(OR(O85="",P85=""),"",IF(ISERROR(FIND("door",$A85))=FALSE,VLOOKUP(KitchenDoorStyle,FixedListsDoorStyle,2,0),0))</f>
        <v>0</v>
      </c>
      <c r="U85" s="156">
        <f>IF(OR(O85="",P85=""),"",IF(ISERROR(FIND("door",$A85))=FALSE,VLOOKUP(KitchenDoorMaterial,FixedListsDoorMaterial,2,0),0))</f>
        <v>0</v>
      </c>
      <c r="V85" s="156">
        <f>IF(OR(O85="",P85=""),"",IF(ISERROR(FIND("drawer",$A85))=FALSE,VLOOKUP(KitchenDrawerType,FixedListsDrawerType,2,0),0))</f>
        <v>0</v>
      </c>
      <c r="W85" s="156">
        <f>IF(OR(O85="",P85=""),"",IF(OR(S85&gt;0, T85&gt;0,V85&gt;0),VLOOKUP(KitchenHandleType,FixedListsHandleType,2,FALSE)*IF(KitchenHandleType="Simple",0,IF(S85&gt;0,VLOOKUP(KitchenHandleType,FixedListsHandleType,4,FALSE),IF(OR(T85&gt;0,V85&gt;0),1-VLOOKUP(KitchenHandleType,FixedListsHandleType,4,FALSE),"Error"))),0))</f>
        <v>0</v>
      </c>
      <c r="X85" s="156">
        <f t="shared" si="5"/>
        <v>1</v>
      </c>
      <c r="Y85" s="156">
        <f>IF(OR(O85="",P85=""),"",IF(OR(ISERROR(FIND("carcass",$A85))=FALSE,ISERROR(FIND("unit",$A85))=FALSE),VLOOKUP(KitchenCarcassMaterial,FixedListsCarcassMaterial,3,0),0))</f>
        <v>1</v>
      </c>
      <c r="Z85" s="156">
        <f>IF(OR(O85="",P85=""),"",IF(ISERROR(FIND("door",$A85))=FALSE,VLOOKUP(KitchenDoorStyle,FixedListsDoorStyle,3,0),0))</f>
        <v>0</v>
      </c>
      <c r="AA85" s="156">
        <f>IF(OR(O85="",P85=""),"",IF(ISERROR(FIND("door",$A85))=FALSE,VLOOKUP(KitchenDoorMaterial,FixedListsDoorMaterial,3,0),0))</f>
        <v>0</v>
      </c>
      <c r="AB85" s="156">
        <f>IF(OR(O85="",P85=""),"",IF(ISERROR(FIND("drawer",$A85))=FALSE,VLOOKUP(KitchenDrawerType,FixedListsDrawerType,3,0),0))</f>
        <v>0</v>
      </c>
      <c r="AC85" s="156">
        <f>IF(OR(O85="",P85=""),"",IF(OR(Y85&gt;0,Z85&gt;0,AB85&gt;0),VLOOKUP(KitchenHandleType,FixedListsHandleType,3,FALSE),0))</f>
        <v>1</v>
      </c>
      <c r="AD85" s="156">
        <f>IF(OR(O85="",P85=""),"",IF(OR(ISERROR(FIND("carcass",$A85))=FALSE,ISERROR(FIND("unit",$A85))=FALSE),VLOOKUP(KitchenCarcassFinish,FixedListsFinishes,3,0),IF(OR(ISERROR(FIND("door",$A85))=FALSE,ISERROR(FIND("Plinth",$A85))=FALSE,ISERROR(FIND("Cornice",$A85))=FALSE,ISERROR(FIND("Fillers",$A85))=FALSE,ISERROR(FIND("Pelmet",$A85))=FALSE,ISERROR(FIND("panel",$A85))=FALSE,ISERROR(FIND("post",$A85))=FALSE),VLOOKUP(KitchenDoorFinish,FixedListsFinishes,3,0),IF(OR(ISERROR(FIND("drawer",$A85))=FALSE,ISERROR(FIND("insert",$A85))=FALSE,ISERROR(FIND("rck",$A85))=FALSE),VLOOKUP(KitchenCarcassFinish,FixedListsFinishes,3,0),0))))</f>
        <v>1</v>
      </c>
      <c r="AE85" s="156">
        <f t="shared" si="6"/>
        <v>1</v>
      </c>
      <c r="AF85" s="157" t="str">
        <f>IF(AND(KitchenHandleType="Channel",OR(ISERROR(FIND("arcass",$A85))=FALSE,ISERROR(FIND("unit",$A85))=FALSE)),IF(ISERROR(FIND("Tower",$A85))=TRUE,IF(KitchenHandleFinish="Match carcass",IF(ISERROR(FIND("Walnut",KitchenCarcassMaterial))=FALSE,(0.035*0.075*($C85/1000))*VLOOKUP("Walnut (solid m3)",SolidData,4,FALSE),IF(ISERROR(FIND("Oak",KitchenCarcassMaterial))=FALSE,(0.035*0.075*($C85/1000))*VLOOKUP("Oak (solid m3)",SolidData,4,FALSE),IF(ISERROR(FIND("ply",KitchenCarcassMaterial))=FALSE,(0.1*($C85/1000))*VLOOKUP("Birch ply (24mm)",SheetsData,7,FALSE),IF(ISERROR(FIND("H/F",KitchenCarcassMaterial))=FALSE,(0.1*($C85/1000))*VLOOKUP("H/F (22mm)",SheetsData,7,FALSE),"Carcass - not tower - new material")))),IF(KitchenHandleFinish="Match door",IF(ISERROR(FIND("Walnut",KitchenDoorMaterial))=FALSE,(0.035*0.075*($C85/1000))*VLOOKUP("Walnut (solid m3)",SolidData,4,FALSE),IF(ISERROR(FIND("Oak",KitchenDoorMaterial))=FALSE,(0.035*0.075*($C85/1000))*VLOOKUP("Oak (solid m3)",SolidData,4,FALSE),IF(ISERROR(FIND("ply",KitchenDoorMaterial))=FALSE,(0.1*($C85/1000))*VLOOKUP("Birch ply (24mm)",SheetsData,7,FALSE),IF(ISERROR(FIND("H/F",KitchenCarcassMaterial))=FALSE,(0.1*($C85/1000))*VLOOKUP("H/F (22mm)",SheetsData,7,FALSE),"Door - not tower - new material")))),"Channel - not tower - handle set to other")),IF(ISERROR(FIND("Tower",$A85))=FALSE,IF(KitchenHandleFinish="Match carcass",IF(ISERROR(FIND("Walnut",KitchenCarcassMaterial))=FALSE,(0.035*0.075*($B85/1000))*VLOOKUP("Walnut (solid m3)",SolidData,4,FALSE),IF(ISERROR(FIND("Oak",KitchenCarcassMaterial))=FALSE,(0.035*0.075*($B85/1000))*VLOOKUP("Oak (solid m3)",SolidData,4,FALSE),IF(ISERROR(FIND("ply",KitchenCarcassMaterial))=FALSE,(0.1*($B85/1000))*VLOOKUP("Birch ply (24mm)",SheetsData,7,FALSE),IF(ISERROR(FIND("H/F",KitchenCarcassMaterial))=FALSE,(0.1*($C85/1000))*VLOOKUP("H/F (22mm)",SheetsData,7,FALSE),"Carcass - tower - new material")))),IF(KitchenHandleFinish="Match door",IF(ISERROR(FIND("Walnut",KitchenDoorMaterial))=FALSE,(0.035*0.075*($B85/1000))*VLOOKUP("Walnut (solid m3)",SolidData,4,FALSE),IF(ISERROR(FIND("Oak",KitchenDoorMaterial))=FALSE,(0.035*0.075*($B85/1000))*VLOOKUP("Oak (solid m3)",SolidData,4,FALSE),IF(ISERROR(FIND("ply",KitchenDoorMaterial))=FALSE,(0.1*($B85/1000))*VLOOKUP("Birch ply (24mm)",SheetData,7,FALSE),IF(ISERROR(FIND("H/F",KitchenCarcassMaterial))=FALSE,(0.1*($C85/1000))*VLOOKUP("H/F (22mm)",SheetsData,7,FALSE),"Door - tower - new material")))),"Channel - tower - handle set to other")))),"")</f>
        <v/>
      </c>
    </row>
    <row r="86">
      <c r="A86" s="150" t="s">
        <v>194</v>
      </c>
      <c r="B86" s="115">
        <f t="shared" si="1"/>
        <v>800</v>
      </c>
      <c r="C86" s="115" t="str">
        <f>IFERROR(__xludf.DUMMYFUNCTION("IF(A86="""","""",IF(OR(RIGHT(A86,LEN(A86)-len(regexextract(A86,"".* "")))=""1200"",RIGHT(A86,LEN(A86)-len(regexextract(A86,"".* "")))=""600"",RIGHT(A86,LEN(A86)-len(regexextract(A86,"".* "")))=""400"",RIGHT(A86,LEN(A86)-len(regexextract(A86,"".* "")))=""3"&amp;"00"",RIGHT(A86,LEN(A86)-len(regexextract(A86,"".* "")))=""700"",RIGHT(A86,LEN(A86)-len(regexextract(A86,"".* "")))=""2400"",RIGHT(A86,LEN(A86)-len(regexextract(A86,"".* "")))=""650"",RIGHT(A86,LEN(A86)-len(regexextract(A86,"".* "")))=""350"",RIGHT(A86,LEN"&amp;"(A86)-len(regexextract(A86,"".* "")))=""50""),RIGHT(A86,LEN(A86)-len(regexextract(A86,"".* ""))),IF(OR(ISERROR(FIND(""spacer"",A86))=FALSE,ISERROR(FIND(""filler panel"",A86))=FALSE),""1000"",""Unexpected size in description"")))"),"300")</f>
        <v>300</v>
      </c>
      <c r="D86" s="151">
        <f t="shared" si="2"/>
        <v>300</v>
      </c>
      <c r="E86" s="152">
        <f>IFERROR(__xludf.DUMMYFUNCTION("IF(OR(A86="""",AND(ISERROR(FIND(""drawer box"",A86))=FALSE,KitchenDrawerType="""")),"""",IF(OR(ISERROR(FIND(""larder"",A86))=FALSE,ISERROR(FIND(""fridge/freezer"",A86))=FALSE,ISERROR(FIND(""double oven"",A86))=FALSE,ISERROR(FIND(""single oven"",A86))=FALS"&amp;"E),VLOOKUP(LEFT(A86,FIND("" "",A86))&amp;""carcass ""&amp;RIGHT(A86,LEN(A86)-(LEN(A86)-3)),KitchensData,5,0),IF(ISERROR(FIND(""sink"",A86))=FALSE,VLOOKUP(LEFT(A86,FIND("" "",A86))&amp;""carcass ""&amp;VALUE(REGEXREPLACE(A86,""[^[:digit:]]"", """")),KitchensData,5,0)+(((C"&amp;"86/1000)*(300/1000))*VLOOKUP(KitchenCarcassMaterial,SheetsData,8,0)),IF(ISERROR(FIND(""bins"",A86))=FALSE,IF(ISERROR(FIND(""veneer"",KitchenCarcassMaterial))=FALSE,VLOOKUP(""Base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600"",A86))=FALSE,IF(ISERROR(FIND(""veneer"""&amp;",KitchenCarcassMaterial))=FALSE,0.54*(VLOOKUP(LEFT(KitchenCarcassMaterial,FIND(""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1200"",A86))=FALSE,"&amp;"IF(ISERROR(FIND(""veneer"",KitchenCarcassMaterial))=FALSE,0.84*(VLOOKUP(LEFT(KitchenCarcassMaterial,FIND(""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600"",A86))=FALSE,IF(ISERROR(FIND(""veneer"",KitchenCarcassMaterial))=FALSE,1.44*(VLOOKUP(LEFT(KitchenCarcassMaterial,FIND(""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1200"",A86))=FALSE,IF(ISERROR(FIND(""veneer"",KitchenCarcassMaterial))=FALSE,2.7*(VLOOKUP(LEFT(KitchenCarcassMaterial,FIND(""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front"",A86))=FALSE,((B86/1000)*(C86/1000))*VLOOKUP(KitchenDoorMaterial,SheetsData,8,0),IF(AND(KitchenDrawerType=""Match carcass"",ISERROR(FIND(""drawer box"",A86))=FALSE),(((((B86/1000)*(C86/1000))+((B86/1000"&amp;")*(D86/1000)))*2)*VLOOKUP(KitchenCarcassMaterial,SheetsData,8,0))+(((C86/1000)*(D86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box"",A86))=FALSE),(((((B86/1000)*(C86/1000))+((B86/1000)*(D86/1000)))*2)*(16/1000)*VLOOKUP(LEFT(KitchenCarcassMaterial,FIND("" "&amp;""",KitchenCarcassMaterial))&amp;""(solid m3)"",SolidData,5,0))+(((C86/1000)*(D86/1000))*VLOOKUP(LEFT(KitchenCarcassMaterial,FIND(""("",KitchenCarcassMaterial)-1)&amp;IF(OR(ISERROR(FIND(""ply"",KitchenCarcassMaterial))=FALSE,ISERROR(FIND(""H/F"",KitchenCarcassMate"&amp;"rial))=FALSE),""(9mm)"",""(10mm)""),SheetsData,8,0)),IF(ISERROR(FIND(""spacer"",A86))=FALSE,((D86/1000)*(C86/1000))*VLOOKUP(""Poplar ply (18mm)"",SheetsData,8,0),IF(ISERROR(FIND(""filler panel"",A86))=FALSE,((B86/1000)*(C86/1000))*VLOOKUP(KitchenDoorMater"&amp;"ial,SheetsData,8,0),IF(ISERROR(FIND(""shelf"",A86))=FALSE,((D86/1000)*(C86/1000))*VLOOKUP(KitchenCarcassMaterial,SheetsData,8,0),IF(ISERROR(FIND(""lost corner"",A86))=FALSE,VLOOKUP(LEFT(A86,FIND("" "",A86))&amp;""carcass ""&amp;VALUE(REGEXREPLACE(A86,""[^[:digit:"&amp;"]]"", """")),KitchensData,5,0)+((((B86/1000)*(C86/1000))+((B86/1000)*(60/1000)))*VLOOKUP(KitchenCarcassMaterial,SheetsData,8,0)),IF(ISERROR(FIND(""carcass"",A86))=FALSE,(((((B86/1000)*2)*(D86/1000))+(((C86/1000)*2)*(D86/1000)))*VLOOKUP(KitchenCarcassMater"&amp;"ial,SheetsData,8,0))+((B86/1000)*(C86/1000))*VLOOKUP(LEFT(KitchenCarcassMaterial,FIND(""("",KitchenCarcassMaterial)-1)&amp;IF(OR(ISERROR(FIND(""ply"",KitchenCarcassMaterial))=FALSE,ISERROR(FIND(""H/F"",KitchenCarcassMaterial))=FALSE),""(9mm)"",""(10mm)""),She"&amp;"etsData,8,0),IF(OR(ISERROR(FIND(""Plinth"",A86))=FALSE,ISERROR(FIND(""Cornice (flat)"",A86))=FALSE),((B86/1000)*(C86/1000))*VLOOKUP(""H/F (18mm)"",SheetsData,8,0),IF(ISERROR(FIND(""Cornice (stacked)"",A86))=FALSE,((0.08*(C86/1000))*2)*VLOOKUP(""H/F (22mm)"&amp;""",SheetsData,8,0),IF(ISERROR(FIND(""Base end panel"",A86))=FALSE,VLOOKUP(KitchenDoorMaterial,SheetsData,5,0)/3,IF(ISERROR(FIND(""Wall end panel"",A86))=FALSE,VLOOKUP(KitchenDoorMaterial,SheetsData,5,0)/9,IF(ISERROR(FIND(""Tower end panel"",A86))=FALSE,VL"&amp;"OOKUP(KitchenDoorMaterial,SheetsData,5,0),IF(ISERROR(FIND(""Fillers"",A86))=FALSE,(((0.06*(C86/1000))*2)*VLOOKUP(""H/F (18mm)"",SheetsData,8,0))+(((0.06*(C86/1000))*2)*VLOOKUP(""H/F (9mm)"",SheetsData,8,0)),IF(ISERROR(FIND(""corner post"",A86))=FALSE,(((B"&amp;"86/1000)*0.05)*2)*VLOOKUP(KitchenDoorMaterial,SheetsData,8,0),IF(ISERROR(FIND(""Pelmet"",A86))=FALSE,((((B86/1000)*(C86/1000))*2)*VLOOKUP(""H/F (18mm)"",SheetsData,8,0)),IF(ISERROR(FIND(""door"",A86))=TRUE,""Check description"",IF(KitchenDoorStyle=""Flat"&amp;""",((B86/1000)*(C86/1000))*VLOOKUP(KitchenDoorMaterial,SheetsData,8,0),IF(LEFT(KitchenDoorStyle,5)=""Panel"",(((((B86/1000)*2)*0.08)+((((C86/1000)-0.16)*2)*0.08))*VLOOKUP(""H/F (22mm)"",SheetsData,8,0))+(((B86/1000)-0.14)*((C86/1000)-0.14)*VLOOKUP(""H/F ("&amp;"9mm)"",SheetsData,8,0)),IF(KitchenDoorStyle=""In-frame flat"",((((((B86/1000)*0.019)*0.038)+((((C86-38)/1000)*0.038)*0.038))*2)*VLOOKUP(""Tulip (solid m3)"",SolidData,5,0))+(((B86-76)/1000)*((C86-38)/1000))*VLOOKUP(""H/F (22mm)"",SheetsData,8,0),IF(LEFT(K"&amp;"itchenDoorStyle,14)=""In-frame panel"",(((((((B86/1000)*0.019)*0.038)+((((C86-38)/1000)*0.038)*0.038))*2)*VLOOKUP(""Tulip (solid m3)"",SolidData,5,0))+(((((((B86-76)/1000)*2)*0.08)+(((((C86-198)/1000)*2)*0.08)))*VLOOKUP(""H/F (22mm)"",SheetsData,8,0))+((("&amp;"B86-216)/1000)*((C86-178)/1000)*VLOOKUP(""H/F (9mm)"",SheetsData,8,0)))))))))))))))))))))))))))))))))"),27.094531040042998)</f>
        <v>27.09453104</v>
      </c>
      <c r="F86" s="152">
        <f>IFERROR(__xludf.DUMMYFUNCTION("IF(OR(A86="""",AND(ISERROR(FIND(""drawer box"",A86))=FALSE,KitchenDrawerType=""Solid dovetail"")),"""",IF(ISERROR(FIND(""bins"",A86))=FALSE,VLOOKUP(""Base carcass 600"",KitchensData,6,0),IF(OR(ISERROR(FIND(""larder"",A86))=FALSE,ISERROR(FIND(""unit"",A86)"&amp;")=FALSE),VLOOKUP(LEFT(A86,FIND("" "",A86))&amp;""carcass ""&amp;RIGHT(A86,LEN(A86)-len(regexextract(A86,"".* ""))),KitchensData,6,0),IF(ISERROR(FIND(""drawer front"",A86))=FALSE,IF(ISERROR(FIND(""veneer"",KitchenCarcassMaterial))=TRUE,0,(((B86+C86)/1000)*2)*VLOOK"&amp;"UP(""Edge banding (per M)"",SheetsData,5,0)),IF(ISERROR(FIND(""drawer box"",A86))=FALSE,IF(ISERROR(FIND(""veneer"",KitchenCarcassMaterial))=TRUE,0,(((C86+D86)/1000)*2)*VLOOKUP(""Edge banding (per M)"",SheetsData,5,0)),IF(ISERROR(FIND(""shelf"",A86))=FALSE"&amp;",IF(ISERROR(FIND(""veneer"",KitchenCarcassMaterial))=TRUE,0,(C86/1000)*VLOOKUP(""Edge banding (per M)"",SheetsData,5,0)),IF(AND(ISERROR(FIND(""carcass"",A86))=FALSE,ISERROR(FIND(""shelf"",A86))=TRUE),IF(ISERROR(FIND(""veneer"",KitchenCarcassMaterial))=TRU"&amp;"E,0,((2*(B86+C86))/1000)*VLOOKUP(""Edge banding (per M)"",SheetsData,5,0)),IF(ISERROR(FIND(""door"",A86))=TRUE,"""",IF(ISERROR(FIND(""veneer"",KitchenDoorMaterial))=TRUE,"""",((2*(B86+C86))/1000)*VLOOKUP(""Edge banding (per M)"",SheetsData,5,0))))))))))"),0.0)</f>
        <v>0</v>
      </c>
      <c r="G86" s="153">
        <f>IF(A86="","",IF(ISERROR(FIND("bins",A86))=FALSE,VLOOKUP("Base carcass 600",KitchensData,7,0),IF(OR(ISERROR(FIND("larder",A86))=FALSE,ISERROR(FIND("fridge/freezer",A86))=FALSE,ISERROR(FIND("double oven",A86))=FALSE,ISERROR(FIND("single oven",A86))=FALSE),VLOOKUP(LEFT(A86,FIND(" ",A86))&amp;"carcass "&amp;RIGHT(A86,LEN(A86)-(LEN(A86)-3)),KitchensData,7,0),IF(AND(ISERROR(FIND("carcass",A86))=FALSE,ISERROR(FIND("shelf",A86))=TRUE),IF(OR(ISERROR(FIND("Base",A86))=FALSE,ISERROR(FIND("Tower",A86))=FALSE),IF(OR(ISERROR(FIND("1200",A86))=FALSE, ISERROR(FIND("lost corner",A86))=FALSE),6*VLOOKUP("Plinth foot (2 Parts 80mm)",FurnitureData,5,0),4*VLOOKUP("Plinth foot (2 Parts 80mm)",FurnitureData,5,0)),""),""))))</f>
        <v>3.8</v>
      </c>
      <c r="H86" s="115" t="str">
        <f>IF(OR(A86="",ISERROR(FIND("door",A86))=TRUE),"",IF(ISERROR(FIND("Wall",A86))=FALSE,VLOOKUP("Hinges &amp; plates (Hettich thick door)",FurnitureData,5,0)*2,IF(ISERROR(FIND("Base",A86))=FALSE,VLOOKUP("Hinges &amp; plates (Hettich thick door)",FurnitureData,5,0)*3,IF(ISERROR(FIND("Boiler",A86))=FALSE,VLOOKUP("Hinges &amp; plates (Hettich thick door)",FurnitureData,5,0)*4,IF(ISERROR(FIND("Tower",A86))=FALSE,VLOOKUP("Hinges &amp; plates (Hettich thick door)",FurnitureData,5,0)*5)))))</f>
        <v/>
      </c>
      <c r="I86" s="115" t="str">
        <f>IF(ISERROR(FIND("shelf",A86))=FALSE,(VLOOKUP("Shelf pegs",FurnitureData,5,0)/100)*4,"")</f>
        <v/>
      </c>
      <c r="J86" s="152">
        <f>IF(OR(ISERROR(FIND("fridge/freezer",A86))=FALSE,ISERROR(FIND("larder",A86))=FALSE,AND(ISERROR(FIND("Base",A86))=FALSE,ISERROR(FIND("bins",A86))=TRUE,ISERROR(FIND("no shelves",A86))=TRUE,OR(ISERROR(FIND("carcass",A86))=FALSE,ISERROR(FIND("unit",A86))=FALSE))),VLOOKUP("Deep shelf "&amp;C86,KitchensData,18,0),IF(AND(ISERROR(FIND("Wall",A86))=FALSE,ISERROR(FIND("carcass",A86))=FALSE),2*VLOOKUP("Shallow shelf "&amp;C86,KitchensData,18,0),IF(AND(ISERROR(FIND("Tower",A86))=FALSE,ISERROR(FIND("oven",A86))=FALSE),4*VLOOKUP("Deep shelf "&amp;C86,KitchensData,18,0),IF(AND(ISERROR(FIND("Tower",A86))=FALSE,ISERROR(FIND("carcass",A86))=FALSE),5*VLOOKUP("Deep shelf "&amp;C86,KitchensData,18,0),""))))</f>
        <v>45.11767063</v>
      </c>
      <c r="K86" s="152" t="str">
        <f>IF(ISERROR(FIND("sink",A86))=FALSE,VLOOKUP("Sink liner - Aluminium "&amp;RIGHT(A86,LEN(A86)-22)&amp;"mm",ExceptionalData,5,0),IF(ISERROR(FIND("bins",A86))=FALSE,VLOOKUP("Drawer runners and clip set for bin unit (500) Dynapro",FurnitureData,5,0)+(2*VLOOKUP("Bin (42L Anthracite)",FurnitureData,5,0)),IF(ISERROR(FIND("larder",A86))=FALSE,VLOOKUP("Pull out larder unit 600mm",FurnitureData,5,0),IF(AND(ISERROR(FIND("drawer box",A86))=FALSE,ISERROR(FIND("internal",A86))=TRUE),VLOOKUP("Drawer runners and clip set (550) Dynapro",FurnitureData,5,0),IF(ISERROR(FIND("internal drawer box",A86))=FALSE,VLOOKUP("Drawer runners and clip set (450) Dynapro",FurnitureData,5,0),"")))))</f>
        <v/>
      </c>
      <c r="L86" s="152">
        <f t="shared" si="3"/>
        <v>76.01220167</v>
      </c>
      <c r="M86" s="154">
        <f>IFERROR(__xludf.DUMMYFUNCTION("IF(A86="""","""",IF(OR(ISERROR(FIND(""larder"",A86))=FALSE,ISERROR(FIND(""unit"",A86))=FALSE),VLOOKUP(LEFT(A86,FIND("" "",A86))&amp;""carcass ""&amp;RIGHT(A86,LEN(A86)-len(regexextract(A86,"".* ""))),KitchensData,13,0),IF(ISERROR(FIND(""bins"",A86))=FALSE,0.95,IF"&amp;"(ISERROR(FIND(""Cutlery insert 600"",A86))=FALSE,1.3,IF(ISERROR(FIND(""Cutlery insert 1200"",A86))=FALSE,2,IF(ISERROR(FIND(""Pan/tray rack 600"",A86))=FALSE,3.25,IF(ISERROR(FIND(""Pan/tray rack 1200"",A86))=FALSE,5.9,IF(ISERROR(FIND(""split"",A86))=FALSE,"&amp;"(((C86/1000)*0.022)*2)+VLOOKUP(SUBSTITUTE(A86,"" split"",""""),KitchensData,13,0),IF(AND(ISERROR(FIND(""drawer front"",A86))=FALSE,KitchenDoorStyle=""Flat""),(((B86/1000)*(C86/1000))*2)+((((B86+C86)/1000)*2)*0.022),IF(AND(ISERROR(FIND(""drawer front"",A86"&amp;"))=FALSE,LEFT(KitchenDoorStyle,5)=""Panel""),(((B86/1000)*(C86/1000))*2)+((((B86+C86)/1000)*2)*0.022)+((((C86/1000)-0.16)*0.013)*2)+((((D86/1000)-0.16)*0.013)*2),IF(AND(ISERROR(FIND(""drawer front"",A86))=FALSE,KitchenDoorStyle=""In-frame flat""),((((B86-"&amp;"76)/1000)*((C86-38)/1000))*2)+(MID(KitchenDoorMaterial,FIND(""("",KitchenDoorMaterial)+1,2)/1000)*((((B86-76)+(C86-38))/1000)*2)+(((B86/1000)*0.032)*2)+((((B86-76)/1000)*0.032)*2)+(((B86/1000)*0.019)*4)+(((C86/1000)*0.032)*2)+((((C86-38)/1000)*0.032)*2)+("&amp;"((C86/1000)*0.038)*4),IF(AND(ISERROR(FIND(""drawer front"",A86))=FALSE,LEFT(KitchenDoorStyle,14)=""In-frame panel""),((((B86-76)/1000)*((C86-38)/1000))*2)+((MID(KitchenDoorMaterial,FIND(""("",KitchenDoorMaterial)+1,2)/1000)*((((B86-76)+(C86-38))/1000)*2))"&amp;"+((((B86-236)/1000)+((C86-198)/1000)*2)*0.013)+(((B86/1000)*0.032)*2)+((((B86-76)/1000)*0.032)*2)+(((B86/1000)*0.019)*4)+(((C86/1000)*0.032)*2)+((((C86-38)/1000)*0.032)*2)+(((C86/1000)*0.038)*4),IF(ISERROR(FIND(""drawer box"",A86))=FALSE,((((B86/1000)*(D8"&amp;"6/1000))+((B86/1000)*(C86/1000)))*4)+((((D86/1000)+(C86/1000))*0.016)*4)+(((C86/1000)*(D86/1000))*2),IF(OR(ISERROR(FIND(""shelf"",A86))=FALSE,ISERROR(FIND(""spacer"",A86))=FALSE,,ISERROR(FIND(""filler panel"",A86))=FALSE),(((C86/1000)*(D86/1000))*2)+((((C"&amp;"86+D86)*2)/1000)*0.022),IF(ISERROR(FIND(""lost corner"",A86))=FALSE,(((B86/1000)*(C86/1000))*2)+((B86/1000)*(C86/1000))+((B86/1000)*((C86/2)/1000))+((((B86/1000)*0.025)+((C86/1000)*0.025))*2),IF(ISERROR(FIND(""carcass"",A86))=FALSE,(((C86/1000)*(D86/1000)"&amp;")*2)+(((B86/1000)*(D86/1000))*2)+((B86/1000)*(C86/1000))+((((B86/1000)*0.025)+((C86/1000)*0.025))*2),IF(AND(ISERROR(FIND(""door"",A86))=FALSE,KitchenDoorStyle=""Flat""),(((B86/1000)*(C86/1000))*2)+(MID(KitchenDoorMaterial,FIND(""("",KitchenDoorMaterial)+1"&amp;",2)/1000)*(((B86+C86)/1000)*2),IF(AND(ISERROR(FIND(""door"",A86))=FALSE,LEFT(KitchenDoorStyle,5)=""Panel""),(((B86/1000)*(C86/1000))*2)+((MID(KitchenDoorMaterial,FIND(""("",KitchenDoorMaterial)+1,2)/1000)*(((B86+C86)/1000)*2))+(((((B86-160)+(C86-160))*2)/"&amp;"1000)*(0.013)),IF(AND(ISERROR(FIND(""door"",A86))=FALSE,KitchenDoorStyle=""In-frame flat""),((((B86-76)/1000)*((C86-38)/1000))*2)+(MID(KitchenDoorMaterial,FIND(""("",KitchenDoorMaterial)+1,2)/1000)*((((B86-76)+(C86-38))/1000)*2)+(((B86/1000)*0.032)*2)+((("&amp;"(B86-76)/1000)*0.032)*2)+(((B86/1000)*0.019)*4)+(((C86/1000)*0.032)*2)+((((C86-38)/1000)*0.032)*2)+(((C86/1000)*0.038)*4),IF(AND(ISERROR(FIND(""door"",A86))=FALSE,LEFT(KitchenDoorStyle,14)=""In-frame panel""),((((B86-76)/1000)*((C86-38)/1000))*2)+((MID(Ki"&amp;"tchenDoorMaterial,FIND(""("",KitchenDoorMaterial)+1,2)/1000)*((((B86-76)+(C86-38))/1000)*2))+((((B86-236)/1000)+((C86-198)/1000)*2)*0.013)+(((B86/1000)*0.032)*2)+((((B86-76)/1000)*0.032)*2)+(((B86/1000)*0.019)*4)+(((C86/1000)*0.032)*2)+((((C86-38)/1000)*0"&amp;".032)*2)+(((C86/1000)*0.038)*4),IF(ISERROR(FIND(""Plinth"",A86))=FALSE,((B86/1000)*(C86/1000))+(((C86/1000)*0.018)*2)+(((B86/1000)*0.018)*2),IF(ISERROR(FIND(""Cornice"",A86))=FALSE,(((C86/1000)*0.1)*2)+(((C86/1000)*0.044)*2)+(((B86/1000)*0.08)*2),IF(ISERR"&amp;"OR(FIND(""Base end panel"",A86))=FALSE,((B86/1000)*(C86/1000))+(0.022*((B86/1000)+((C86/1000)*2)))+((B86/1000)*0.05),IF(ISERROR(FIND(""Wall end panel"",A86))=FALSE,((B86/1000)*(C86/1000))+(0.022*((B86/1000)+((C86/1000)*2)))+((B86/1000)*0.05),IF(ISERROR(FI"&amp;"ND(""Tower end panel"",A86))=FALSE,((B86/1000)*(C86/1000))+(0.022*((B86/1000)+((C86/1000)*2)))+((B86/1000)*0.05),IF(ISERROR(FIND(""Fillers"",A86))=FALSE,((C86/1000)*0.06)+((C86/1000)*0.069)+((0.06*0.018)*2)+((0.06*0.009)*2)+((C86/1000)*0.009)+((C86/1000)*"&amp;"0.018),IF(ISERROR(FIND(""corner post"",A86))=FALSE,(((B86/1000*0.05)*2)+((B86/1000)*0.022)*2)+((B86/1000)*0.072)+((B86/1000)*0.05)+((0.072*0.022)*2)+((0.05*0.022)*2),IF(ISERROR(FIND(""Pelmet"",A86))=FALSE,((C86/1000)*0.05)+((C86/1000)*0.068)+((0.05*0.018)"&amp;"*4)+(((C86/1000)*0.018))*2))))))))))))))))))))))))))))"),0.955)</f>
        <v>0.955</v>
      </c>
      <c r="N86" s="152">
        <f>IF(M86="","",IF(AND(ISERROR(FIND("carcass",A86))=TRUE,ISERROR(FIND("unit",A86))=TRUE,ISERROR(FIND("insert",A86))=TRUE,ISERROR(FIND("rack",A86))=TRUE,ISERROR(FIND("box",A86))=TRUE,ISERROR(FIND("shelf",#REF!))=TRUE),VLOOKUP(KitchenDoorFinish,Finishing!$A$2:$K$10,9,0)*M86,VLOOKUP(KitchenCarcassFinish,Finishing!$A$2:$K$40,9,0)*M86))</f>
        <v>3.58125</v>
      </c>
      <c r="O86" s="155">
        <v>1.0</v>
      </c>
      <c r="P86" s="155">
        <v>1.0</v>
      </c>
      <c r="Q86" s="152">
        <f>IF(OR(O86="",P86=""),"",((O86*X86)*(VLOOKUP("Workshop",Labour!$A$3:$E$20,4,0)/8))+((P86*AE86)*(VLOOKUP("Finishing",Labour!$A$3:$E$20,4,0)/8)))</f>
        <v>71.75</v>
      </c>
      <c r="R86" s="152">
        <f t="shared" si="4"/>
        <v>151.3434517</v>
      </c>
      <c r="S86" s="156">
        <f>IF(OR(O86="",P86=""),"",IF(OR(ISERROR(FIND("carcass",$A86))=FALSE,ISERROR(FIND("unit",$A86))=FALSE),VLOOKUP(KitchenCarcassMaterial,FixedListsCarcassMaterial,2,0),0))</f>
        <v>1</v>
      </c>
      <c r="T86" s="156">
        <f>IF(OR(O86="",P86=""),"",IF(ISERROR(FIND("door",$A86))=FALSE,VLOOKUP(KitchenDoorStyle,FixedListsDoorStyle,2,0),0))</f>
        <v>0</v>
      </c>
      <c r="U86" s="156">
        <f>IF(OR(O86="",P86=""),"",IF(ISERROR(FIND("door",$A86))=FALSE,VLOOKUP(KitchenDoorMaterial,FixedListsDoorMaterial,2,0),0))</f>
        <v>0</v>
      </c>
      <c r="V86" s="156">
        <f>IF(OR(O86="",P86=""),"",IF(ISERROR(FIND("drawer",$A86))=FALSE,VLOOKUP(KitchenDrawerType,FixedListsDrawerType,2,0),0))</f>
        <v>0</v>
      </c>
      <c r="W86" s="156">
        <f>IF(OR(O86="",P86=""),"",IF(OR(S86&gt;0, T86&gt;0,V86&gt;0),VLOOKUP(KitchenHandleType,FixedListsHandleType,2,FALSE)*IF(KitchenHandleType="Simple",0,IF(S86&gt;0,VLOOKUP(KitchenHandleType,FixedListsHandleType,4,FALSE),IF(OR(T86&gt;0,V86&gt;0),1-VLOOKUP(KitchenHandleType,FixedListsHandleType,4,FALSE),"Error"))),0))</f>
        <v>0</v>
      </c>
      <c r="X86" s="156">
        <f t="shared" si="5"/>
        <v>1</v>
      </c>
      <c r="Y86" s="156">
        <f>IF(OR(O86="",P86=""),"",IF(OR(ISERROR(FIND("carcass",$A86))=FALSE,ISERROR(FIND("unit",$A86))=FALSE),VLOOKUP(KitchenCarcassMaterial,FixedListsCarcassMaterial,3,0),0))</f>
        <v>1</v>
      </c>
      <c r="Z86" s="156">
        <f>IF(OR(O86="",P86=""),"",IF(ISERROR(FIND("door",$A86))=FALSE,VLOOKUP(KitchenDoorStyle,FixedListsDoorStyle,3,0),0))</f>
        <v>0</v>
      </c>
      <c r="AA86" s="156">
        <f>IF(OR(O86="",P86=""),"",IF(ISERROR(FIND("door",$A86))=FALSE,VLOOKUP(KitchenDoorMaterial,FixedListsDoorMaterial,3,0),0))</f>
        <v>0</v>
      </c>
      <c r="AB86" s="156">
        <f>IF(OR(O86="",P86=""),"",IF(ISERROR(FIND("drawer",$A86))=FALSE,VLOOKUP(KitchenDrawerType,FixedListsDrawerType,3,0),0))</f>
        <v>0</v>
      </c>
      <c r="AC86" s="156">
        <f>IF(OR(O86="",P86=""),"",IF(OR(Y86&gt;0,Z86&gt;0,AB86&gt;0),VLOOKUP(KitchenHandleType,FixedListsHandleType,3,FALSE),0))</f>
        <v>1</v>
      </c>
      <c r="AD86" s="156">
        <f>IF(OR(O86="",P86=""),"",IF(OR(ISERROR(FIND("carcass",$A86))=FALSE,ISERROR(FIND("unit",$A86))=FALSE),VLOOKUP(KitchenCarcassFinish,FixedListsFinishes,3,0),IF(OR(ISERROR(FIND("door",$A86))=FALSE,ISERROR(FIND("Plinth",$A86))=FALSE,ISERROR(FIND("Cornice",$A86))=FALSE,ISERROR(FIND("Fillers",$A86))=FALSE,ISERROR(FIND("Pelmet",$A86))=FALSE,ISERROR(FIND("panel",$A86))=FALSE,ISERROR(FIND("post",$A86))=FALSE),VLOOKUP(KitchenDoorFinish,FixedListsFinishes,3,0),IF(OR(ISERROR(FIND("drawer",$A86))=FALSE,ISERROR(FIND("insert",$A86))=FALSE,ISERROR(FIND("rck",$A86))=FALSE),VLOOKUP(KitchenCarcassFinish,FixedListsFinishes,3,0),0))))</f>
        <v>1</v>
      </c>
      <c r="AE86" s="156">
        <f t="shared" si="6"/>
        <v>1</v>
      </c>
      <c r="AF86" s="157" t="str">
        <f>IF(AND(KitchenHandleType="Channel",OR(ISERROR(FIND("arcass",$A86))=FALSE,ISERROR(FIND("unit",$A86))=FALSE)),IF(ISERROR(FIND("Tower",$A86))=TRUE,IF(KitchenHandleFinish="Match carcass",IF(ISERROR(FIND("Walnut",KitchenCarcassMaterial))=FALSE,(0.035*0.075*($C86/1000))*VLOOKUP("Walnut (solid m3)",SolidData,4,FALSE),IF(ISERROR(FIND("Oak",KitchenCarcassMaterial))=FALSE,(0.035*0.075*($C86/1000))*VLOOKUP("Oak (solid m3)",SolidData,4,FALSE),IF(ISERROR(FIND("ply",KitchenCarcassMaterial))=FALSE,(0.1*($C86/1000))*VLOOKUP("Birch ply (24mm)",SheetsData,7,FALSE),IF(ISERROR(FIND("H/F",KitchenCarcassMaterial))=FALSE,(0.1*($C86/1000))*VLOOKUP("H/F (22mm)",SheetsData,7,FALSE),"Carcass - not tower - new material")))),IF(KitchenHandleFinish="Match door",IF(ISERROR(FIND("Walnut",KitchenDoorMaterial))=FALSE,(0.035*0.075*($C86/1000))*VLOOKUP("Walnut (solid m3)",SolidData,4,FALSE),IF(ISERROR(FIND("Oak",KitchenDoorMaterial))=FALSE,(0.035*0.075*($C86/1000))*VLOOKUP("Oak (solid m3)",SolidData,4,FALSE),IF(ISERROR(FIND("ply",KitchenDoorMaterial))=FALSE,(0.1*($C86/1000))*VLOOKUP("Birch ply (24mm)",SheetsData,7,FALSE),IF(ISERROR(FIND("H/F",KitchenCarcassMaterial))=FALSE,(0.1*($C86/1000))*VLOOKUP("H/F (22mm)",SheetsData,7,FALSE),"Door - not tower - new material")))),"Channel - not tower - handle set to other")),IF(ISERROR(FIND("Tower",$A86))=FALSE,IF(KitchenHandleFinish="Match carcass",IF(ISERROR(FIND("Walnut",KitchenCarcassMaterial))=FALSE,(0.035*0.075*($B86/1000))*VLOOKUP("Walnut (solid m3)",SolidData,4,FALSE),IF(ISERROR(FIND("Oak",KitchenCarcassMaterial))=FALSE,(0.035*0.075*($B86/1000))*VLOOKUP("Oak (solid m3)",SolidData,4,FALSE),IF(ISERROR(FIND("ply",KitchenCarcassMaterial))=FALSE,(0.1*($B86/1000))*VLOOKUP("Birch ply (24mm)",SheetsData,7,FALSE),IF(ISERROR(FIND("H/F",KitchenCarcassMaterial))=FALSE,(0.1*($C86/1000))*VLOOKUP("H/F (22mm)",SheetsData,7,FALSE),"Carcass - tower - new material")))),IF(KitchenHandleFinish="Match door",IF(ISERROR(FIND("Walnut",KitchenDoorMaterial))=FALSE,(0.035*0.075*($B86/1000))*VLOOKUP("Walnut (solid m3)",SolidData,4,FALSE),IF(ISERROR(FIND("Oak",KitchenDoorMaterial))=FALSE,(0.035*0.075*($B86/1000))*VLOOKUP("Oak (solid m3)",SolidData,4,FALSE),IF(ISERROR(FIND("ply",KitchenDoorMaterial))=FALSE,(0.1*($B86/1000))*VLOOKUP("Birch ply (24mm)",SheetData,7,FALSE),IF(ISERROR(FIND("H/F",KitchenCarcassMaterial))=FALSE,(0.1*($C86/1000))*VLOOKUP("H/F (22mm)",SheetsData,7,FALSE),"Door - tower - new material")))),"Channel - tower - handle set to other")))),"")</f>
        <v/>
      </c>
    </row>
    <row r="87">
      <c r="A87" s="150" t="s">
        <v>195</v>
      </c>
      <c r="B87" s="115">
        <f t="shared" si="1"/>
        <v>800</v>
      </c>
      <c r="C87" s="115" t="str">
        <f>IFERROR(__xludf.DUMMYFUNCTION("IF(A87="""","""",IF(OR(RIGHT(A87,LEN(A87)-len(regexextract(A87,"".* "")))=""1200"",RIGHT(A87,LEN(A87)-len(regexextract(A87,"".* "")))=""600"",RIGHT(A87,LEN(A87)-len(regexextract(A87,"".* "")))=""400"",RIGHT(A87,LEN(A87)-len(regexextract(A87,"".* "")))=""3"&amp;"00"",RIGHT(A87,LEN(A87)-len(regexextract(A87,"".* "")))=""700"",RIGHT(A87,LEN(A87)-len(regexextract(A87,"".* "")))=""2400"",RIGHT(A87,LEN(A87)-len(regexextract(A87,"".* "")))=""650"",RIGHT(A87,LEN(A87)-len(regexextract(A87,"".* "")))=""350"",RIGHT(A87,LEN"&amp;"(A87)-len(regexextract(A87,"".* "")))=""50""),RIGHT(A87,LEN(A87)-len(regexextract(A87,"".* ""))),IF(OR(ISERROR(FIND(""spacer"",A87))=FALSE,ISERROR(FIND(""filler panel"",A87))=FALSE),""1000"",""Unexpected size in description"")))"),"600")</f>
        <v>600</v>
      </c>
      <c r="D87" s="151">
        <f t="shared" si="2"/>
        <v>600</v>
      </c>
      <c r="E87" s="152">
        <f>IFERROR(__xludf.DUMMYFUNCTION("IF(OR(A87="""",AND(ISERROR(FIND(""drawer box"",A87))=FALSE,KitchenDrawerType="""")),"""",IF(OR(ISERROR(FIND(""larder"",A87))=FALSE,ISERROR(FIND(""fridge/freezer"",A87))=FALSE,ISERROR(FIND(""double oven"",A87))=FALSE,ISERROR(FIND(""single oven"",A87))=FALS"&amp;"E),VLOOKUP(LEFT(A87,FIND("" "",A87))&amp;""carcass ""&amp;RIGHT(A87,LEN(A87)-(LEN(A87)-3)),KitchensData,5,0),IF(ISERROR(FIND(""sink"",A87))=FALSE,VLOOKUP(LEFT(A87,FIND("" "",A87))&amp;""carcass ""&amp;VALUE(REGEXREPLACE(A87,""[^[:digit:]]"", """")),KitchensData,5,0)+(((C"&amp;"87/1000)*(300/1000))*VLOOKUP(KitchenCarcassMaterial,SheetsData,8,0)),IF(ISERROR(FIND(""bins"",A87))=FALSE,IF(ISERROR(FIND(""veneer"",KitchenCarcassMaterial))=FALSE,VLOOKUP(""Base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600"",A87))=FALSE,IF(ISERROR(FIND(""veneer"""&amp;",KitchenCarcassMaterial))=FALSE,0.54*(VLOOKUP(LEFT(KitchenCarcassMaterial,FIND(""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1200"",A87))=FALSE,"&amp;"IF(ISERROR(FIND(""veneer"",KitchenCarcassMaterial))=FALSE,0.84*(VLOOKUP(LEFT(KitchenCarcassMaterial,FIND(""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600"",A87))=FALSE,IF(ISERROR(FIND(""veneer"",KitchenCarcassMaterial))=FALSE,1.44*(VLOOKUP(LEFT(KitchenCarcassMaterial,FIND(""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1200"",A87))=FALSE,IF(ISERROR(FIND(""veneer"",KitchenCarcassMaterial))=FALSE,2.7*(VLOOKUP(LEFT(KitchenCarcassMaterial,FIND(""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front"",A87))=FALSE,((B87/1000)*(C87/1000))*VLOOKUP(KitchenDoorMaterial,SheetsData,8,0),IF(AND(KitchenDrawerType=""Match carcass"",ISERROR(FIND(""drawer box"",A87))=FALSE),(((((B87/1000)*(C87/1000))+((B87/1000"&amp;")*(D87/1000)))*2)*VLOOKUP(KitchenCarcassMaterial,SheetsData,8,0))+(((C87/1000)*(D87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box"",A87))=FALSE),(((((B87/1000)*(C87/1000))+((B87/1000)*(D87/1000)))*2)*(16/1000)*VLOOKUP(LEFT(KitchenCarcassMaterial,FIND("" "&amp;""",KitchenCarcassMaterial))&amp;""(solid m3)"",SolidData,5,0))+(((C87/1000)*(D87/1000))*VLOOKUP(LEFT(KitchenCarcassMaterial,FIND(""("",KitchenCarcassMaterial)-1)&amp;IF(OR(ISERROR(FIND(""ply"",KitchenCarcassMaterial))=FALSE,ISERROR(FIND(""H/F"",KitchenCarcassMate"&amp;"rial))=FALSE),""(9mm)"",""(10mm)""),SheetsData,8,0)),IF(ISERROR(FIND(""spacer"",A87))=FALSE,((D87/1000)*(C87/1000))*VLOOKUP(""Poplar ply (18mm)"",SheetsData,8,0),IF(ISERROR(FIND(""filler panel"",A87))=FALSE,((B87/1000)*(C87/1000))*VLOOKUP(KitchenDoorMater"&amp;"ial,SheetsData,8,0),IF(ISERROR(FIND(""shelf"",A87))=FALSE,((D87/1000)*(C87/1000))*VLOOKUP(KitchenCarcassMaterial,SheetsData,8,0),IF(ISERROR(FIND(""lost corner"",A87))=FALSE,VLOOKUP(LEFT(A87,FIND("" "",A87))&amp;""carcass ""&amp;VALUE(REGEXREPLACE(A87,""[^[:digit:"&amp;"]]"", """")),KitchensData,5,0)+((((B87/1000)*(C87/1000))+((B87/1000)*(60/1000)))*VLOOKUP(KitchenCarcassMaterial,SheetsData,8,0)),IF(ISERROR(FIND(""carcass"",A87))=FALSE,(((((B87/1000)*2)*(D87/1000))+(((C87/1000)*2)*(D87/1000)))*VLOOKUP(KitchenCarcassMater"&amp;"ial,SheetsData,8,0))+((B87/1000)*(C87/1000))*VLOOKUP(LEFT(KitchenCarcassMaterial,FIND(""("",KitchenCarcassMaterial)-1)&amp;IF(OR(ISERROR(FIND(""ply"",KitchenCarcassMaterial))=FALSE,ISERROR(FIND(""H/F"",KitchenCarcassMaterial))=FALSE),""(9mm)"",""(10mm)""),She"&amp;"etsData,8,0),IF(OR(ISERROR(FIND(""Plinth"",A87))=FALSE,ISERROR(FIND(""Cornice (flat)"",A87))=FALSE),((B87/1000)*(C87/1000))*VLOOKUP(""H/F (18mm)"",SheetsData,8,0),IF(ISERROR(FIND(""Cornice (stacked)"",A87))=FALSE,((0.08*(C87/1000))*2)*VLOOKUP(""H/F (22mm)"&amp;""",SheetsData,8,0),IF(ISERROR(FIND(""Base end panel"",A87))=FALSE,VLOOKUP(KitchenDoorMaterial,SheetsData,5,0)/3,IF(ISERROR(FIND(""Wall end panel"",A87))=FALSE,VLOOKUP(KitchenDoorMaterial,SheetsData,5,0)/9,IF(ISERROR(FIND(""Tower end panel"",A87))=FALSE,VL"&amp;"OOKUP(KitchenDoorMaterial,SheetsData,5,0),IF(ISERROR(FIND(""Fillers"",A87))=FALSE,(((0.06*(C87/1000))*2)*VLOOKUP(""H/F (18mm)"",SheetsData,8,0))+(((0.06*(C87/1000))*2)*VLOOKUP(""H/F (9mm)"",SheetsData,8,0)),IF(ISERROR(FIND(""corner post"",A87))=FALSE,(((B"&amp;"87/1000)*0.05)*2)*VLOOKUP(KitchenDoorMaterial,SheetsData,8,0),IF(ISERROR(FIND(""Pelmet"",A87))=FALSE,((((B87/1000)*(C87/1000))*2)*VLOOKUP(""H/F (18mm)"",SheetsData,8,0)),IF(ISERROR(FIND(""door"",A87))=TRUE,""Check description"",IF(KitchenDoorStyle=""Flat"&amp;""",((B87/1000)*(C87/1000))*VLOOKUP(KitchenDoorMaterial,SheetsData,8,0),IF(LEFT(KitchenDoorStyle,5)=""Panel"",(((((B87/1000)*2)*0.08)+((((C87/1000)-0.16)*2)*0.08))*VLOOKUP(""H/F (22mm)"",SheetsData,8,0))+(((B87/1000)-0.14)*((C87/1000)-0.14)*VLOOKUP(""H/F ("&amp;"9mm)"",SheetsData,8,0)),IF(KitchenDoorStyle=""In-frame flat"",((((((B87/1000)*0.019)*0.038)+((((C87-38)/1000)*0.038)*0.038))*2)*VLOOKUP(""Tulip (solid m3)"",SolidData,5,0))+(((B87-76)/1000)*((C87-38)/1000))*VLOOKUP(""H/F (22mm)"",SheetsData,8,0),IF(LEFT(K"&amp;"itchenDoorStyle,14)=""In-frame panel"",(((((((B87/1000)*0.019)*0.038)+((((C87-38)/1000)*0.038)*0.038))*2)*VLOOKUP(""Tulip (solid m3)"",SolidData,5,0))+(((((((B87-76)/1000)*2)*0.08)+(((((C87-198)/1000)*2)*0.08)))*VLOOKUP(""H/F (22mm)"",SheetsData,8,0))+((("&amp;"B87-216)/1000)*((C87-178)/1000)*VLOOKUP(""H/F (9mm)"",SheetsData,8,0)))))))))))))))))))))))))))))))))"),66.15560333243752)</f>
        <v>66.15560333</v>
      </c>
      <c r="F87" s="152">
        <f>IFERROR(__xludf.DUMMYFUNCTION("IF(OR(A87="""",AND(ISERROR(FIND(""drawer box"",A87))=FALSE,KitchenDrawerType=""Solid dovetail"")),"""",IF(ISERROR(FIND(""bins"",A87))=FALSE,VLOOKUP(""Base carcass 600"",KitchensData,6,0),IF(OR(ISERROR(FIND(""larder"",A87))=FALSE,ISERROR(FIND(""unit"",A87)"&amp;")=FALSE),VLOOKUP(LEFT(A87,FIND("" "",A87))&amp;""carcass ""&amp;RIGHT(A87,LEN(A87)-len(regexextract(A87,"".* ""))),KitchensData,6,0),IF(ISERROR(FIND(""drawer front"",A87))=FALSE,IF(ISERROR(FIND(""veneer"",KitchenCarcassMaterial))=TRUE,0,(((B87+C87)/1000)*2)*VLOOK"&amp;"UP(""Edge banding (per M)"",SheetsData,5,0)),IF(ISERROR(FIND(""drawer box"",A87))=FALSE,IF(ISERROR(FIND(""veneer"",KitchenCarcassMaterial))=TRUE,0,(((C87+D87)/1000)*2)*VLOOKUP(""Edge banding (per M)"",SheetsData,5,0)),IF(ISERROR(FIND(""shelf"",A87))=FALSE"&amp;",IF(ISERROR(FIND(""veneer"",KitchenCarcassMaterial))=TRUE,0,(C87/1000)*VLOOKUP(""Edge banding (per M)"",SheetsData,5,0)),IF(AND(ISERROR(FIND(""carcass"",A87))=FALSE,ISERROR(FIND(""shelf"",A87))=TRUE),IF(ISERROR(FIND(""veneer"",KitchenCarcassMaterial))=TRU"&amp;"E,0,((2*(B87+C87))/1000)*VLOOKUP(""Edge banding (per M)"",SheetsData,5,0)),IF(ISERROR(FIND(""door"",A87))=TRUE,"""",IF(ISERROR(FIND(""veneer"",KitchenDoorMaterial))=TRUE,"""",((2*(B87+C87))/1000)*VLOOKUP(""Edge banding (per M)"",SheetsData,5,0))))))))))"),0.0)</f>
        <v>0</v>
      </c>
      <c r="G87" s="153">
        <f>IF(A87="","",IF(ISERROR(FIND("bins",A87))=FALSE,VLOOKUP("Base carcass 600",KitchensData,7,0),IF(OR(ISERROR(FIND("larder",A87))=FALSE,ISERROR(FIND("fridge/freezer",A87))=FALSE,ISERROR(FIND("double oven",A87))=FALSE,ISERROR(FIND("single oven",A87))=FALSE),VLOOKUP(LEFT(A87,FIND(" ",A87))&amp;"carcass "&amp;RIGHT(A87,LEN(A87)-(LEN(A87)-3)),KitchensData,7,0),IF(AND(ISERROR(FIND("carcass",A87))=FALSE,ISERROR(FIND("shelf",A87))=TRUE),IF(OR(ISERROR(FIND("Base",A87))=FALSE,ISERROR(FIND("Tower",A87))=FALSE),IF(OR(ISERROR(FIND("1200",A87))=FALSE, ISERROR(FIND("lost corner",A87))=FALSE),6*VLOOKUP("Plinth foot (2 Parts 80mm)",FurnitureData,5,0),4*VLOOKUP("Plinth foot (2 Parts 80mm)",FurnitureData,5,0)),""),""))))</f>
        <v>3.8</v>
      </c>
      <c r="H87" s="115" t="str">
        <f>IF(OR(A87="",ISERROR(FIND("door",A87))=TRUE),"",IF(ISERROR(FIND("Wall",A87))=FALSE,VLOOKUP("Hinges &amp; plates (Hettich thick door)",FurnitureData,5,0)*2,IF(ISERROR(FIND("Base",A87))=FALSE,VLOOKUP("Hinges &amp; plates (Hettich thick door)",FurnitureData,5,0)*3,IF(ISERROR(FIND("Boiler",A87))=FALSE,VLOOKUP("Hinges &amp; plates (Hettich thick door)",FurnitureData,5,0)*4,IF(ISERROR(FIND("Tower",A87))=FALSE,VLOOKUP("Hinges &amp; plates (Hettich thick door)",FurnitureData,5,0)*5)))))</f>
        <v/>
      </c>
      <c r="I87" s="115" t="str">
        <f>IF(ISERROR(FIND("shelf",A87))=FALSE,(VLOOKUP("Shelf pegs",FurnitureData,5,0)/100)*4,"")</f>
        <v/>
      </c>
      <c r="J87" s="152">
        <f>IF(OR(ISERROR(FIND("fridge/freezer",A87))=FALSE,ISERROR(FIND("larder",A87))=FALSE,AND(ISERROR(FIND("Base",A87))=FALSE,ISERROR(FIND("bins",A87))=TRUE,ISERROR(FIND("no shelves",A87))=TRUE,OR(ISERROR(FIND("carcass",A87))=FALSE,ISERROR(FIND("unit",A87))=FALSE))),VLOOKUP("Deep shelf "&amp;C87,KitchensData,18,0),IF(AND(ISERROR(FIND("Wall",A87))=FALSE,ISERROR(FIND("carcass",A87))=FALSE),2*VLOOKUP("Shallow shelf "&amp;C87,KitchensData,18,0),IF(AND(ISERROR(FIND("Tower",A87))=FALSE,ISERROR(FIND("oven",A87))=FALSE),4*VLOOKUP("Deep shelf "&amp;C87,KitchensData,18,0),IF(AND(ISERROR(FIND("Tower",A87))=FALSE,ISERROR(FIND("carcass",A87))=FALSE),5*VLOOKUP("Deep shelf "&amp;C87,KitchensData,18,0),""))))</f>
        <v>53.89994125</v>
      </c>
      <c r="K87" s="152" t="str">
        <f>IF(ISERROR(FIND("sink",A87))=FALSE,VLOOKUP("Sink liner - Aluminium "&amp;RIGHT(A87,LEN(A87)-22)&amp;"mm",ExceptionalData,5,0),IF(ISERROR(FIND("bins",A87))=FALSE,VLOOKUP("Drawer runners and clip set for bin unit (500) Dynapro",FurnitureData,5,0)+(2*VLOOKUP("Bin (42L Anthracite)",FurnitureData,5,0)),IF(ISERROR(FIND("larder",A87))=FALSE,VLOOKUP("Pull out larder unit 600mm",FurnitureData,5,0),IF(AND(ISERROR(FIND("drawer box",A87))=FALSE,ISERROR(FIND("internal",A87))=TRUE),VLOOKUP("Drawer runners and clip set (550) Dynapro",FurnitureData,5,0),IF(ISERROR(FIND("internal drawer box",A87))=FALSE,VLOOKUP("Drawer runners and clip set (450) Dynapro",FurnitureData,5,0),"")))))</f>
        <v/>
      </c>
      <c r="L87" s="152">
        <f t="shared" si="3"/>
        <v>123.8555446</v>
      </c>
      <c r="M87" s="154">
        <f>IFERROR(__xludf.DUMMYFUNCTION("IF(A87="""","""",IF(OR(ISERROR(FIND(""larder"",A87))=FALSE,ISERROR(FIND(""unit"",A87))=FALSE),VLOOKUP(LEFT(A87,FIND("" "",A87))&amp;""carcass ""&amp;RIGHT(A87,LEN(A87)-len(regexextract(A87,"".* ""))),KitchensData,13,0),IF(ISERROR(FIND(""bins"",A87))=FALSE,0.95,IF"&amp;"(ISERROR(FIND(""Cutlery insert 600"",A87))=FALSE,1.3,IF(ISERROR(FIND(""Cutlery insert 1200"",A87))=FALSE,2,IF(ISERROR(FIND(""Pan/tray rack 600"",A87))=FALSE,3.25,IF(ISERROR(FIND(""Pan/tray rack 1200"",A87))=FALSE,5.9,IF(ISERROR(FIND(""split"",A87))=FALSE,"&amp;"(((C87/1000)*0.022)*2)+VLOOKUP(SUBSTITUTE(A87,"" split"",""""),KitchensData,13,0),IF(AND(ISERROR(FIND(""drawer front"",A87))=FALSE,KitchenDoorStyle=""Flat""),(((B87/1000)*(C87/1000))*2)+((((B87+C87)/1000)*2)*0.022),IF(AND(ISERROR(FIND(""drawer front"",A87"&amp;"))=FALSE,LEFT(KitchenDoorStyle,5)=""Panel""),(((B87/1000)*(C87/1000))*2)+((((B87+C87)/1000)*2)*0.022)+((((C87/1000)-0.16)*0.013)*2)+((((D87/1000)-0.16)*0.013)*2),IF(AND(ISERROR(FIND(""drawer front"",A87))=FALSE,KitchenDoorStyle=""In-frame flat""),((((B87-"&amp;"76)/1000)*((C87-38)/1000))*2)+(MID(KitchenDoorMaterial,FIND(""("",KitchenDoorMaterial)+1,2)/1000)*((((B87-76)+(C87-38))/1000)*2)+(((B87/1000)*0.032)*2)+((((B87-76)/1000)*0.032)*2)+(((B87/1000)*0.019)*4)+(((C87/1000)*0.032)*2)+((((C87-38)/1000)*0.032)*2)+("&amp;"((C87/1000)*0.038)*4),IF(AND(ISERROR(FIND(""drawer front"",A87))=FALSE,LEFT(KitchenDoorStyle,14)=""In-frame panel""),((((B87-76)/1000)*((C87-38)/1000))*2)+((MID(KitchenDoorMaterial,FIND(""("",KitchenDoorMaterial)+1,2)/1000)*((((B87-76)+(C87-38))/1000)*2))"&amp;"+((((B87-236)/1000)+((C87-198)/1000)*2)*0.013)+(((B87/1000)*0.032)*2)+((((B87-76)/1000)*0.032)*2)+(((B87/1000)*0.019)*4)+(((C87/1000)*0.032)*2)+((((C87-38)/1000)*0.032)*2)+(((C87/1000)*0.038)*4),IF(ISERROR(FIND(""drawer box"",A87))=FALSE,((((B87/1000)*(D8"&amp;"7/1000))+((B87/1000)*(C87/1000)))*4)+((((D87/1000)+(C87/1000))*0.016)*4)+(((C87/1000)*(D87/1000))*2),IF(OR(ISERROR(FIND(""shelf"",A87))=FALSE,ISERROR(FIND(""spacer"",A87))=FALSE,,ISERROR(FIND(""filler panel"",A87))=FALSE),(((C87/1000)*(D87/1000))*2)+((((C"&amp;"87+D87)*2)/1000)*0.022),IF(ISERROR(FIND(""lost corner"",A87))=FALSE,(((B87/1000)*(C87/1000))*2)+((B87/1000)*(C87/1000))+((B87/1000)*((C87/2)/1000))+((((B87/1000)*0.025)+((C87/1000)*0.025))*2),IF(ISERROR(FIND(""carcass"",A87))=FALSE,(((C87/1000)*(D87/1000)"&amp;")*2)+(((B87/1000)*(D87/1000))*2)+((B87/1000)*(C87/1000))+((((B87/1000)*0.025)+((C87/1000)*0.025))*2),IF(AND(ISERROR(FIND(""door"",A87))=FALSE,KitchenDoorStyle=""Flat""),(((B87/1000)*(C87/1000))*2)+(MID(KitchenDoorMaterial,FIND(""("",KitchenDoorMaterial)+1"&amp;",2)/1000)*(((B87+C87)/1000)*2),IF(AND(ISERROR(FIND(""door"",A87))=FALSE,LEFT(KitchenDoorStyle,5)=""Panel""),(((B87/1000)*(C87/1000))*2)+((MID(KitchenDoorMaterial,FIND(""("",KitchenDoorMaterial)+1,2)/1000)*(((B87+C87)/1000)*2))+(((((B87-160)+(C87-160))*2)/"&amp;"1000)*(0.013)),IF(AND(ISERROR(FIND(""door"",A87))=FALSE,KitchenDoorStyle=""In-frame flat""),((((B87-76)/1000)*((C87-38)/1000))*2)+(MID(KitchenDoorMaterial,FIND(""("",KitchenDoorMaterial)+1,2)/1000)*((((B87-76)+(C87-38))/1000)*2)+(((B87/1000)*0.032)*2)+((("&amp;"(B87-76)/1000)*0.032)*2)+(((B87/1000)*0.019)*4)+(((C87/1000)*0.032)*2)+((((C87-38)/1000)*0.032)*2)+(((C87/1000)*0.038)*4),IF(AND(ISERROR(FIND(""door"",A87))=FALSE,LEFT(KitchenDoorStyle,14)=""In-frame panel""),((((B87-76)/1000)*((C87-38)/1000))*2)+((MID(Ki"&amp;"tchenDoorMaterial,FIND(""("",KitchenDoorMaterial)+1,2)/1000)*((((B87-76)+(C87-38))/1000)*2))+((((B87-236)/1000)+((C87-198)/1000)*2)*0.013)+(((B87/1000)*0.032)*2)+((((B87-76)/1000)*0.032)*2)+(((B87/1000)*0.019)*4)+(((C87/1000)*0.032)*2)+((((C87-38)/1000)*0"&amp;".032)*2)+(((C87/1000)*0.038)*4),IF(ISERROR(FIND(""Plinth"",A87))=FALSE,((B87/1000)*(C87/1000))+(((C87/1000)*0.018)*2)+(((B87/1000)*0.018)*2),IF(ISERROR(FIND(""Cornice"",A87))=FALSE,(((C87/1000)*0.1)*2)+(((C87/1000)*0.044)*2)+(((B87/1000)*0.08)*2),IF(ISERR"&amp;"OR(FIND(""Base end panel"",A87))=FALSE,((B87/1000)*(C87/1000))+(0.022*((B87/1000)+((C87/1000)*2)))+((B87/1000)*0.05),IF(ISERROR(FIND(""Wall end panel"",A87))=FALSE,((B87/1000)*(C87/1000))+(0.022*((B87/1000)+((C87/1000)*2)))+((B87/1000)*0.05),IF(ISERROR(FI"&amp;"ND(""Tower end panel"",A87))=FALSE,((B87/1000)*(C87/1000))+(0.022*((B87/1000)+((C87/1000)*2)))+((B87/1000)*0.05),IF(ISERROR(FIND(""Fillers"",A87))=FALSE,((C87/1000)*0.06)+((C87/1000)*0.069)+((0.06*0.018)*2)+((0.06*0.009)*2)+((C87/1000)*0.009)+((C87/1000)*"&amp;"0.018),IF(ISERROR(FIND(""corner post"",A87))=FALSE,(((B87/1000*0.05)*2)+((B87/1000)*0.022)*2)+((B87/1000)*0.072)+((B87/1000)*0.05)+((0.072*0.022)*2)+((0.05*0.022)*2),IF(ISERROR(FIND(""Pelmet"",A87))=FALSE,((C87/1000)*0.05)+((C87/1000)*0.068)+((0.05*0.018)"&amp;"*4)+(((C87/1000)*0.018))*2))))))))))))))))))))))))))))"),2.23)</f>
        <v>2.23</v>
      </c>
      <c r="N87" s="152">
        <f>IF(M87="","",IF(AND(ISERROR(FIND("carcass",A87))=TRUE,ISERROR(FIND("unit",A87))=TRUE,ISERROR(FIND("insert",A87))=TRUE,ISERROR(FIND("rack",A87))=TRUE,ISERROR(FIND("box",A87))=TRUE,ISERROR(FIND("shelf",#REF!))=TRUE),VLOOKUP(KitchenDoorFinish,Finishing!$A$2:$K$10,9,0)*M87,VLOOKUP(KitchenCarcassFinish,Finishing!$A$2:$K$40,9,0)*M87))</f>
        <v>8.3625</v>
      </c>
      <c r="O87" s="155">
        <v>0.5</v>
      </c>
      <c r="P87" s="155">
        <v>0.5</v>
      </c>
      <c r="Q87" s="152">
        <f>IF(OR(O87="",P87=""),"",((O87*X87)*(VLOOKUP("Workshop",Labour!$A$3:$E$20,4,0)/8))+((P87*AE87)*(VLOOKUP("Finishing",Labour!$A$3:$E$20,4,0)/8)))</f>
        <v>35.875</v>
      </c>
      <c r="R87" s="152">
        <f t="shared" si="4"/>
        <v>168.0930446</v>
      </c>
      <c r="S87" s="156">
        <f>IF(OR(O87="",P87=""),"",IF(OR(ISERROR(FIND("carcass",$A87))=FALSE,ISERROR(FIND("unit",$A87))=FALSE),VLOOKUP(KitchenCarcassMaterial,FixedListsCarcassMaterial,2,0),0))</f>
        <v>1</v>
      </c>
      <c r="T87" s="156">
        <f>IF(OR(O87="",P87=""),"",IF(ISERROR(FIND("door",$A87))=FALSE,VLOOKUP(KitchenDoorStyle,FixedListsDoorStyle,2,0),0))</f>
        <v>0</v>
      </c>
      <c r="U87" s="156">
        <f>IF(OR(O87="",P87=""),"",IF(ISERROR(FIND("door",$A87))=FALSE,VLOOKUP(KitchenDoorMaterial,FixedListsDoorMaterial,2,0),0))</f>
        <v>0</v>
      </c>
      <c r="V87" s="156">
        <f>IF(OR(O87="",P87=""),"",IF(ISERROR(FIND("drawer",$A87))=FALSE,VLOOKUP(KitchenDrawerType,FixedListsDrawerType,2,0),0))</f>
        <v>0</v>
      </c>
      <c r="W87" s="156">
        <f>IF(OR(O87="",P87=""),"",IF(OR(S87&gt;0, T87&gt;0,V87&gt;0),VLOOKUP(KitchenHandleType,FixedListsHandleType,2,FALSE)*IF(KitchenHandleType="Simple",0,IF(S87&gt;0,VLOOKUP(KitchenHandleType,FixedListsHandleType,4,FALSE),IF(OR(T87&gt;0,V87&gt;0),1-VLOOKUP(KitchenHandleType,FixedListsHandleType,4,FALSE),"Error"))),0))</f>
        <v>0</v>
      </c>
      <c r="X87" s="156">
        <f t="shared" si="5"/>
        <v>1</v>
      </c>
      <c r="Y87" s="156">
        <f>IF(OR(O87="",P87=""),"",IF(OR(ISERROR(FIND("carcass",$A87))=FALSE,ISERROR(FIND("unit",$A87))=FALSE),VLOOKUP(KitchenCarcassMaterial,FixedListsCarcassMaterial,3,0),0))</f>
        <v>1</v>
      </c>
      <c r="Z87" s="156">
        <f>IF(OR(O87="",P87=""),"",IF(ISERROR(FIND("door",$A87))=FALSE,VLOOKUP(KitchenDoorStyle,FixedListsDoorStyle,3,0),0))</f>
        <v>0</v>
      </c>
      <c r="AA87" s="156">
        <f>IF(OR(O87="",P87=""),"",IF(ISERROR(FIND("door",$A87))=FALSE,VLOOKUP(KitchenDoorMaterial,FixedListsDoorMaterial,3,0),0))</f>
        <v>0</v>
      </c>
      <c r="AB87" s="156">
        <f>IF(OR(O87="",P87=""),"",IF(ISERROR(FIND("drawer",$A87))=FALSE,VLOOKUP(KitchenDrawerType,FixedListsDrawerType,3,0),0))</f>
        <v>0</v>
      </c>
      <c r="AC87" s="156">
        <f>IF(OR(O87="",P87=""),"",IF(OR(Y87&gt;0,Z87&gt;0,AB87&gt;0),VLOOKUP(KitchenHandleType,FixedListsHandleType,3,FALSE),0))</f>
        <v>1</v>
      </c>
      <c r="AD87" s="156">
        <f>IF(OR(O87="",P87=""),"",IF(OR(ISERROR(FIND("carcass",$A87))=FALSE,ISERROR(FIND("unit",$A87))=FALSE),VLOOKUP(KitchenCarcassFinish,FixedListsFinishes,3,0),IF(OR(ISERROR(FIND("door",$A87))=FALSE,ISERROR(FIND("Plinth",$A87))=FALSE,ISERROR(FIND("Cornice",$A87))=FALSE,ISERROR(FIND("Fillers",$A87))=FALSE,ISERROR(FIND("Pelmet",$A87))=FALSE,ISERROR(FIND("panel",$A87))=FALSE,ISERROR(FIND("post",$A87))=FALSE),VLOOKUP(KitchenDoorFinish,FixedListsFinishes,3,0),IF(OR(ISERROR(FIND("drawer",$A87))=FALSE,ISERROR(FIND("insert",$A87))=FALSE,ISERROR(FIND("rck",$A87))=FALSE),VLOOKUP(KitchenCarcassFinish,FixedListsFinishes,3,0),0))))</f>
        <v>1</v>
      </c>
      <c r="AE87" s="156">
        <f t="shared" si="6"/>
        <v>1</v>
      </c>
      <c r="AF87" s="157" t="str">
        <f>IF(AND(KitchenHandleType="Channel",OR(ISERROR(FIND("arcass",$A87))=FALSE,ISERROR(FIND("unit",$A87))=FALSE)),IF(ISERROR(FIND("Tower",$A87))=TRUE,IF(KitchenHandleFinish="Match carcass",IF(ISERROR(FIND("Walnut",KitchenCarcassMaterial))=FALSE,(0.035*0.075*($C87/1000))*VLOOKUP("Walnut (solid m3)",SolidData,4,FALSE),IF(ISERROR(FIND("Oak",KitchenCarcassMaterial))=FALSE,(0.035*0.075*($C87/1000))*VLOOKUP("Oak (solid m3)",SolidData,4,FALSE),IF(ISERROR(FIND("ply",KitchenCarcassMaterial))=FALSE,(0.1*($C87/1000))*VLOOKUP("Birch ply (24mm)",SheetsData,7,FALSE),IF(ISERROR(FIND("H/F",KitchenCarcassMaterial))=FALSE,(0.1*($C87/1000))*VLOOKUP("H/F (22mm)",SheetsData,7,FALSE),"Carcass - not tower - new material")))),IF(KitchenHandleFinish="Match door",IF(ISERROR(FIND("Walnut",KitchenDoorMaterial))=FALSE,(0.035*0.075*($C87/1000))*VLOOKUP("Walnut (solid m3)",SolidData,4,FALSE),IF(ISERROR(FIND("Oak",KitchenDoorMaterial))=FALSE,(0.035*0.075*($C87/1000))*VLOOKUP("Oak (solid m3)",SolidData,4,FALSE),IF(ISERROR(FIND("ply",KitchenDoorMaterial))=FALSE,(0.1*($C87/1000))*VLOOKUP("Birch ply (24mm)",SheetsData,7,FALSE),IF(ISERROR(FIND("H/F",KitchenCarcassMaterial))=FALSE,(0.1*($C87/1000))*VLOOKUP("H/F (22mm)",SheetsData,7,FALSE),"Door - not tower - new material")))),"Channel - not tower - handle set to other")),IF(ISERROR(FIND("Tower",$A87))=FALSE,IF(KitchenHandleFinish="Match carcass",IF(ISERROR(FIND("Walnut",KitchenCarcassMaterial))=FALSE,(0.035*0.075*($B87/1000))*VLOOKUP("Walnut (solid m3)",SolidData,4,FALSE),IF(ISERROR(FIND("Oak",KitchenCarcassMaterial))=FALSE,(0.035*0.075*($B87/1000))*VLOOKUP("Oak (solid m3)",SolidData,4,FALSE),IF(ISERROR(FIND("ply",KitchenCarcassMaterial))=FALSE,(0.1*($B87/1000))*VLOOKUP("Birch ply (24mm)",SheetsData,7,FALSE),IF(ISERROR(FIND("H/F",KitchenCarcassMaterial))=FALSE,(0.1*($C87/1000))*VLOOKUP("H/F (22mm)",SheetsData,7,FALSE),"Carcass - tower - new material")))),IF(KitchenHandleFinish="Match door",IF(ISERROR(FIND("Walnut",KitchenDoorMaterial))=FALSE,(0.035*0.075*($B87/1000))*VLOOKUP("Walnut (solid m3)",SolidData,4,FALSE),IF(ISERROR(FIND("Oak",KitchenDoorMaterial))=FALSE,(0.035*0.075*($B87/1000))*VLOOKUP("Oak (solid m3)",SolidData,4,FALSE),IF(ISERROR(FIND("ply",KitchenDoorMaterial))=FALSE,(0.1*($B87/1000))*VLOOKUP("Birch ply (24mm)",SheetData,7,FALSE),IF(ISERROR(FIND("H/F",KitchenCarcassMaterial))=FALSE,(0.1*($C87/1000))*VLOOKUP("H/F (22mm)",SheetsData,7,FALSE),"Door - tower - new material")))),"Channel - tower - handle set to other")))),"")</f>
        <v/>
      </c>
    </row>
    <row r="88">
      <c r="A88" s="150" t="s">
        <v>196</v>
      </c>
      <c r="B88" s="115" t="str">
        <f t="shared" si="1"/>
        <v>120</v>
      </c>
      <c r="C88" s="115" t="str">
        <f>IFERROR(__xludf.DUMMYFUNCTION("IF(A88="""","""",IF(OR(RIGHT(A88,LEN(A88)-len(regexextract(A88,"".* "")))=""1200"",RIGHT(A88,LEN(A88)-len(regexextract(A88,"".* "")))=""600"",RIGHT(A88,LEN(A88)-len(regexextract(A88,"".* "")))=""400"",RIGHT(A88,LEN(A88)-len(regexextract(A88,"".* "")))=""3"&amp;"00"",RIGHT(A88,LEN(A88)-len(regexextract(A88,"".* "")))=""700"",RIGHT(A88,LEN(A88)-len(regexextract(A88,"".* "")))=""2400"",RIGHT(A88,LEN(A88)-len(regexextract(A88,"".* "")))=""650"",RIGHT(A88,LEN(A88)-len(regexextract(A88,"".* "")))=""350"",RIGHT(A88,LEN"&amp;"(A88)-len(regexextract(A88,"".* "")))=""50""),RIGHT(A88,LEN(A88)-len(regexextract(A88,"".* ""))),IF(OR(ISERROR(FIND(""spacer"",A88))=FALSE,ISERROR(FIND(""filler panel"",A88))=FALSE),""1000"",""Unexpected size in description"")))"),"600")</f>
        <v>600</v>
      </c>
      <c r="D88" s="151">
        <f t="shared" si="2"/>
        <v>600</v>
      </c>
      <c r="E88" s="152">
        <f>IFERROR(__xludf.DUMMYFUNCTION("IF(OR(A88="""",AND(ISERROR(FIND(""drawer box"",A88))=FALSE,KitchenDrawerType="""")),"""",IF(OR(ISERROR(FIND(""larder"",A88))=FALSE,ISERROR(FIND(""fridge/freezer"",A88))=FALSE,ISERROR(FIND(""double oven"",A88))=FALSE,ISERROR(FIND(""single oven"",A88))=FALS"&amp;"E),VLOOKUP(LEFT(A88,FIND("" "",A88))&amp;""carcass ""&amp;RIGHT(A88,LEN(A88)-(LEN(A88)-3)),KitchensData,5,0),IF(ISERROR(FIND(""sink"",A88))=FALSE,VLOOKUP(LEFT(A88,FIND("" "",A88))&amp;""carcass ""&amp;VALUE(REGEXREPLACE(A88,""[^[:digit:]]"", """")),KitchensData,5,0)+(((C"&amp;"88/1000)*(300/1000))*VLOOKUP(KitchenCarcassMaterial,SheetsData,8,0)),IF(ISERROR(FIND(""bins"",A88))=FALSE,IF(ISERROR(FIND(""veneer"",KitchenCarcassMaterial))=FALSE,VLOOKUP(""Base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600"",A88))=FALSE,IF(ISERROR(FIND(""veneer"""&amp;",KitchenCarcassMaterial))=FALSE,0.54*(VLOOKUP(LEFT(KitchenCarcassMaterial,FIND(""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1200"",A88))=FALSE,"&amp;"IF(ISERROR(FIND(""veneer"",KitchenCarcassMaterial))=FALSE,0.84*(VLOOKUP(LEFT(KitchenCarcassMaterial,FIND(""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600"",A88))=FALSE,IF(ISERROR(FIND(""veneer"",KitchenCarcassMaterial))=FALSE,1.44*(VLOOKUP(LEFT(KitchenCarcassMaterial,FIND(""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1200"",A88))=FALSE,IF(ISERROR(FIND(""veneer"",KitchenCarcassMaterial))=FALSE,2.7*(VLOOKUP(LEFT(KitchenCarcassMaterial,FIND(""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front"",A88))=FALSE,((B88/1000)*(C88/1000))*VLOOKUP(KitchenDoorMaterial,SheetsData,8,0),IF(AND(KitchenDrawerType=""Match carcass"",ISERROR(FIND(""drawer box"",A88))=FALSE),(((((B88/1000)*(C88/1000))+((B88/1000"&amp;")*(D88/1000)))*2)*VLOOKUP(KitchenCarcassMaterial,SheetsData,8,0))+(((C88/1000)*(D88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box"",A88))=FALSE),(((((B88/1000)*(C88/1000))+((B88/1000)*(D88/1000)))*2)*(16/1000)*VLOOKUP(LEFT(KitchenCarcassMaterial,FIND("" "&amp;""",KitchenCarcassMaterial))&amp;""(solid m3)"",SolidData,5,0))+(((C88/1000)*(D88/1000))*VLOOKUP(LEFT(KitchenCarcassMaterial,FIND(""("",KitchenCarcassMaterial)-1)&amp;IF(OR(ISERROR(FIND(""ply"",KitchenCarcassMaterial))=FALSE,ISERROR(FIND(""H/F"",KitchenCarcassMate"&amp;"rial))=FALSE),""(9mm)"",""(10mm)""),SheetsData,8,0)),IF(ISERROR(FIND(""spacer"",A88))=FALSE,((D88/1000)*(C88/1000))*VLOOKUP(""Poplar ply (18mm)"",SheetsData,8,0),IF(ISERROR(FIND(""filler panel"",A88))=FALSE,((B88/1000)*(C88/1000))*VLOOKUP(KitchenDoorMater"&amp;"ial,SheetsData,8,0),IF(ISERROR(FIND(""shelf"",A88))=FALSE,((D88/1000)*(C88/1000))*VLOOKUP(KitchenCarcassMaterial,SheetsData,8,0),IF(ISERROR(FIND(""lost corner"",A88))=FALSE,VLOOKUP(LEFT(A88,FIND("" "",A88))&amp;""carcass ""&amp;VALUE(REGEXREPLACE(A88,""[^[:digit:"&amp;"]]"", """")),KitchensData,5,0)+((((B88/1000)*(C88/1000))+((B88/1000)*(60/1000)))*VLOOKUP(KitchenCarcassMaterial,SheetsData,8,0)),IF(ISERROR(FIND(""carcass"",A88))=FALSE,(((((B88/1000)*2)*(D88/1000))+(((C88/1000)*2)*(D88/1000)))*VLOOKUP(KitchenCarcassMater"&amp;"ial,SheetsData,8,0))+((B88/1000)*(C88/1000))*VLOOKUP(LEFT(KitchenCarcassMaterial,FIND(""("",KitchenCarcassMaterial)-1)&amp;IF(OR(ISERROR(FIND(""ply"",KitchenCarcassMaterial))=FALSE,ISERROR(FIND(""H/F"",KitchenCarcassMaterial))=FALSE),""(9mm)"",""(10mm)""),She"&amp;"etsData,8,0),IF(OR(ISERROR(FIND(""Plinth"",A88))=FALSE,ISERROR(FIND(""Cornice (flat)"",A88))=FALSE),((B88/1000)*(C88/1000))*VLOOKUP(""H/F (18mm)"",SheetsData,8,0),IF(ISERROR(FIND(""Cornice (stacked)"",A88))=FALSE,((0.08*(C88/1000))*2)*VLOOKUP(""H/F (22mm)"&amp;""",SheetsData,8,0),IF(ISERROR(FIND(""Base end panel"",A88))=FALSE,VLOOKUP(KitchenDoorMaterial,SheetsData,5,0)/3,IF(ISERROR(FIND(""Wall end panel"",A88))=FALSE,VLOOKUP(KitchenDoorMaterial,SheetsData,5,0)/9,IF(ISERROR(FIND(""Tower end panel"",A88))=FALSE,VL"&amp;"OOKUP(KitchenDoorMaterial,SheetsData,5,0),IF(ISERROR(FIND(""Fillers"",A88))=FALSE,(((0.06*(C88/1000))*2)*VLOOKUP(""H/F (18mm)"",SheetsData,8,0))+(((0.06*(C88/1000))*2)*VLOOKUP(""H/F (9mm)"",SheetsData,8,0)),IF(ISERROR(FIND(""corner post"",A88))=FALSE,(((B"&amp;"88/1000)*0.05)*2)*VLOOKUP(KitchenDoorMaterial,SheetsData,8,0),IF(ISERROR(FIND(""Pelmet"",A88))=FALSE,((((B88/1000)*(C88/1000))*2)*VLOOKUP(""H/F (18mm)"",SheetsData,8,0)),IF(ISERROR(FIND(""door"",A88))=TRUE,""Check description"",IF(KitchenDoorStyle=""Flat"&amp;""",((B88/1000)*(C88/1000))*VLOOKUP(KitchenDoorMaterial,SheetsData,8,0),IF(LEFT(KitchenDoorStyle,5)=""Panel"",(((((B88/1000)*2)*0.08)+((((C88/1000)-0.16)*2)*0.08))*VLOOKUP(""H/F (22mm)"",SheetsData,8,0))+(((B88/1000)-0.14)*((C88/1000)-0.14)*VLOOKUP(""H/F ("&amp;"9mm)"",SheetsData,8,0)),IF(KitchenDoorStyle=""In-frame flat"",((((((B88/1000)*0.019)*0.038)+((((C88-38)/1000)*0.038)*0.038))*2)*VLOOKUP(""Tulip (solid m3)"",SolidData,5,0))+(((B88-76)/1000)*((C88-38)/1000))*VLOOKUP(""H/F (22mm)"",SheetsData,8,0),IF(LEFT(K"&amp;"itchenDoorStyle,14)=""In-frame panel"",(((((((B88/1000)*0.019)*0.038)+((((C88-38)/1000)*0.038)*0.038))*2)*VLOOKUP(""Tulip (solid m3)"",SolidData,5,0))+(((((((B88-76)/1000)*2)*0.08)+(((((C88-198)/1000)*2)*0.08)))*VLOOKUP(""H/F (22mm)"",SheetsData,8,0))+((("&amp;"B88-216)/1000)*((C88-178)/1000)*VLOOKUP(""H/F (9mm)"",SheetsData,8,0)))))))))))))))))))))))))))))))))"),17.30704111797904)</f>
        <v>17.30704112</v>
      </c>
      <c r="F88" s="152">
        <f>IFERROR(__xludf.DUMMYFUNCTION("IF(OR(A88="""",AND(ISERROR(FIND(""drawer box"",A88))=FALSE,KitchenDrawerType=""Solid dovetail"")),"""",IF(ISERROR(FIND(""bins"",A88))=FALSE,VLOOKUP(""Base carcass 600"",KitchensData,6,0),IF(OR(ISERROR(FIND(""larder"",A88))=FALSE,ISERROR(FIND(""unit"",A88)"&amp;")=FALSE),VLOOKUP(LEFT(A88,FIND("" "",A88))&amp;""carcass ""&amp;RIGHT(A88,LEN(A88)-len(regexextract(A88,"".* ""))),KitchensData,6,0),IF(ISERROR(FIND(""drawer front"",A88))=FALSE,IF(ISERROR(FIND(""veneer"",KitchenCarcassMaterial))=TRUE,0,(((B88+C88)/1000)*2)*VLOOK"&amp;"UP(""Edge banding (per M)"",SheetsData,5,0)),IF(ISERROR(FIND(""drawer box"",A88))=FALSE,IF(ISERROR(FIND(""veneer"",KitchenCarcassMaterial))=TRUE,0,(((C88+D88)/1000)*2)*VLOOKUP(""Edge banding (per M)"",SheetsData,5,0)),IF(ISERROR(FIND(""shelf"",A88))=FALSE"&amp;",IF(ISERROR(FIND(""veneer"",KitchenCarcassMaterial))=TRUE,0,(C88/1000)*VLOOKUP(""Edge banding (per M)"",SheetsData,5,0)),IF(AND(ISERROR(FIND(""carcass"",A88))=FALSE,ISERROR(FIND(""shelf"",A88))=TRUE),IF(ISERROR(FIND(""veneer"",KitchenCarcassMaterial))=TRU"&amp;"E,0,((2*(B88+C88))/1000)*VLOOKUP(""Edge banding (per M)"",SheetsData,5,0)),IF(ISERROR(FIND(""door"",A88))=TRUE,"""",IF(ISERROR(FIND(""veneer"",KitchenDoorMaterial))=TRUE,"""",((2*(B88+C88))/1000)*VLOOKUP(""Edge banding (per M)"",SheetsData,5,0))))))))))"),0.0)</f>
        <v>0</v>
      </c>
      <c r="G88" s="153" t="str">
        <f>IF(A88="","",IF(ISERROR(FIND("bins",A88))=FALSE,VLOOKUP("Base carcass 600",KitchensData,7,0),IF(OR(ISERROR(FIND("larder",A88))=FALSE,ISERROR(FIND("fridge/freezer",A88))=FALSE,ISERROR(FIND("double oven",A88))=FALSE,ISERROR(FIND("single oven",A88))=FALSE),VLOOKUP(LEFT(A88,FIND(" ",A88))&amp;"carcass "&amp;RIGHT(A88,LEN(A88)-(LEN(A88)-3)),KitchensData,7,0),IF(AND(ISERROR(FIND("carcass",A88))=FALSE,ISERROR(FIND("shelf",A88))=TRUE),IF(OR(ISERROR(FIND("Base",A88))=FALSE,ISERROR(FIND("Tower",A88))=FALSE),IF(OR(ISERROR(FIND("1200",A88))=FALSE, ISERROR(FIND("lost corner",A88))=FALSE),6*VLOOKUP("Plinth foot (2 Parts 80mm)",FurnitureData,5,0),4*VLOOKUP("Plinth foot (2 Parts 80mm)",FurnitureData,5,0)),""),""))))</f>
        <v/>
      </c>
      <c r="H88" s="115" t="str">
        <f>IF(OR(A88="",ISERROR(FIND("door",A88))=TRUE),"",IF(ISERROR(FIND("Wall",A88))=FALSE,VLOOKUP("Hinges &amp; plates (Hettich thick door)",FurnitureData,5,0)*2,IF(ISERROR(FIND("Base",A88))=FALSE,VLOOKUP("Hinges &amp; plates (Hettich thick door)",FurnitureData,5,0)*3,IF(ISERROR(FIND("Boiler",A88))=FALSE,VLOOKUP("Hinges &amp; plates (Hettich thick door)",FurnitureData,5,0)*4,IF(ISERROR(FIND("Tower",A88))=FALSE,VLOOKUP("Hinges &amp; plates (Hettich thick door)",FurnitureData,5,0)*5)))))</f>
        <v/>
      </c>
      <c r="I88" s="115" t="str">
        <f>IF(ISERROR(FIND("shelf",A88))=FALSE,(VLOOKUP("Shelf pegs",FurnitureData,5,0)/100)*4,"")</f>
        <v/>
      </c>
      <c r="J88" s="152" t="str">
        <f>IF(OR(ISERROR(FIND("fridge/freezer",A88))=FALSE,ISERROR(FIND("larder",A88))=FALSE,AND(ISERROR(FIND("Base",A88))=FALSE,ISERROR(FIND("bins",A88))=TRUE,ISERROR(FIND("no shelves",A88))=TRUE,OR(ISERROR(FIND("carcass",A88))=FALSE,ISERROR(FIND("unit",A88))=FALSE))),VLOOKUP("Deep shelf "&amp;C88,KitchensData,18,0),IF(AND(ISERROR(FIND("Wall",A88))=FALSE,ISERROR(FIND("carcass",A88))=FALSE),2*VLOOKUP("Shallow shelf "&amp;C88,KitchensData,18,0),IF(AND(ISERROR(FIND("Tower",A88))=FALSE,ISERROR(FIND("oven",A88))=FALSE),4*VLOOKUP("Deep shelf "&amp;C88,KitchensData,18,0),IF(AND(ISERROR(FIND("Tower",A88))=FALSE,ISERROR(FIND("carcass",A88))=FALSE),5*VLOOKUP("Deep shelf "&amp;C88,KitchensData,18,0),""))))</f>
        <v/>
      </c>
      <c r="K88" s="152">
        <f>IF(ISERROR(FIND("sink",A88))=FALSE,VLOOKUP("Sink liner - Aluminium "&amp;RIGHT(A88,LEN(A88)-22)&amp;"mm",ExceptionalData,5,0),IF(ISERROR(FIND("bins",A88))=FALSE,VLOOKUP("Drawer runners and clip set for bin unit (500) Dynapro",FurnitureData,5,0)+(2*VLOOKUP("Bin (42L Anthracite)",FurnitureData,5,0)),IF(ISERROR(FIND("larder",A88))=FALSE,VLOOKUP("Pull out larder unit 600mm",FurnitureData,5,0),IF(AND(ISERROR(FIND("drawer box",A88))=FALSE,ISERROR(FIND("internal",A88))=TRUE),VLOOKUP("Drawer runners and clip set (550) Dynapro",FurnitureData,5,0),IF(ISERROR(FIND("internal drawer box",A88))=FALSE,VLOOKUP("Drawer runners and clip set (450) Dynapro",FurnitureData,5,0),"")))))</f>
        <v>39.72</v>
      </c>
      <c r="L88" s="152">
        <f t="shared" si="3"/>
        <v>57.02704112</v>
      </c>
      <c r="M88" s="154">
        <f>IFERROR(__xludf.DUMMYFUNCTION("IF(A88="""","""",IF(OR(ISERROR(FIND(""larder"",A88))=FALSE,ISERROR(FIND(""unit"",A88))=FALSE),VLOOKUP(LEFT(A88,FIND("" "",A88))&amp;""carcass ""&amp;RIGHT(A88,LEN(A88)-len(regexextract(A88,"".* ""))),KitchensData,13,0),IF(ISERROR(FIND(""bins"",A88))=FALSE,0.95,IF"&amp;"(ISERROR(FIND(""Cutlery insert 600"",A88))=FALSE,1.3,IF(ISERROR(FIND(""Cutlery insert 1200"",A88))=FALSE,2,IF(ISERROR(FIND(""Pan/tray rack 600"",A88))=FALSE,3.25,IF(ISERROR(FIND(""Pan/tray rack 1200"",A88))=FALSE,5.9,IF(ISERROR(FIND(""split"",A88))=FALSE,"&amp;"(((C88/1000)*0.022)*2)+VLOOKUP(SUBSTITUTE(A88,"" split"",""""),KitchensData,13,0),IF(AND(ISERROR(FIND(""drawer front"",A88))=FALSE,KitchenDoorStyle=""Flat""),(((B88/1000)*(C88/1000))*2)+((((B88+C88)/1000)*2)*0.022),IF(AND(ISERROR(FIND(""drawer front"",A88"&amp;"))=FALSE,LEFT(KitchenDoorStyle,5)=""Panel""),(((B88/1000)*(C88/1000))*2)+((((B88+C88)/1000)*2)*0.022)+((((C88/1000)-0.16)*0.013)*2)+((((D88/1000)-0.16)*0.013)*2),IF(AND(ISERROR(FIND(""drawer front"",A88))=FALSE,KitchenDoorStyle=""In-frame flat""),((((B88-"&amp;"76)/1000)*((C88-38)/1000))*2)+(MID(KitchenDoorMaterial,FIND(""("",KitchenDoorMaterial)+1,2)/1000)*((((B88-76)+(C88-38))/1000)*2)+(((B88/1000)*0.032)*2)+((((B88-76)/1000)*0.032)*2)+(((B88/1000)*0.019)*4)+(((C88/1000)*0.032)*2)+((((C88-38)/1000)*0.032)*2)+("&amp;"((C88/1000)*0.038)*4),IF(AND(ISERROR(FIND(""drawer front"",A88))=FALSE,LEFT(KitchenDoorStyle,14)=""In-frame panel""),((((B88-76)/1000)*((C88-38)/1000))*2)+((MID(KitchenDoorMaterial,FIND(""("",KitchenDoorMaterial)+1,2)/1000)*((((B88-76)+(C88-38))/1000)*2))"&amp;"+((((B88-236)/1000)+((C88-198)/1000)*2)*0.013)+(((B88/1000)*0.032)*2)+((((B88-76)/1000)*0.032)*2)+(((B88/1000)*0.019)*4)+(((C88/1000)*0.032)*2)+((((C88-38)/1000)*0.032)*2)+(((C88/1000)*0.038)*4),IF(ISERROR(FIND(""drawer box"",A88))=FALSE,((((B88/1000)*(D8"&amp;"8/1000))+((B88/1000)*(C88/1000)))*4)+((((D88/1000)+(C88/1000))*0.016)*4)+(((C88/1000)*(D88/1000))*2),IF(OR(ISERROR(FIND(""shelf"",A88))=FALSE,ISERROR(FIND(""spacer"",A88))=FALSE,,ISERROR(FIND(""filler panel"",A88))=FALSE),(((C88/1000)*(D88/1000))*2)+((((C"&amp;"88+D88)*2)/1000)*0.022),IF(ISERROR(FIND(""lost corner"",A88))=FALSE,(((B88/1000)*(C88/1000))*2)+((B88/1000)*(C88/1000))+((B88/1000)*((C88/2)/1000))+((((B88/1000)*0.025)+((C88/1000)*0.025))*2),IF(ISERROR(FIND(""carcass"",A88))=FALSE,(((C88/1000)*(D88/1000)"&amp;")*2)+(((B88/1000)*(D88/1000))*2)+((B88/1000)*(C88/1000))+((((B88/1000)*0.025)+((C88/1000)*0.025))*2),IF(AND(ISERROR(FIND(""door"",A88))=FALSE,KitchenDoorStyle=""Flat""),(((B88/1000)*(C88/1000))*2)+(MID(KitchenDoorMaterial,FIND(""("",KitchenDoorMaterial)+1"&amp;",2)/1000)*(((B88+C88)/1000)*2),IF(AND(ISERROR(FIND(""door"",A88))=FALSE,LEFT(KitchenDoorStyle,5)=""Panel""),(((B88/1000)*(C88/1000))*2)+((MID(KitchenDoorMaterial,FIND(""("",KitchenDoorMaterial)+1,2)/1000)*(((B88+C88)/1000)*2))+(((((B88-160)+(C88-160))*2)/"&amp;"1000)*(0.013)),IF(AND(ISERROR(FIND(""door"",A88))=FALSE,KitchenDoorStyle=""In-frame flat""),((((B88-76)/1000)*((C88-38)/1000))*2)+(MID(KitchenDoorMaterial,FIND(""("",KitchenDoorMaterial)+1,2)/1000)*((((B88-76)+(C88-38))/1000)*2)+(((B88/1000)*0.032)*2)+((("&amp;"(B88-76)/1000)*0.032)*2)+(((B88/1000)*0.019)*4)+(((C88/1000)*0.032)*2)+((((C88-38)/1000)*0.032)*2)+(((C88/1000)*0.038)*4),IF(AND(ISERROR(FIND(""door"",A88))=FALSE,LEFT(KitchenDoorStyle,14)=""In-frame panel""),((((B88-76)/1000)*((C88-38)/1000))*2)+((MID(Ki"&amp;"tchenDoorMaterial,FIND(""("",KitchenDoorMaterial)+1,2)/1000)*((((B88-76)+(C88-38))/1000)*2))+((((B88-236)/1000)+((C88-198)/1000)*2)*0.013)+(((B88/1000)*0.032)*2)+((((B88-76)/1000)*0.032)*2)+(((B88/1000)*0.019)*4)+(((C88/1000)*0.032)*2)+((((C88-38)/1000)*0"&amp;".032)*2)+(((C88/1000)*0.038)*4),IF(ISERROR(FIND(""Plinth"",A88))=FALSE,((B88/1000)*(C88/1000))+(((C88/1000)*0.018)*2)+(((B88/1000)*0.018)*2),IF(ISERROR(FIND(""Cornice"",A88))=FALSE,(((C88/1000)*0.1)*2)+(((C88/1000)*0.044)*2)+(((B88/1000)*0.08)*2),IF(ISERR"&amp;"OR(FIND(""Base end panel"",A88))=FALSE,((B88/1000)*(C88/1000))+(0.022*((B88/1000)+((C88/1000)*2)))+((B88/1000)*0.05),IF(ISERROR(FIND(""Wall end panel"",A88))=FALSE,((B88/1000)*(C88/1000))+(0.022*((B88/1000)+((C88/1000)*2)))+((B88/1000)*0.05),IF(ISERROR(FI"&amp;"ND(""Tower end panel"",A88))=FALSE,((B88/1000)*(C88/1000))+(0.022*((B88/1000)+((C88/1000)*2)))+((B88/1000)*0.05),IF(ISERROR(FIND(""Fillers"",A88))=FALSE,((C88/1000)*0.06)+((C88/1000)*0.069)+((0.06*0.018)*2)+((0.06*0.009)*2)+((C88/1000)*0.009)+((C88/1000)*"&amp;"0.018),IF(ISERROR(FIND(""corner post"",A88))=FALSE,(((B88/1000*0.05)*2)+((B88/1000)*0.022)*2)+((B88/1000)*0.072)+((B88/1000)*0.05)+((0.072*0.022)*2)+((0.05*0.022)*2),IF(ISERROR(FIND(""Pelmet"",A88))=FALSE,((C88/1000)*0.05)+((C88/1000)*0.068)+((0.05*0.018)"&amp;"*4)+(((C88/1000)*0.018))*2))))))))))))))))))))))))))))"),1.3727999999999998)</f>
        <v>1.3728</v>
      </c>
      <c r="N88" s="152">
        <f>IF(M88="","",IF(AND(ISERROR(FIND("carcass",A88))=TRUE,ISERROR(FIND("unit",A88))=TRUE,ISERROR(FIND("insert",A88))=TRUE,ISERROR(FIND("rack",A88))=TRUE,ISERROR(FIND("box",A88))=TRUE,ISERROR(FIND("shelf",#REF!))=TRUE),VLOOKUP(KitchenDoorFinish,Finishing!$A$2:$K$10,9,0)*M88,VLOOKUP(KitchenCarcassFinish,Finishing!$A$2:$K$40,9,0)*M88))</f>
        <v>5.148</v>
      </c>
      <c r="O88" s="155">
        <v>2.5</v>
      </c>
      <c r="P88" s="155">
        <v>1.0</v>
      </c>
      <c r="Q88" s="152">
        <f>IF(OR(O88="",P88=""),"",((O88*X88)*(VLOOKUP("Workshop",Labour!$A$3:$E$20,4,0)/8))+((P88*AE88)*(VLOOKUP("Finishing",Labour!$A$3:$E$20,4,0)/8)))</f>
        <v>137.375</v>
      </c>
      <c r="R88" s="152">
        <f t="shared" si="4"/>
        <v>199.5500411</v>
      </c>
      <c r="S88" s="156">
        <f>IF(OR(O88="",P88=""),"",IF(OR(ISERROR(FIND("carcass",$A88))=FALSE,ISERROR(FIND("unit",$A88))=FALSE),VLOOKUP(KitchenCarcassMaterial,FixedListsCarcassMaterial,2,0),0))</f>
        <v>0</v>
      </c>
      <c r="T88" s="156">
        <f>IF(OR(O88="",P88=""),"",IF(ISERROR(FIND("door",$A88))=FALSE,VLOOKUP(KitchenDoorStyle,FixedListsDoorStyle,2,0),0))</f>
        <v>0</v>
      </c>
      <c r="U88" s="156">
        <f>IF(OR(O88="",P88=""),"",IF(ISERROR(FIND("door",$A88))=FALSE,VLOOKUP(KitchenDoorMaterial,FixedListsDoorMaterial,2,0),0))</f>
        <v>0</v>
      </c>
      <c r="V88" s="156">
        <f>IF(OR(O88="",P88=""),"",IF(ISERROR(FIND("drawer",$A88))=FALSE,VLOOKUP(KitchenDrawerType,FixedListsDrawerType,2,0),0))</f>
        <v>1</v>
      </c>
      <c r="W88" s="156">
        <f>IF(OR(O88="",P88=""),"",IF(OR(S88&gt;0, T88&gt;0,V88&gt;0),VLOOKUP(KitchenHandleType,FixedListsHandleType,2,FALSE)*IF(KitchenHandleType="Simple",0,IF(S88&gt;0,VLOOKUP(KitchenHandleType,FixedListsHandleType,4,FALSE),IF(OR(T88&gt;0,V88&gt;0),1-VLOOKUP(KitchenHandleType,FixedListsHandleType,4,FALSE),"Error"))),0))</f>
        <v>0</v>
      </c>
      <c r="X88" s="156">
        <f t="shared" si="5"/>
        <v>1</v>
      </c>
      <c r="Y88" s="156">
        <f>IF(OR(O88="",P88=""),"",IF(OR(ISERROR(FIND("carcass",$A88))=FALSE,ISERROR(FIND("unit",$A88))=FALSE),VLOOKUP(KitchenCarcassMaterial,FixedListsCarcassMaterial,3,0),0))</f>
        <v>0</v>
      </c>
      <c r="Z88" s="156">
        <f>IF(OR(O88="",P88=""),"",IF(ISERROR(FIND("door",$A88))=FALSE,VLOOKUP(KitchenDoorStyle,FixedListsDoorStyle,3,0),0))</f>
        <v>0</v>
      </c>
      <c r="AA88" s="156">
        <f>IF(OR(O88="",P88=""),"",IF(ISERROR(FIND("door",$A88))=FALSE,VLOOKUP(KitchenDoorMaterial,FixedListsDoorMaterial,3,0),0))</f>
        <v>0</v>
      </c>
      <c r="AB88" s="156">
        <f>IF(OR(O88="",P88=""),"",IF(ISERROR(FIND("drawer",$A88))=FALSE,VLOOKUP(KitchenDrawerType,FixedListsDrawerType,3,0),0))</f>
        <v>1</v>
      </c>
      <c r="AC88" s="156">
        <f>IF(OR(O88="",P88=""),"",IF(OR(Y88&gt;0,Z88&gt;0,AB88&gt;0),VLOOKUP(KitchenHandleType,FixedListsHandleType,3,FALSE),0))</f>
        <v>1</v>
      </c>
      <c r="AD88" s="156">
        <f>IF(OR(O88="",P88=""),"",IF(OR(ISERROR(FIND("carcass",$A88))=FALSE,ISERROR(FIND("unit",$A88))=FALSE),VLOOKUP(KitchenCarcassFinish,FixedListsFinishes,3,0),IF(OR(ISERROR(FIND("door",$A88))=FALSE,ISERROR(FIND("Plinth",$A88))=FALSE,ISERROR(FIND("Cornice",$A88))=FALSE,ISERROR(FIND("Fillers",$A88))=FALSE,ISERROR(FIND("Pelmet",$A88))=FALSE,ISERROR(FIND("panel",$A88))=FALSE,ISERROR(FIND("post",$A88))=FALSE),VLOOKUP(KitchenDoorFinish,FixedListsFinishes,3,0),IF(OR(ISERROR(FIND("drawer",$A88))=FALSE,ISERROR(FIND("insert",$A88))=FALSE,ISERROR(FIND("rck",$A88))=FALSE),VLOOKUP(KitchenCarcassFinish,FixedListsFinishes,3,0),0))))</f>
        <v>1</v>
      </c>
      <c r="AE88" s="156">
        <f t="shared" si="6"/>
        <v>1</v>
      </c>
      <c r="AF88" s="157" t="str">
        <f>IF(AND(KitchenHandleType="Channel",OR(ISERROR(FIND("arcass",$A88))=FALSE,ISERROR(FIND("unit",$A88))=FALSE)),IF(ISERROR(FIND("Tower",$A88))=TRUE,IF(KitchenHandleFinish="Match carcass",IF(ISERROR(FIND("Walnut",KitchenCarcassMaterial))=FALSE,(0.035*0.075*($C88/1000))*VLOOKUP("Walnut (solid m3)",SolidData,4,FALSE),IF(ISERROR(FIND("Oak",KitchenCarcassMaterial))=FALSE,(0.035*0.075*($C88/1000))*VLOOKUP("Oak (solid m3)",SolidData,4,FALSE),IF(ISERROR(FIND("ply",KitchenCarcassMaterial))=FALSE,(0.1*($C88/1000))*VLOOKUP("Birch ply (24mm)",SheetsData,7,FALSE),IF(ISERROR(FIND("H/F",KitchenCarcassMaterial))=FALSE,(0.1*($C88/1000))*VLOOKUP("H/F (22mm)",SheetsData,7,FALSE),"Carcass - not tower - new material")))),IF(KitchenHandleFinish="Match door",IF(ISERROR(FIND("Walnut",KitchenDoorMaterial))=FALSE,(0.035*0.075*($C88/1000))*VLOOKUP("Walnut (solid m3)",SolidData,4,FALSE),IF(ISERROR(FIND("Oak",KitchenDoorMaterial))=FALSE,(0.035*0.075*($C88/1000))*VLOOKUP("Oak (solid m3)",SolidData,4,FALSE),IF(ISERROR(FIND("ply",KitchenDoorMaterial))=FALSE,(0.1*($C88/1000))*VLOOKUP("Birch ply (24mm)",SheetsData,7,FALSE),IF(ISERROR(FIND("H/F",KitchenCarcassMaterial))=FALSE,(0.1*($C88/1000))*VLOOKUP("H/F (22mm)",SheetsData,7,FALSE),"Door - not tower - new material")))),"Channel - not tower - handle set to other")),IF(ISERROR(FIND("Tower",$A88))=FALSE,IF(KitchenHandleFinish="Match carcass",IF(ISERROR(FIND("Walnut",KitchenCarcassMaterial))=FALSE,(0.035*0.075*($B88/1000))*VLOOKUP("Walnut (solid m3)",SolidData,4,FALSE),IF(ISERROR(FIND("Oak",KitchenCarcassMaterial))=FALSE,(0.035*0.075*($B88/1000))*VLOOKUP("Oak (solid m3)",SolidData,4,FALSE),IF(ISERROR(FIND("ply",KitchenCarcassMaterial))=FALSE,(0.1*($B88/1000))*VLOOKUP("Birch ply (24mm)",SheetsData,7,FALSE),IF(ISERROR(FIND("H/F",KitchenCarcassMaterial))=FALSE,(0.1*($C88/1000))*VLOOKUP("H/F (22mm)",SheetsData,7,FALSE),"Carcass - tower - new material")))),IF(KitchenHandleFinish="Match door",IF(ISERROR(FIND("Walnut",KitchenDoorMaterial))=FALSE,(0.035*0.075*($B88/1000))*VLOOKUP("Walnut (solid m3)",SolidData,4,FALSE),IF(ISERROR(FIND("Oak",KitchenDoorMaterial))=FALSE,(0.035*0.075*($B88/1000))*VLOOKUP("Oak (solid m3)",SolidData,4,FALSE),IF(ISERROR(FIND("ply",KitchenDoorMaterial))=FALSE,(0.1*($B88/1000))*VLOOKUP("Birch ply (24mm)",SheetData,7,FALSE),IF(ISERROR(FIND("H/F",KitchenCarcassMaterial))=FALSE,(0.1*($C88/1000))*VLOOKUP("H/F (22mm)",SheetsData,7,FALSE),"Door - tower - new material")))),"Channel - tower - handle set to other")))),"")</f>
        <v/>
      </c>
    </row>
    <row r="89">
      <c r="A89" s="150" t="s">
        <v>197</v>
      </c>
      <c r="B89" s="115" t="str">
        <f t="shared" si="1"/>
        <v>120</v>
      </c>
      <c r="C89" s="115" t="str">
        <f>IFERROR(__xludf.DUMMYFUNCTION("IF(A89="""","""",IF(OR(RIGHT(A89,LEN(A89)-len(regexextract(A89,"".* "")))=""1200"",RIGHT(A89,LEN(A89)-len(regexextract(A89,"".* "")))=""600"",RIGHT(A89,LEN(A89)-len(regexextract(A89,"".* "")))=""400"",RIGHT(A89,LEN(A89)-len(regexextract(A89,"".* "")))=""3"&amp;"00"",RIGHT(A89,LEN(A89)-len(regexextract(A89,"".* "")))=""700"",RIGHT(A89,LEN(A89)-len(regexextract(A89,"".* "")))=""2400"",RIGHT(A89,LEN(A89)-len(regexextract(A89,"".* "")))=""650"",RIGHT(A89,LEN(A89)-len(regexextract(A89,"".* "")))=""350"",RIGHT(A89,LEN"&amp;"(A89)-len(regexextract(A89,"".* "")))=""50""),RIGHT(A89,LEN(A89)-len(regexextract(A89,"".* ""))),IF(OR(ISERROR(FIND(""spacer"",A89))=FALSE,ISERROR(FIND(""filler panel"",A89))=FALSE),""1000"",""Unexpected size in description"")))"),"1200")</f>
        <v>1200</v>
      </c>
      <c r="D89" s="151">
        <f t="shared" si="2"/>
        <v>600</v>
      </c>
      <c r="E89" s="152">
        <f>IFERROR(__xludf.DUMMYFUNCTION("IF(OR(A89="""",AND(ISERROR(FIND(""drawer box"",A89))=FALSE,KitchenDrawerType="""")),"""",IF(OR(ISERROR(FIND(""larder"",A89))=FALSE,ISERROR(FIND(""fridge/freezer"",A89))=FALSE,ISERROR(FIND(""double oven"",A89))=FALSE,ISERROR(FIND(""single oven"",A89))=FALS"&amp;"E),VLOOKUP(LEFT(A89,FIND("" "",A89))&amp;""carcass ""&amp;RIGHT(A89,LEN(A89)-(LEN(A89)-3)),KitchensData,5,0),IF(ISERROR(FIND(""sink"",A89))=FALSE,VLOOKUP(LEFT(A89,FIND("" "",A89))&amp;""carcass ""&amp;VALUE(REGEXREPLACE(A89,""[^[:digit:]]"", """")),KitchensData,5,0)+(((C"&amp;"89/1000)*(300/1000))*VLOOKUP(KitchenCarcassMaterial,SheetsData,8,0)),IF(ISERROR(FIND(""bins"",A89))=FALSE,IF(ISERROR(FIND(""veneer"",KitchenCarcassMaterial))=FALSE,VLOOKUP(""Base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600"",A89))=FALSE,IF(ISERROR(FIND(""veneer"""&amp;",KitchenCarcassMaterial))=FALSE,0.54*(VLOOKUP(LEFT(KitchenCarcassMaterial,FIND(""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1200"",A89))=FALSE,"&amp;"IF(ISERROR(FIND(""veneer"",KitchenCarcassMaterial))=FALSE,0.84*(VLOOKUP(LEFT(KitchenCarcassMaterial,FIND(""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600"",A89))=FALSE,IF(ISERROR(FIND(""veneer"",KitchenCarcassMaterial))=FALSE,1.44*(VLOOKUP(LEFT(KitchenCarcassMaterial,FIND(""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1200"",A89))=FALSE,IF(ISERROR(FIND(""veneer"",KitchenCarcassMaterial))=FALSE,2.7*(VLOOKUP(LEFT(KitchenCarcassMaterial,FIND(""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front"",A89))=FALSE,((B89/1000)*(C89/1000))*VLOOKUP(KitchenDoorMaterial,SheetsData,8,0),IF(AND(KitchenDrawerType=""Match carcass"",ISERROR(FIND(""drawer box"",A89))=FALSE),(((((B89/1000)*(C89/1000))+((B89/1000"&amp;")*(D89/1000)))*2)*VLOOKUP(KitchenCarcassMaterial,SheetsData,8,0))+(((C89/1000)*(D89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box"",A89))=FALSE),(((((B89/1000)*(C89/1000))+((B89/1000)*(D89/1000)))*2)*(16/1000)*VLOOKUP(LEFT(KitchenCarcassMaterial,FIND("" "&amp;""",KitchenCarcassMaterial))&amp;""(solid m3)"",SolidData,5,0))+(((C89/1000)*(D89/1000))*VLOOKUP(LEFT(KitchenCarcassMaterial,FIND(""("",KitchenCarcassMaterial)-1)&amp;IF(OR(ISERROR(FIND(""ply"",KitchenCarcassMaterial))=FALSE,ISERROR(FIND(""H/F"",KitchenCarcassMate"&amp;"rial))=FALSE),""(9mm)"",""(10mm)""),SheetsData,8,0)),IF(ISERROR(FIND(""spacer"",A89))=FALSE,((D89/1000)*(C89/1000))*VLOOKUP(""Poplar ply (18mm)"",SheetsData,8,0),IF(ISERROR(FIND(""filler panel"",A89))=FALSE,((B89/1000)*(C89/1000))*VLOOKUP(KitchenDoorMater"&amp;"ial,SheetsData,8,0),IF(ISERROR(FIND(""shelf"",A89))=FALSE,((D89/1000)*(C89/1000))*VLOOKUP(KitchenCarcassMaterial,SheetsData,8,0),IF(ISERROR(FIND(""lost corner"",A89))=FALSE,VLOOKUP(LEFT(A89,FIND("" "",A89))&amp;""carcass ""&amp;VALUE(REGEXREPLACE(A89,""[^[:digit:"&amp;"]]"", """")),KitchensData,5,0)+((((B89/1000)*(C89/1000))+((B89/1000)*(60/1000)))*VLOOKUP(KitchenCarcassMaterial,SheetsData,8,0)),IF(ISERROR(FIND(""carcass"",A89))=FALSE,(((((B89/1000)*2)*(D89/1000))+(((C89/1000)*2)*(D89/1000)))*VLOOKUP(KitchenCarcassMater"&amp;"ial,SheetsData,8,0))+((B89/1000)*(C89/1000))*VLOOKUP(LEFT(KitchenCarcassMaterial,FIND(""("",KitchenCarcassMaterial)-1)&amp;IF(OR(ISERROR(FIND(""ply"",KitchenCarcassMaterial))=FALSE,ISERROR(FIND(""H/F"",KitchenCarcassMaterial))=FALSE),""(9mm)"",""(10mm)""),She"&amp;"etsData,8,0),IF(OR(ISERROR(FIND(""Plinth"",A89))=FALSE,ISERROR(FIND(""Cornice (flat)"",A89))=FALSE),((B89/1000)*(C89/1000))*VLOOKUP(""H/F (18mm)"",SheetsData,8,0),IF(ISERROR(FIND(""Cornice (stacked)"",A89))=FALSE,((0.08*(C89/1000))*2)*VLOOKUP(""H/F (22mm)"&amp;""",SheetsData,8,0),IF(ISERROR(FIND(""Base end panel"",A89))=FALSE,VLOOKUP(KitchenDoorMaterial,SheetsData,5,0)/3,IF(ISERROR(FIND(""Wall end panel"",A89))=FALSE,VLOOKUP(KitchenDoorMaterial,SheetsData,5,0)/9,IF(ISERROR(FIND(""Tower end panel"",A89))=FALSE,VL"&amp;"OOKUP(KitchenDoorMaterial,SheetsData,5,0),IF(ISERROR(FIND(""Fillers"",A89))=FALSE,(((0.06*(C89/1000))*2)*VLOOKUP(""H/F (18mm)"",SheetsData,8,0))+(((0.06*(C89/1000))*2)*VLOOKUP(""H/F (9mm)"",SheetsData,8,0)),IF(ISERROR(FIND(""corner post"",A89))=FALSE,(((B"&amp;"89/1000)*0.05)*2)*VLOOKUP(KitchenDoorMaterial,SheetsData,8,0),IF(ISERROR(FIND(""Pelmet"",A89))=FALSE,((((B89/1000)*(C89/1000))*2)*VLOOKUP(""H/F (18mm)"",SheetsData,8,0)),IF(ISERROR(FIND(""door"",A89))=TRUE,""Check description"",IF(KitchenDoorStyle=""Flat"&amp;""",((B89/1000)*(C89/1000))*VLOOKUP(KitchenDoorMaterial,SheetsData,8,0),IF(LEFT(KitchenDoorStyle,5)=""Panel"",(((((B89/1000)*2)*0.08)+((((C89/1000)-0.16)*2)*0.08))*VLOOKUP(""H/F (22mm)"",SheetsData,8,0))+(((B89/1000)-0.14)*((C89/1000)-0.14)*VLOOKUP(""H/F ("&amp;"9mm)"",SheetsData,8,0)),IF(KitchenDoorStyle=""In-frame flat"",((((((B89/1000)*0.019)*0.038)+((((C89-38)/1000)*0.038)*0.038))*2)*VLOOKUP(""Tulip (solid m3)"",SolidData,5,0))+(((B89-76)/1000)*((C89-38)/1000))*VLOOKUP(""H/F (22mm)"",SheetsData,8,0),IF(LEFT(K"&amp;"itchenDoorStyle,14)=""In-frame panel"",(((((((B89/1000)*0.019)*0.038)+((((C89-38)/1000)*0.038)*0.038))*2)*VLOOKUP(""Tulip (solid m3)"",SolidData,5,0))+(((((((B89-76)/1000)*2)*0.08)+(((((C89-198)/1000)*2)*0.08)))*VLOOKUP(""H/F (22mm)"",SheetsData,8,0))+((("&amp;"B89-216)/1000)*((C89-178)/1000)*VLOOKUP(""H/F (9mm)"",SheetsData,8,0)))))))))))))))))))))))))))))))))"),29.82746573501747)</f>
        <v>29.82746574</v>
      </c>
      <c r="F89" s="152">
        <f>IFERROR(__xludf.DUMMYFUNCTION("IF(OR(A89="""",AND(ISERROR(FIND(""drawer box"",A89))=FALSE,KitchenDrawerType=""Solid dovetail"")),"""",IF(ISERROR(FIND(""bins"",A89))=FALSE,VLOOKUP(""Base carcass 600"",KitchensData,6,0),IF(OR(ISERROR(FIND(""larder"",A89))=FALSE,ISERROR(FIND(""unit"",A89)"&amp;")=FALSE),VLOOKUP(LEFT(A89,FIND("" "",A89))&amp;""carcass ""&amp;RIGHT(A89,LEN(A89)-len(regexextract(A89,"".* ""))),KitchensData,6,0),IF(ISERROR(FIND(""drawer front"",A89))=FALSE,IF(ISERROR(FIND(""veneer"",KitchenCarcassMaterial))=TRUE,0,(((B89+C89)/1000)*2)*VLOOK"&amp;"UP(""Edge banding (per M)"",SheetsData,5,0)),IF(ISERROR(FIND(""drawer box"",A89))=FALSE,IF(ISERROR(FIND(""veneer"",KitchenCarcassMaterial))=TRUE,0,(((C89+D89)/1000)*2)*VLOOKUP(""Edge banding (per M)"",SheetsData,5,0)),IF(ISERROR(FIND(""shelf"",A89))=FALSE"&amp;",IF(ISERROR(FIND(""veneer"",KitchenCarcassMaterial))=TRUE,0,(C89/1000)*VLOOKUP(""Edge banding (per M)"",SheetsData,5,0)),IF(AND(ISERROR(FIND(""carcass"",A89))=FALSE,ISERROR(FIND(""shelf"",A89))=TRUE),IF(ISERROR(FIND(""veneer"",KitchenCarcassMaterial))=TRU"&amp;"E,0,((2*(B89+C89))/1000)*VLOOKUP(""Edge banding (per M)"",SheetsData,5,0)),IF(ISERROR(FIND(""door"",A89))=TRUE,"""",IF(ISERROR(FIND(""veneer"",KitchenDoorMaterial))=TRUE,"""",((2*(B89+C89))/1000)*VLOOKUP(""Edge banding (per M)"",SheetsData,5,0))))))))))"),0.0)</f>
        <v>0</v>
      </c>
      <c r="G89" s="153" t="str">
        <f>IF(A89="","",IF(ISERROR(FIND("bins",A89))=FALSE,VLOOKUP("Base carcass 600",KitchensData,7,0),IF(OR(ISERROR(FIND("larder",A89))=FALSE,ISERROR(FIND("fridge/freezer",A89))=FALSE,ISERROR(FIND("double oven",A89))=FALSE,ISERROR(FIND("single oven",A89))=FALSE),VLOOKUP(LEFT(A89,FIND(" ",A89))&amp;"carcass "&amp;RIGHT(A89,LEN(A89)-(LEN(A89)-3)),KitchensData,7,0),IF(AND(ISERROR(FIND("carcass",A89))=FALSE,ISERROR(FIND("shelf",A89))=TRUE),IF(OR(ISERROR(FIND("Base",A89))=FALSE,ISERROR(FIND("Tower",A89))=FALSE),IF(OR(ISERROR(FIND("1200",A89))=FALSE, ISERROR(FIND("lost corner",A89))=FALSE),6*VLOOKUP("Plinth foot (2 Parts 80mm)",FurnitureData,5,0),4*VLOOKUP("Plinth foot (2 Parts 80mm)",FurnitureData,5,0)),""),""))))</f>
        <v/>
      </c>
      <c r="H89" s="115" t="str">
        <f>IF(OR(A89="",ISERROR(FIND("door",A89))=TRUE),"",IF(ISERROR(FIND("Wall",A89))=FALSE,VLOOKUP("Hinges &amp; plates (Hettich thick door)",FurnitureData,5,0)*2,IF(ISERROR(FIND("Base",A89))=FALSE,VLOOKUP("Hinges &amp; plates (Hettich thick door)",FurnitureData,5,0)*3,IF(ISERROR(FIND("Boiler",A89))=FALSE,VLOOKUP("Hinges &amp; plates (Hettich thick door)",FurnitureData,5,0)*4,IF(ISERROR(FIND("Tower",A89))=FALSE,VLOOKUP("Hinges &amp; plates (Hettich thick door)",FurnitureData,5,0)*5)))))</f>
        <v/>
      </c>
      <c r="I89" s="115" t="str">
        <f>IF(ISERROR(FIND("shelf",A89))=FALSE,(VLOOKUP("Shelf pegs",FurnitureData,5,0)/100)*4,"")</f>
        <v/>
      </c>
      <c r="J89" s="152" t="str">
        <f>IF(OR(ISERROR(FIND("fridge/freezer",A89))=FALSE,ISERROR(FIND("larder",A89))=FALSE,AND(ISERROR(FIND("Base",A89))=FALSE,ISERROR(FIND("bins",A89))=TRUE,ISERROR(FIND("no shelves",A89))=TRUE,OR(ISERROR(FIND("carcass",A89))=FALSE,ISERROR(FIND("unit",A89))=FALSE))),VLOOKUP("Deep shelf "&amp;C89,KitchensData,18,0),IF(AND(ISERROR(FIND("Wall",A89))=FALSE,ISERROR(FIND("carcass",A89))=FALSE),2*VLOOKUP("Shallow shelf "&amp;C89,KitchensData,18,0),IF(AND(ISERROR(FIND("Tower",A89))=FALSE,ISERROR(FIND("oven",A89))=FALSE),4*VLOOKUP("Deep shelf "&amp;C89,KitchensData,18,0),IF(AND(ISERROR(FIND("Tower",A89))=FALSE,ISERROR(FIND("carcass",A89))=FALSE),5*VLOOKUP("Deep shelf "&amp;C89,KitchensData,18,0),""))))</f>
        <v/>
      </c>
      <c r="K89" s="152">
        <f>IF(ISERROR(FIND("sink",A89))=FALSE,VLOOKUP("Sink liner - Aluminium "&amp;RIGHT(A89,LEN(A89)-22)&amp;"mm",ExceptionalData,5,0),IF(ISERROR(FIND("bins",A89))=FALSE,VLOOKUP("Drawer runners and clip set for bin unit (500) Dynapro",FurnitureData,5,0)+(2*VLOOKUP("Bin (42L Anthracite)",FurnitureData,5,0)),IF(ISERROR(FIND("larder",A89))=FALSE,VLOOKUP("Pull out larder unit 600mm",FurnitureData,5,0),IF(AND(ISERROR(FIND("drawer box",A89))=FALSE,ISERROR(FIND("internal",A89))=TRUE),VLOOKUP("Drawer runners and clip set (550) Dynapro",FurnitureData,5,0),IF(ISERROR(FIND("internal drawer box",A89))=FALSE,VLOOKUP("Drawer runners and clip set (450) Dynapro",FurnitureData,5,0),"")))))</f>
        <v>39.72</v>
      </c>
      <c r="L89" s="152">
        <f t="shared" si="3"/>
        <v>69.54746574</v>
      </c>
      <c r="M89" s="154">
        <f>IFERROR(__xludf.DUMMYFUNCTION("IF(A89="""","""",IF(OR(ISERROR(FIND(""larder"",A89))=FALSE,ISERROR(FIND(""unit"",A89))=FALSE),VLOOKUP(LEFT(A89,FIND("" "",A89))&amp;""carcass ""&amp;RIGHT(A89,LEN(A89)-len(regexextract(A89,"".* ""))),KitchensData,13,0),IF(ISERROR(FIND(""bins"",A89))=FALSE,0.95,IF"&amp;"(ISERROR(FIND(""Cutlery insert 600"",A89))=FALSE,1.3,IF(ISERROR(FIND(""Cutlery insert 1200"",A89))=FALSE,2,IF(ISERROR(FIND(""Pan/tray rack 600"",A89))=FALSE,3.25,IF(ISERROR(FIND(""Pan/tray rack 1200"",A89))=FALSE,5.9,IF(ISERROR(FIND(""split"",A89))=FALSE,"&amp;"(((C89/1000)*0.022)*2)+VLOOKUP(SUBSTITUTE(A89,"" split"",""""),KitchensData,13,0),IF(AND(ISERROR(FIND(""drawer front"",A89))=FALSE,KitchenDoorStyle=""Flat""),(((B89/1000)*(C89/1000))*2)+((((B89+C89)/1000)*2)*0.022),IF(AND(ISERROR(FIND(""drawer front"",A89"&amp;"))=FALSE,LEFT(KitchenDoorStyle,5)=""Panel""),(((B89/1000)*(C89/1000))*2)+((((B89+C89)/1000)*2)*0.022)+((((C89/1000)-0.16)*0.013)*2)+((((D89/1000)-0.16)*0.013)*2),IF(AND(ISERROR(FIND(""drawer front"",A89))=FALSE,KitchenDoorStyle=""In-frame flat""),((((B89-"&amp;"76)/1000)*((C89-38)/1000))*2)+(MID(KitchenDoorMaterial,FIND(""("",KitchenDoorMaterial)+1,2)/1000)*((((B89-76)+(C89-38))/1000)*2)+(((B89/1000)*0.032)*2)+((((B89-76)/1000)*0.032)*2)+(((B89/1000)*0.019)*4)+(((C89/1000)*0.032)*2)+((((C89-38)/1000)*0.032)*2)+("&amp;"((C89/1000)*0.038)*4),IF(AND(ISERROR(FIND(""drawer front"",A89))=FALSE,LEFT(KitchenDoorStyle,14)=""In-frame panel""),((((B89-76)/1000)*((C89-38)/1000))*2)+((MID(KitchenDoorMaterial,FIND(""("",KitchenDoorMaterial)+1,2)/1000)*((((B89-76)+(C89-38))/1000)*2))"&amp;"+((((B89-236)/1000)+((C89-198)/1000)*2)*0.013)+(((B89/1000)*0.032)*2)+((((B89-76)/1000)*0.032)*2)+(((B89/1000)*0.019)*4)+(((C89/1000)*0.032)*2)+((((C89-38)/1000)*0.032)*2)+(((C89/1000)*0.038)*4),IF(ISERROR(FIND(""drawer box"",A89))=FALSE,((((B89/1000)*(D8"&amp;"9/1000))+((B89/1000)*(C89/1000)))*4)+((((D89/1000)+(C89/1000))*0.016)*4)+(((C89/1000)*(D89/1000))*2),IF(OR(ISERROR(FIND(""shelf"",A89))=FALSE,ISERROR(FIND(""spacer"",A89))=FALSE,,ISERROR(FIND(""filler panel"",A89))=FALSE),(((C89/1000)*(D89/1000))*2)+((((C"&amp;"89+D89)*2)/1000)*0.022),IF(ISERROR(FIND(""lost corner"",A89))=FALSE,(((B89/1000)*(C89/1000))*2)+((B89/1000)*(C89/1000))+((B89/1000)*((C89/2)/1000))+((((B89/1000)*0.025)+((C89/1000)*0.025))*2),IF(ISERROR(FIND(""carcass"",A89))=FALSE,(((C89/1000)*(D89/1000)"&amp;")*2)+(((B89/1000)*(D89/1000))*2)+((B89/1000)*(C89/1000))+((((B89/1000)*0.025)+((C89/1000)*0.025))*2),IF(AND(ISERROR(FIND(""door"",A89))=FALSE,KitchenDoorStyle=""Flat""),(((B89/1000)*(C89/1000))*2)+(MID(KitchenDoorMaterial,FIND(""("",KitchenDoorMaterial)+1"&amp;",2)/1000)*(((B89+C89)/1000)*2),IF(AND(ISERROR(FIND(""door"",A89))=FALSE,LEFT(KitchenDoorStyle,5)=""Panel""),(((B89/1000)*(C89/1000))*2)+((MID(KitchenDoorMaterial,FIND(""("",KitchenDoorMaterial)+1,2)/1000)*(((B89+C89)/1000)*2))+(((((B89-160)+(C89-160))*2)/"&amp;"1000)*(0.013)),IF(AND(ISERROR(FIND(""door"",A89))=FALSE,KitchenDoorStyle=""In-frame flat""),((((B89-76)/1000)*((C89-38)/1000))*2)+(MID(KitchenDoorMaterial,FIND(""("",KitchenDoorMaterial)+1,2)/1000)*((((B89-76)+(C89-38))/1000)*2)+(((B89/1000)*0.032)*2)+((("&amp;"(B89-76)/1000)*0.032)*2)+(((B89/1000)*0.019)*4)+(((C89/1000)*0.032)*2)+((((C89-38)/1000)*0.032)*2)+(((C89/1000)*0.038)*4),IF(AND(ISERROR(FIND(""door"",A89))=FALSE,LEFT(KitchenDoorStyle,14)=""In-frame panel""),((((B89-76)/1000)*((C89-38)/1000))*2)+((MID(Ki"&amp;"tchenDoorMaterial,FIND(""("",KitchenDoorMaterial)+1,2)/1000)*((((B89-76)+(C89-38))/1000)*2))+((((B89-236)/1000)+((C89-198)/1000)*2)*0.013)+(((B89/1000)*0.032)*2)+((((B89-76)/1000)*0.032)*2)+(((B89/1000)*0.019)*4)+(((C89/1000)*0.032)*2)+((((C89-38)/1000)*0"&amp;".032)*2)+(((C89/1000)*0.038)*4),IF(ISERROR(FIND(""Plinth"",A89))=FALSE,((B89/1000)*(C89/1000))+(((C89/1000)*0.018)*2)+(((B89/1000)*0.018)*2),IF(ISERROR(FIND(""Cornice"",A89))=FALSE,(((C89/1000)*0.1)*2)+(((C89/1000)*0.044)*2)+(((B89/1000)*0.08)*2),IF(ISERR"&amp;"OR(FIND(""Base end panel"",A89))=FALSE,((B89/1000)*(C89/1000))+(0.022*((B89/1000)+((C89/1000)*2)))+((B89/1000)*0.05),IF(ISERROR(FIND(""Wall end panel"",A89))=FALSE,((B89/1000)*(C89/1000))+(0.022*((B89/1000)+((C89/1000)*2)))+((B89/1000)*0.05),IF(ISERROR(FI"&amp;"ND(""Tower end panel"",A89))=FALSE,((B89/1000)*(C89/1000))+(0.022*((B89/1000)+((C89/1000)*2)))+((B89/1000)*0.05),IF(ISERROR(FIND(""Fillers"",A89))=FALSE,((C89/1000)*0.06)+((C89/1000)*0.069)+((0.06*0.018)*2)+((0.06*0.009)*2)+((C89/1000)*0.009)+((C89/1000)*"&amp;"0.018),IF(ISERROR(FIND(""corner post"",A89))=FALSE,(((B89/1000*0.05)*2)+((B89/1000)*0.022)*2)+((B89/1000)*0.072)+((B89/1000)*0.05)+((0.072*0.022)*2)+((0.05*0.022)*2),IF(ISERROR(FIND(""Pelmet"",A89))=FALSE,((C89/1000)*0.05)+((C89/1000)*0.068)+((0.05*0.018)"&amp;"*4)+(((C89/1000)*0.018))*2))))))))))))))))))))))))))))"),2.4192)</f>
        <v>2.4192</v>
      </c>
      <c r="N89" s="152">
        <f>IF(M89="","",IF(AND(ISERROR(FIND("carcass",A89))=TRUE,ISERROR(FIND("unit",A89))=TRUE,ISERROR(FIND("insert",A89))=TRUE,ISERROR(FIND("rack",A89))=TRUE,ISERROR(FIND("box",A89))=TRUE,ISERROR(FIND("shelf",#REF!))=TRUE),VLOOKUP(KitchenDoorFinish,Finishing!$A$2:$K$10,9,0)*M89,VLOOKUP(KitchenCarcassFinish,Finishing!$A$2:$K$40,9,0)*M89))</f>
        <v>9.072</v>
      </c>
      <c r="O89" s="155">
        <v>3.5</v>
      </c>
      <c r="P89" s="155">
        <v>1.0</v>
      </c>
      <c r="Q89" s="152">
        <f>IF(OR(O89="",P89=""),"",((O89*X89)*(VLOOKUP("Workshop",Labour!$A$3:$E$20,4,0)/8))+((P89*AE89)*(VLOOKUP("Finishing",Labour!$A$3:$E$20,4,0)/8)))</f>
        <v>181.125</v>
      </c>
      <c r="R89" s="152">
        <f t="shared" si="4"/>
        <v>259.7444657</v>
      </c>
      <c r="S89" s="156">
        <f>IF(OR(O89="",P89=""),"",IF(OR(ISERROR(FIND("carcass",$A89))=FALSE,ISERROR(FIND("unit",$A89))=FALSE),VLOOKUP(KitchenCarcassMaterial,FixedListsCarcassMaterial,2,0),0))</f>
        <v>0</v>
      </c>
      <c r="T89" s="156">
        <f>IF(OR(O89="",P89=""),"",IF(ISERROR(FIND("door",$A89))=FALSE,VLOOKUP(KitchenDoorStyle,FixedListsDoorStyle,2,0),0))</f>
        <v>0</v>
      </c>
      <c r="U89" s="156">
        <f>IF(OR(O89="",P89=""),"",IF(ISERROR(FIND("door",$A89))=FALSE,VLOOKUP(KitchenDoorMaterial,FixedListsDoorMaterial,2,0),0))</f>
        <v>0</v>
      </c>
      <c r="V89" s="156">
        <f>IF(OR(O89="",P89=""),"",IF(ISERROR(FIND("drawer",$A89))=FALSE,VLOOKUP(KitchenDrawerType,FixedListsDrawerType,2,0),0))</f>
        <v>1</v>
      </c>
      <c r="W89" s="156">
        <f>IF(OR(O89="",P89=""),"",IF(OR(S89&gt;0, T89&gt;0,V89&gt;0),VLOOKUP(KitchenHandleType,FixedListsHandleType,2,FALSE)*IF(KitchenHandleType="Simple",0,IF(S89&gt;0,VLOOKUP(KitchenHandleType,FixedListsHandleType,4,FALSE),IF(OR(T89&gt;0,V89&gt;0),1-VLOOKUP(KitchenHandleType,FixedListsHandleType,4,FALSE),"Error"))),0))</f>
        <v>0</v>
      </c>
      <c r="X89" s="156">
        <f t="shared" si="5"/>
        <v>1</v>
      </c>
      <c r="Y89" s="156">
        <f>IF(OR(O89="",P89=""),"",IF(OR(ISERROR(FIND("carcass",$A89))=FALSE,ISERROR(FIND("unit",$A89))=FALSE),VLOOKUP(KitchenCarcassMaterial,FixedListsCarcassMaterial,3,0),0))</f>
        <v>0</v>
      </c>
      <c r="Z89" s="156">
        <f>IF(OR(O89="",P89=""),"",IF(ISERROR(FIND("door",$A89))=FALSE,VLOOKUP(KitchenDoorStyle,FixedListsDoorStyle,3,0),0))</f>
        <v>0</v>
      </c>
      <c r="AA89" s="156">
        <f>IF(OR(O89="",P89=""),"",IF(ISERROR(FIND("door",$A89))=FALSE,VLOOKUP(KitchenDoorMaterial,FixedListsDoorMaterial,3,0),0))</f>
        <v>0</v>
      </c>
      <c r="AB89" s="156">
        <f>IF(OR(O89="",P89=""),"",IF(ISERROR(FIND("drawer",$A89))=FALSE,VLOOKUP(KitchenDrawerType,FixedListsDrawerType,3,0),0))</f>
        <v>1</v>
      </c>
      <c r="AC89" s="156">
        <f>IF(OR(O89="",P89=""),"",IF(OR(Y89&gt;0,Z89&gt;0,AB89&gt;0),VLOOKUP(KitchenHandleType,FixedListsHandleType,3,FALSE),0))</f>
        <v>1</v>
      </c>
      <c r="AD89" s="156">
        <f>IF(OR(O89="",P89=""),"",IF(OR(ISERROR(FIND("carcass",$A89))=FALSE,ISERROR(FIND("unit",$A89))=FALSE),VLOOKUP(KitchenCarcassFinish,FixedListsFinishes,3,0),IF(OR(ISERROR(FIND("door",$A89))=FALSE,ISERROR(FIND("Plinth",$A89))=FALSE,ISERROR(FIND("Cornice",$A89))=FALSE,ISERROR(FIND("Fillers",$A89))=FALSE,ISERROR(FIND("Pelmet",$A89))=FALSE,ISERROR(FIND("panel",$A89))=FALSE,ISERROR(FIND("post",$A89))=FALSE),VLOOKUP(KitchenDoorFinish,FixedListsFinishes,3,0),IF(OR(ISERROR(FIND("drawer",$A89))=FALSE,ISERROR(FIND("insert",$A89))=FALSE,ISERROR(FIND("rck",$A89))=FALSE),VLOOKUP(KitchenCarcassFinish,FixedListsFinishes,3,0),0))))</f>
        <v>1</v>
      </c>
      <c r="AE89" s="156">
        <f t="shared" si="6"/>
        <v>1</v>
      </c>
      <c r="AF89" s="157" t="str">
        <f>IF(AND(KitchenHandleType="Channel",OR(ISERROR(FIND("arcass",$A89))=FALSE,ISERROR(FIND("unit",$A89))=FALSE)),IF(ISERROR(FIND("Tower",$A89))=TRUE,IF(KitchenHandleFinish="Match carcass",IF(ISERROR(FIND("Walnut",KitchenCarcassMaterial))=FALSE,(0.035*0.075*($C89/1000))*VLOOKUP("Walnut (solid m3)",SolidData,4,FALSE),IF(ISERROR(FIND("Oak",KitchenCarcassMaterial))=FALSE,(0.035*0.075*($C89/1000))*VLOOKUP("Oak (solid m3)",SolidData,4,FALSE),IF(ISERROR(FIND("ply",KitchenCarcassMaterial))=FALSE,(0.1*($C89/1000))*VLOOKUP("Birch ply (24mm)",SheetsData,7,FALSE),IF(ISERROR(FIND("H/F",KitchenCarcassMaterial))=FALSE,(0.1*($C89/1000))*VLOOKUP("H/F (22mm)",SheetsData,7,FALSE),"Carcass - not tower - new material")))),IF(KitchenHandleFinish="Match door",IF(ISERROR(FIND("Walnut",KitchenDoorMaterial))=FALSE,(0.035*0.075*($C89/1000))*VLOOKUP("Walnut (solid m3)",SolidData,4,FALSE),IF(ISERROR(FIND("Oak",KitchenDoorMaterial))=FALSE,(0.035*0.075*($C89/1000))*VLOOKUP("Oak (solid m3)",SolidData,4,FALSE),IF(ISERROR(FIND("ply",KitchenDoorMaterial))=FALSE,(0.1*($C89/1000))*VLOOKUP("Birch ply (24mm)",SheetsData,7,FALSE),IF(ISERROR(FIND("H/F",KitchenCarcassMaterial))=FALSE,(0.1*($C89/1000))*VLOOKUP("H/F (22mm)",SheetsData,7,FALSE),"Door - not tower - new material")))),"Channel - not tower - handle set to other")),IF(ISERROR(FIND("Tower",$A89))=FALSE,IF(KitchenHandleFinish="Match carcass",IF(ISERROR(FIND("Walnut",KitchenCarcassMaterial))=FALSE,(0.035*0.075*($B89/1000))*VLOOKUP("Walnut (solid m3)",SolidData,4,FALSE),IF(ISERROR(FIND("Oak",KitchenCarcassMaterial))=FALSE,(0.035*0.075*($B89/1000))*VLOOKUP("Oak (solid m3)",SolidData,4,FALSE),IF(ISERROR(FIND("ply",KitchenCarcassMaterial))=FALSE,(0.1*($B89/1000))*VLOOKUP("Birch ply (24mm)",SheetsData,7,FALSE),IF(ISERROR(FIND("H/F",KitchenCarcassMaterial))=FALSE,(0.1*($C89/1000))*VLOOKUP("H/F (22mm)",SheetsData,7,FALSE),"Carcass - tower - new material")))),IF(KitchenHandleFinish="Match door",IF(ISERROR(FIND("Walnut",KitchenDoorMaterial))=FALSE,(0.035*0.075*($B89/1000))*VLOOKUP("Walnut (solid m3)",SolidData,4,FALSE),IF(ISERROR(FIND("Oak",KitchenDoorMaterial))=FALSE,(0.035*0.075*($B89/1000))*VLOOKUP("Oak (solid m3)",SolidData,4,FALSE),IF(ISERROR(FIND("ply",KitchenDoorMaterial))=FALSE,(0.1*($B89/1000))*VLOOKUP("Birch ply (24mm)",SheetData,7,FALSE),IF(ISERROR(FIND("H/F",KitchenCarcassMaterial))=FALSE,(0.1*($C89/1000))*VLOOKUP("H/F (22mm)",SheetsData,7,FALSE),"Door - tower - new material")))),"Channel - tower - handle set to other")))),"")</f>
        <v/>
      </c>
    </row>
    <row r="90">
      <c r="A90" s="150" t="s">
        <v>198</v>
      </c>
      <c r="B90" s="115" t="str">
        <f t="shared" si="1"/>
        <v>180</v>
      </c>
      <c r="C90" s="115" t="str">
        <f>IFERROR(__xludf.DUMMYFUNCTION("IF(A90="""","""",IF(OR(RIGHT(A90,LEN(A90)-len(regexextract(A90,"".* "")))=""1200"",RIGHT(A90,LEN(A90)-len(regexextract(A90,"".* "")))=""600"",RIGHT(A90,LEN(A90)-len(regexextract(A90,"".* "")))=""400"",RIGHT(A90,LEN(A90)-len(regexextract(A90,"".* "")))=""3"&amp;"00"",RIGHT(A90,LEN(A90)-len(regexextract(A90,"".* "")))=""700"",RIGHT(A90,LEN(A90)-len(regexextract(A90,"".* "")))=""2400"",RIGHT(A90,LEN(A90)-len(regexextract(A90,"".* "")))=""650"",RIGHT(A90,LEN(A90)-len(regexextract(A90,"".* "")))=""350"",RIGHT(A90,LEN"&amp;"(A90)-len(regexextract(A90,"".* "")))=""50""),RIGHT(A90,LEN(A90)-len(regexextract(A90,"".* ""))),IF(OR(ISERROR(FIND(""spacer"",A90))=FALSE,ISERROR(FIND(""filler panel"",A90))=FALSE),""1000"",""Unexpected size in description"")))"),"600")</f>
        <v>600</v>
      </c>
      <c r="D90" s="151">
        <f t="shared" si="2"/>
        <v>600</v>
      </c>
      <c r="E90" s="152">
        <f>IFERROR(__xludf.DUMMYFUNCTION("IF(OR(A90="""",AND(ISERROR(FIND(""drawer box"",A90))=FALSE,KitchenDrawerType="""")),"""",IF(OR(ISERROR(FIND(""larder"",A90))=FALSE,ISERROR(FIND(""fridge/freezer"",A90))=FALSE,ISERROR(FIND(""double oven"",A90))=FALSE,ISERROR(FIND(""single oven"",A90))=FALS"&amp;"E),VLOOKUP(LEFT(A90,FIND("" "",A90))&amp;""carcass ""&amp;RIGHT(A90,LEN(A90)-(LEN(A90)-3)),KitchensData,5,0),IF(ISERROR(FIND(""sink"",A90))=FALSE,VLOOKUP(LEFT(A90,FIND("" "",A90))&amp;""carcass ""&amp;VALUE(REGEXREPLACE(A90,""[^[:digit:]]"", """")),KitchensData,5,0)+(((C"&amp;"90/1000)*(300/1000))*VLOOKUP(KitchenCarcassMaterial,SheetsData,8,0)),IF(ISERROR(FIND(""bins"",A90))=FALSE,IF(ISERROR(FIND(""veneer"",KitchenCarcassMaterial))=FALSE,VLOOKUP(""Base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600"",A90))=FALSE,IF(ISERROR(FIND(""veneer"""&amp;",KitchenCarcassMaterial))=FALSE,0.54*(VLOOKUP(LEFT(KitchenCarcassMaterial,FIND(""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1200"",A90))=FALSE,"&amp;"IF(ISERROR(FIND(""veneer"",KitchenCarcassMaterial))=FALSE,0.84*(VLOOKUP(LEFT(KitchenCarcassMaterial,FIND(""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600"",A90))=FALSE,IF(ISERROR(FIND(""veneer"",KitchenCarcassMaterial))=FALSE,1.44*(VLOOKUP(LEFT(KitchenCarcassMaterial,FIND(""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1200"",A90))=FALSE,IF(ISERROR(FIND(""veneer"",KitchenCarcassMaterial))=FALSE,2.7*(VLOOKUP(LEFT(KitchenCarcassMaterial,FIND(""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front"",A90))=FALSE,((B90/1000)*(C90/1000))*VLOOKUP(KitchenDoorMaterial,SheetsData,8,0),IF(AND(KitchenDrawerType=""Match carcass"",ISERROR(FIND(""drawer box"",A90))=FALSE),(((((B90/1000)*(C90/1000))+((B90/1000"&amp;")*(D90/1000)))*2)*VLOOKUP(KitchenCarcassMaterial,SheetsData,8,0))+(((C90/1000)*(D90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box"",A90))=FALSE),(((((B90/1000)*(C90/1000))+((B90/1000)*(D90/1000)))*2)*(16/1000)*VLOOKUP(LEFT(KitchenCarcassMaterial,FIND("" "&amp;""",KitchenCarcassMaterial))&amp;""(solid m3)"",SolidData,5,0))+(((C90/1000)*(D90/1000))*VLOOKUP(LEFT(KitchenCarcassMaterial,FIND(""("",KitchenCarcassMaterial)-1)&amp;IF(OR(ISERROR(FIND(""ply"",KitchenCarcassMaterial))=FALSE,ISERROR(FIND(""H/F"",KitchenCarcassMate"&amp;"rial))=FALSE),""(9mm)"",""(10mm)""),SheetsData,8,0)),IF(ISERROR(FIND(""spacer"",A90))=FALSE,((D90/1000)*(C90/1000))*VLOOKUP(""Poplar ply (18mm)"",SheetsData,8,0),IF(ISERROR(FIND(""filler panel"",A90))=FALSE,((B90/1000)*(C90/1000))*VLOOKUP(KitchenDoorMater"&amp;"ial,SheetsData,8,0),IF(ISERROR(FIND(""shelf"",A90))=FALSE,((D90/1000)*(C90/1000))*VLOOKUP(KitchenCarcassMaterial,SheetsData,8,0),IF(ISERROR(FIND(""lost corner"",A90))=FALSE,VLOOKUP(LEFT(A90,FIND("" "",A90))&amp;""carcass ""&amp;VALUE(REGEXREPLACE(A90,""[^[:digit:"&amp;"]]"", """")),KitchensData,5,0)+((((B90/1000)*(C90/1000))+((B90/1000)*(60/1000)))*VLOOKUP(KitchenCarcassMaterial,SheetsData,8,0)),IF(ISERROR(FIND(""carcass"",A90))=FALSE,(((((B90/1000)*2)*(D90/1000))+(((C90/1000)*2)*(D90/1000)))*VLOOKUP(KitchenCarcassMater"&amp;"ial,SheetsData,8,0))+((B90/1000)*(C90/1000))*VLOOKUP(LEFT(KitchenCarcassMaterial,FIND(""("",KitchenCarcassMaterial)-1)&amp;IF(OR(ISERROR(FIND(""ply"",KitchenCarcassMaterial))=FALSE,ISERROR(FIND(""H/F"",KitchenCarcassMaterial))=FALSE),""(9mm)"",""(10mm)""),She"&amp;"etsData,8,0),IF(OR(ISERROR(FIND(""Plinth"",A90))=FALSE,ISERROR(FIND(""Cornice (flat)"",A90))=FALSE),((B90/1000)*(C90/1000))*VLOOKUP(""H/F (18mm)"",SheetsData,8,0),IF(ISERROR(FIND(""Cornice (stacked)"",A90))=FALSE,((0.08*(C90/1000))*2)*VLOOKUP(""H/F (22mm)"&amp;""",SheetsData,8,0),IF(ISERROR(FIND(""Base end panel"",A90))=FALSE,VLOOKUP(KitchenDoorMaterial,SheetsData,5,0)/3,IF(ISERROR(FIND(""Wall end panel"",A90))=FALSE,VLOOKUP(KitchenDoorMaterial,SheetsData,5,0)/9,IF(ISERROR(FIND(""Tower end panel"",A90))=FALSE,VL"&amp;"OOKUP(KitchenDoorMaterial,SheetsData,5,0),IF(ISERROR(FIND(""Fillers"",A90))=FALSE,(((0.06*(C90/1000))*2)*VLOOKUP(""H/F (18mm)"",SheetsData,8,0))+(((0.06*(C90/1000))*2)*VLOOKUP(""H/F (9mm)"",SheetsData,8,0)),IF(ISERROR(FIND(""corner post"",A90))=FALSE,(((B"&amp;"90/1000)*0.05)*2)*VLOOKUP(KitchenDoorMaterial,SheetsData,8,0),IF(ISERROR(FIND(""Pelmet"",A90))=FALSE,((((B90/1000)*(C90/1000))*2)*VLOOKUP(""H/F (18mm)"",SheetsData,8,0)),IF(ISERROR(FIND(""door"",A90))=TRUE,""Check description"",IF(KitchenDoorStyle=""Flat"&amp;""",((B90/1000)*(C90/1000))*VLOOKUP(KitchenDoorMaterial,SheetsData,8,0),IF(LEFT(KitchenDoorStyle,5)=""Panel"",(((((B90/1000)*2)*0.08)+((((C90/1000)-0.16)*2)*0.08))*VLOOKUP(""H/F (22mm)"",SheetsData,8,0))+(((B90/1000)-0.14)*((C90/1000)-0.14)*VLOOKUP(""H/F ("&amp;"9mm)"",SheetsData,8,0)),IF(KitchenDoorStyle=""In-frame flat"",((((((B90/1000)*0.019)*0.038)+((((C90-38)/1000)*0.038)*0.038))*2)*VLOOKUP(""Tulip (solid m3)"",SolidData,5,0))+(((B90-76)/1000)*((C90-38)/1000))*VLOOKUP(""H/F (22mm)"",SheetsData,8,0),IF(LEFT(K"&amp;"itchenDoorStyle,14)=""In-frame panel"",(((((((B90/1000)*0.019)*0.038)+((((C90-38)/1000)*0.038)*0.038))*2)*VLOOKUP(""Tulip (solid m3)"",SolidData,5,0))+(((((((B90-76)/1000)*2)*0.08)+(((((C90-198)/1000)*2)*0.08)))*VLOOKUP(""H/F (22mm)"",SheetsData,8,0))+((("&amp;"B90-216)/1000)*((C90-178)/1000)*VLOOKUP(""H/F (9mm)"",SheetsData,8,0)))))))))))))))))))))))))))))))))"),22.093657618919647)</f>
        <v>22.09365762</v>
      </c>
      <c r="F90" s="152">
        <f>IFERROR(__xludf.DUMMYFUNCTION("IF(OR(A90="""",AND(ISERROR(FIND(""drawer box"",A90))=FALSE,KitchenDrawerType=""Solid dovetail"")),"""",IF(ISERROR(FIND(""bins"",A90))=FALSE,VLOOKUP(""Base carcass 600"",KitchensData,6,0),IF(OR(ISERROR(FIND(""larder"",A90))=FALSE,ISERROR(FIND(""unit"",A90)"&amp;")=FALSE),VLOOKUP(LEFT(A90,FIND("" "",A90))&amp;""carcass ""&amp;RIGHT(A90,LEN(A90)-len(regexextract(A90,"".* ""))),KitchensData,6,0),IF(ISERROR(FIND(""drawer front"",A90))=FALSE,IF(ISERROR(FIND(""veneer"",KitchenCarcassMaterial))=TRUE,0,(((B90+C90)/1000)*2)*VLOOK"&amp;"UP(""Edge banding (per M)"",SheetsData,5,0)),IF(ISERROR(FIND(""drawer box"",A90))=FALSE,IF(ISERROR(FIND(""veneer"",KitchenCarcassMaterial))=TRUE,0,(((C90+D90)/1000)*2)*VLOOKUP(""Edge banding (per M)"",SheetsData,5,0)),IF(ISERROR(FIND(""shelf"",A90))=FALSE"&amp;",IF(ISERROR(FIND(""veneer"",KitchenCarcassMaterial))=TRUE,0,(C90/1000)*VLOOKUP(""Edge banding (per M)"",SheetsData,5,0)),IF(AND(ISERROR(FIND(""carcass"",A90))=FALSE,ISERROR(FIND(""shelf"",A90))=TRUE),IF(ISERROR(FIND(""veneer"",KitchenCarcassMaterial))=TRU"&amp;"E,0,((2*(B90+C90))/1000)*VLOOKUP(""Edge banding (per M)"",SheetsData,5,0)),IF(ISERROR(FIND(""door"",A90))=TRUE,"""",IF(ISERROR(FIND(""veneer"",KitchenDoorMaterial))=TRUE,"""",((2*(B90+C90))/1000)*VLOOKUP(""Edge banding (per M)"",SheetsData,5,0))))))))))"),0.0)</f>
        <v>0</v>
      </c>
      <c r="G90" s="153" t="str">
        <f>IF(A90="","",IF(ISERROR(FIND("bins",A90))=FALSE,VLOOKUP("Base carcass 600",KitchensData,7,0),IF(OR(ISERROR(FIND("larder",A90))=FALSE,ISERROR(FIND("fridge/freezer",A90))=FALSE,ISERROR(FIND("double oven",A90))=FALSE,ISERROR(FIND("single oven",A90))=FALSE),VLOOKUP(LEFT(A90,FIND(" ",A90))&amp;"carcass "&amp;RIGHT(A90,LEN(A90)-(LEN(A90)-3)),KitchensData,7,0),IF(AND(ISERROR(FIND("carcass",A90))=FALSE,ISERROR(FIND("shelf",A90))=TRUE),IF(OR(ISERROR(FIND("Base",A90))=FALSE,ISERROR(FIND("Tower",A90))=FALSE),IF(OR(ISERROR(FIND("1200",A90))=FALSE, ISERROR(FIND("lost corner",A90))=FALSE),6*VLOOKUP("Plinth foot (2 Parts 80mm)",FurnitureData,5,0),4*VLOOKUP("Plinth foot (2 Parts 80mm)",FurnitureData,5,0)),""),""))))</f>
        <v/>
      </c>
      <c r="H90" s="115" t="str">
        <f>IF(OR(A90="",ISERROR(FIND("door",A90))=TRUE),"",IF(ISERROR(FIND("Wall",A90))=FALSE,VLOOKUP("Hinges &amp; plates (Hettich thick door)",FurnitureData,5,0)*2,IF(ISERROR(FIND("Base",A90))=FALSE,VLOOKUP("Hinges &amp; plates (Hettich thick door)",FurnitureData,5,0)*3,IF(ISERROR(FIND("Boiler",A90))=FALSE,VLOOKUP("Hinges &amp; plates (Hettich thick door)",FurnitureData,5,0)*4,IF(ISERROR(FIND("Tower",A90))=FALSE,VLOOKUP("Hinges &amp; plates (Hettich thick door)",FurnitureData,5,0)*5)))))</f>
        <v/>
      </c>
      <c r="I90" s="115" t="str">
        <f>IF(ISERROR(FIND("shelf",A90))=FALSE,(VLOOKUP("Shelf pegs",FurnitureData,5,0)/100)*4,"")</f>
        <v/>
      </c>
      <c r="J90" s="152" t="str">
        <f>IF(OR(ISERROR(FIND("fridge/freezer",A90))=FALSE,ISERROR(FIND("larder",A90))=FALSE,AND(ISERROR(FIND("Base",A90))=FALSE,ISERROR(FIND("bins",A90))=TRUE,ISERROR(FIND("no shelves",A90))=TRUE,OR(ISERROR(FIND("carcass",A90))=FALSE,ISERROR(FIND("unit",A90))=FALSE))),VLOOKUP("Deep shelf "&amp;C90,KitchensData,18,0),IF(AND(ISERROR(FIND("Wall",A90))=FALSE,ISERROR(FIND("carcass",A90))=FALSE),2*VLOOKUP("Shallow shelf "&amp;C90,KitchensData,18,0),IF(AND(ISERROR(FIND("Tower",A90))=FALSE,ISERROR(FIND("oven",A90))=FALSE),4*VLOOKUP("Deep shelf "&amp;C90,KitchensData,18,0),IF(AND(ISERROR(FIND("Tower",A90))=FALSE,ISERROR(FIND("carcass",A90))=FALSE),5*VLOOKUP("Deep shelf "&amp;C90,KitchensData,18,0),""))))</f>
        <v/>
      </c>
      <c r="K90" s="152">
        <f>IF(ISERROR(FIND("sink",A90))=FALSE,VLOOKUP("Sink liner - Aluminium "&amp;RIGHT(A90,LEN(A90)-22)&amp;"mm",ExceptionalData,5,0),IF(ISERROR(FIND("bins",A90))=FALSE,VLOOKUP("Drawer runners and clip set for bin unit (500) Dynapro",FurnitureData,5,0)+(2*VLOOKUP("Bin (42L Anthracite)",FurnitureData,5,0)),IF(ISERROR(FIND("larder",A90))=FALSE,VLOOKUP("Pull out larder unit 600mm",FurnitureData,5,0),IF(AND(ISERROR(FIND("drawer box",A90))=FALSE,ISERROR(FIND("internal",A90))=TRUE),VLOOKUP("Drawer runners and clip set (550) Dynapro",FurnitureData,5,0),IF(ISERROR(FIND("internal drawer box",A90))=FALSE,VLOOKUP("Drawer runners and clip set (450) Dynapro",FurnitureData,5,0),"")))))</f>
        <v>39.72</v>
      </c>
      <c r="L90" s="152">
        <f t="shared" si="3"/>
        <v>61.81365762</v>
      </c>
      <c r="M90" s="154">
        <f>IFERROR(__xludf.DUMMYFUNCTION("IF(A90="""","""",IF(OR(ISERROR(FIND(""larder"",A90))=FALSE,ISERROR(FIND(""unit"",A90))=FALSE),VLOOKUP(LEFT(A90,FIND("" "",A90))&amp;""carcass ""&amp;RIGHT(A90,LEN(A90)-len(regexextract(A90,"".* ""))),KitchensData,13,0),IF(ISERROR(FIND(""bins"",A90))=FALSE,0.95,IF"&amp;"(ISERROR(FIND(""Cutlery insert 600"",A90))=FALSE,1.3,IF(ISERROR(FIND(""Cutlery insert 1200"",A90))=FALSE,2,IF(ISERROR(FIND(""Pan/tray rack 600"",A90))=FALSE,3.25,IF(ISERROR(FIND(""Pan/tray rack 1200"",A90))=FALSE,5.9,IF(ISERROR(FIND(""split"",A90))=FALSE,"&amp;"(((C90/1000)*0.022)*2)+VLOOKUP(SUBSTITUTE(A90,"" split"",""""),KitchensData,13,0),IF(AND(ISERROR(FIND(""drawer front"",A90))=FALSE,KitchenDoorStyle=""Flat""),(((B90/1000)*(C90/1000))*2)+((((B90+C90)/1000)*2)*0.022),IF(AND(ISERROR(FIND(""drawer front"",A90"&amp;"))=FALSE,LEFT(KitchenDoorStyle,5)=""Panel""),(((B90/1000)*(C90/1000))*2)+((((B90+C90)/1000)*2)*0.022)+((((C90/1000)-0.16)*0.013)*2)+((((D90/1000)-0.16)*0.013)*2),IF(AND(ISERROR(FIND(""drawer front"",A90))=FALSE,KitchenDoorStyle=""In-frame flat""),((((B90-"&amp;"76)/1000)*((C90-38)/1000))*2)+(MID(KitchenDoorMaterial,FIND(""("",KitchenDoorMaterial)+1,2)/1000)*((((B90-76)+(C90-38))/1000)*2)+(((B90/1000)*0.032)*2)+((((B90-76)/1000)*0.032)*2)+(((B90/1000)*0.019)*4)+(((C90/1000)*0.032)*2)+((((C90-38)/1000)*0.032)*2)+("&amp;"((C90/1000)*0.038)*4),IF(AND(ISERROR(FIND(""drawer front"",A90))=FALSE,LEFT(KitchenDoorStyle,14)=""In-frame panel""),((((B90-76)/1000)*((C90-38)/1000))*2)+((MID(KitchenDoorMaterial,FIND(""("",KitchenDoorMaterial)+1,2)/1000)*((((B90-76)+(C90-38))/1000)*2))"&amp;"+((((B90-236)/1000)+((C90-198)/1000)*2)*0.013)+(((B90/1000)*0.032)*2)+((((B90-76)/1000)*0.032)*2)+(((B90/1000)*0.019)*4)+(((C90/1000)*0.032)*2)+((((C90-38)/1000)*0.032)*2)+(((C90/1000)*0.038)*4),IF(ISERROR(FIND(""drawer box"",A90))=FALSE,((((B90/1000)*(D9"&amp;"0/1000))+((B90/1000)*(C90/1000)))*4)+((((D90/1000)+(C90/1000))*0.016)*4)+(((C90/1000)*(D90/1000))*2),IF(OR(ISERROR(FIND(""shelf"",A90))=FALSE,ISERROR(FIND(""spacer"",A90))=FALSE,,ISERROR(FIND(""filler panel"",A90))=FALSE),(((C90/1000)*(D90/1000))*2)+((((C"&amp;"90+D90)*2)/1000)*0.022),IF(ISERROR(FIND(""lost corner"",A90))=FALSE,(((B90/1000)*(C90/1000))*2)+((B90/1000)*(C90/1000))+((B90/1000)*((C90/2)/1000))+((((B90/1000)*0.025)+((C90/1000)*0.025))*2),IF(ISERROR(FIND(""carcass"",A90))=FALSE,(((C90/1000)*(D90/1000)"&amp;")*2)+(((B90/1000)*(D90/1000))*2)+((B90/1000)*(C90/1000))+((((B90/1000)*0.025)+((C90/1000)*0.025))*2),IF(AND(ISERROR(FIND(""door"",A90))=FALSE,KitchenDoorStyle=""Flat""),(((B90/1000)*(C90/1000))*2)+(MID(KitchenDoorMaterial,FIND(""("",KitchenDoorMaterial)+1"&amp;",2)/1000)*(((B90+C90)/1000)*2),IF(AND(ISERROR(FIND(""door"",A90))=FALSE,LEFT(KitchenDoorStyle,5)=""Panel""),(((B90/1000)*(C90/1000))*2)+((MID(KitchenDoorMaterial,FIND(""("",KitchenDoorMaterial)+1,2)/1000)*(((B90+C90)/1000)*2))+(((((B90-160)+(C90-160))*2)/"&amp;"1000)*(0.013)),IF(AND(ISERROR(FIND(""door"",A90))=FALSE,KitchenDoorStyle=""In-frame flat""),((((B90-76)/1000)*((C90-38)/1000))*2)+(MID(KitchenDoorMaterial,FIND(""("",KitchenDoorMaterial)+1,2)/1000)*((((B90-76)+(C90-38))/1000)*2)+(((B90/1000)*0.032)*2)+((("&amp;"(B90-76)/1000)*0.032)*2)+(((B90/1000)*0.019)*4)+(((C90/1000)*0.032)*2)+((((C90-38)/1000)*0.032)*2)+(((C90/1000)*0.038)*4),IF(AND(ISERROR(FIND(""door"",A90))=FALSE,LEFT(KitchenDoorStyle,14)=""In-frame panel""),((((B90-76)/1000)*((C90-38)/1000))*2)+((MID(Ki"&amp;"tchenDoorMaterial,FIND(""("",KitchenDoorMaterial)+1,2)/1000)*((((B90-76)+(C90-38))/1000)*2))+((((B90-236)/1000)+((C90-198)/1000)*2)*0.013)+(((B90/1000)*0.032)*2)+((((B90-76)/1000)*0.032)*2)+(((B90/1000)*0.019)*4)+(((C90/1000)*0.032)*2)+((((C90-38)/1000)*0"&amp;".032)*2)+(((C90/1000)*0.038)*4),IF(ISERROR(FIND(""Plinth"",A90))=FALSE,((B90/1000)*(C90/1000))+(((C90/1000)*0.018)*2)+(((B90/1000)*0.018)*2),IF(ISERROR(FIND(""Cornice"",A90))=FALSE,(((C90/1000)*0.1)*2)+(((C90/1000)*0.044)*2)+(((B90/1000)*0.08)*2),IF(ISERR"&amp;"OR(FIND(""Base end panel"",A90))=FALSE,((B90/1000)*(C90/1000))+(0.022*((B90/1000)+((C90/1000)*2)))+((B90/1000)*0.05),IF(ISERROR(FIND(""Wall end panel"",A90))=FALSE,((B90/1000)*(C90/1000))+(0.022*((B90/1000)+((C90/1000)*2)))+((B90/1000)*0.05),IF(ISERROR(FI"&amp;"ND(""Tower end panel"",A90))=FALSE,((B90/1000)*(C90/1000))+(0.022*((B90/1000)+((C90/1000)*2)))+((B90/1000)*0.05),IF(ISERROR(FIND(""Fillers"",A90))=FALSE,((C90/1000)*0.06)+((C90/1000)*0.069)+((0.06*0.018)*2)+((0.06*0.009)*2)+((C90/1000)*0.009)+((C90/1000)*"&amp;"0.018),IF(ISERROR(FIND(""corner post"",A90))=FALSE,(((B90/1000*0.05)*2)+((B90/1000)*0.022)*2)+((B90/1000)*0.072)+((B90/1000)*0.05)+((0.072*0.022)*2)+((0.05*0.022)*2),IF(ISERROR(FIND(""Pelmet"",A90))=FALSE,((C90/1000)*0.05)+((C90/1000)*0.068)+((0.05*0.018)"&amp;"*4)+(((C90/1000)*0.018))*2))))))))))))))))))))))))))))"),1.6608)</f>
        <v>1.6608</v>
      </c>
      <c r="N90" s="152">
        <f>IF(M90="","",IF(AND(ISERROR(FIND("carcass",A90))=TRUE,ISERROR(FIND("unit",A90))=TRUE,ISERROR(FIND("insert",A90))=TRUE,ISERROR(FIND("rack",A90))=TRUE,ISERROR(FIND("box",A90))=TRUE,ISERROR(FIND("shelf",#REF!))=TRUE),VLOOKUP(KitchenDoorFinish,Finishing!$A$2:$K$10,9,0)*M90,VLOOKUP(KitchenCarcassFinish,Finishing!$A$2:$K$40,9,0)*M90))</f>
        <v>6.228</v>
      </c>
      <c r="O90" s="155">
        <v>2.5</v>
      </c>
      <c r="P90" s="155">
        <v>1.0</v>
      </c>
      <c r="Q90" s="152">
        <f>IF(OR(O90="",P90=""),"",((O90*X90)*(VLOOKUP("Workshop",Labour!$A$3:$E$20,4,0)/8))+((P90*AE90)*(VLOOKUP("Finishing",Labour!$A$3:$E$20,4,0)/8)))</f>
        <v>137.375</v>
      </c>
      <c r="R90" s="152">
        <f t="shared" si="4"/>
        <v>205.4166576</v>
      </c>
      <c r="S90" s="156">
        <f>IF(OR(O90="",P90=""),"",IF(OR(ISERROR(FIND("carcass",$A90))=FALSE,ISERROR(FIND("unit",$A90))=FALSE),VLOOKUP(KitchenCarcassMaterial,FixedListsCarcassMaterial,2,0),0))</f>
        <v>0</v>
      </c>
      <c r="T90" s="156">
        <f>IF(OR(O90="",P90=""),"",IF(ISERROR(FIND("door",$A90))=FALSE,VLOOKUP(KitchenDoorStyle,FixedListsDoorStyle,2,0),0))</f>
        <v>0</v>
      </c>
      <c r="U90" s="156">
        <f>IF(OR(O90="",P90=""),"",IF(ISERROR(FIND("door",$A90))=FALSE,VLOOKUP(KitchenDoorMaterial,FixedListsDoorMaterial,2,0),0))</f>
        <v>0</v>
      </c>
      <c r="V90" s="156">
        <f>IF(OR(O90="",P90=""),"",IF(ISERROR(FIND("drawer",$A90))=FALSE,VLOOKUP(KitchenDrawerType,FixedListsDrawerType,2,0),0))</f>
        <v>1</v>
      </c>
      <c r="W90" s="156">
        <f>IF(OR(O90="",P90=""),"",IF(OR(S90&gt;0, T90&gt;0,V90&gt;0),VLOOKUP(KitchenHandleType,FixedListsHandleType,2,FALSE)*IF(KitchenHandleType="Simple",0,IF(S90&gt;0,VLOOKUP(KitchenHandleType,FixedListsHandleType,4,FALSE),IF(OR(T90&gt;0,V90&gt;0),1-VLOOKUP(KitchenHandleType,FixedListsHandleType,4,FALSE),"Error"))),0))</f>
        <v>0</v>
      </c>
      <c r="X90" s="156">
        <f t="shared" si="5"/>
        <v>1</v>
      </c>
      <c r="Y90" s="156">
        <f>IF(OR(O90="",P90=""),"",IF(OR(ISERROR(FIND("carcass",$A90))=FALSE,ISERROR(FIND("unit",$A90))=FALSE),VLOOKUP(KitchenCarcassMaterial,FixedListsCarcassMaterial,3,0),0))</f>
        <v>0</v>
      </c>
      <c r="Z90" s="156">
        <f>IF(OR(O90="",P90=""),"",IF(ISERROR(FIND("door",$A90))=FALSE,VLOOKUP(KitchenDoorStyle,FixedListsDoorStyle,3,0),0))</f>
        <v>0</v>
      </c>
      <c r="AA90" s="156">
        <f>IF(OR(O90="",P90=""),"",IF(ISERROR(FIND("door",$A90))=FALSE,VLOOKUP(KitchenDoorMaterial,FixedListsDoorMaterial,3,0),0))</f>
        <v>0</v>
      </c>
      <c r="AB90" s="156">
        <f>IF(OR(O90="",P90=""),"",IF(ISERROR(FIND("drawer",$A90))=FALSE,VLOOKUP(KitchenDrawerType,FixedListsDrawerType,3,0),0))</f>
        <v>1</v>
      </c>
      <c r="AC90" s="156">
        <f>IF(OR(O90="",P90=""),"",IF(OR(Y90&gt;0,Z90&gt;0,AB90&gt;0),VLOOKUP(KitchenHandleType,FixedListsHandleType,3,FALSE),0))</f>
        <v>1</v>
      </c>
      <c r="AD90" s="156">
        <f>IF(OR(O90="",P90=""),"",IF(OR(ISERROR(FIND("carcass",$A90))=FALSE,ISERROR(FIND("unit",$A90))=FALSE),VLOOKUP(KitchenCarcassFinish,FixedListsFinishes,3,0),IF(OR(ISERROR(FIND("door",$A90))=FALSE,ISERROR(FIND("Plinth",$A90))=FALSE,ISERROR(FIND("Cornice",$A90))=FALSE,ISERROR(FIND("Fillers",$A90))=FALSE,ISERROR(FIND("Pelmet",$A90))=FALSE,ISERROR(FIND("panel",$A90))=FALSE,ISERROR(FIND("post",$A90))=FALSE),VLOOKUP(KitchenDoorFinish,FixedListsFinishes,3,0),IF(OR(ISERROR(FIND("drawer",$A90))=FALSE,ISERROR(FIND("insert",$A90))=FALSE,ISERROR(FIND("rck",$A90))=FALSE),VLOOKUP(KitchenCarcassFinish,FixedListsFinishes,3,0),0))))</f>
        <v>1</v>
      </c>
      <c r="AE90" s="156">
        <f t="shared" si="6"/>
        <v>1</v>
      </c>
      <c r="AF90" s="157" t="str">
        <f>IF(AND(KitchenHandleType="Channel",OR(ISERROR(FIND("arcass",$A90))=FALSE,ISERROR(FIND("unit",$A90))=FALSE)),IF(ISERROR(FIND("Tower",$A90))=TRUE,IF(KitchenHandleFinish="Match carcass",IF(ISERROR(FIND("Walnut",KitchenCarcassMaterial))=FALSE,(0.035*0.075*($C90/1000))*VLOOKUP("Walnut (solid m3)",SolidData,4,FALSE),IF(ISERROR(FIND("Oak",KitchenCarcassMaterial))=FALSE,(0.035*0.075*($C90/1000))*VLOOKUP("Oak (solid m3)",SolidData,4,FALSE),IF(ISERROR(FIND("ply",KitchenCarcassMaterial))=FALSE,(0.1*($C90/1000))*VLOOKUP("Birch ply (24mm)",SheetsData,7,FALSE),IF(ISERROR(FIND("H/F",KitchenCarcassMaterial))=FALSE,(0.1*($C90/1000))*VLOOKUP("H/F (22mm)",SheetsData,7,FALSE),"Carcass - not tower - new material")))),IF(KitchenHandleFinish="Match door",IF(ISERROR(FIND("Walnut",KitchenDoorMaterial))=FALSE,(0.035*0.075*($C90/1000))*VLOOKUP("Walnut (solid m3)",SolidData,4,FALSE),IF(ISERROR(FIND("Oak",KitchenDoorMaterial))=FALSE,(0.035*0.075*($C90/1000))*VLOOKUP("Oak (solid m3)",SolidData,4,FALSE),IF(ISERROR(FIND("ply",KitchenDoorMaterial))=FALSE,(0.1*($C90/1000))*VLOOKUP("Birch ply (24mm)",SheetsData,7,FALSE),IF(ISERROR(FIND("H/F",KitchenCarcassMaterial))=FALSE,(0.1*($C90/1000))*VLOOKUP("H/F (22mm)",SheetsData,7,FALSE),"Door - not tower - new material")))),"Channel - not tower - handle set to other")),IF(ISERROR(FIND("Tower",$A90))=FALSE,IF(KitchenHandleFinish="Match carcass",IF(ISERROR(FIND("Walnut",KitchenCarcassMaterial))=FALSE,(0.035*0.075*($B90/1000))*VLOOKUP("Walnut (solid m3)",SolidData,4,FALSE),IF(ISERROR(FIND("Oak",KitchenCarcassMaterial))=FALSE,(0.035*0.075*($B90/1000))*VLOOKUP("Oak (solid m3)",SolidData,4,FALSE),IF(ISERROR(FIND("ply",KitchenCarcassMaterial))=FALSE,(0.1*($B90/1000))*VLOOKUP("Birch ply (24mm)",SheetsData,7,FALSE),IF(ISERROR(FIND("H/F",KitchenCarcassMaterial))=FALSE,(0.1*($C90/1000))*VLOOKUP("H/F (22mm)",SheetsData,7,FALSE),"Carcass - tower - new material")))),IF(KitchenHandleFinish="Match door",IF(ISERROR(FIND("Walnut",KitchenDoorMaterial))=FALSE,(0.035*0.075*($B90/1000))*VLOOKUP("Walnut (solid m3)",SolidData,4,FALSE),IF(ISERROR(FIND("Oak",KitchenDoorMaterial))=FALSE,(0.035*0.075*($B90/1000))*VLOOKUP("Oak (solid m3)",SolidData,4,FALSE),IF(ISERROR(FIND("ply",KitchenDoorMaterial))=FALSE,(0.1*($B90/1000))*VLOOKUP("Birch ply (24mm)",SheetData,7,FALSE),IF(ISERROR(FIND("H/F",KitchenCarcassMaterial))=FALSE,(0.1*($C90/1000))*VLOOKUP("H/F (22mm)",SheetsData,7,FALSE),"Door - tower - new material")))),"Channel - tower - handle set to other")))),"")</f>
        <v/>
      </c>
    </row>
    <row r="91">
      <c r="A91" s="150" t="s">
        <v>199</v>
      </c>
      <c r="B91" s="115" t="str">
        <f t="shared" si="1"/>
        <v>180</v>
      </c>
      <c r="C91" s="115" t="str">
        <f>IFERROR(__xludf.DUMMYFUNCTION("IF(A91="""","""",IF(OR(RIGHT(A91,LEN(A91)-len(regexextract(A91,"".* "")))=""1200"",RIGHT(A91,LEN(A91)-len(regexextract(A91,"".* "")))=""600"",RIGHT(A91,LEN(A91)-len(regexextract(A91,"".* "")))=""400"",RIGHT(A91,LEN(A91)-len(regexextract(A91,"".* "")))=""3"&amp;"00"",RIGHT(A91,LEN(A91)-len(regexextract(A91,"".* "")))=""700"",RIGHT(A91,LEN(A91)-len(regexextract(A91,"".* "")))=""2400"",RIGHT(A91,LEN(A91)-len(regexextract(A91,"".* "")))=""650"",RIGHT(A91,LEN(A91)-len(regexextract(A91,"".* "")))=""350"",RIGHT(A91,LEN"&amp;"(A91)-len(regexextract(A91,"".* "")))=""50""),RIGHT(A91,LEN(A91)-len(regexextract(A91,"".* ""))),IF(OR(ISERROR(FIND(""spacer"",A91))=FALSE,ISERROR(FIND(""filler panel"",A91))=FALSE),""1000"",""Unexpected size in description"")))"),"1200")</f>
        <v>1200</v>
      </c>
      <c r="D91" s="151">
        <f t="shared" si="2"/>
        <v>600</v>
      </c>
      <c r="E91" s="152">
        <f>IFERROR(__xludf.DUMMYFUNCTION("IF(OR(A91="""",AND(ISERROR(FIND(""drawer box"",A91))=FALSE,KitchenDrawerType="""")),"""",IF(OR(ISERROR(FIND(""larder"",A91))=FALSE,ISERROR(FIND(""fridge/freezer"",A91))=FALSE,ISERROR(FIND(""double oven"",A91))=FALSE,ISERROR(FIND(""single oven"",A91))=FALS"&amp;"E),VLOOKUP(LEFT(A91,FIND("" "",A91))&amp;""carcass ""&amp;RIGHT(A91,LEN(A91)-(LEN(A91)-3)),KitchensData,5,0),IF(ISERROR(FIND(""sink"",A91))=FALSE,VLOOKUP(LEFT(A91,FIND("" "",A91))&amp;""carcass ""&amp;VALUE(REGEXREPLACE(A91,""[^[:digit:]]"", """")),KitchensData,5,0)+(((C"&amp;"91/1000)*(300/1000))*VLOOKUP(KitchenCarcassMaterial,SheetsData,8,0)),IF(ISERROR(FIND(""bins"",A91))=FALSE,IF(ISERROR(FIND(""veneer"",KitchenCarcassMaterial))=FALSE,VLOOKUP(""Base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600"",A91))=FALSE,IF(ISERROR(FIND(""veneer"""&amp;",KitchenCarcassMaterial))=FALSE,0.54*(VLOOKUP(LEFT(KitchenCarcassMaterial,FIND(""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1200"",A91))=FALSE,"&amp;"IF(ISERROR(FIND(""veneer"",KitchenCarcassMaterial))=FALSE,0.84*(VLOOKUP(LEFT(KitchenCarcassMaterial,FIND(""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600"",A91))=FALSE,IF(ISERROR(FIND(""veneer"",KitchenCarcassMaterial))=FALSE,1.44*(VLOOKUP(LEFT(KitchenCarcassMaterial,FIND(""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1200"",A91))=FALSE,IF(ISERROR(FIND(""veneer"",KitchenCarcassMaterial))=FALSE,2.7*(VLOOKUP(LEFT(KitchenCarcassMaterial,FIND(""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front"",A91))=FALSE,((B91/1000)*(C91/1000))*VLOOKUP(KitchenDoorMaterial,SheetsData,8,0),IF(AND(KitchenDrawerType=""Match carcass"",ISERROR(FIND(""drawer box"",A91))=FALSE),(((((B91/1000)*(C91/1000))+((B91/1000"&amp;")*(D91/1000)))*2)*VLOOKUP(KitchenCarcassMaterial,SheetsData,8,0))+(((C91/1000)*(D91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box"",A91))=FALSE),(((((B91/1000)*(C91/1000))+((B91/1000)*(D91/1000)))*2)*(16/1000)*VLOOKUP(LEFT(KitchenCarcassMaterial,FIND("" "&amp;""",KitchenCarcassMaterial))&amp;""(solid m3)"",SolidData,5,0))+(((C91/1000)*(D91/1000))*VLOOKUP(LEFT(KitchenCarcassMaterial,FIND(""("",KitchenCarcassMaterial)-1)&amp;IF(OR(ISERROR(FIND(""ply"",KitchenCarcassMaterial))=FALSE,ISERROR(FIND(""H/F"",KitchenCarcassMate"&amp;"rial))=FALSE),""(9mm)"",""(10mm)""),SheetsData,8,0)),IF(ISERROR(FIND(""spacer"",A91))=FALSE,((D91/1000)*(C91/1000))*VLOOKUP(""Poplar ply (18mm)"",SheetsData,8,0),IF(ISERROR(FIND(""filler panel"",A91))=FALSE,((B91/1000)*(C91/1000))*VLOOKUP(KitchenDoorMater"&amp;"ial,SheetsData,8,0),IF(ISERROR(FIND(""shelf"",A91))=FALSE,((D91/1000)*(C91/1000))*VLOOKUP(KitchenCarcassMaterial,SheetsData,8,0),IF(ISERROR(FIND(""lost corner"",A91))=FALSE,VLOOKUP(LEFT(A91,FIND("" "",A91))&amp;""carcass ""&amp;VALUE(REGEXREPLACE(A91,""[^[:digit:"&amp;"]]"", """")),KitchensData,5,0)+((((B91/1000)*(C91/1000))+((B91/1000)*(60/1000)))*VLOOKUP(KitchenCarcassMaterial,SheetsData,8,0)),IF(ISERROR(FIND(""carcass"",A91))=FALSE,(((((B91/1000)*2)*(D91/1000))+(((C91/1000)*2)*(D91/1000)))*VLOOKUP(KitchenCarcassMater"&amp;"ial,SheetsData,8,0))+((B91/1000)*(C91/1000))*VLOOKUP(LEFT(KitchenCarcassMaterial,FIND(""("",KitchenCarcassMaterial)-1)&amp;IF(OR(ISERROR(FIND(""ply"",KitchenCarcassMaterial))=FALSE,ISERROR(FIND(""H/F"",KitchenCarcassMaterial))=FALSE),""(9mm)"",""(10mm)""),She"&amp;"etsData,8,0),IF(OR(ISERROR(FIND(""Plinth"",A91))=FALSE,ISERROR(FIND(""Cornice (flat)"",A91))=FALSE),((B91/1000)*(C91/1000))*VLOOKUP(""H/F (18mm)"",SheetsData,8,0),IF(ISERROR(FIND(""Cornice (stacked)"",A91))=FALSE,((0.08*(C91/1000))*2)*VLOOKUP(""H/F (22mm)"&amp;""",SheetsData,8,0),IF(ISERROR(FIND(""Base end panel"",A91))=FALSE,VLOOKUP(KitchenDoorMaterial,SheetsData,5,0)/3,IF(ISERROR(FIND(""Wall end panel"",A91))=FALSE,VLOOKUP(KitchenDoorMaterial,SheetsData,5,0)/9,IF(ISERROR(FIND(""Tower end panel"",A91))=FALSE,VL"&amp;"OOKUP(KitchenDoorMaterial,SheetsData,5,0),IF(ISERROR(FIND(""Fillers"",A91))=FALSE,(((0.06*(C91/1000))*2)*VLOOKUP(""H/F (18mm)"",SheetsData,8,0))+(((0.06*(C91/1000))*2)*VLOOKUP(""H/F (9mm)"",SheetsData,8,0)),IF(ISERROR(FIND(""corner post"",A91))=FALSE,(((B"&amp;"91/1000)*0.05)*2)*VLOOKUP(KitchenDoorMaterial,SheetsData,8,0),IF(ISERROR(FIND(""Pelmet"",A91))=FALSE,((((B91/1000)*(C91/1000))*2)*VLOOKUP(""H/F (18mm)"",SheetsData,8,0)),IF(ISERROR(FIND(""door"",A91))=TRUE,""Check description"",IF(KitchenDoorStyle=""Flat"&amp;""",((B91/1000)*(C91/1000))*VLOOKUP(KitchenDoorMaterial,SheetsData,8,0),IF(LEFT(KitchenDoorStyle,5)=""Panel"",(((((B91/1000)*2)*0.08)+((((C91/1000)-0.16)*2)*0.08))*VLOOKUP(""H/F (22mm)"",SheetsData,8,0))+(((B91/1000)-0.14)*((C91/1000)-0.14)*VLOOKUP(""H/F ("&amp;"9mm)"",SheetsData,8,0)),IF(KitchenDoorStyle=""In-frame flat"",((((((B91/1000)*0.019)*0.038)+((((C91-38)/1000)*0.038)*0.038))*2)*VLOOKUP(""Tulip (solid m3)"",SolidData,5,0))+(((B91-76)/1000)*((C91-38)/1000))*VLOOKUP(""H/F (22mm)"",SheetsData,8,0),IF(LEFT(K"&amp;"itchenDoorStyle,14)=""In-frame panel"",(((((((B91/1000)*0.019)*0.038)+((((C91-38)/1000)*0.038)*0.038))*2)*VLOOKUP(""Tulip (solid m3)"",SolidData,5,0))+(((((((B91-76)/1000)*2)*0.08)+(((((C91-198)/1000)*2)*0.08)))*VLOOKUP(""H/F (22mm)"",SheetsData,8,0))+((("&amp;"B91-216)/1000)*((C91-178)/1000)*VLOOKUP(""H/F (9mm)"",SheetsData,8,0)))))))))))))))))))))))))))))))))"),37.007390486428385)</f>
        <v>37.00739049</v>
      </c>
      <c r="F91" s="152">
        <f>IFERROR(__xludf.DUMMYFUNCTION("IF(OR(A91="""",AND(ISERROR(FIND(""drawer box"",A91))=FALSE,KitchenDrawerType=""Solid dovetail"")),"""",IF(ISERROR(FIND(""bins"",A91))=FALSE,VLOOKUP(""Base carcass 600"",KitchensData,6,0),IF(OR(ISERROR(FIND(""larder"",A91))=FALSE,ISERROR(FIND(""unit"",A91)"&amp;")=FALSE),VLOOKUP(LEFT(A91,FIND("" "",A91))&amp;""carcass ""&amp;RIGHT(A91,LEN(A91)-len(regexextract(A91,"".* ""))),KitchensData,6,0),IF(ISERROR(FIND(""drawer front"",A91))=FALSE,IF(ISERROR(FIND(""veneer"",KitchenCarcassMaterial))=TRUE,0,(((B91+C91)/1000)*2)*VLOOK"&amp;"UP(""Edge banding (per M)"",SheetsData,5,0)),IF(ISERROR(FIND(""drawer box"",A91))=FALSE,IF(ISERROR(FIND(""veneer"",KitchenCarcassMaterial))=TRUE,0,(((C91+D91)/1000)*2)*VLOOKUP(""Edge banding (per M)"",SheetsData,5,0)),IF(ISERROR(FIND(""shelf"",A91))=FALSE"&amp;",IF(ISERROR(FIND(""veneer"",KitchenCarcassMaterial))=TRUE,0,(C91/1000)*VLOOKUP(""Edge banding (per M)"",SheetsData,5,0)),IF(AND(ISERROR(FIND(""carcass"",A91))=FALSE,ISERROR(FIND(""shelf"",A91))=TRUE),IF(ISERROR(FIND(""veneer"",KitchenCarcassMaterial))=TRU"&amp;"E,0,((2*(B91+C91))/1000)*VLOOKUP(""Edge banding (per M)"",SheetsData,5,0)),IF(ISERROR(FIND(""door"",A91))=TRUE,"""",IF(ISERROR(FIND(""veneer"",KitchenDoorMaterial))=TRUE,"""",((2*(B91+C91))/1000)*VLOOKUP(""Edge banding (per M)"",SheetsData,5,0))))))))))"),0.0)</f>
        <v>0</v>
      </c>
      <c r="G91" s="153" t="str">
        <f>IF(A91="","",IF(ISERROR(FIND("bins",A91))=FALSE,VLOOKUP("Base carcass 600",KitchensData,7,0),IF(OR(ISERROR(FIND("larder",A91))=FALSE,ISERROR(FIND("fridge/freezer",A91))=FALSE,ISERROR(FIND("double oven",A91))=FALSE,ISERROR(FIND("single oven",A91))=FALSE),VLOOKUP(LEFT(A91,FIND(" ",A91))&amp;"carcass "&amp;RIGHT(A91,LEN(A91)-(LEN(A91)-3)),KitchensData,7,0),IF(AND(ISERROR(FIND("carcass",A91))=FALSE,ISERROR(FIND("shelf",A91))=TRUE),IF(OR(ISERROR(FIND("Base",A91))=FALSE,ISERROR(FIND("Tower",A91))=FALSE),IF(OR(ISERROR(FIND("1200",A91))=FALSE, ISERROR(FIND("lost corner",A91))=FALSE),6*VLOOKUP("Plinth foot (2 Parts 80mm)",FurnitureData,5,0),4*VLOOKUP("Plinth foot (2 Parts 80mm)",FurnitureData,5,0)),""),""))))</f>
        <v/>
      </c>
      <c r="H91" s="115" t="str">
        <f>IF(OR(A91="",ISERROR(FIND("door",A91))=TRUE),"",IF(ISERROR(FIND("Wall",A91))=FALSE,VLOOKUP("Hinges &amp; plates (Hettich thick door)",FurnitureData,5,0)*2,IF(ISERROR(FIND("Base",A91))=FALSE,VLOOKUP("Hinges &amp; plates (Hettich thick door)",FurnitureData,5,0)*3,IF(ISERROR(FIND("Boiler",A91))=FALSE,VLOOKUP("Hinges &amp; plates (Hettich thick door)",FurnitureData,5,0)*4,IF(ISERROR(FIND("Tower",A91))=FALSE,VLOOKUP("Hinges &amp; plates (Hettich thick door)",FurnitureData,5,0)*5)))))</f>
        <v/>
      </c>
      <c r="I91" s="115" t="str">
        <f>IF(ISERROR(FIND("shelf",A91))=FALSE,(VLOOKUP("Shelf pegs",FurnitureData,5,0)/100)*4,"")</f>
        <v/>
      </c>
      <c r="J91" s="152" t="str">
        <f>IF(OR(ISERROR(FIND("fridge/freezer",A91))=FALSE,ISERROR(FIND("larder",A91))=FALSE,AND(ISERROR(FIND("Base",A91))=FALSE,ISERROR(FIND("bins",A91))=TRUE,ISERROR(FIND("no shelves",A91))=TRUE,OR(ISERROR(FIND("carcass",A91))=FALSE,ISERROR(FIND("unit",A91))=FALSE))),VLOOKUP("Deep shelf "&amp;C91,KitchensData,18,0),IF(AND(ISERROR(FIND("Wall",A91))=FALSE,ISERROR(FIND("carcass",A91))=FALSE),2*VLOOKUP("Shallow shelf "&amp;C91,KitchensData,18,0),IF(AND(ISERROR(FIND("Tower",A91))=FALSE,ISERROR(FIND("oven",A91))=FALSE),4*VLOOKUP("Deep shelf "&amp;C91,KitchensData,18,0),IF(AND(ISERROR(FIND("Tower",A91))=FALSE,ISERROR(FIND("carcass",A91))=FALSE),5*VLOOKUP("Deep shelf "&amp;C91,KitchensData,18,0),""))))</f>
        <v/>
      </c>
      <c r="K91" s="152">
        <f>IF(ISERROR(FIND("sink",A91))=FALSE,VLOOKUP("Sink liner - Aluminium "&amp;RIGHT(A91,LEN(A91)-22)&amp;"mm",ExceptionalData,5,0),IF(ISERROR(FIND("bins",A91))=FALSE,VLOOKUP("Drawer runners and clip set for bin unit (500) Dynapro",FurnitureData,5,0)+(2*VLOOKUP("Bin (42L Anthracite)",FurnitureData,5,0)),IF(ISERROR(FIND("larder",A91))=FALSE,VLOOKUP("Pull out larder unit 600mm",FurnitureData,5,0),IF(AND(ISERROR(FIND("drawer box",A91))=FALSE,ISERROR(FIND("internal",A91))=TRUE),VLOOKUP("Drawer runners and clip set (550) Dynapro",FurnitureData,5,0),IF(ISERROR(FIND("internal drawer box",A91))=FALSE,VLOOKUP("Drawer runners and clip set (450) Dynapro",FurnitureData,5,0),"")))))</f>
        <v>39.72</v>
      </c>
      <c r="L91" s="152">
        <f t="shared" si="3"/>
        <v>76.72739049</v>
      </c>
      <c r="M91" s="154">
        <f>IFERROR(__xludf.DUMMYFUNCTION("IF(A91="""","""",IF(OR(ISERROR(FIND(""larder"",A91))=FALSE,ISERROR(FIND(""unit"",A91))=FALSE),VLOOKUP(LEFT(A91,FIND("" "",A91))&amp;""carcass ""&amp;RIGHT(A91,LEN(A91)-len(regexextract(A91,"".* ""))),KitchensData,13,0),IF(ISERROR(FIND(""bins"",A91))=FALSE,0.95,IF"&amp;"(ISERROR(FIND(""Cutlery insert 600"",A91))=FALSE,1.3,IF(ISERROR(FIND(""Cutlery insert 1200"",A91))=FALSE,2,IF(ISERROR(FIND(""Pan/tray rack 600"",A91))=FALSE,3.25,IF(ISERROR(FIND(""Pan/tray rack 1200"",A91))=FALSE,5.9,IF(ISERROR(FIND(""split"",A91))=FALSE,"&amp;"(((C91/1000)*0.022)*2)+VLOOKUP(SUBSTITUTE(A91,"" split"",""""),KitchensData,13,0),IF(AND(ISERROR(FIND(""drawer front"",A91))=FALSE,KitchenDoorStyle=""Flat""),(((B91/1000)*(C91/1000))*2)+((((B91+C91)/1000)*2)*0.022),IF(AND(ISERROR(FIND(""drawer front"",A91"&amp;"))=FALSE,LEFT(KitchenDoorStyle,5)=""Panel""),(((B91/1000)*(C91/1000))*2)+((((B91+C91)/1000)*2)*0.022)+((((C91/1000)-0.16)*0.013)*2)+((((D91/1000)-0.16)*0.013)*2),IF(AND(ISERROR(FIND(""drawer front"",A91))=FALSE,KitchenDoorStyle=""In-frame flat""),((((B91-"&amp;"76)/1000)*((C91-38)/1000))*2)+(MID(KitchenDoorMaterial,FIND(""("",KitchenDoorMaterial)+1,2)/1000)*((((B91-76)+(C91-38))/1000)*2)+(((B91/1000)*0.032)*2)+((((B91-76)/1000)*0.032)*2)+(((B91/1000)*0.019)*4)+(((C91/1000)*0.032)*2)+((((C91-38)/1000)*0.032)*2)+("&amp;"((C91/1000)*0.038)*4),IF(AND(ISERROR(FIND(""drawer front"",A91))=FALSE,LEFT(KitchenDoorStyle,14)=""In-frame panel""),((((B91-76)/1000)*((C91-38)/1000))*2)+((MID(KitchenDoorMaterial,FIND(""("",KitchenDoorMaterial)+1,2)/1000)*((((B91-76)+(C91-38))/1000)*2))"&amp;"+((((B91-236)/1000)+((C91-198)/1000)*2)*0.013)+(((B91/1000)*0.032)*2)+((((B91-76)/1000)*0.032)*2)+(((B91/1000)*0.019)*4)+(((C91/1000)*0.032)*2)+((((C91-38)/1000)*0.032)*2)+(((C91/1000)*0.038)*4),IF(ISERROR(FIND(""drawer box"",A91))=FALSE,((((B91/1000)*(D9"&amp;"1/1000))+((B91/1000)*(C91/1000)))*4)+((((D91/1000)+(C91/1000))*0.016)*4)+(((C91/1000)*(D91/1000))*2),IF(OR(ISERROR(FIND(""shelf"",A91))=FALSE,ISERROR(FIND(""spacer"",A91))=FALSE,,ISERROR(FIND(""filler panel"",A91))=FALSE),(((C91/1000)*(D91/1000))*2)+((((C"&amp;"91+D91)*2)/1000)*0.022),IF(ISERROR(FIND(""lost corner"",A91))=FALSE,(((B91/1000)*(C91/1000))*2)+((B91/1000)*(C91/1000))+((B91/1000)*((C91/2)/1000))+((((B91/1000)*0.025)+((C91/1000)*0.025))*2),IF(ISERROR(FIND(""carcass"",A91))=FALSE,(((C91/1000)*(D91/1000)"&amp;")*2)+(((B91/1000)*(D91/1000))*2)+((B91/1000)*(C91/1000))+((((B91/1000)*0.025)+((C91/1000)*0.025))*2),IF(AND(ISERROR(FIND(""door"",A91))=FALSE,KitchenDoorStyle=""Flat""),(((B91/1000)*(C91/1000))*2)+(MID(KitchenDoorMaterial,FIND(""("",KitchenDoorMaterial)+1"&amp;",2)/1000)*(((B91+C91)/1000)*2),IF(AND(ISERROR(FIND(""door"",A91))=FALSE,LEFT(KitchenDoorStyle,5)=""Panel""),(((B91/1000)*(C91/1000))*2)+((MID(KitchenDoorMaterial,FIND(""("",KitchenDoorMaterial)+1,2)/1000)*(((B91+C91)/1000)*2))+(((((B91-160)+(C91-160))*2)/"&amp;"1000)*(0.013)),IF(AND(ISERROR(FIND(""door"",A91))=FALSE,KitchenDoorStyle=""In-frame flat""),((((B91-76)/1000)*((C91-38)/1000))*2)+(MID(KitchenDoorMaterial,FIND(""("",KitchenDoorMaterial)+1,2)/1000)*((((B91-76)+(C91-38))/1000)*2)+(((B91/1000)*0.032)*2)+((("&amp;"(B91-76)/1000)*0.032)*2)+(((B91/1000)*0.019)*4)+(((C91/1000)*0.032)*2)+((((C91-38)/1000)*0.032)*2)+(((C91/1000)*0.038)*4),IF(AND(ISERROR(FIND(""door"",A91))=FALSE,LEFT(KitchenDoorStyle,14)=""In-frame panel""),((((B91-76)/1000)*((C91-38)/1000))*2)+((MID(Ki"&amp;"tchenDoorMaterial,FIND(""("",KitchenDoorMaterial)+1,2)/1000)*((((B91-76)+(C91-38))/1000)*2))+((((B91-236)/1000)+((C91-198)/1000)*2)*0.013)+(((B91/1000)*0.032)*2)+((((B91-76)/1000)*0.032)*2)+(((B91/1000)*0.019)*4)+(((C91/1000)*0.032)*2)+((((C91-38)/1000)*0"&amp;".032)*2)+(((C91/1000)*0.038)*4),IF(ISERROR(FIND(""Plinth"",A91))=FALSE,((B91/1000)*(C91/1000))+(((C91/1000)*0.018)*2)+(((B91/1000)*0.018)*2),IF(ISERROR(FIND(""Cornice"",A91))=FALSE,(((C91/1000)*0.1)*2)+(((C91/1000)*0.044)*2)+(((B91/1000)*0.08)*2),IF(ISERR"&amp;"OR(FIND(""Base end panel"",A91))=FALSE,((B91/1000)*(C91/1000))+(0.022*((B91/1000)+((C91/1000)*2)))+((B91/1000)*0.05),IF(ISERROR(FIND(""Wall end panel"",A91))=FALSE,((B91/1000)*(C91/1000))+(0.022*((B91/1000)+((C91/1000)*2)))+((B91/1000)*0.05),IF(ISERROR(FI"&amp;"ND(""Tower end panel"",A91))=FALSE,((B91/1000)*(C91/1000))+(0.022*((B91/1000)+((C91/1000)*2)))+((B91/1000)*0.05),IF(ISERROR(FIND(""Fillers"",A91))=FALSE,((C91/1000)*0.06)+((C91/1000)*0.069)+((0.06*0.018)*2)+((0.06*0.009)*2)+((C91/1000)*0.009)+((C91/1000)*"&amp;"0.018),IF(ISERROR(FIND(""corner post"",A91))=FALSE,(((B91/1000*0.05)*2)+((B91/1000)*0.022)*2)+((B91/1000)*0.072)+((B91/1000)*0.05)+((0.072*0.022)*2)+((0.05*0.022)*2),IF(ISERROR(FIND(""Pelmet"",A91))=FALSE,((C91/1000)*0.05)+((C91/1000)*0.068)+((0.05*0.018)"&amp;"*4)+(((C91/1000)*0.018))*2))))))))))))))))))))))))))))"),2.8512)</f>
        <v>2.8512</v>
      </c>
      <c r="N91" s="152">
        <f>IF(M91="","",IF(AND(ISERROR(FIND("carcass",A91))=TRUE,ISERROR(FIND("unit",A91))=TRUE,ISERROR(FIND("insert",A91))=TRUE,ISERROR(FIND("rack",A91))=TRUE,ISERROR(FIND("box",A91))=TRUE,ISERROR(FIND("shelf",#REF!))=TRUE),VLOOKUP(KitchenDoorFinish,Finishing!$A$2:$K$10,9,0)*M91,VLOOKUP(KitchenCarcassFinish,Finishing!$A$2:$K$40,9,0)*M91))</f>
        <v>10.692</v>
      </c>
      <c r="O91" s="155">
        <v>3.5</v>
      </c>
      <c r="P91" s="155">
        <v>1.0</v>
      </c>
      <c r="Q91" s="152">
        <f>IF(OR(O91="",P91=""),"",((O91*X91)*(VLOOKUP("Workshop",Labour!$A$3:$E$20,4,0)/8))+((P91*AE91)*(VLOOKUP("Finishing",Labour!$A$3:$E$20,4,0)/8)))</f>
        <v>181.125</v>
      </c>
      <c r="R91" s="152">
        <f t="shared" si="4"/>
        <v>268.5443905</v>
      </c>
      <c r="S91" s="156">
        <f>IF(OR(O91="",P91=""),"",IF(OR(ISERROR(FIND("carcass",$A91))=FALSE,ISERROR(FIND("unit",$A91))=FALSE),VLOOKUP(KitchenCarcassMaterial,FixedListsCarcassMaterial,2,0),0))</f>
        <v>0</v>
      </c>
      <c r="T91" s="156">
        <f>IF(OR(O91="",P91=""),"",IF(ISERROR(FIND("door",$A91))=FALSE,VLOOKUP(KitchenDoorStyle,FixedListsDoorStyle,2,0),0))</f>
        <v>0</v>
      </c>
      <c r="U91" s="156">
        <f>IF(OR(O91="",P91=""),"",IF(ISERROR(FIND("door",$A91))=FALSE,VLOOKUP(KitchenDoorMaterial,FixedListsDoorMaterial,2,0),0))</f>
        <v>0</v>
      </c>
      <c r="V91" s="156">
        <f>IF(OR(O91="",P91=""),"",IF(ISERROR(FIND("drawer",$A91))=FALSE,VLOOKUP(KitchenDrawerType,FixedListsDrawerType,2,0),0))</f>
        <v>1</v>
      </c>
      <c r="W91" s="156">
        <f>IF(OR(O91="",P91=""),"",IF(OR(S91&gt;0, T91&gt;0,V91&gt;0),VLOOKUP(KitchenHandleType,FixedListsHandleType,2,FALSE)*IF(KitchenHandleType="Simple",0,IF(S91&gt;0,VLOOKUP(KitchenHandleType,FixedListsHandleType,4,FALSE),IF(OR(T91&gt;0,V91&gt;0),1-VLOOKUP(KitchenHandleType,FixedListsHandleType,4,FALSE),"Error"))),0))</f>
        <v>0</v>
      </c>
      <c r="X91" s="156">
        <f t="shared" si="5"/>
        <v>1</v>
      </c>
      <c r="Y91" s="156">
        <f>IF(OR(O91="",P91=""),"",IF(OR(ISERROR(FIND("carcass",$A91))=FALSE,ISERROR(FIND("unit",$A91))=FALSE),VLOOKUP(KitchenCarcassMaterial,FixedListsCarcassMaterial,3,0),0))</f>
        <v>0</v>
      </c>
      <c r="Z91" s="156">
        <f>IF(OR(O91="",P91=""),"",IF(ISERROR(FIND("door",$A91))=FALSE,VLOOKUP(KitchenDoorStyle,FixedListsDoorStyle,3,0),0))</f>
        <v>0</v>
      </c>
      <c r="AA91" s="156">
        <f>IF(OR(O91="",P91=""),"",IF(ISERROR(FIND("door",$A91))=FALSE,VLOOKUP(KitchenDoorMaterial,FixedListsDoorMaterial,3,0),0))</f>
        <v>0</v>
      </c>
      <c r="AB91" s="156">
        <f>IF(OR(O91="",P91=""),"",IF(ISERROR(FIND("drawer",$A91))=FALSE,VLOOKUP(KitchenDrawerType,FixedListsDrawerType,3,0),0))</f>
        <v>1</v>
      </c>
      <c r="AC91" s="156">
        <f>IF(OR(O91="",P91=""),"",IF(OR(Y91&gt;0,Z91&gt;0,AB91&gt;0),VLOOKUP(KitchenHandleType,FixedListsHandleType,3,FALSE),0))</f>
        <v>1</v>
      </c>
      <c r="AD91" s="156">
        <f>IF(OR(O91="",P91=""),"",IF(OR(ISERROR(FIND("carcass",$A91))=FALSE,ISERROR(FIND("unit",$A91))=FALSE),VLOOKUP(KitchenCarcassFinish,FixedListsFinishes,3,0),IF(OR(ISERROR(FIND("door",$A91))=FALSE,ISERROR(FIND("Plinth",$A91))=FALSE,ISERROR(FIND("Cornice",$A91))=FALSE,ISERROR(FIND("Fillers",$A91))=FALSE,ISERROR(FIND("Pelmet",$A91))=FALSE,ISERROR(FIND("panel",$A91))=FALSE,ISERROR(FIND("post",$A91))=FALSE),VLOOKUP(KitchenDoorFinish,FixedListsFinishes,3,0),IF(OR(ISERROR(FIND("drawer",$A91))=FALSE,ISERROR(FIND("insert",$A91))=FALSE,ISERROR(FIND("rck",$A91))=FALSE),VLOOKUP(KitchenCarcassFinish,FixedListsFinishes,3,0),0))))</f>
        <v>1</v>
      </c>
      <c r="AE91" s="156">
        <f t="shared" si="6"/>
        <v>1</v>
      </c>
      <c r="AF91" s="157" t="str">
        <f>IF(AND(KitchenHandleType="Channel",OR(ISERROR(FIND("arcass",$A91))=FALSE,ISERROR(FIND("unit",$A91))=FALSE)),IF(ISERROR(FIND("Tower",$A91))=TRUE,IF(KitchenHandleFinish="Match carcass",IF(ISERROR(FIND("Walnut",KitchenCarcassMaterial))=FALSE,(0.035*0.075*($C91/1000))*VLOOKUP("Walnut (solid m3)",SolidData,4,FALSE),IF(ISERROR(FIND("Oak",KitchenCarcassMaterial))=FALSE,(0.035*0.075*($C91/1000))*VLOOKUP("Oak (solid m3)",SolidData,4,FALSE),IF(ISERROR(FIND("ply",KitchenCarcassMaterial))=FALSE,(0.1*($C91/1000))*VLOOKUP("Birch ply (24mm)",SheetsData,7,FALSE),IF(ISERROR(FIND("H/F",KitchenCarcassMaterial))=FALSE,(0.1*($C91/1000))*VLOOKUP("H/F (22mm)",SheetsData,7,FALSE),"Carcass - not tower - new material")))),IF(KitchenHandleFinish="Match door",IF(ISERROR(FIND("Walnut",KitchenDoorMaterial))=FALSE,(0.035*0.075*($C91/1000))*VLOOKUP("Walnut (solid m3)",SolidData,4,FALSE),IF(ISERROR(FIND("Oak",KitchenDoorMaterial))=FALSE,(0.035*0.075*($C91/1000))*VLOOKUP("Oak (solid m3)",SolidData,4,FALSE),IF(ISERROR(FIND("ply",KitchenDoorMaterial))=FALSE,(0.1*($C91/1000))*VLOOKUP("Birch ply (24mm)",SheetsData,7,FALSE),IF(ISERROR(FIND("H/F",KitchenCarcassMaterial))=FALSE,(0.1*($C91/1000))*VLOOKUP("H/F (22mm)",SheetsData,7,FALSE),"Door - not tower - new material")))),"Channel - not tower - handle set to other")),IF(ISERROR(FIND("Tower",$A91))=FALSE,IF(KitchenHandleFinish="Match carcass",IF(ISERROR(FIND("Walnut",KitchenCarcassMaterial))=FALSE,(0.035*0.075*($B91/1000))*VLOOKUP("Walnut (solid m3)",SolidData,4,FALSE),IF(ISERROR(FIND("Oak",KitchenCarcassMaterial))=FALSE,(0.035*0.075*($B91/1000))*VLOOKUP("Oak (solid m3)",SolidData,4,FALSE),IF(ISERROR(FIND("ply",KitchenCarcassMaterial))=FALSE,(0.1*($B91/1000))*VLOOKUP("Birch ply (24mm)",SheetsData,7,FALSE),IF(ISERROR(FIND("H/F",KitchenCarcassMaterial))=FALSE,(0.1*($C91/1000))*VLOOKUP("H/F (22mm)",SheetsData,7,FALSE),"Carcass - tower - new material")))),IF(KitchenHandleFinish="Match door",IF(ISERROR(FIND("Walnut",KitchenDoorMaterial))=FALSE,(0.035*0.075*($B91/1000))*VLOOKUP("Walnut (solid m3)",SolidData,4,FALSE),IF(ISERROR(FIND("Oak",KitchenDoorMaterial))=FALSE,(0.035*0.075*($B91/1000))*VLOOKUP("Oak (solid m3)",SolidData,4,FALSE),IF(ISERROR(FIND("ply",KitchenDoorMaterial))=FALSE,(0.1*($B91/1000))*VLOOKUP("Birch ply (24mm)",SheetData,7,FALSE),IF(ISERROR(FIND("H/F",KitchenCarcassMaterial))=FALSE,(0.1*($C91/1000))*VLOOKUP("H/F (22mm)",SheetsData,7,FALSE),"Door - tower - new material")))),"Channel - tower - handle set to other")))),"")</f>
        <v/>
      </c>
    </row>
    <row r="92">
      <c r="A92" s="150" t="s">
        <v>200</v>
      </c>
      <c r="B92" s="115" t="str">
        <f t="shared" si="1"/>
        <v>300</v>
      </c>
      <c r="C92" s="115" t="str">
        <f>IFERROR(__xludf.DUMMYFUNCTION("IF(A92="""","""",IF(OR(RIGHT(A92,LEN(A92)-len(regexextract(A92,"".* "")))=""1200"",RIGHT(A92,LEN(A92)-len(regexextract(A92,"".* "")))=""600"",RIGHT(A92,LEN(A92)-len(regexextract(A92,"".* "")))=""400"",RIGHT(A92,LEN(A92)-len(regexextract(A92,"".* "")))=""3"&amp;"00"",RIGHT(A92,LEN(A92)-len(regexextract(A92,"".* "")))=""700"",RIGHT(A92,LEN(A92)-len(regexextract(A92,"".* "")))=""2400"",RIGHT(A92,LEN(A92)-len(regexextract(A92,"".* "")))=""650"",RIGHT(A92,LEN(A92)-len(regexextract(A92,"".* "")))=""350"",RIGHT(A92,LEN"&amp;"(A92)-len(regexextract(A92,"".* "")))=""50""),RIGHT(A92,LEN(A92)-len(regexextract(A92,"".* ""))),IF(OR(ISERROR(FIND(""spacer"",A92))=FALSE,ISERROR(FIND(""filler panel"",A92))=FALSE),""1000"",""Unexpected size in description"")))"),"600")</f>
        <v>600</v>
      </c>
      <c r="D92" s="151">
        <f t="shared" si="2"/>
        <v>600</v>
      </c>
      <c r="E92" s="152">
        <f>IFERROR(__xludf.DUMMYFUNCTION("IF(OR(A92="""",AND(ISERROR(FIND(""drawer box"",A92))=FALSE,KitchenDrawerType="""")),"""",IF(OR(ISERROR(FIND(""larder"",A92))=FALSE,ISERROR(FIND(""fridge/freezer"",A92))=FALSE,ISERROR(FIND(""double oven"",A92))=FALSE,ISERROR(FIND(""single oven"",A92))=FALS"&amp;"E),VLOOKUP(LEFT(A92,FIND("" "",A92))&amp;""carcass ""&amp;RIGHT(A92,LEN(A92)-(LEN(A92)-3)),KitchensData,5,0),IF(ISERROR(FIND(""sink"",A92))=FALSE,VLOOKUP(LEFT(A92,FIND("" "",A92))&amp;""carcass ""&amp;VALUE(REGEXREPLACE(A92,""[^[:digit:]]"", """")),KitchensData,5,0)+(((C"&amp;"92/1000)*(300/1000))*VLOOKUP(KitchenCarcassMaterial,SheetsData,8,0)),IF(ISERROR(FIND(""bins"",A92))=FALSE,IF(ISERROR(FIND(""veneer"",KitchenCarcassMaterial))=FALSE,VLOOKUP(""Base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600"",A92))=FALSE,IF(ISERROR(FIND(""veneer"""&amp;",KitchenCarcassMaterial))=FALSE,0.54*(VLOOKUP(LEFT(KitchenCarcassMaterial,FIND(""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1200"",A92))=FALSE,"&amp;"IF(ISERROR(FIND(""veneer"",KitchenCarcassMaterial))=FALSE,0.84*(VLOOKUP(LEFT(KitchenCarcassMaterial,FIND(""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600"",A92))=FALSE,IF(ISERROR(FIND(""veneer"",KitchenCarcassMaterial))=FALSE,1.44*(VLOOKUP(LEFT(KitchenCarcassMaterial,FIND(""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1200"",A92))=FALSE,IF(ISERROR(FIND(""veneer"",KitchenCarcassMaterial))=FALSE,2.7*(VLOOKUP(LEFT(KitchenCarcassMaterial,FIND(""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front"",A92))=FALSE,((B92/1000)*(C92/1000))*VLOOKUP(KitchenDoorMaterial,SheetsData,8,0),IF(AND(KitchenDrawerType=""Match carcass"",ISERROR(FIND(""drawer box"",A92))=FALSE),(((((B92/1000)*(C92/1000))+((B92/1000"&amp;")*(D92/1000)))*2)*VLOOKUP(KitchenCarcassMaterial,SheetsData,8,0))+(((C92/1000)*(D92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box"",A92))=FALSE),(((((B92/1000)*(C92/1000))+((B92/1000)*(D92/1000)))*2)*(16/1000)*VLOOKUP(LEFT(KitchenCarcassMaterial,FIND("" "&amp;""",KitchenCarcassMaterial))&amp;""(solid m3)"",SolidData,5,0))+(((C92/1000)*(D92/1000))*VLOOKUP(LEFT(KitchenCarcassMaterial,FIND(""("",KitchenCarcassMaterial)-1)&amp;IF(OR(ISERROR(FIND(""ply"",KitchenCarcassMaterial))=FALSE,ISERROR(FIND(""H/F"",KitchenCarcassMate"&amp;"rial))=FALSE),""(9mm)"",""(10mm)""),SheetsData,8,0)),IF(ISERROR(FIND(""spacer"",A92))=FALSE,((D92/1000)*(C92/1000))*VLOOKUP(""Poplar ply (18mm)"",SheetsData,8,0),IF(ISERROR(FIND(""filler panel"",A92))=FALSE,((B92/1000)*(C92/1000))*VLOOKUP(KitchenDoorMater"&amp;"ial,SheetsData,8,0),IF(ISERROR(FIND(""shelf"",A92))=FALSE,((D92/1000)*(C92/1000))*VLOOKUP(KitchenCarcassMaterial,SheetsData,8,0),IF(ISERROR(FIND(""lost corner"",A92))=FALSE,VLOOKUP(LEFT(A92,FIND("" "",A92))&amp;""carcass ""&amp;VALUE(REGEXREPLACE(A92,""[^[:digit:"&amp;"]]"", """")),KitchensData,5,0)+((((B92/1000)*(C92/1000))+((B92/1000)*(60/1000)))*VLOOKUP(KitchenCarcassMaterial,SheetsData,8,0)),IF(ISERROR(FIND(""carcass"",A92))=FALSE,(((((B92/1000)*2)*(D92/1000))+(((C92/1000)*2)*(D92/1000)))*VLOOKUP(KitchenCarcassMater"&amp;"ial,SheetsData,8,0))+((B92/1000)*(C92/1000))*VLOOKUP(LEFT(KitchenCarcassMaterial,FIND(""("",KitchenCarcassMaterial)-1)&amp;IF(OR(ISERROR(FIND(""ply"",KitchenCarcassMaterial))=FALSE,ISERROR(FIND(""H/F"",KitchenCarcassMaterial))=FALSE),""(9mm)"",""(10mm)""),She"&amp;"etsData,8,0),IF(OR(ISERROR(FIND(""Plinth"",A92))=FALSE,ISERROR(FIND(""Cornice (flat)"",A92))=FALSE),((B92/1000)*(C92/1000))*VLOOKUP(""H/F (18mm)"",SheetsData,8,0),IF(ISERROR(FIND(""Cornice (stacked)"",A92))=FALSE,((0.08*(C92/1000))*2)*VLOOKUP(""H/F (22mm)"&amp;""",SheetsData,8,0),IF(ISERROR(FIND(""Base end panel"",A92))=FALSE,VLOOKUP(KitchenDoorMaterial,SheetsData,5,0)/3,IF(ISERROR(FIND(""Wall end panel"",A92))=FALSE,VLOOKUP(KitchenDoorMaterial,SheetsData,5,0)/9,IF(ISERROR(FIND(""Tower end panel"",A92))=FALSE,VL"&amp;"OOKUP(KitchenDoorMaterial,SheetsData,5,0),IF(ISERROR(FIND(""Fillers"",A92))=FALSE,(((0.06*(C92/1000))*2)*VLOOKUP(""H/F (18mm)"",SheetsData,8,0))+(((0.06*(C92/1000))*2)*VLOOKUP(""H/F (9mm)"",SheetsData,8,0)),IF(ISERROR(FIND(""corner post"",A92))=FALSE,(((B"&amp;"92/1000)*0.05)*2)*VLOOKUP(KitchenDoorMaterial,SheetsData,8,0),IF(ISERROR(FIND(""Pelmet"",A92))=FALSE,((((B92/1000)*(C92/1000))*2)*VLOOKUP(""H/F (18mm)"",SheetsData,8,0)),IF(ISERROR(FIND(""door"",A92))=TRUE,""Check description"",IF(KitchenDoorStyle=""Flat"&amp;""",((B92/1000)*(C92/1000))*VLOOKUP(KitchenDoorMaterial,SheetsData,8,0),IF(LEFT(KitchenDoorStyle,5)=""Panel"",(((((B92/1000)*2)*0.08)+((((C92/1000)-0.16)*2)*0.08))*VLOOKUP(""H/F (22mm)"",SheetsData,8,0))+(((B92/1000)-0.14)*((C92/1000)-0.14)*VLOOKUP(""H/F ("&amp;"9mm)"",SheetsData,8,0)),IF(KitchenDoorStyle=""In-frame flat"",((((((B92/1000)*0.019)*0.038)+((((C92-38)/1000)*0.038)*0.038))*2)*VLOOKUP(""Tulip (solid m3)"",SolidData,5,0))+(((B92-76)/1000)*((C92-38)/1000))*VLOOKUP(""H/F (22mm)"",SheetsData,8,0),IF(LEFT(K"&amp;"itchenDoorStyle,14)=""In-frame panel"",(((((((B92/1000)*0.019)*0.038)+((((C92-38)/1000)*0.038)*0.038))*2)*VLOOKUP(""Tulip (solid m3)"",SolidData,5,0))+(((((((B92-76)/1000)*2)*0.08)+(((((C92-198)/1000)*2)*0.08)))*VLOOKUP(""H/F (22mm)"",SheetsData,8,0))+((("&amp;"B92-216)/1000)*((C92-178)/1000)*VLOOKUP(""H/F (9mm)"",SheetsData,8,0)))))))))))))))))))))))))))))))))"),31.66689062080086)</f>
        <v>31.66689062</v>
      </c>
      <c r="F92" s="152">
        <f>IFERROR(__xludf.DUMMYFUNCTION("IF(OR(A92="""",AND(ISERROR(FIND(""drawer box"",A92))=FALSE,KitchenDrawerType=""Solid dovetail"")),"""",IF(ISERROR(FIND(""bins"",A92))=FALSE,VLOOKUP(""Base carcass 600"",KitchensData,6,0),IF(OR(ISERROR(FIND(""larder"",A92))=FALSE,ISERROR(FIND(""unit"",A92)"&amp;")=FALSE),VLOOKUP(LEFT(A92,FIND("" "",A92))&amp;""carcass ""&amp;RIGHT(A92,LEN(A92)-len(regexextract(A92,"".* ""))),KitchensData,6,0),IF(ISERROR(FIND(""drawer front"",A92))=FALSE,IF(ISERROR(FIND(""veneer"",KitchenCarcassMaterial))=TRUE,0,(((B92+C92)/1000)*2)*VLOOK"&amp;"UP(""Edge banding (per M)"",SheetsData,5,0)),IF(ISERROR(FIND(""drawer box"",A92))=FALSE,IF(ISERROR(FIND(""veneer"",KitchenCarcassMaterial))=TRUE,0,(((C92+D92)/1000)*2)*VLOOKUP(""Edge banding (per M)"",SheetsData,5,0)),IF(ISERROR(FIND(""shelf"",A92))=FALSE"&amp;",IF(ISERROR(FIND(""veneer"",KitchenCarcassMaterial))=TRUE,0,(C92/1000)*VLOOKUP(""Edge banding (per M)"",SheetsData,5,0)),IF(AND(ISERROR(FIND(""carcass"",A92))=FALSE,ISERROR(FIND(""shelf"",A92))=TRUE),IF(ISERROR(FIND(""veneer"",KitchenCarcassMaterial))=TRU"&amp;"E,0,((2*(B92+C92))/1000)*VLOOKUP(""Edge banding (per M)"",SheetsData,5,0)),IF(ISERROR(FIND(""door"",A92))=TRUE,"""",IF(ISERROR(FIND(""veneer"",KitchenDoorMaterial))=TRUE,"""",((2*(B92+C92))/1000)*VLOOKUP(""Edge banding (per M)"",SheetsData,5,0))))))))))"),0.0)</f>
        <v>0</v>
      </c>
      <c r="G92" s="153" t="str">
        <f>IF(A92="","",IF(ISERROR(FIND("bins",A92))=FALSE,VLOOKUP("Base carcass 600",KitchensData,7,0),IF(OR(ISERROR(FIND("larder",A92))=FALSE,ISERROR(FIND("fridge/freezer",A92))=FALSE,ISERROR(FIND("double oven",A92))=FALSE,ISERROR(FIND("single oven",A92))=FALSE),VLOOKUP(LEFT(A92,FIND(" ",A92))&amp;"carcass "&amp;RIGHT(A92,LEN(A92)-(LEN(A92)-3)),KitchensData,7,0),IF(AND(ISERROR(FIND("carcass",A92))=FALSE,ISERROR(FIND("shelf",A92))=TRUE),IF(OR(ISERROR(FIND("Base",A92))=FALSE,ISERROR(FIND("Tower",A92))=FALSE),IF(OR(ISERROR(FIND("1200",A92))=FALSE, ISERROR(FIND("lost corner",A92))=FALSE),6*VLOOKUP("Plinth foot (2 Parts 80mm)",FurnitureData,5,0),4*VLOOKUP("Plinth foot (2 Parts 80mm)",FurnitureData,5,0)),""),""))))</f>
        <v/>
      </c>
      <c r="H92" s="115" t="str">
        <f>IF(OR(A92="",ISERROR(FIND("door",A92))=TRUE),"",IF(ISERROR(FIND("Wall",A92))=FALSE,VLOOKUP("Hinges &amp; plates (Hettich thick door)",FurnitureData,5,0)*2,IF(ISERROR(FIND("Base",A92))=FALSE,VLOOKUP("Hinges &amp; plates (Hettich thick door)",FurnitureData,5,0)*3,IF(ISERROR(FIND("Boiler",A92))=FALSE,VLOOKUP("Hinges &amp; plates (Hettich thick door)",FurnitureData,5,0)*4,IF(ISERROR(FIND("Tower",A92))=FALSE,VLOOKUP("Hinges &amp; plates (Hettich thick door)",FurnitureData,5,0)*5)))))</f>
        <v/>
      </c>
      <c r="I92" s="115" t="str">
        <f>IF(ISERROR(FIND("shelf",A92))=FALSE,(VLOOKUP("Shelf pegs",FurnitureData,5,0)/100)*4,"")</f>
        <v/>
      </c>
      <c r="J92" s="152" t="str">
        <f>IF(OR(ISERROR(FIND("fridge/freezer",A92))=FALSE,ISERROR(FIND("larder",A92))=FALSE,AND(ISERROR(FIND("Base",A92))=FALSE,ISERROR(FIND("bins",A92))=TRUE,ISERROR(FIND("no shelves",A92))=TRUE,OR(ISERROR(FIND("carcass",A92))=FALSE,ISERROR(FIND("unit",A92))=FALSE))),VLOOKUP("Deep shelf "&amp;C92,KitchensData,18,0),IF(AND(ISERROR(FIND("Wall",A92))=FALSE,ISERROR(FIND("carcass",A92))=FALSE),2*VLOOKUP("Shallow shelf "&amp;C92,KitchensData,18,0),IF(AND(ISERROR(FIND("Tower",A92))=FALSE,ISERROR(FIND("oven",A92))=FALSE),4*VLOOKUP("Deep shelf "&amp;C92,KitchensData,18,0),IF(AND(ISERROR(FIND("Tower",A92))=FALSE,ISERROR(FIND("carcass",A92))=FALSE),5*VLOOKUP("Deep shelf "&amp;C92,KitchensData,18,0),""))))</f>
        <v/>
      </c>
      <c r="K92" s="152">
        <f>IF(ISERROR(FIND("sink",A92))=FALSE,VLOOKUP("Sink liner - Aluminium "&amp;RIGHT(A92,LEN(A92)-22)&amp;"mm",ExceptionalData,5,0),IF(ISERROR(FIND("bins",A92))=FALSE,VLOOKUP("Drawer runners and clip set for bin unit (500) Dynapro",FurnitureData,5,0)+(2*VLOOKUP("Bin (42L Anthracite)",FurnitureData,5,0)),IF(ISERROR(FIND("larder",A92))=FALSE,VLOOKUP("Pull out larder unit 600mm",FurnitureData,5,0),IF(AND(ISERROR(FIND("drawer box",A92))=FALSE,ISERROR(FIND("internal",A92))=TRUE),VLOOKUP("Drawer runners and clip set (550) Dynapro",FurnitureData,5,0),IF(ISERROR(FIND("internal drawer box",A92))=FALSE,VLOOKUP("Drawer runners and clip set (450) Dynapro",FurnitureData,5,0),"")))))</f>
        <v>39.72</v>
      </c>
      <c r="L92" s="152">
        <f t="shared" si="3"/>
        <v>71.38689062</v>
      </c>
      <c r="M92" s="154">
        <f>IFERROR(__xludf.DUMMYFUNCTION("IF(A92="""","""",IF(OR(ISERROR(FIND(""larder"",A92))=FALSE,ISERROR(FIND(""unit"",A92))=FALSE),VLOOKUP(LEFT(A92,FIND("" "",A92))&amp;""carcass ""&amp;RIGHT(A92,LEN(A92)-len(regexextract(A92,"".* ""))),KitchensData,13,0),IF(ISERROR(FIND(""bins"",A92))=FALSE,0.95,IF"&amp;"(ISERROR(FIND(""Cutlery insert 600"",A92))=FALSE,1.3,IF(ISERROR(FIND(""Cutlery insert 1200"",A92))=FALSE,2,IF(ISERROR(FIND(""Pan/tray rack 600"",A92))=FALSE,3.25,IF(ISERROR(FIND(""Pan/tray rack 1200"",A92))=FALSE,5.9,IF(ISERROR(FIND(""split"",A92))=FALSE,"&amp;"(((C92/1000)*0.022)*2)+VLOOKUP(SUBSTITUTE(A92,"" split"",""""),KitchensData,13,0),IF(AND(ISERROR(FIND(""drawer front"",A92))=FALSE,KitchenDoorStyle=""Flat""),(((B92/1000)*(C92/1000))*2)+((((B92+C92)/1000)*2)*0.022),IF(AND(ISERROR(FIND(""drawer front"",A92"&amp;"))=FALSE,LEFT(KitchenDoorStyle,5)=""Panel""),(((B92/1000)*(C92/1000))*2)+((((B92+C92)/1000)*2)*0.022)+((((C92/1000)-0.16)*0.013)*2)+((((D92/1000)-0.16)*0.013)*2),IF(AND(ISERROR(FIND(""drawer front"",A92))=FALSE,KitchenDoorStyle=""In-frame flat""),((((B92-"&amp;"76)/1000)*((C92-38)/1000))*2)+(MID(KitchenDoorMaterial,FIND(""("",KitchenDoorMaterial)+1,2)/1000)*((((B92-76)+(C92-38))/1000)*2)+(((B92/1000)*0.032)*2)+((((B92-76)/1000)*0.032)*2)+(((B92/1000)*0.019)*4)+(((C92/1000)*0.032)*2)+((((C92-38)/1000)*0.032)*2)+("&amp;"((C92/1000)*0.038)*4),IF(AND(ISERROR(FIND(""drawer front"",A92))=FALSE,LEFT(KitchenDoorStyle,14)=""In-frame panel""),((((B92-76)/1000)*((C92-38)/1000))*2)+((MID(KitchenDoorMaterial,FIND(""("",KitchenDoorMaterial)+1,2)/1000)*((((B92-76)+(C92-38))/1000)*2))"&amp;"+((((B92-236)/1000)+((C92-198)/1000)*2)*0.013)+(((B92/1000)*0.032)*2)+((((B92-76)/1000)*0.032)*2)+(((B92/1000)*0.019)*4)+(((C92/1000)*0.032)*2)+((((C92-38)/1000)*0.032)*2)+(((C92/1000)*0.038)*4),IF(ISERROR(FIND(""drawer box"",A92))=FALSE,((((B92/1000)*(D9"&amp;"2/1000))+((B92/1000)*(C92/1000)))*4)+((((D92/1000)+(C92/1000))*0.016)*4)+(((C92/1000)*(D92/1000))*2),IF(OR(ISERROR(FIND(""shelf"",A92))=FALSE,ISERROR(FIND(""spacer"",A92))=FALSE,,ISERROR(FIND(""filler panel"",A92))=FALSE),(((C92/1000)*(D92/1000))*2)+((((C"&amp;"92+D92)*2)/1000)*0.022),IF(ISERROR(FIND(""lost corner"",A92))=FALSE,(((B92/1000)*(C92/1000))*2)+((B92/1000)*(C92/1000))+((B92/1000)*((C92/2)/1000))+((((B92/1000)*0.025)+((C92/1000)*0.025))*2),IF(ISERROR(FIND(""carcass"",A92))=FALSE,(((C92/1000)*(D92/1000)"&amp;")*2)+(((B92/1000)*(D92/1000))*2)+((B92/1000)*(C92/1000))+((((B92/1000)*0.025)+((C92/1000)*0.025))*2),IF(AND(ISERROR(FIND(""door"",A92))=FALSE,KitchenDoorStyle=""Flat""),(((B92/1000)*(C92/1000))*2)+(MID(KitchenDoorMaterial,FIND(""("",KitchenDoorMaterial)+1"&amp;",2)/1000)*(((B92+C92)/1000)*2),IF(AND(ISERROR(FIND(""door"",A92))=FALSE,LEFT(KitchenDoorStyle,5)=""Panel""),(((B92/1000)*(C92/1000))*2)+((MID(KitchenDoorMaterial,FIND(""("",KitchenDoorMaterial)+1,2)/1000)*(((B92+C92)/1000)*2))+(((((B92-160)+(C92-160))*2)/"&amp;"1000)*(0.013)),IF(AND(ISERROR(FIND(""door"",A92))=FALSE,KitchenDoorStyle=""In-frame flat""),((((B92-76)/1000)*((C92-38)/1000))*2)+(MID(KitchenDoorMaterial,FIND(""("",KitchenDoorMaterial)+1,2)/1000)*((((B92-76)+(C92-38))/1000)*2)+(((B92/1000)*0.032)*2)+((("&amp;"(B92-76)/1000)*0.032)*2)+(((B92/1000)*0.019)*4)+(((C92/1000)*0.032)*2)+((((C92-38)/1000)*0.032)*2)+(((C92/1000)*0.038)*4),IF(AND(ISERROR(FIND(""door"",A92))=FALSE,LEFT(KitchenDoorStyle,14)=""In-frame panel""),((((B92-76)/1000)*((C92-38)/1000))*2)+((MID(Ki"&amp;"tchenDoorMaterial,FIND(""("",KitchenDoorMaterial)+1,2)/1000)*((((B92-76)+(C92-38))/1000)*2))+((((B92-236)/1000)+((C92-198)/1000)*2)*0.013)+(((B92/1000)*0.032)*2)+((((B92-76)/1000)*0.032)*2)+(((B92/1000)*0.019)*4)+(((C92/1000)*0.032)*2)+((((C92-38)/1000)*0"&amp;".032)*2)+(((C92/1000)*0.038)*4),IF(ISERROR(FIND(""Plinth"",A92))=FALSE,((B92/1000)*(C92/1000))+(((C92/1000)*0.018)*2)+(((B92/1000)*0.018)*2),IF(ISERROR(FIND(""Cornice"",A92))=FALSE,(((C92/1000)*0.1)*2)+(((C92/1000)*0.044)*2)+(((B92/1000)*0.08)*2),IF(ISERR"&amp;"OR(FIND(""Base end panel"",A92))=FALSE,((B92/1000)*(C92/1000))+(0.022*((B92/1000)+((C92/1000)*2)))+((B92/1000)*0.05),IF(ISERROR(FIND(""Wall end panel"",A92))=FALSE,((B92/1000)*(C92/1000))+(0.022*((B92/1000)+((C92/1000)*2)))+((B92/1000)*0.05),IF(ISERROR(FI"&amp;"ND(""Tower end panel"",A92))=FALSE,((B92/1000)*(C92/1000))+(0.022*((B92/1000)+((C92/1000)*2)))+((B92/1000)*0.05),IF(ISERROR(FIND(""Fillers"",A92))=FALSE,((C92/1000)*0.06)+((C92/1000)*0.069)+((0.06*0.018)*2)+((0.06*0.009)*2)+((C92/1000)*0.009)+((C92/1000)*"&amp;"0.018),IF(ISERROR(FIND(""corner post"",A92))=FALSE,(((B92/1000*0.05)*2)+((B92/1000)*0.022)*2)+((B92/1000)*0.072)+((B92/1000)*0.05)+((0.072*0.022)*2)+((0.05*0.022)*2),IF(ISERROR(FIND(""Pelmet"",A92))=FALSE,((C92/1000)*0.05)+((C92/1000)*0.068)+((0.05*0.018)"&amp;"*4)+(((C92/1000)*0.018))*2))))))))))))))))))))))))))))"),2.2367999999999997)</f>
        <v>2.2368</v>
      </c>
      <c r="N92" s="152">
        <f>IF(M92="","",IF(AND(ISERROR(FIND("carcass",A92))=TRUE,ISERROR(FIND("unit",A92))=TRUE,ISERROR(FIND("insert",A92))=TRUE,ISERROR(FIND("rack",A92))=TRUE,ISERROR(FIND("box",A92))=TRUE,ISERROR(FIND("shelf",#REF!))=TRUE),VLOOKUP(KitchenDoorFinish,Finishing!$A$2:$K$10,9,0)*M92,VLOOKUP(KitchenCarcassFinish,Finishing!$A$2:$K$40,9,0)*M92))</f>
        <v>8.388</v>
      </c>
      <c r="O92" s="155">
        <v>2.5</v>
      </c>
      <c r="P92" s="155">
        <v>1.0</v>
      </c>
      <c r="Q92" s="152">
        <f>IF(OR(O92="",P92=""),"",((O92*X92)*(VLOOKUP("Workshop",Labour!$A$3:$E$20,4,0)/8))+((P92*AE92)*(VLOOKUP("Finishing",Labour!$A$3:$E$20,4,0)/8)))</f>
        <v>137.375</v>
      </c>
      <c r="R92" s="152">
        <f t="shared" si="4"/>
        <v>217.1498906</v>
      </c>
      <c r="S92" s="156">
        <f>IF(OR(O92="",P92=""),"",IF(OR(ISERROR(FIND("carcass",$A92))=FALSE,ISERROR(FIND("unit",$A92))=FALSE),VLOOKUP(KitchenCarcassMaterial,FixedListsCarcassMaterial,2,0),0))</f>
        <v>0</v>
      </c>
      <c r="T92" s="156">
        <f>IF(OR(O92="",P92=""),"",IF(ISERROR(FIND("door",$A92))=FALSE,VLOOKUP(KitchenDoorStyle,FixedListsDoorStyle,2,0),0))</f>
        <v>0</v>
      </c>
      <c r="U92" s="156">
        <f>IF(OR(O92="",P92=""),"",IF(ISERROR(FIND("door",$A92))=FALSE,VLOOKUP(KitchenDoorMaterial,FixedListsDoorMaterial,2,0),0))</f>
        <v>0</v>
      </c>
      <c r="V92" s="156">
        <f>IF(OR(O92="",P92=""),"",IF(ISERROR(FIND("drawer",$A92))=FALSE,VLOOKUP(KitchenDrawerType,FixedListsDrawerType,2,0),0))</f>
        <v>1</v>
      </c>
      <c r="W92" s="156">
        <f>IF(OR(O92="",P92=""),"",IF(OR(S92&gt;0, T92&gt;0,V92&gt;0),VLOOKUP(KitchenHandleType,FixedListsHandleType,2,FALSE)*IF(KitchenHandleType="Simple",0,IF(S92&gt;0,VLOOKUP(KitchenHandleType,FixedListsHandleType,4,FALSE),IF(OR(T92&gt;0,V92&gt;0),1-VLOOKUP(KitchenHandleType,FixedListsHandleType,4,FALSE),"Error"))),0))</f>
        <v>0</v>
      </c>
      <c r="X92" s="156">
        <f t="shared" si="5"/>
        <v>1</v>
      </c>
      <c r="Y92" s="156">
        <f>IF(OR(O92="",P92=""),"",IF(OR(ISERROR(FIND("carcass",$A92))=FALSE,ISERROR(FIND("unit",$A92))=FALSE),VLOOKUP(KitchenCarcassMaterial,FixedListsCarcassMaterial,3,0),0))</f>
        <v>0</v>
      </c>
      <c r="Z92" s="156">
        <f>IF(OR(O92="",P92=""),"",IF(ISERROR(FIND("door",$A92))=FALSE,VLOOKUP(KitchenDoorStyle,FixedListsDoorStyle,3,0),0))</f>
        <v>0</v>
      </c>
      <c r="AA92" s="156">
        <f>IF(OR(O92="",P92=""),"",IF(ISERROR(FIND("door",$A92))=FALSE,VLOOKUP(KitchenDoorMaterial,FixedListsDoorMaterial,3,0),0))</f>
        <v>0</v>
      </c>
      <c r="AB92" s="156">
        <f>IF(OR(O92="",P92=""),"",IF(ISERROR(FIND("drawer",$A92))=FALSE,VLOOKUP(KitchenDrawerType,FixedListsDrawerType,3,0),0))</f>
        <v>1</v>
      </c>
      <c r="AC92" s="156">
        <f>IF(OR(O92="",P92=""),"",IF(OR(Y92&gt;0,Z92&gt;0,AB92&gt;0),VLOOKUP(KitchenHandleType,FixedListsHandleType,3,FALSE),0))</f>
        <v>1</v>
      </c>
      <c r="AD92" s="156">
        <f>IF(OR(O92="",P92=""),"",IF(OR(ISERROR(FIND("carcass",$A92))=FALSE,ISERROR(FIND("unit",$A92))=FALSE),VLOOKUP(KitchenCarcassFinish,FixedListsFinishes,3,0),IF(OR(ISERROR(FIND("door",$A92))=FALSE,ISERROR(FIND("Plinth",$A92))=FALSE,ISERROR(FIND("Cornice",$A92))=FALSE,ISERROR(FIND("Fillers",$A92))=FALSE,ISERROR(FIND("Pelmet",$A92))=FALSE,ISERROR(FIND("panel",$A92))=FALSE,ISERROR(FIND("post",$A92))=FALSE),VLOOKUP(KitchenDoorFinish,FixedListsFinishes,3,0),IF(OR(ISERROR(FIND("drawer",$A92))=FALSE,ISERROR(FIND("insert",$A92))=FALSE,ISERROR(FIND("rck",$A92))=FALSE),VLOOKUP(KitchenCarcassFinish,FixedListsFinishes,3,0),0))))</f>
        <v>1</v>
      </c>
      <c r="AE92" s="156">
        <f t="shared" si="6"/>
        <v>1</v>
      </c>
      <c r="AF92" s="157" t="str">
        <f>IF(AND(KitchenHandleType="Channel",OR(ISERROR(FIND("arcass",$A92))=FALSE,ISERROR(FIND("unit",$A92))=FALSE)),IF(ISERROR(FIND("Tower",$A92))=TRUE,IF(KitchenHandleFinish="Match carcass",IF(ISERROR(FIND("Walnut",KitchenCarcassMaterial))=FALSE,(0.035*0.075*($C92/1000))*VLOOKUP("Walnut (solid m3)",SolidData,4,FALSE),IF(ISERROR(FIND("Oak",KitchenCarcassMaterial))=FALSE,(0.035*0.075*($C92/1000))*VLOOKUP("Oak (solid m3)",SolidData,4,FALSE),IF(ISERROR(FIND("ply",KitchenCarcassMaterial))=FALSE,(0.1*($C92/1000))*VLOOKUP("Birch ply (24mm)",SheetsData,7,FALSE),IF(ISERROR(FIND("H/F",KitchenCarcassMaterial))=FALSE,(0.1*($C92/1000))*VLOOKUP("H/F (22mm)",SheetsData,7,FALSE),"Carcass - not tower - new material")))),IF(KitchenHandleFinish="Match door",IF(ISERROR(FIND("Walnut",KitchenDoorMaterial))=FALSE,(0.035*0.075*($C92/1000))*VLOOKUP("Walnut (solid m3)",SolidData,4,FALSE),IF(ISERROR(FIND("Oak",KitchenDoorMaterial))=FALSE,(0.035*0.075*($C92/1000))*VLOOKUP("Oak (solid m3)",SolidData,4,FALSE),IF(ISERROR(FIND("ply",KitchenDoorMaterial))=FALSE,(0.1*($C92/1000))*VLOOKUP("Birch ply (24mm)",SheetsData,7,FALSE),IF(ISERROR(FIND("H/F",KitchenCarcassMaterial))=FALSE,(0.1*($C92/1000))*VLOOKUP("H/F (22mm)",SheetsData,7,FALSE),"Door - not tower - new material")))),"Channel - not tower - handle set to other")),IF(ISERROR(FIND("Tower",$A92))=FALSE,IF(KitchenHandleFinish="Match carcass",IF(ISERROR(FIND("Walnut",KitchenCarcassMaterial))=FALSE,(0.035*0.075*($B92/1000))*VLOOKUP("Walnut (solid m3)",SolidData,4,FALSE),IF(ISERROR(FIND("Oak",KitchenCarcassMaterial))=FALSE,(0.035*0.075*($B92/1000))*VLOOKUP("Oak (solid m3)",SolidData,4,FALSE),IF(ISERROR(FIND("ply",KitchenCarcassMaterial))=FALSE,(0.1*($B92/1000))*VLOOKUP("Birch ply (24mm)",SheetsData,7,FALSE),IF(ISERROR(FIND("H/F",KitchenCarcassMaterial))=FALSE,(0.1*($C92/1000))*VLOOKUP("H/F (22mm)",SheetsData,7,FALSE),"Carcass - tower - new material")))),IF(KitchenHandleFinish="Match door",IF(ISERROR(FIND("Walnut",KitchenDoorMaterial))=FALSE,(0.035*0.075*($B92/1000))*VLOOKUP("Walnut (solid m3)",SolidData,4,FALSE),IF(ISERROR(FIND("Oak",KitchenDoorMaterial))=FALSE,(0.035*0.075*($B92/1000))*VLOOKUP("Oak (solid m3)",SolidData,4,FALSE),IF(ISERROR(FIND("ply",KitchenDoorMaterial))=FALSE,(0.1*($B92/1000))*VLOOKUP("Birch ply (24mm)",SheetData,7,FALSE),IF(ISERROR(FIND("H/F",KitchenCarcassMaterial))=FALSE,(0.1*($C92/1000))*VLOOKUP("H/F (22mm)",SheetsData,7,FALSE),"Door - tower - new material")))),"Channel - tower - handle set to other")))),"")</f>
        <v/>
      </c>
    </row>
    <row r="93">
      <c r="A93" s="150" t="s">
        <v>201</v>
      </c>
      <c r="B93" s="115" t="str">
        <f t="shared" si="1"/>
        <v>300</v>
      </c>
      <c r="C93" s="115" t="str">
        <f>IFERROR(__xludf.DUMMYFUNCTION("IF(A93="""","""",IF(OR(RIGHT(A93,LEN(A93)-len(regexextract(A93,"".* "")))=""1200"",RIGHT(A93,LEN(A93)-len(regexextract(A93,"".* "")))=""600"",RIGHT(A93,LEN(A93)-len(regexextract(A93,"".* "")))=""400"",RIGHT(A93,LEN(A93)-len(regexextract(A93,"".* "")))=""3"&amp;"00"",RIGHT(A93,LEN(A93)-len(regexextract(A93,"".* "")))=""700"",RIGHT(A93,LEN(A93)-len(regexextract(A93,"".* "")))=""2400"",RIGHT(A93,LEN(A93)-len(regexextract(A93,"".* "")))=""650"",RIGHT(A93,LEN(A93)-len(regexextract(A93,"".* "")))=""350"",RIGHT(A93,LEN"&amp;"(A93)-len(regexextract(A93,"".* "")))=""50""),RIGHT(A93,LEN(A93)-len(regexextract(A93,"".* ""))),IF(OR(ISERROR(FIND(""spacer"",A93))=FALSE,ISERROR(FIND(""filler panel"",A93))=FALSE),""1000"",""Unexpected size in description"")))"),"1200")</f>
        <v>1200</v>
      </c>
      <c r="D93" s="151">
        <f t="shared" si="2"/>
        <v>600</v>
      </c>
      <c r="E93" s="152">
        <f>IFERROR(__xludf.DUMMYFUNCTION("IF(OR(A93="""",AND(ISERROR(FIND(""drawer box"",A93))=FALSE,KitchenDrawerType="""")),"""",IF(OR(ISERROR(FIND(""larder"",A93))=FALSE,ISERROR(FIND(""fridge/freezer"",A93))=FALSE,ISERROR(FIND(""double oven"",A93))=FALSE,ISERROR(FIND(""single oven"",A93))=FALS"&amp;"E),VLOOKUP(LEFT(A93,FIND("" "",A93))&amp;""carcass ""&amp;RIGHT(A93,LEN(A93)-(LEN(A93)-3)),KitchensData,5,0),IF(ISERROR(FIND(""sink"",A93))=FALSE,VLOOKUP(LEFT(A93,FIND("" "",A93))&amp;""carcass ""&amp;VALUE(REGEXREPLACE(A93,""[^[:digit:]]"", """")),KitchensData,5,0)+(((C"&amp;"93/1000)*(300/1000))*VLOOKUP(KitchenCarcassMaterial,SheetsData,8,0)),IF(ISERROR(FIND(""bins"",A93))=FALSE,IF(ISERROR(FIND(""veneer"",KitchenCarcassMaterial))=FALSE,VLOOKUP(""Base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600"",A93))=FALSE,IF(ISERROR(FIND(""veneer"""&amp;",KitchenCarcassMaterial))=FALSE,0.54*(VLOOKUP(LEFT(KitchenCarcassMaterial,FIND(""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1200"",A93))=FALSE,"&amp;"IF(ISERROR(FIND(""veneer"",KitchenCarcassMaterial))=FALSE,0.84*(VLOOKUP(LEFT(KitchenCarcassMaterial,FIND(""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600"",A93))=FALSE,IF(ISERROR(FIND(""veneer"",KitchenCarcassMaterial))=FALSE,1.44*(VLOOKUP(LEFT(KitchenCarcassMaterial,FIND(""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1200"",A93))=FALSE,IF(ISERROR(FIND(""veneer"",KitchenCarcassMaterial))=FALSE,2.7*(VLOOKUP(LEFT(KitchenCarcassMaterial,FIND(""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front"",A93))=FALSE,((B93/1000)*(C93/1000))*VLOOKUP(KitchenDoorMaterial,SheetsData,8,0),IF(AND(KitchenDrawerType=""Match carcass"",ISERROR(FIND(""drawer box"",A93))=FALSE),(((((B93/1000)*(C93/1000))+((B93/1000"&amp;")*(D93/1000)))*2)*VLOOKUP(KitchenCarcassMaterial,SheetsData,8,0))+(((C93/1000)*(D93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box"",A93))=FALSE),(((((B93/1000)*(C93/1000))+((B93/1000)*(D93/1000)))*2)*(16/1000)*VLOOKUP(LEFT(KitchenCarcassMaterial,FIND("" "&amp;""",KitchenCarcassMaterial))&amp;""(solid m3)"",SolidData,5,0))+(((C93/1000)*(D93/1000))*VLOOKUP(LEFT(KitchenCarcassMaterial,FIND(""("",KitchenCarcassMaterial)-1)&amp;IF(OR(ISERROR(FIND(""ply"",KitchenCarcassMaterial))=FALSE,ISERROR(FIND(""H/F"",KitchenCarcassMate"&amp;"rial))=FALSE),""(9mm)"",""(10mm)""),SheetsData,8,0)),IF(ISERROR(FIND(""spacer"",A93))=FALSE,((D93/1000)*(C93/1000))*VLOOKUP(""Poplar ply (18mm)"",SheetsData,8,0),IF(ISERROR(FIND(""filler panel"",A93))=FALSE,((B93/1000)*(C93/1000))*VLOOKUP(KitchenDoorMater"&amp;"ial,SheetsData,8,0),IF(ISERROR(FIND(""shelf"",A93))=FALSE,((D93/1000)*(C93/1000))*VLOOKUP(KitchenCarcassMaterial,SheetsData,8,0),IF(ISERROR(FIND(""lost corner"",A93))=FALSE,VLOOKUP(LEFT(A93,FIND("" "",A93))&amp;""carcass ""&amp;VALUE(REGEXREPLACE(A93,""[^[:digit:"&amp;"]]"", """")),KitchensData,5,0)+((((B93/1000)*(C93/1000))+((B93/1000)*(60/1000)))*VLOOKUP(KitchenCarcassMaterial,SheetsData,8,0)),IF(ISERROR(FIND(""carcass"",A93))=FALSE,(((((B93/1000)*2)*(D93/1000))+(((C93/1000)*2)*(D93/1000)))*VLOOKUP(KitchenCarcassMater"&amp;"ial,SheetsData,8,0))+((B93/1000)*(C93/1000))*VLOOKUP(LEFT(KitchenCarcassMaterial,FIND(""("",KitchenCarcassMaterial)-1)&amp;IF(OR(ISERROR(FIND(""ply"",KitchenCarcassMaterial))=FALSE,ISERROR(FIND(""H/F"",KitchenCarcassMaterial))=FALSE),""(9mm)"",""(10mm)""),She"&amp;"etsData,8,0),IF(OR(ISERROR(FIND(""Plinth"",A93))=FALSE,ISERROR(FIND(""Cornice (flat)"",A93))=FALSE),((B93/1000)*(C93/1000))*VLOOKUP(""H/F (18mm)"",SheetsData,8,0),IF(ISERROR(FIND(""Cornice (stacked)"",A93))=FALSE,((0.08*(C93/1000))*2)*VLOOKUP(""H/F (22mm)"&amp;""",SheetsData,8,0),IF(ISERROR(FIND(""Base end panel"",A93))=FALSE,VLOOKUP(KitchenDoorMaterial,SheetsData,5,0)/3,IF(ISERROR(FIND(""Wall end panel"",A93))=FALSE,VLOOKUP(KitchenDoorMaterial,SheetsData,5,0)/9,IF(ISERROR(FIND(""Tower end panel"",A93))=FALSE,VL"&amp;"OOKUP(KitchenDoorMaterial,SheetsData,5,0),IF(ISERROR(FIND(""Fillers"",A93))=FALSE,(((0.06*(C93/1000))*2)*VLOOKUP(""H/F (18mm)"",SheetsData,8,0))+(((0.06*(C93/1000))*2)*VLOOKUP(""H/F (9mm)"",SheetsData,8,0)),IF(ISERROR(FIND(""corner post"",A93))=FALSE,(((B"&amp;"93/1000)*0.05)*2)*VLOOKUP(KitchenDoorMaterial,SheetsData,8,0),IF(ISERROR(FIND(""Pelmet"",A93))=FALSE,((((B93/1000)*(C93/1000))*2)*VLOOKUP(""H/F (18mm)"",SheetsData,8,0)),IF(ISERROR(FIND(""door"",A93))=TRUE,""Check description"",IF(KitchenDoorStyle=""Flat"&amp;""",((B93/1000)*(C93/1000))*VLOOKUP(KitchenDoorMaterial,SheetsData,8,0),IF(LEFT(KitchenDoorStyle,5)=""Panel"",(((((B93/1000)*2)*0.08)+((((C93/1000)-0.16)*2)*0.08))*VLOOKUP(""H/F (22mm)"",SheetsData,8,0))+(((B93/1000)-0.14)*((C93/1000)-0.14)*VLOOKUP(""H/F ("&amp;"9mm)"",SheetsData,8,0)),IF(KitchenDoorStyle=""In-frame flat"",((((((B93/1000)*0.019)*0.038)+((((C93-38)/1000)*0.038)*0.038))*2)*VLOOKUP(""Tulip (solid m3)"",SolidData,5,0))+(((B93-76)/1000)*((C93-38)/1000))*VLOOKUP(""H/F (22mm)"",SheetsData,8,0),IF(LEFT(K"&amp;"itchenDoorStyle,14)=""In-frame panel"",(((((((B93/1000)*0.019)*0.038)+((((C93-38)/1000)*0.038)*0.038))*2)*VLOOKUP(""Tulip (solid m3)"",SolidData,5,0))+(((((((B93-76)/1000)*2)*0.08)+(((((C93-198)/1000)*2)*0.08)))*VLOOKUP(""H/F (22mm)"",SheetsData,8,0))+((("&amp;"B93-216)/1000)*((C93-178)/1000)*VLOOKUP(""H/F (9mm)"",SheetsData,8,0)))))))))))))))))))))))))))))))))"),51.36723998925021)</f>
        <v>51.36723999</v>
      </c>
      <c r="F93" s="152">
        <f>IFERROR(__xludf.DUMMYFUNCTION("IF(OR(A93="""",AND(ISERROR(FIND(""drawer box"",A93))=FALSE,KitchenDrawerType=""Solid dovetail"")),"""",IF(ISERROR(FIND(""bins"",A93))=FALSE,VLOOKUP(""Base carcass 600"",KitchensData,6,0),IF(OR(ISERROR(FIND(""larder"",A93))=FALSE,ISERROR(FIND(""unit"",A93)"&amp;")=FALSE),VLOOKUP(LEFT(A93,FIND("" "",A93))&amp;""carcass ""&amp;RIGHT(A93,LEN(A93)-len(regexextract(A93,"".* ""))),KitchensData,6,0),IF(ISERROR(FIND(""drawer front"",A93))=FALSE,IF(ISERROR(FIND(""veneer"",KitchenCarcassMaterial))=TRUE,0,(((B93+C93)/1000)*2)*VLOOK"&amp;"UP(""Edge banding (per M)"",SheetsData,5,0)),IF(ISERROR(FIND(""drawer box"",A93))=FALSE,IF(ISERROR(FIND(""veneer"",KitchenCarcassMaterial))=TRUE,0,(((C93+D93)/1000)*2)*VLOOKUP(""Edge banding (per M)"",SheetsData,5,0)),IF(ISERROR(FIND(""shelf"",A93))=FALSE"&amp;",IF(ISERROR(FIND(""veneer"",KitchenCarcassMaterial))=TRUE,0,(C93/1000)*VLOOKUP(""Edge banding (per M)"",SheetsData,5,0)),IF(AND(ISERROR(FIND(""carcass"",A93))=FALSE,ISERROR(FIND(""shelf"",A93))=TRUE),IF(ISERROR(FIND(""veneer"",KitchenCarcassMaterial))=TRU"&amp;"E,0,((2*(B93+C93))/1000)*VLOOKUP(""Edge banding (per M)"",SheetsData,5,0)),IF(ISERROR(FIND(""door"",A93))=TRUE,"""",IF(ISERROR(FIND(""veneer"",KitchenDoorMaterial))=TRUE,"""",((2*(B93+C93))/1000)*VLOOKUP(""Edge banding (per M)"",SheetsData,5,0))))))))))"),0.0)</f>
        <v>0</v>
      </c>
      <c r="G93" s="153" t="str">
        <f>IF(A93="","",IF(ISERROR(FIND("bins",A93))=FALSE,VLOOKUP("Base carcass 600",KitchensData,7,0),IF(OR(ISERROR(FIND("larder",A93))=FALSE,ISERROR(FIND("fridge/freezer",A93))=FALSE,ISERROR(FIND("double oven",A93))=FALSE,ISERROR(FIND("single oven",A93))=FALSE),VLOOKUP(LEFT(A93,FIND(" ",A93))&amp;"carcass "&amp;RIGHT(A93,LEN(A93)-(LEN(A93)-3)),KitchensData,7,0),IF(AND(ISERROR(FIND("carcass",A93))=FALSE,ISERROR(FIND("shelf",A93))=TRUE),IF(OR(ISERROR(FIND("Base",A93))=FALSE,ISERROR(FIND("Tower",A93))=FALSE),IF(OR(ISERROR(FIND("1200",A93))=FALSE, ISERROR(FIND("lost corner",A93))=FALSE),6*VLOOKUP("Plinth foot (2 Parts 80mm)",FurnitureData,5,0),4*VLOOKUP("Plinth foot (2 Parts 80mm)",FurnitureData,5,0)),""),""))))</f>
        <v/>
      </c>
      <c r="H93" s="115" t="str">
        <f>IF(OR(A93="",ISERROR(FIND("door",A93))=TRUE),"",IF(ISERROR(FIND("Wall",A93))=FALSE,VLOOKUP("Hinges &amp; plates (Hettich thick door)",FurnitureData,5,0)*2,IF(ISERROR(FIND("Base",A93))=FALSE,VLOOKUP("Hinges &amp; plates (Hettich thick door)",FurnitureData,5,0)*3,IF(ISERROR(FIND("Boiler",A93))=FALSE,VLOOKUP("Hinges &amp; plates (Hettich thick door)",FurnitureData,5,0)*4,IF(ISERROR(FIND("Tower",A93))=FALSE,VLOOKUP("Hinges &amp; plates (Hettich thick door)",FurnitureData,5,0)*5)))))</f>
        <v/>
      </c>
      <c r="I93" s="115" t="str">
        <f>IF(ISERROR(FIND("shelf",A93))=FALSE,(VLOOKUP("Shelf pegs",FurnitureData,5,0)/100)*4,"")</f>
        <v/>
      </c>
      <c r="J93" s="152" t="str">
        <f>IF(OR(ISERROR(FIND("fridge/freezer",A93))=FALSE,ISERROR(FIND("larder",A93))=FALSE,AND(ISERROR(FIND("Base",A93))=FALSE,ISERROR(FIND("bins",A93))=TRUE,ISERROR(FIND("no shelves",A93))=TRUE,OR(ISERROR(FIND("carcass",A93))=FALSE,ISERROR(FIND("unit",A93))=FALSE))),VLOOKUP("Deep shelf "&amp;C93,KitchensData,18,0),IF(AND(ISERROR(FIND("Wall",A93))=FALSE,ISERROR(FIND("carcass",A93))=FALSE),2*VLOOKUP("Shallow shelf "&amp;C93,KitchensData,18,0),IF(AND(ISERROR(FIND("Tower",A93))=FALSE,ISERROR(FIND("oven",A93))=FALSE),4*VLOOKUP("Deep shelf "&amp;C93,KitchensData,18,0),IF(AND(ISERROR(FIND("Tower",A93))=FALSE,ISERROR(FIND("carcass",A93))=FALSE),5*VLOOKUP("Deep shelf "&amp;C93,KitchensData,18,0),""))))</f>
        <v/>
      </c>
      <c r="K93" s="152">
        <f>IF(ISERROR(FIND("sink",A93))=FALSE,VLOOKUP("Sink liner - Aluminium "&amp;RIGHT(A93,LEN(A93)-22)&amp;"mm",ExceptionalData,5,0),IF(ISERROR(FIND("bins",A93))=FALSE,VLOOKUP("Drawer runners and clip set for bin unit (500) Dynapro",FurnitureData,5,0)+(2*VLOOKUP("Bin (42L Anthracite)",FurnitureData,5,0)),IF(ISERROR(FIND("larder",A93))=FALSE,VLOOKUP("Pull out larder unit 600mm",FurnitureData,5,0),IF(AND(ISERROR(FIND("drawer box",A93))=FALSE,ISERROR(FIND("internal",A93))=TRUE),VLOOKUP("Drawer runners and clip set (550) Dynapro",FurnitureData,5,0),IF(ISERROR(FIND("internal drawer box",A93))=FALSE,VLOOKUP("Drawer runners and clip set (450) Dynapro",FurnitureData,5,0),"")))))</f>
        <v>39.72</v>
      </c>
      <c r="L93" s="152">
        <f t="shared" si="3"/>
        <v>91.08723999</v>
      </c>
      <c r="M93" s="154">
        <f>IFERROR(__xludf.DUMMYFUNCTION("IF(A93="""","""",IF(OR(ISERROR(FIND(""larder"",A93))=FALSE,ISERROR(FIND(""unit"",A93))=FALSE),VLOOKUP(LEFT(A93,FIND("" "",A93))&amp;""carcass ""&amp;RIGHT(A93,LEN(A93)-len(regexextract(A93,"".* ""))),KitchensData,13,0),IF(ISERROR(FIND(""bins"",A93))=FALSE,0.95,IF"&amp;"(ISERROR(FIND(""Cutlery insert 600"",A93))=FALSE,1.3,IF(ISERROR(FIND(""Cutlery insert 1200"",A93))=FALSE,2,IF(ISERROR(FIND(""Pan/tray rack 600"",A93))=FALSE,3.25,IF(ISERROR(FIND(""Pan/tray rack 1200"",A93))=FALSE,5.9,IF(ISERROR(FIND(""split"",A93))=FALSE,"&amp;"(((C93/1000)*0.022)*2)+VLOOKUP(SUBSTITUTE(A93,"" split"",""""),KitchensData,13,0),IF(AND(ISERROR(FIND(""drawer front"",A93))=FALSE,KitchenDoorStyle=""Flat""),(((B93/1000)*(C93/1000))*2)+((((B93+C93)/1000)*2)*0.022),IF(AND(ISERROR(FIND(""drawer front"",A93"&amp;"))=FALSE,LEFT(KitchenDoorStyle,5)=""Panel""),(((B93/1000)*(C93/1000))*2)+((((B93+C93)/1000)*2)*0.022)+((((C93/1000)-0.16)*0.013)*2)+((((D93/1000)-0.16)*0.013)*2),IF(AND(ISERROR(FIND(""drawer front"",A93))=FALSE,KitchenDoorStyle=""In-frame flat""),((((B93-"&amp;"76)/1000)*((C93-38)/1000))*2)+(MID(KitchenDoorMaterial,FIND(""("",KitchenDoorMaterial)+1,2)/1000)*((((B93-76)+(C93-38))/1000)*2)+(((B93/1000)*0.032)*2)+((((B93-76)/1000)*0.032)*2)+(((B93/1000)*0.019)*4)+(((C93/1000)*0.032)*2)+((((C93-38)/1000)*0.032)*2)+("&amp;"((C93/1000)*0.038)*4),IF(AND(ISERROR(FIND(""drawer front"",A93))=FALSE,LEFT(KitchenDoorStyle,14)=""In-frame panel""),((((B93-76)/1000)*((C93-38)/1000))*2)+((MID(KitchenDoorMaterial,FIND(""("",KitchenDoorMaterial)+1,2)/1000)*((((B93-76)+(C93-38))/1000)*2))"&amp;"+((((B93-236)/1000)+((C93-198)/1000)*2)*0.013)+(((B93/1000)*0.032)*2)+((((B93-76)/1000)*0.032)*2)+(((B93/1000)*0.019)*4)+(((C93/1000)*0.032)*2)+((((C93-38)/1000)*0.032)*2)+(((C93/1000)*0.038)*4),IF(ISERROR(FIND(""drawer box"",A93))=FALSE,((((B93/1000)*(D9"&amp;"3/1000))+((B93/1000)*(C93/1000)))*4)+((((D93/1000)+(C93/1000))*0.016)*4)+(((C93/1000)*(D93/1000))*2),IF(OR(ISERROR(FIND(""shelf"",A93))=FALSE,ISERROR(FIND(""spacer"",A93))=FALSE,,ISERROR(FIND(""filler panel"",A93))=FALSE),(((C93/1000)*(D93/1000))*2)+((((C"&amp;"93+D93)*2)/1000)*0.022),IF(ISERROR(FIND(""lost corner"",A93))=FALSE,(((B93/1000)*(C93/1000))*2)+((B93/1000)*(C93/1000))+((B93/1000)*((C93/2)/1000))+((((B93/1000)*0.025)+((C93/1000)*0.025))*2),IF(ISERROR(FIND(""carcass"",A93))=FALSE,(((C93/1000)*(D93/1000)"&amp;")*2)+(((B93/1000)*(D93/1000))*2)+((B93/1000)*(C93/1000))+((((B93/1000)*0.025)+((C93/1000)*0.025))*2),IF(AND(ISERROR(FIND(""door"",A93))=FALSE,KitchenDoorStyle=""Flat""),(((B93/1000)*(C93/1000))*2)+(MID(KitchenDoorMaterial,FIND(""("",KitchenDoorMaterial)+1"&amp;",2)/1000)*(((B93+C93)/1000)*2),IF(AND(ISERROR(FIND(""door"",A93))=FALSE,LEFT(KitchenDoorStyle,5)=""Panel""),(((B93/1000)*(C93/1000))*2)+((MID(KitchenDoorMaterial,FIND(""("",KitchenDoorMaterial)+1,2)/1000)*(((B93+C93)/1000)*2))+(((((B93-160)+(C93-160))*2)/"&amp;"1000)*(0.013)),IF(AND(ISERROR(FIND(""door"",A93))=FALSE,KitchenDoorStyle=""In-frame flat""),((((B93-76)/1000)*((C93-38)/1000))*2)+(MID(KitchenDoorMaterial,FIND(""("",KitchenDoorMaterial)+1,2)/1000)*((((B93-76)+(C93-38))/1000)*2)+(((B93/1000)*0.032)*2)+((("&amp;"(B93-76)/1000)*0.032)*2)+(((B93/1000)*0.019)*4)+(((C93/1000)*0.032)*2)+((((C93-38)/1000)*0.032)*2)+(((C93/1000)*0.038)*4),IF(AND(ISERROR(FIND(""door"",A93))=FALSE,LEFT(KitchenDoorStyle,14)=""In-frame panel""),((((B93-76)/1000)*((C93-38)/1000))*2)+((MID(Ki"&amp;"tchenDoorMaterial,FIND(""("",KitchenDoorMaterial)+1,2)/1000)*((((B93-76)+(C93-38))/1000)*2))+((((B93-236)/1000)+((C93-198)/1000)*2)*0.013)+(((B93/1000)*0.032)*2)+((((B93-76)/1000)*0.032)*2)+(((B93/1000)*0.019)*4)+(((C93/1000)*0.032)*2)+((((C93-38)/1000)*0"&amp;".032)*2)+(((C93/1000)*0.038)*4),IF(ISERROR(FIND(""Plinth"",A93))=FALSE,((B93/1000)*(C93/1000))+(((C93/1000)*0.018)*2)+(((B93/1000)*0.018)*2),IF(ISERROR(FIND(""Cornice"",A93))=FALSE,(((C93/1000)*0.1)*2)+(((C93/1000)*0.044)*2)+(((B93/1000)*0.08)*2),IF(ISERR"&amp;"OR(FIND(""Base end panel"",A93))=FALSE,((B93/1000)*(C93/1000))+(0.022*((B93/1000)+((C93/1000)*2)))+((B93/1000)*0.05),IF(ISERROR(FIND(""Wall end panel"",A93))=FALSE,((B93/1000)*(C93/1000))+(0.022*((B93/1000)+((C93/1000)*2)))+((B93/1000)*0.05),IF(ISERROR(FI"&amp;"ND(""Tower end panel"",A93))=FALSE,((B93/1000)*(C93/1000))+(0.022*((B93/1000)+((C93/1000)*2)))+((B93/1000)*0.05),IF(ISERROR(FIND(""Fillers"",A93))=FALSE,((C93/1000)*0.06)+((C93/1000)*0.069)+((0.06*0.018)*2)+((0.06*0.009)*2)+((C93/1000)*0.009)+((C93/1000)*"&amp;"0.018),IF(ISERROR(FIND(""corner post"",A93))=FALSE,(((B93/1000*0.05)*2)+((B93/1000)*0.022)*2)+((B93/1000)*0.072)+((B93/1000)*0.05)+((0.072*0.022)*2)+((0.05*0.022)*2),IF(ISERROR(FIND(""Pelmet"",A93))=FALSE,((C93/1000)*0.05)+((C93/1000)*0.068)+((0.05*0.018)"&amp;"*4)+(((C93/1000)*0.018))*2))))))))))))))))))))))))))))"),3.7152000000000003)</f>
        <v>3.7152</v>
      </c>
      <c r="N93" s="152">
        <f>IF(M93="","",IF(AND(ISERROR(FIND("carcass",A93))=TRUE,ISERROR(FIND("unit",A93))=TRUE,ISERROR(FIND("insert",A93))=TRUE,ISERROR(FIND("rack",A93))=TRUE,ISERROR(FIND("box",A93))=TRUE,ISERROR(FIND("shelf",#REF!))=TRUE),VLOOKUP(KitchenDoorFinish,Finishing!$A$2:$K$10,9,0)*M93,VLOOKUP(KitchenCarcassFinish,Finishing!$A$2:$K$40,9,0)*M93))</f>
        <v>13.932</v>
      </c>
      <c r="O93" s="155">
        <v>3.5</v>
      </c>
      <c r="P93" s="155">
        <v>1.0</v>
      </c>
      <c r="Q93" s="152">
        <f>IF(OR(O93="",P93=""),"",((O93*X93)*(VLOOKUP("Workshop",Labour!$A$3:$E$20,4,0)/8))+((P93*AE93)*(VLOOKUP("Finishing",Labour!$A$3:$E$20,4,0)/8)))</f>
        <v>181.125</v>
      </c>
      <c r="R93" s="152">
        <f t="shared" si="4"/>
        <v>286.14424</v>
      </c>
      <c r="S93" s="156">
        <f>IF(OR(O93="",P93=""),"",IF(OR(ISERROR(FIND("carcass",$A93))=FALSE,ISERROR(FIND("unit",$A93))=FALSE),VLOOKUP(KitchenCarcassMaterial,FixedListsCarcassMaterial,2,0),0))</f>
        <v>0</v>
      </c>
      <c r="T93" s="156">
        <f>IF(OR(O93="",P93=""),"",IF(ISERROR(FIND("door",$A93))=FALSE,VLOOKUP(KitchenDoorStyle,FixedListsDoorStyle,2,0),0))</f>
        <v>0</v>
      </c>
      <c r="U93" s="156">
        <f>IF(OR(O93="",P93=""),"",IF(ISERROR(FIND("door",$A93))=FALSE,VLOOKUP(KitchenDoorMaterial,FixedListsDoorMaterial,2,0),0))</f>
        <v>0</v>
      </c>
      <c r="V93" s="156">
        <f>IF(OR(O93="",P93=""),"",IF(ISERROR(FIND("drawer",$A93))=FALSE,VLOOKUP(KitchenDrawerType,FixedListsDrawerType,2,0),0))</f>
        <v>1</v>
      </c>
      <c r="W93" s="156">
        <f>IF(OR(O93="",P93=""),"",IF(OR(S93&gt;0, T93&gt;0,V93&gt;0),VLOOKUP(KitchenHandleType,FixedListsHandleType,2,FALSE)*IF(KitchenHandleType="Simple",0,IF(S93&gt;0,VLOOKUP(KitchenHandleType,FixedListsHandleType,4,FALSE),IF(OR(T93&gt;0,V93&gt;0),1-VLOOKUP(KitchenHandleType,FixedListsHandleType,4,FALSE),"Error"))),0))</f>
        <v>0</v>
      </c>
      <c r="X93" s="156">
        <f t="shared" si="5"/>
        <v>1</v>
      </c>
      <c r="Y93" s="156">
        <f>IF(OR(O93="",P93=""),"",IF(OR(ISERROR(FIND("carcass",$A93))=FALSE,ISERROR(FIND("unit",$A93))=FALSE),VLOOKUP(KitchenCarcassMaterial,FixedListsCarcassMaterial,3,0),0))</f>
        <v>0</v>
      </c>
      <c r="Z93" s="156">
        <f>IF(OR(O93="",P93=""),"",IF(ISERROR(FIND("door",$A93))=FALSE,VLOOKUP(KitchenDoorStyle,FixedListsDoorStyle,3,0),0))</f>
        <v>0</v>
      </c>
      <c r="AA93" s="156">
        <f>IF(OR(O93="",P93=""),"",IF(ISERROR(FIND("door",$A93))=FALSE,VLOOKUP(KitchenDoorMaterial,FixedListsDoorMaterial,3,0),0))</f>
        <v>0</v>
      </c>
      <c r="AB93" s="156">
        <f>IF(OR(O93="",P93=""),"",IF(ISERROR(FIND("drawer",$A93))=FALSE,VLOOKUP(KitchenDrawerType,FixedListsDrawerType,3,0),0))</f>
        <v>1</v>
      </c>
      <c r="AC93" s="156">
        <f>IF(OR(O93="",P93=""),"",IF(OR(Y93&gt;0,Z93&gt;0,AB93&gt;0),VLOOKUP(KitchenHandleType,FixedListsHandleType,3,FALSE),0))</f>
        <v>1</v>
      </c>
      <c r="AD93" s="156">
        <f>IF(OR(O93="",P93=""),"",IF(OR(ISERROR(FIND("carcass",$A93))=FALSE,ISERROR(FIND("unit",$A93))=FALSE),VLOOKUP(KitchenCarcassFinish,FixedListsFinishes,3,0),IF(OR(ISERROR(FIND("door",$A93))=FALSE,ISERROR(FIND("Plinth",$A93))=FALSE,ISERROR(FIND("Cornice",$A93))=FALSE,ISERROR(FIND("Fillers",$A93))=FALSE,ISERROR(FIND("Pelmet",$A93))=FALSE,ISERROR(FIND("panel",$A93))=FALSE,ISERROR(FIND("post",$A93))=FALSE),VLOOKUP(KitchenDoorFinish,FixedListsFinishes,3,0),IF(OR(ISERROR(FIND("drawer",$A93))=FALSE,ISERROR(FIND("insert",$A93))=FALSE,ISERROR(FIND("rck",$A93))=FALSE),VLOOKUP(KitchenCarcassFinish,FixedListsFinishes,3,0),0))))</f>
        <v>1</v>
      </c>
      <c r="AE93" s="156">
        <f t="shared" si="6"/>
        <v>1</v>
      </c>
      <c r="AF93" s="157" t="str">
        <f>IF(AND(KitchenHandleType="Channel",OR(ISERROR(FIND("arcass",$A93))=FALSE,ISERROR(FIND("unit",$A93))=FALSE)),IF(ISERROR(FIND("Tower",$A93))=TRUE,IF(KitchenHandleFinish="Match carcass",IF(ISERROR(FIND("Walnut",KitchenCarcassMaterial))=FALSE,(0.035*0.075*($C93/1000))*VLOOKUP("Walnut (solid m3)",SolidData,4,FALSE),IF(ISERROR(FIND("Oak",KitchenCarcassMaterial))=FALSE,(0.035*0.075*($C93/1000))*VLOOKUP("Oak (solid m3)",SolidData,4,FALSE),IF(ISERROR(FIND("ply",KitchenCarcassMaterial))=FALSE,(0.1*($C93/1000))*VLOOKUP("Birch ply (24mm)",SheetsData,7,FALSE),IF(ISERROR(FIND("H/F",KitchenCarcassMaterial))=FALSE,(0.1*($C93/1000))*VLOOKUP("H/F (22mm)",SheetsData,7,FALSE),"Carcass - not tower - new material")))),IF(KitchenHandleFinish="Match door",IF(ISERROR(FIND("Walnut",KitchenDoorMaterial))=FALSE,(0.035*0.075*($C93/1000))*VLOOKUP("Walnut (solid m3)",SolidData,4,FALSE),IF(ISERROR(FIND("Oak",KitchenDoorMaterial))=FALSE,(0.035*0.075*($C93/1000))*VLOOKUP("Oak (solid m3)",SolidData,4,FALSE),IF(ISERROR(FIND("ply",KitchenDoorMaterial))=FALSE,(0.1*($C93/1000))*VLOOKUP("Birch ply (24mm)",SheetsData,7,FALSE),IF(ISERROR(FIND("H/F",KitchenCarcassMaterial))=FALSE,(0.1*($C93/1000))*VLOOKUP("H/F (22mm)",SheetsData,7,FALSE),"Door - not tower - new material")))),"Channel - not tower - handle set to other")),IF(ISERROR(FIND("Tower",$A93))=FALSE,IF(KitchenHandleFinish="Match carcass",IF(ISERROR(FIND("Walnut",KitchenCarcassMaterial))=FALSE,(0.035*0.075*($B93/1000))*VLOOKUP("Walnut (solid m3)",SolidData,4,FALSE),IF(ISERROR(FIND("Oak",KitchenCarcassMaterial))=FALSE,(0.035*0.075*($B93/1000))*VLOOKUP("Oak (solid m3)",SolidData,4,FALSE),IF(ISERROR(FIND("ply",KitchenCarcassMaterial))=FALSE,(0.1*($B93/1000))*VLOOKUP("Birch ply (24mm)",SheetsData,7,FALSE),IF(ISERROR(FIND("H/F",KitchenCarcassMaterial))=FALSE,(0.1*($C93/1000))*VLOOKUP("H/F (22mm)",SheetsData,7,FALSE),"Carcass - tower - new material")))),IF(KitchenHandleFinish="Match door",IF(ISERROR(FIND("Walnut",KitchenDoorMaterial))=FALSE,(0.035*0.075*($B93/1000))*VLOOKUP("Walnut (solid m3)",SolidData,4,FALSE),IF(ISERROR(FIND("Oak",KitchenDoorMaterial))=FALSE,(0.035*0.075*($B93/1000))*VLOOKUP("Oak (solid m3)",SolidData,4,FALSE),IF(ISERROR(FIND("ply",KitchenDoorMaterial))=FALSE,(0.1*($B93/1000))*VLOOKUP("Birch ply (24mm)",SheetData,7,FALSE),IF(ISERROR(FIND("H/F",KitchenCarcassMaterial))=FALSE,(0.1*($C93/1000))*VLOOKUP("H/F (22mm)",SheetsData,7,FALSE),"Door - tower - new material")))),"Channel - tower - handle set to other")))),"")</f>
        <v/>
      </c>
    </row>
    <row r="94">
      <c r="A94" s="150" t="s">
        <v>202</v>
      </c>
      <c r="B94" s="115" t="str">
        <f t="shared" si="1"/>
        <v>180</v>
      </c>
      <c r="C94" s="115" t="str">
        <f>IFERROR(__xludf.DUMMYFUNCTION("IF(A94="""","""",IF(OR(RIGHT(A94,LEN(A94)-len(regexextract(A94,"".* "")))=""1200"",RIGHT(A94,LEN(A94)-len(regexextract(A94,"".* "")))=""600"",RIGHT(A94,LEN(A94)-len(regexextract(A94,"".* "")))=""400"",RIGHT(A94,LEN(A94)-len(regexextract(A94,"".* "")))=""3"&amp;"00"",RIGHT(A94,LEN(A94)-len(regexextract(A94,"".* "")))=""700"",RIGHT(A94,LEN(A94)-len(regexextract(A94,"".* "")))=""2400"",RIGHT(A94,LEN(A94)-len(regexextract(A94,"".* "")))=""650"",RIGHT(A94,LEN(A94)-len(regexextract(A94,"".* "")))=""350"",RIGHT(A94,LEN"&amp;"(A94)-len(regexextract(A94,"".* "")))=""50""),RIGHT(A94,LEN(A94)-len(regexextract(A94,"".* ""))),IF(OR(ISERROR(FIND(""spacer"",A94))=FALSE,ISERROR(FIND(""filler panel"",A94))=FALSE),""1000"",""Unexpected size in description"")))"),"600")</f>
        <v>600</v>
      </c>
      <c r="D94" s="151" t="str">
        <f t="shared" si="2"/>
        <v/>
      </c>
      <c r="E94" s="152">
        <f>IFERROR(__xludf.DUMMYFUNCTION("IF(OR(A94="""",AND(ISERROR(FIND(""drawer box"",A94))=FALSE,KitchenDrawerType="""")),"""",IF(OR(ISERROR(FIND(""larder"",A94))=FALSE,ISERROR(FIND(""fridge/freezer"",A94))=FALSE,ISERROR(FIND(""double oven"",A94))=FALSE,ISERROR(FIND(""single oven"",A94))=FALS"&amp;"E),VLOOKUP(LEFT(A94,FIND("" "",A94))&amp;""carcass ""&amp;RIGHT(A94,LEN(A94)-(LEN(A94)-3)),KitchensData,5,0),IF(ISERROR(FIND(""sink"",A94))=FALSE,VLOOKUP(LEFT(A94,FIND("" "",A94))&amp;""carcass ""&amp;VALUE(REGEXREPLACE(A94,""[^[:digit:]]"", """")),KitchensData,5,0)+(((C"&amp;"94/1000)*(300/1000))*VLOOKUP(KitchenCarcassMaterial,SheetsData,8,0)),IF(ISERROR(FIND(""bins"",A94))=FALSE,IF(ISERROR(FIND(""veneer"",KitchenCarcassMaterial))=FALSE,VLOOKUP(""Base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600"",A94))=FALSE,IF(ISERROR(FIND(""veneer"""&amp;",KitchenCarcassMaterial))=FALSE,0.54*(VLOOKUP(LEFT(KitchenCarcassMaterial,FIND(""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1200"",A94))=FALSE,"&amp;"IF(ISERROR(FIND(""veneer"",KitchenCarcassMaterial))=FALSE,0.84*(VLOOKUP(LEFT(KitchenCarcassMaterial,FIND(""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600"",A94))=FALSE,IF(ISERROR(FIND(""veneer"",KitchenCarcassMaterial))=FALSE,1.44*(VLOOKUP(LEFT(KitchenCarcassMaterial,FIND(""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1200"",A94))=FALSE,IF(ISERROR(FIND(""veneer"",KitchenCarcassMaterial))=FALSE,2.7*(VLOOKUP(LEFT(KitchenCarcassMaterial,FIND(""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front"",A94))=FALSE,((B94/1000)*(C94/1000))*VLOOKUP(KitchenDoorMaterial,SheetsData,8,0),IF(AND(KitchenDrawerType=""Match carcass"",ISERROR(FIND(""drawer box"",A94))=FALSE),(((((B94/1000)*(C94/1000))+((B94/1000"&amp;")*(D94/1000)))*2)*VLOOKUP(KitchenCarcassMaterial,SheetsData,8,0))+(((C94/1000)*(D94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box"",A94))=FALSE),(((((B94/1000)*(C94/1000))+((B94/1000)*(D94/1000)))*2)*(16/1000)*VLOOKUP(LEFT(KitchenCarcassMaterial,FIND("" "&amp;""",KitchenCarcassMaterial))&amp;""(solid m3)"",SolidData,5,0))+(((C94/1000)*(D94/1000))*VLOOKUP(LEFT(KitchenCarcassMaterial,FIND(""("",KitchenCarcassMaterial)-1)&amp;IF(OR(ISERROR(FIND(""ply"",KitchenCarcassMaterial))=FALSE,ISERROR(FIND(""H/F"",KitchenCarcassMate"&amp;"rial))=FALSE),""(9mm)"",""(10mm)""),SheetsData,8,0)),IF(ISERROR(FIND(""spacer"",A94))=FALSE,((D94/1000)*(C94/1000))*VLOOKUP(""Poplar ply (18mm)"",SheetsData,8,0),IF(ISERROR(FIND(""filler panel"",A94))=FALSE,((B94/1000)*(C94/1000))*VLOOKUP(KitchenDoorMater"&amp;"ial,SheetsData,8,0),IF(ISERROR(FIND(""shelf"",A94))=FALSE,((D94/1000)*(C94/1000))*VLOOKUP(KitchenCarcassMaterial,SheetsData,8,0),IF(ISERROR(FIND(""lost corner"",A94))=FALSE,VLOOKUP(LEFT(A94,FIND("" "",A94))&amp;""carcass ""&amp;VALUE(REGEXREPLACE(A94,""[^[:digit:"&amp;"]]"", """")),KitchensData,5,0)+((((B94/1000)*(C94/1000))+((B94/1000)*(60/1000)))*VLOOKUP(KitchenCarcassMaterial,SheetsData,8,0)),IF(ISERROR(FIND(""carcass"",A94))=FALSE,(((((B94/1000)*2)*(D94/1000))+(((C94/1000)*2)*(D94/1000)))*VLOOKUP(KitchenCarcassMater"&amp;"ial,SheetsData,8,0))+((B94/1000)*(C94/1000))*VLOOKUP(LEFT(KitchenCarcassMaterial,FIND(""("",KitchenCarcassMaterial)-1)&amp;IF(OR(ISERROR(FIND(""ply"",KitchenCarcassMaterial))=FALSE,ISERROR(FIND(""H/F"",KitchenCarcassMaterial))=FALSE),""(9mm)"",""(10mm)""),She"&amp;"etsData,8,0),IF(OR(ISERROR(FIND(""Plinth"",A94))=FALSE,ISERROR(FIND(""Cornice (flat)"",A94))=FALSE),((B94/1000)*(C94/1000))*VLOOKUP(""H/F (18mm)"",SheetsData,8,0),IF(ISERROR(FIND(""Cornice (stacked)"",A94))=FALSE,((0.08*(C94/1000))*2)*VLOOKUP(""H/F (22mm)"&amp;""",SheetsData,8,0),IF(ISERROR(FIND(""Base end panel"",A94))=FALSE,VLOOKUP(KitchenDoorMaterial,SheetsData,5,0)/3,IF(ISERROR(FIND(""Wall end panel"",A94))=FALSE,VLOOKUP(KitchenDoorMaterial,SheetsData,5,0)/9,IF(ISERROR(FIND(""Tower end panel"",A94))=FALSE,VL"&amp;"OOKUP(KitchenDoorMaterial,SheetsData,5,0),IF(ISERROR(FIND(""Fillers"",A94))=FALSE,(((0.06*(C94/1000))*2)*VLOOKUP(""H/F (18mm)"",SheetsData,8,0))+(((0.06*(C94/1000))*2)*VLOOKUP(""H/F (9mm)"",SheetsData,8,0)),IF(ISERROR(FIND(""corner post"",A94))=FALSE,(((B"&amp;"94/1000)*0.05)*2)*VLOOKUP(KitchenDoorMaterial,SheetsData,8,0),IF(ISERROR(FIND(""Pelmet"",A94))=FALSE,((((B94/1000)*(C94/1000))*2)*VLOOKUP(""H/F (18mm)"",SheetsData,8,0)),IF(ISERROR(FIND(""door"",A94))=TRUE,""Check description"",IF(KitchenDoorStyle=""Flat"&amp;""",((B94/1000)*(C94/1000))*VLOOKUP(KitchenDoorMaterial,SheetsData,8,0),IF(LEFT(KitchenDoorStyle,5)=""Panel"",(((((B94/1000)*2)*0.08)+((((C94/1000)-0.16)*2)*0.08))*VLOOKUP(""H/F (22mm)"",SheetsData,8,0))+(((B94/1000)-0.14)*((C94/1000)-0.14)*VLOOKUP(""H/F ("&amp;"9mm)"",SheetsData,8,0)),IF(KitchenDoorStyle=""In-frame flat"",((((((B94/1000)*0.019)*0.038)+((((C94-38)/1000)*0.038)*0.038))*2)*VLOOKUP(""Tulip (solid m3)"",SolidData,5,0))+(((B94-76)/1000)*((C94-38)/1000))*VLOOKUP(""H/F (22mm)"",SheetsData,8,0),IF(LEFT(K"&amp;"itchenDoorStyle,14)=""In-frame panel"",(((((((B94/1000)*0.019)*0.038)+((((C94-38)/1000)*0.038)*0.038))*2)*VLOOKUP(""Tulip (solid m3)"",SolidData,5,0))+(((((((B94-76)/1000)*2)*0.08)+(((((C94-198)/1000)*2)*0.08)))*VLOOKUP(""H/F (22mm)"",SheetsData,8,0))+((("&amp;"B94-216)/1000)*((C94-178)/1000)*VLOOKUP(""H/F (9mm)"",SheetsData,8,0)))))))))))))))))))))))))))))))))"),1.9936173071754903)</f>
        <v>1.993617307</v>
      </c>
      <c r="F94" s="152">
        <f>IFERROR(__xludf.DUMMYFUNCTION("IF(OR(A94="""",AND(ISERROR(FIND(""drawer box"",A94))=FALSE,KitchenDrawerType=""Solid dovetail"")),"""",IF(ISERROR(FIND(""bins"",A94))=FALSE,VLOOKUP(""Base carcass 600"",KitchensData,6,0),IF(OR(ISERROR(FIND(""larder"",A94))=FALSE,ISERROR(FIND(""unit"",A94)"&amp;")=FALSE),VLOOKUP(LEFT(A94,FIND("" "",A94))&amp;""carcass ""&amp;RIGHT(A94,LEN(A94)-len(regexextract(A94,"".* ""))),KitchensData,6,0),IF(ISERROR(FIND(""drawer front"",A94))=FALSE,IF(ISERROR(FIND(""veneer"",KitchenCarcassMaterial))=TRUE,0,(((B94+C94)/1000)*2)*VLOOK"&amp;"UP(""Edge banding (per M)"",SheetsData,5,0)),IF(ISERROR(FIND(""drawer box"",A94))=FALSE,IF(ISERROR(FIND(""veneer"",KitchenCarcassMaterial))=TRUE,0,(((C94+D94)/1000)*2)*VLOOKUP(""Edge banding (per M)"",SheetsData,5,0)),IF(ISERROR(FIND(""shelf"",A94))=FALSE"&amp;",IF(ISERROR(FIND(""veneer"",KitchenCarcassMaterial))=TRUE,0,(C94/1000)*VLOOKUP(""Edge banding (per M)"",SheetsData,5,0)),IF(AND(ISERROR(FIND(""carcass"",A94))=FALSE,ISERROR(FIND(""shelf"",A94))=TRUE),IF(ISERROR(FIND(""veneer"",KitchenCarcassMaterial))=TRU"&amp;"E,0,((2*(B94+C94))/1000)*VLOOKUP(""Edge banding (per M)"",SheetsData,5,0)),IF(ISERROR(FIND(""door"",A94))=TRUE,"""",IF(ISERROR(FIND(""veneer"",KitchenDoorMaterial))=TRUE,"""",((2*(B94+C94))/1000)*VLOOKUP(""Edge banding (per M)"",SheetsData,5,0))))))))))"),0.0)</f>
        <v>0</v>
      </c>
      <c r="G94" s="153" t="str">
        <f>IF(A94="","",IF(ISERROR(FIND("bins",A94))=FALSE,VLOOKUP("Base carcass 600",KitchensData,7,0),IF(OR(ISERROR(FIND("larder",A94))=FALSE,ISERROR(FIND("fridge/freezer",A94))=FALSE,ISERROR(FIND("double oven",A94))=FALSE,ISERROR(FIND("single oven",A94))=FALSE),VLOOKUP(LEFT(A94,FIND(" ",A94))&amp;"carcass "&amp;RIGHT(A94,LEN(A94)-(LEN(A94)-3)),KitchensData,7,0),IF(AND(ISERROR(FIND("carcass",A94))=FALSE,ISERROR(FIND("shelf",A94))=TRUE),IF(OR(ISERROR(FIND("Base",A94))=FALSE,ISERROR(FIND("Tower",A94))=FALSE),IF(OR(ISERROR(FIND("1200",A94))=FALSE, ISERROR(FIND("lost corner",A94))=FALSE),6*VLOOKUP("Plinth foot (2 Parts 80mm)",FurnitureData,5,0),4*VLOOKUP("Plinth foot (2 Parts 80mm)",FurnitureData,5,0)),""),""))))</f>
        <v/>
      </c>
      <c r="H94" s="115" t="str">
        <f>IF(OR(A94="",ISERROR(FIND("door",A94))=TRUE),"",IF(ISERROR(FIND("Wall",A94))=FALSE,VLOOKUP("Hinges &amp; plates (Hettich thick door)",FurnitureData,5,0)*2,IF(ISERROR(FIND("Base",A94))=FALSE,VLOOKUP("Hinges &amp; plates (Hettich thick door)",FurnitureData,5,0)*3,IF(ISERROR(FIND("Boiler",A94))=FALSE,VLOOKUP("Hinges &amp; plates (Hettich thick door)",FurnitureData,5,0)*4,IF(ISERROR(FIND("Tower",A94))=FALSE,VLOOKUP("Hinges &amp; plates (Hettich thick door)",FurnitureData,5,0)*5)))))</f>
        <v/>
      </c>
      <c r="I94" s="115" t="str">
        <f>IF(ISERROR(FIND("shelf",A94))=FALSE,(VLOOKUP("Shelf pegs",FurnitureData,5,0)/100)*4,"")</f>
        <v/>
      </c>
      <c r="J94" s="152" t="str">
        <f>IF(OR(ISERROR(FIND("fridge/freezer",A94))=FALSE,ISERROR(FIND("larder",A94))=FALSE,AND(ISERROR(FIND("Base",A94))=FALSE,ISERROR(FIND("bins",A94))=TRUE,ISERROR(FIND("no shelves",A94))=TRUE,OR(ISERROR(FIND("carcass",A94))=FALSE,ISERROR(FIND("unit",A94))=FALSE))),VLOOKUP("Deep shelf "&amp;C94,KitchensData,18,0),IF(AND(ISERROR(FIND("Wall",A94))=FALSE,ISERROR(FIND("carcass",A94))=FALSE),2*VLOOKUP("Shallow shelf "&amp;C94,KitchensData,18,0),IF(AND(ISERROR(FIND("Tower",A94))=FALSE,ISERROR(FIND("oven",A94))=FALSE),4*VLOOKUP("Deep shelf "&amp;C94,KitchensData,18,0),IF(AND(ISERROR(FIND("Tower",A94))=FALSE,ISERROR(FIND("carcass",A94))=FALSE),5*VLOOKUP("Deep shelf "&amp;C94,KitchensData,18,0),""))))</f>
        <v/>
      </c>
      <c r="K94" s="152" t="str">
        <f>IF(ISERROR(FIND("sink",A94))=FALSE,VLOOKUP("Sink liner - Aluminium "&amp;RIGHT(A94,LEN(A94)-22)&amp;"mm",ExceptionalData,5,0),IF(ISERROR(FIND("bins",A94))=FALSE,VLOOKUP("Drawer runners and clip set for bin unit (500) Dynapro",FurnitureData,5,0)+(2*VLOOKUP("Bin (42L Anthracite)",FurnitureData,5,0)),IF(ISERROR(FIND("larder",A94))=FALSE,VLOOKUP("Pull out larder unit 600mm",FurnitureData,5,0),IF(AND(ISERROR(FIND("drawer box",A94))=FALSE,ISERROR(FIND("internal",A94))=TRUE),VLOOKUP("Drawer runners and clip set (550) Dynapro",FurnitureData,5,0),IF(ISERROR(FIND("internal drawer box",A94))=FALSE,VLOOKUP("Drawer runners and clip set (450) Dynapro",FurnitureData,5,0),"")))))</f>
        <v/>
      </c>
      <c r="L94" s="152">
        <f t="shared" si="3"/>
        <v>1.993617307</v>
      </c>
      <c r="M94" s="154">
        <f>IFERROR(__xludf.DUMMYFUNCTION("IF(A94="""","""",IF(OR(ISERROR(FIND(""larder"",A94))=FALSE,ISERROR(FIND(""unit"",A94))=FALSE),VLOOKUP(LEFT(A94,FIND("" "",A94))&amp;""carcass ""&amp;RIGHT(A94,LEN(A94)-len(regexextract(A94,"".* ""))),KitchensData,13,0),IF(ISERROR(FIND(""bins"",A94))=FALSE,0.95,IF"&amp;"(ISERROR(FIND(""Cutlery insert 600"",A94))=FALSE,1.3,IF(ISERROR(FIND(""Cutlery insert 1200"",A94))=FALSE,2,IF(ISERROR(FIND(""Pan/tray rack 600"",A94))=FALSE,3.25,IF(ISERROR(FIND(""Pan/tray rack 1200"",A94))=FALSE,5.9,IF(ISERROR(FIND(""split"",A94))=FALSE,"&amp;"(((C94/1000)*0.022)*2)+VLOOKUP(SUBSTITUTE(A94,"" split"",""""),KitchensData,13,0),IF(AND(ISERROR(FIND(""drawer front"",A94))=FALSE,KitchenDoorStyle=""Flat""),(((B94/1000)*(C94/1000))*2)+((((B94+C94)/1000)*2)*0.022),IF(AND(ISERROR(FIND(""drawer front"",A94"&amp;"))=FALSE,LEFT(KitchenDoorStyle,5)=""Panel""),(((B94/1000)*(C94/1000))*2)+((((B94+C94)/1000)*2)*0.022)+((((C94/1000)-0.16)*0.013)*2)+((((D94/1000)-0.16)*0.013)*2),IF(AND(ISERROR(FIND(""drawer front"",A94))=FALSE,KitchenDoorStyle=""In-frame flat""),((((B94-"&amp;"76)/1000)*((C94-38)/1000))*2)+(MID(KitchenDoorMaterial,FIND(""("",KitchenDoorMaterial)+1,2)/1000)*((((B94-76)+(C94-38))/1000)*2)+(((B94/1000)*0.032)*2)+((((B94-76)/1000)*0.032)*2)+(((B94/1000)*0.019)*4)+(((C94/1000)*0.032)*2)+((((C94-38)/1000)*0.032)*2)+("&amp;"((C94/1000)*0.038)*4),IF(AND(ISERROR(FIND(""drawer front"",A94))=FALSE,LEFT(KitchenDoorStyle,14)=""In-frame panel""),((((B94-76)/1000)*((C94-38)/1000))*2)+((MID(KitchenDoorMaterial,FIND(""("",KitchenDoorMaterial)+1,2)/1000)*((((B94-76)+(C94-38))/1000)*2))"&amp;"+((((B94-236)/1000)+((C94-198)/1000)*2)*0.013)+(((B94/1000)*0.032)*2)+((((B94-76)/1000)*0.032)*2)+(((B94/1000)*0.019)*4)+(((C94/1000)*0.032)*2)+((((C94-38)/1000)*0.032)*2)+(((C94/1000)*0.038)*4),IF(ISERROR(FIND(""drawer box"",A94))=FALSE,((((B94/1000)*(D9"&amp;"4/1000))+((B94/1000)*(C94/1000)))*4)+((((D94/1000)+(C94/1000))*0.016)*4)+(((C94/1000)*(D94/1000))*2),IF(OR(ISERROR(FIND(""shelf"",A94))=FALSE,ISERROR(FIND(""spacer"",A94))=FALSE,,ISERROR(FIND(""filler panel"",A94))=FALSE),(((C94/1000)*(D94/1000))*2)+((((C"&amp;"94+D94)*2)/1000)*0.022),IF(ISERROR(FIND(""lost corner"",A94))=FALSE,(((B94/1000)*(C94/1000))*2)+((B94/1000)*(C94/1000))+((B94/1000)*((C94/2)/1000))+((((B94/1000)*0.025)+((C94/1000)*0.025))*2),IF(ISERROR(FIND(""carcass"",A94))=FALSE,(((C94/1000)*(D94/1000)"&amp;")*2)+(((B94/1000)*(D94/1000))*2)+((B94/1000)*(C94/1000))+((((B94/1000)*0.025)+((C94/1000)*0.025))*2),IF(AND(ISERROR(FIND(""door"",A94))=FALSE,KitchenDoorStyle=""Flat""),(((B94/1000)*(C94/1000))*2)+(MID(KitchenDoorMaterial,FIND(""("",KitchenDoorMaterial)+1"&amp;",2)/1000)*(((B94+C94)/1000)*2),IF(AND(ISERROR(FIND(""door"",A94))=FALSE,LEFT(KitchenDoorStyle,5)=""Panel""),(((B94/1000)*(C94/1000))*2)+((MID(KitchenDoorMaterial,FIND(""("",KitchenDoorMaterial)+1,2)/1000)*(((B94+C94)/1000)*2))+(((((B94-160)+(C94-160))*2)/"&amp;"1000)*(0.013)),IF(AND(ISERROR(FIND(""door"",A94))=FALSE,KitchenDoorStyle=""In-frame flat""),((((B94-76)/1000)*((C94-38)/1000))*2)+(MID(KitchenDoorMaterial,FIND(""("",KitchenDoorMaterial)+1,2)/1000)*((((B94-76)+(C94-38))/1000)*2)+(((B94/1000)*0.032)*2)+((("&amp;"(B94-76)/1000)*0.032)*2)+(((B94/1000)*0.019)*4)+(((C94/1000)*0.032)*2)+((((C94-38)/1000)*0.032)*2)+(((C94/1000)*0.038)*4),IF(AND(ISERROR(FIND(""door"",A94))=FALSE,LEFT(KitchenDoorStyle,14)=""In-frame panel""),((((B94-76)/1000)*((C94-38)/1000))*2)+((MID(Ki"&amp;"tchenDoorMaterial,FIND(""("",KitchenDoorMaterial)+1,2)/1000)*((((B94-76)+(C94-38))/1000)*2))+((((B94-236)/1000)+((C94-198)/1000)*2)*0.013)+(((B94/1000)*0.032)*2)+((((B94-76)/1000)*0.032)*2)+(((B94/1000)*0.019)*4)+(((C94/1000)*0.032)*2)+((((C94-38)/1000)*0"&amp;".032)*2)+(((C94/1000)*0.038)*4),IF(ISERROR(FIND(""Plinth"",A94))=FALSE,((B94/1000)*(C94/1000))+(((C94/1000)*0.018)*2)+(((B94/1000)*0.018)*2),IF(ISERROR(FIND(""Cornice"",A94))=FALSE,(((C94/1000)*0.1)*2)+(((C94/1000)*0.044)*2)+(((B94/1000)*0.08)*2),IF(ISERR"&amp;"OR(FIND(""Base end panel"",A94))=FALSE,((B94/1000)*(C94/1000))+(0.022*((B94/1000)+((C94/1000)*2)))+((B94/1000)*0.05),IF(ISERROR(FIND(""Wall end panel"",A94))=FALSE,((B94/1000)*(C94/1000))+(0.022*((B94/1000)+((C94/1000)*2)))+((B94/1000)*0.05),IF(ISERROR(FI"&amp;"ND(""Tower end panel"",A94))=FALSE,((B94/1000)*(C94/1000))+(0.022*((B94/1000)+((C94/1000)*2)))+((B94/1000)*0.05),IF(ISERROR(FIND(""Fillers"",A94))=FALSE,((C94/1000)*0.06)+((C94/1000)*0.069)+((0.06*0.018)*2)+((0.06*0.009)*2)+((C94/1000)*0.009)+((C94/1000)*"&amp;"0.018),IF(ISERROR(FIND(""corner post"",A94))=FALSE,(((B94/1000*0.05)*2)+((B94/1000)*0.022)*2)+((B94/1000)*0.072)+((B94/1000)*0.05)+((0.072*0.022)*2)+((0.05*0.022)*2),IF(ISERROR(FIND(""Pelmet"",A94))=FALSE,((C94/1000)*0.05)+((C94/1000)*0.068)+((0.05*0.018)"&amp;"*4)+(((C94/1000)*0.018))*2))))))))))))))))))))))))))))"),0.25032)</f>
        <v>0.25032</v>
      </c>
      <c r="N94" s="152">
        <f>IF(M94="","",IF(AND(ISERROR(FIND("carcass",A94))=TRUE,ISERROR(FIND("unit",A94))=TRUE,ISERROR(FIND("insert",A94))=TRUE,ISERROR(FIND("rack",A94))=TRUE,ISERROR(FIND("box",A94))=TRUE,ISERROR(FIND("shelf",#REF!))=TRUE),VLOOKUP(KitchenDoorFinish,Finishing!$A$2:$K$10,9,0)*M94,VLOOKUP(KitchenCarcassFinish,Finishing!$A$2:$K$40,9,0)*M94))</f>
        <v>1.8774</v>
      </c>
      <c r="O94" s="155">
        <v>0.5</v>
      </c>
      <c r="P94" s="155">
        <v>0.5</v>
      </c>
      <c r="Q94" s="152">
        <f>IF(OR(O94="",P94=""),"",((O94*X94)*(VLOOKUP("Workshop",Labour!$A$3:$E$20,4,0)/8))+((P94*AE94)*(VLOOKUP("Finishing",Labour!$A$3:$E$20,4,0)/8)))</f>
        <v>35.875</v>
      </c>
      <c r="R94" s="152">
        <f t="shared" si="4"/>
        <v>39.74601731</v>
      </c>
      <c r="S94" s="156">
        <f>IF(OR(O94="",P94=""),"",IF(OR(ISERROR(FIND("carcass",$A94))=FALSE,ISERROR(FIND("unit",$A94))=FALSE),VLOOKUP(KitchenCarcassMaterial,FixedListsCarcassMaterial,2,0),0))</f>
        <v>0</v>
      </c>
      <c r="T94" s="156">
        <f>IF(OR(O94="",P94=""),"",IF(ISERROR(FIND("door",$A94))=FALSE,VLOOKUP(KitchenDoorStyle,FixedListsDoorStyle,2,0),0))</f>
        <v>0</v>
      </c>
      <c r="U94" s="156">
        <f>IF(OR(O94="",P94=""),"",IF(ISERROR(FIND("door",$A94))=FALSE,VLOOKUP(KitchenDoorMaterial,FixedListsDoorMaterial,2,0),0))</f>
        <v>0</v>
      </c>
      <c r="V94" s="156">
        <f>IF(OR(O94="",P94=""),"",IF(ISERROR(FIND("drawer",$A94))=FALSE,VLOOKUP(KitchenDrawerType,FixedListsDrawerType,2,0),0))</f>
        <v>1</v>
      </c>
      <c r="W94" s="156">
        <f>IF(OR(O94="",P94=""),"",IF(OR(S94&gt;0, T94&gt;0,V94&gt;0),VLOOKUP(KitchenHandleType,FixedListsHandleType,2,FALSE)*IF(KitchenHandleType="Simple",0,IF(S94&gt;0,VLOOKUP(KitchenHandleType,FixedListsHandleType,4,FALSE),IF(OR(T94&gt;0,V94&gt;0),1-VLOOKUP(KitchenHandleType,FixedListsHandleType,4,FALSE),"Error"))),0))</f>
        <v>0</v>
      </c>
      <c r="X94" s="156">
        <f t="shared" si="5"/>
        <v>1</v>
      </c>
      <c r="Y94" s="156">
        <f>IF(OR(O94="",P94=""),"",IF(OR(ISERROR(FIND("carcass",$A94))=FALSE,ISERROR(FIND("unit",$A94))=FALSE),VLOOKUP(KitchenCarcassMaterial,FixedListsCarcassMaterial,3,0),0))</f>
        <v>0</v>
      </c>
      <c r="Z94" s="156">
        <f>IF(OR(O94="",P94=""),"",IF(ISERROR(FIND("door",$A94))=FALSE,VLOOKUP(KitchenDoorStyle,FixedListsDoorStyle,3,0),0))</f>
        <v>0</v>
      </c>
      <c r="AA94" s="156">
        <f>IF(OR(O94="",P94=""),"",IF(ISERROR(FIND("door",$A94))=FALSE,VLOOKUP(KitchenDoorMaterial,FixedListsDoorMaterial,3,0),0))</f>
        <v>0</v>
      </c>
      <c r="AB94" s="156">
        <f>IF(OR(O94="",P94=""),"",IF(ISERROR(FIND("drawer",$A94))=FALSE,VLOOKUP(KitchenDrawerType,FixedListsDrawerType,3,0),0))</f>
        <v>1</v>
      </c>
      <c r="AC94" s="156">
        <f>IF(OR(O94="",P94=""),"",IF(OR(Y94&gt;0,Z94&gt;0,AB94&gt;0),VLOOKUP(KitchenHandleType,FixedListsHandleType,3,FALSE),0))</f>
        <v>1</v>
      </c>
      <c r="AD94" s="156">
        <f>IF(OR(O94="",P94=""),"",IF(OR(ISERROR(FIND("carcass",$A94))=FALSE,ISERROR(FIND("unit",$A94))=FALSE),VLOOKUP(KitchenCarcassFinish,FixedListsFinishes,3,0),IF(OR(ISERROR(FIND("door",$A94))=FALSE,ISERROR(FIND("Plinth",$A94))=FALSE,ISERROR(FIND("Cornice",$A94))=FALSE,ISERROR(FIND("Fillers",$A94))=FALSE,ISERROR(FIND("Pelmet",$A94))=FALSE,ISERROR(FIND("panel",$A94))=FALSE,ISERROR(FIND("post",$A94))=FALSE),VLOOKUP(KitchenDoorFinish,FixedListsFinishes,3,0),IF(OR(ISERROR(FIND("drawer",$A94))=FALSE,ISERROR(FIND("insert",$A94))=FALSE,ISERROR(FIND("rck",$A94))=FALSE),VLOOKUP(KitchenCarcassFinish,FixedListsFinishes,3,0),0))))</f>
        <v>1</v>
      </c>
      <c r="AE94" s="156">
        <f t="shared" si="6"/>
        <v>1</v>
      </c>
      <c r="AF94" s="157" t="str">
        <f>IF(AND(KitchenHandleType="Channel",OR(ISERROR(FIND("arcass",$A94))=FALSE,ISERROR(FIND("unit",$A94))=FALSE)),IF(ISERROR(FIND("Tower",$A94))=TRUE,IF(KitchenHandleFinish="Match carcass",IF(ISERROR(FIND("Walnut",KitchenCarcassMaterial))=FALSE,(0.035*0.075*($C94/1000))*VLOOKUP("Walnut (solid m3)",SolidData,4,FALSE),IF(ISERROR(FIND("Oak",KitchenCarcassMaterial))=FALSE,(0.035*0.075*($C94/1000))*VLOOKUP("Oak (solid m3)",SolidData,4,FALSE),IF(ISERROR(FIND("ply",KitchenCarcassMaterial))=FALSE,(0.1*($C94/1000))*VLOOKUP("Birch ply (24mm)",SheetsData,7,FALSE),IF(ISERROR(FIND("H/F",KitchenCarcassMaterial))=FALSE,(0.1*($C94/1000))*VLOOKUP("H/F (22mm)",SheetsData,7,FALSE),"Carcass - not tower - new material")))),IF(KitchenHandleFinish="Match door",IF(ISERROR(FIND("Walnut",KitchenDoorMaterial))=FALSE,(0.035*0.075*($C94/1000))*VLOOKUP("Walnut (solid m3)",SolidData,4,FALSE),IF(ISERROR(FIND("Oak",KitchenDoorMaterial))=FALSE,(0.035*0.075*($C94/1000))*VLOOKUP("Oak (solid m3)",SolidData,4,FALSE),IF(ISERROR(FIND("ply",KitchenDoorMaterial))=FALSE,(0.1*($C94/1000))*VLOOKUP("Birch ply (24mm)",SheetsData,7,FALSE),IF(ISERROR(FIND("H/F",KitchenCarcassMaterial))=FALSE,(0.1*($C94/1000))*VLOOKUP("H/F (22mm)",SheetsData,7,FALSE),"Door - not tower - new material")))),"Channel - not tower - handle set to other")),IF(ISERROR(FIND("Tower",$A94))=FALSE,IF(KitchenHandleFinish="Match carcass",IF(ISERROR(FIND("Walnut",KitchenCarcassMaterial))=FALSE,(0.035*0.075*($B94/1000))*VLOOKUP("Walnut (solid m3)",SolidData,4,FALSE),IF(ISERROR(FIND("Oak",KitchenCarcassMaterial))=FALSE,(0.035*0.075*($B94/1000))*VLOOKUP("Oak (solid m3)",SolidData,4,FALSE),IF(ISERROR(FIND("ply",KitchenCarcassMaterial))=FALSE,(0.1*($B94/1000))*VLOOKUP("Birch ply (24mm)",SheetsData,7,FALSE),IF(ISERROR(FIND("H/F",KitchenCarcassMaterial))=FALSE,(0.1*($C94/1000))*VLOOKUP("H/F (22mm)",SheetsData,7,FALSE),"Carcass - tower - new material")))),IF(KitchenHandleFinish="Match door",IF(ISERROR(FIND("Walnut",KitchenDoorMaterial))=FALSE,(0.035*0.075*($B94/1000))*VLOOKUP("Walnut (solid m3)",SolidData,4,FALSE),IF(ISERROR(FIND("Oak",KitchenDoorMaterial))=FALSE,(0.035*0.075*($B94/1000))*VLOOKUP("Oak (solid m3)",SolidData,4,FALSE),IF(ISERROR(FIND("ply",KitchenDoorMaterial))=FALSE,(0.1*($B94/1000))*VLOOKUP("Birch ply (24mm)",SheetData,7,FALSE),IF(ISERROR(FIND("H/F",KitchenCarcassMaterial))=FALSE,(0.1*($C94/1000))*VLOOKUP("H/F (22mm)",SheetsData,7,FALSE),"Door - tower - new material")))),"Channel - tower - handle set to other")))),"")</f>
        <v/>
      </c>
    </row>
    <row r="95">
      <c r="A95" s="150" t="s">
        <v>203</v>
      </c>
      <c r="B95" s="115" t="str">
        <f t="shared" si="1"/>
        <v>180</v>
      </c>
      <c r="C95" s="115" t="str">
        <f>IFERROR(__xludf.DUMMYFUNCTION("IF(A95="""","""",IF(OR(RIGHT(A95,LEN(A95)-len(regexextract(A95,"".* "")))=""1200"",RIGHT(A95,LEN(A95)-len(regexextract(A95,"".* "")))=""600"",RIGHT(A95,LEN(A95)-len(regexextract(A95,"".* "")))=""400"",RIGHT(A95,LEN(A95)-len(regexextract(A95,"".* "")))=""3"&amp;"00"",RIGHT(A95,LEN(A95)-len(regexextract(A95,"".* "")))=""700"",RIGHT(A95,LEN(A95)-len(regexextract(A95,"".* "")))=""2400"",RIGHT(A95,LEN(A95)-len(regexextract(A95,"".* "")))=""650"",RIGHT(A95,LEN(A95)-len(regexextract(A95,"".* "")))=""350"",RIGHT(A95,LEN"&amp;"(A95)-len(regexextract(A95,"".* "")))=""50""),RIGHT(A95,LEN(A95)-len(regexextract(A95,"".* ""))),IF(OR(ISERROR(FIND(""spacer"",A95))=FALSE,ISERROR(FIND(""filler panel"",A95))=FALSE),""1000"",""Unexpected size in description"")))"),"1200")</f>
        <v>1200</v>
      </c>
      <c r="D95" s="151" t="str">
        <f t="shared" si="2"/>
        <v/>
      </c>
      <c r="E95" s="152">
        <f>IFERROR(__xludf.DUMMYFUNCTION("IF(OR(A95="""",AND(ISERROR(FIND(""drawer box"",A95))=FALSE,KitchenDrawerType="""")),"""",IF(OR(ISERROR(FIND(""larder"",A95))=FALSE,ISERROR(FIND(""fridge/freezer"",A95))=FALSE,ISERROR(FIND(""double oven"",A95))=FALSE,ISERROR(FIND(""single oven"",A95))=FALS"&amp;"E),VLOOKUP(LEFT(A95,FIND("" "",A95))&amp;""carcass ""&amp;RIGHT(A95,LEN(A95)-(LEN(A95)-3)),KitchensData,5,0),IF(ISERROR(FIND(""sink"",A95))=FALSE,VLOOKUP(LEFT(A95,FIND("" "",A95))&amp;""carcass ""&amp;VALUE(REGEXREPLACE(A95,""[^[:digit:]]"", """")),KitchensData,5,0)+(((C"&amp;"95/1000)*(300/1000))*VLOOKUP(KitchenCarcassMaterial,SheetsData,8,0)),IF(ISERROR(FIND(""bins"",A95))=FALSE,IF(ISERROR(FIND(""veneer"",KitchenCarcassMaterial))=FALSE,VLOOKUP(""Base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600"",A95))=FALSE,IF(ISERROR(FIND(""veneer"""&amp;",KitchenCarcassMaterial))=FALSE,0.54*(VLOOKUP(LEFT(KitchenCarcassMaterial,FIND(""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1200"",A95))=FALSE,"&amp;"IF(ISERROR(FIND(""veneer"",KitchenCarcassMaterial))=FALSE,0.84*(VLOOKUP(LEFT(KitchenCarcassMaterial,FIND(""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600"",A95))=FALSE,IF(ISERROR(FIND(""veneer"",KitchenCarcassMaterial))=FALSE,1.44*(VLOOKUP(LEFT(KitchenCarcassMaterial,FIND(""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1200"",A95))=FALSE,IF(ISERROR(FIND(""veneer"",KitchenCarcassMaterial))=FALSE,2.7*(VLOOKUP(LEFT(KitchenCarcassMaterial,FIND(""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front"",A95))=FALSE,((B95/1000)*(C95/1000))*VLOOKUP(KitchenDoorMaterial,SheetsData,8,0),IF(AND(KitchenDrawerType=""Match carcass"",ISERROR(FIND(""drawer box"",A95))=FALSE),(((((B95/1000)*(C95/1000))+((B95/1000"&amp;")*(D95/1000)))*2)*VLOOKUP(KitchenCarcassMaterial,SheetsData,8,0))+(((C95/1000)*(D95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box"",A95))=FALSE),(((((B95/1000)*(C95/1000))+((B95/1000)*(D95/1000)))*2)*(16/1000)*VLOOKUP(LEFT(KitchenCarcassMaterial,FIND("" "&amp;""",KitchenCarcassMaterial))&amp;""(solid m3)"",SolidData,5,0))+(((C95/1000)*(D95/1000))*VLOOKUP(LEFT(KitchenCarcassMaterial,FIND(""("",KitchenCarcassMaterial)-1)&amp;IF(OR(ISERROR(FIND(""ply"",KitchenCarcassMaterial))=FALSE,ISERROR(FIND(""H/F"",KitchenCarcassMate"&amp;"rial))=FALSE),""(9mm)"",""(10mm)""),SheetsData,8,0)),IF(ISERROR(FIND(""spacer"",A95))=FALSE,((D95/1000)*(C95/1000))*VLOOKUP(""Poplar ply (18mm)"",SheetsData,8,0),IF(ISERROR(FIND(""filler panel"",A95))=FALSE,((B95/1000)*(C95/1000))*VLOOKUP(KitchenDoorMater"&amp;"ial,SheetsData,8,0),IF(ISERROR(FIND(""shelf"",A95))=FALSE,((D95/1000)*(C95/1000))*VLOOKUP(KitchenCarcassMaterial,SheetsData,8,0),IF(ISERROR(FIND(""lost corner"",A95))=FALSE,VLOOKUP(LEFT(A95,FIND("" "",A95))&amp;""carcass ""&amp;VALUE(REGEXREPLACE(A95,""[^[:digit:"&amp;"]]"", """")),KitchensData,5,0)+((((B95/1000)*(C95/1000))+((B95/1000)*(60/1000)))*VLOOKUP(KitchenCarcassMaterial,SheetsData,8,0)),IF(ISERROR(FIND(""carcass"",A95))=FALSE,(((((B95/1000)*2)*(D95/1000))+(((C95/1000)*2)*(D95/1000)))*VLOOKUP(KitchenCarcassMater"&amp;"ial,SheetsData,8,0))+((B95/1000)*(C95/1000))*VLOOKUP(LEFT(KitchenCarcassMaterial,FIND(""("",KitchenCarcassMaterial)-1)&amp;IF(OR(ISERROR(FIND(""ply"",KitchenCarcassMaterial))=FALSE,ISERROR(FIND(""H/F"",KitchenCarcassMaterial))=FALSE),""(9mm)"",""(10mm)""),She"&amp;"etsData,8,0),IF(OR(ISERROR(FIND(""Plinth"",A95))=FALSE,ISERROR(FIND(""Cornice (flat)"",A95))=FALSE),((B95/1000)*(C95/1000))*VLOOKUP(""H/F (18mm)"",SheetsData,8,0),IF(ISERROR(FIND(""Cornice (stacked)"",A95))=FALSE,((0.08*(C95/1000))*2)*VLOOKUP(""H/F (22mm)"&amp;""",SheetsData,8,0),IF(ISERROR(FIND(""Base end panel"",A95))=FALSE,VLOOKUP(KitchenDoorMaterial,SheetsData,5,0)/3,IF(ISERROR(FIND(""Wall end panel"",A95))=FALSE,VLOOKUP(KitchenDoorMaterial,SheetsData,5,0)/9,IF(ISERROR(FIND(""Tower end panel"",A95))=FALSE,VL"&amp;"OOKUP(KitchenDoorMaterial,SheetsData,5,0),IF(ISERROR(FIND(""Fillers"",A95))=FALSE,(((0.06*(C95/1000))*2)*VLOOKUP(""H/F (18mm)"",SheetsData,8,0))+(((0.06*(C95/1000))*2)*VLOOKUP(""H/F (9mm)"",SheetsData,8,0)),IF(ISERROR(FIND(""corner post"",A95))=FALSE,(((B"&amp;"95/1000)*0.05)*2)*VLOOKUP(KitchenDoorMaterial,SheetsData,8,0),IF(ISERROR(FIND(""Pelmet"",A95))=FALSE,((((B95/1000)*(C95/1000))*2)*VLOOKUP(""H/F (18mm)"",SheetsData,8,0)),IF(ISERROR(FIND(""door"",A95))=TRUE,""Check description"",IF(KitchenDoorStyle=""Flat"&amp;""",((B95/1000)*(C95/1000))*VLOOKUP(KitchenDoorMaterial,SheetsData,8,0),IF(LEFT(KitchenDoorStyle,5)=""Panel"",(((((B95/1000)*2)*0.08)+((((C95/1000)-0.16)*2)*0.08))*VLOOKUP(""H/F (22mm)"",SheetsData,8,0))+(((B95/1000)-0.14)*((C95/1000)-0.14)*VLOOKUP(""H/F ("&amp;"9mm)"",SheetsData,8,0)),IF(KitchenDoorStyle=""In-frame flat"",((((((B95/1000)*0.019)*0.038)+((((C95-38)/1000)*0.038)*0.038))*2)*VLOOKUP(""Tulip (solid m3)"",SolidData,5,0))+(((B95-76)/1000)*((C95-38)/1000))*VLOOKUP(""H/F (22mm)"",SheetsData,8,0),IF(LEFT(K"&amp;"itchenDoorStyle,14)=""In-frame panel"",(((((((B95/1000)*0.019)*0.038)+((((C95-38)/1000)*0.038)*0.038))*2)*VLOOKUP(""Tulip (solid m3)"",SolidData,5,0))+(((((((B95-76)/1000)*2)*0.08)+(((((C95-198)/1000)*2)*0.08)))*VLOOKUP(""H/F (22mm)"",SheetsData,8,0))+((("&amp;"B95-216)/1000)*((C95-178)/1000)*VLOOKUP(""H/F (9mm)"",SheetsData,8,0)))))))))))))))))))))))))))))))))"),3.9872346143509807)</f>
        <v>3.987234614</v>
      </c>
      <c r="F95" s="152">
        <f>IFERROR(__xludf.DUMMYFUNCTION("IF(OR(A95="""",AND(ISERROR(FIND(""drawer box"",A95))=FALSE,KitchenDrawerType=""Solid dovetail"")),"""",IF(ISERROR(FIND(""bins"",A95))=FALSE,VLOOKUP(""Base carcass 600"",KitchensData,6,0),IF(OR(ISERROR(FIND(""larder"",A95))=FALSE,ISERROR(FIND(""unit"",A95)"&amp;")=FALSE),VLOOKUP(LEFT(A95,FIND("" "",A95))&amp;""carcass ""&amp;RIGHT(A95,LEN(A95)-len(regexextract(A95,"".* ""))),KitchensData,6,0),IF(ISERROR(FIND(""drawer front"",A95))=FALSE,IF(ISERROR(FIND(""veneer"",KitchenCarcassMaterial))=TRUE,0,(((B95+C95)/1000)*2)*VLOOK"&amp;"UP(""Edge banding (per M)"",SheetsData,5,0)),IF(ISERROR(FIND(""drawer box"",A95))=FALSE,IF(ISERROR(FIND(""veneer"",KitchenCarcassMaterial))=TRUE,0,(((C95+D95)/1000)*2)*VLOOKUP(""Edge banding (per M)"",SheetsData,5,0)),IF(ISERROR(FIND(""shelf"",A95))=FALSE"&amp;",IF(ISERROR(FIND(""veneer"",KitchenCarcassMaterial))=TRUE,0,(C95/1000)*VLOOKUP(""Edge banding (per M)"",SheetsData,5,0)),IF(AND(ISERROR(FIND(""carcass"",A95))=FALSE,ISERROR(FIND(""shelf"",A95))=TRUE),IF(ISERROR(FIND(""veneer"",KitchenCarcassMaterial))=TRU"&amp;"E,0,((2*(B95+C95))/1000)*VLOOKUP(""Edge banding (per M)"",SheetsData,5,0)),IF(ISERROR(FIND(""door"",A95))=TRUE,"""",IF(ISERROR(FIND(""veneer"",KitchenDoorMaterial))=TRUE,"""",((2*(B95+C95))/1000)*VLOOKUP(""Edge banding (per M)"",SheetsData,5,0))))))))))"),0.0)</f>
        <v>0</v>
      </c>
      <c r="G95" s="153" t="str">
        <f>IF(A95="","",IF(ISERROR(FIND("bins",A95))=FALSE,VLOOKUP("Base carcass 600",KitchensData,7,0),IF(OR(ISERROR(FIND("larder",A95))=FALSE,ISERROR(FIND("fridge/freezer",A95))=FALSE,ISERROR(FIND("double oven",A95))=FALSE,ISERROR(FIND("single oven",A95))=FALSE),VLOOKUP(LEFT(A95,FIND(" ",A95))&amp;"carcass "&amp;RIGHT(A95,LEN(A95)-(LEN(A95)-3)),KitchensData,7,0),IF(AND(ISERROR(FIND("carcass",A95))=FALSE,ISERROR(FIND("shelf",A95))=TRUE),IF(OR(ISERROR(FIND("Base",A95))=FALSE,ISERROR(FIND("Tower",A95))=FALSE),IF(OR(ISERROR(FIND("1200",A95))=FALSE, ISERROR(FIND("lost corner",A95))=FALSE),6*VLOOKUP("Plinth foot (2 Parts 80mm)",FurnitureData,5,0),4*VLOOKUP("Plinth foot (2 Parts 80mm)",FurnitureData,5,0)),""),""))))</f>
        <v/>
      </c>
      <c r="H95" s="115" t="str">
        <f>IF(OR(A95="",ISERROR(FIND("door",A95))=TRUE),"",IF(ISERROR(FIND("Wall",A95))=FALSE,VLOOKUP("Hinges &amp; plates (Hettich thick door)",FurnitureData,5,0)*2,IF(ISERROR(FIND("Base",A95))=FALSE,VLOOKUP("Hinges &amp; plates (Hettich thick door)",FurnitureData,5,0)*3,IF(ISERROR(FIND("Boiler",A95))=FALSE,VLOOKUP("Hinges &amp; plates (Hettich thick door)",FurnitureData,5,0)*4,IF(ISERROR(FIND("Tower",A95))=FALSE,VLOOKUP("Hinges &amp; plates (Hettich thick door)",FurnitureData,5,0)*5)))))</f>
        <v/>
      </c>
      <c r="I95" s="115" t="str">
        <f>IF(ISERROR(FIND("shelf",A95))=FALSE,(VLOOKUP("Shelf pegs",FurnitureData,5,0)/100)*4,"")</f>
        <v/>
      </c>
      <c r="J95" s="152" t="str">
        <f>IF(OR(ISERROR(FIND("fridge/freezer",A95))=FALSE,ISERROR(FIND("larder",A95))=FALSE,AND(ISERROR(FIND("Base",A95))=FALSE,ISERROR(FIND("bins",A95))=TRUE,ISERROR(FIND("no shelves",A95))=TRUE,OR(ISERROR(FIND("carcass",A95))=FALSE,ISERROR(FIND("unit",A95))=FALSE))),VLOOKUP("Deep shelf "&amp;C95,KitchensData,18,0),IF(AND(ISERROR(FIND("Wall",A95))=FALSE,ISERROR(FIND("carcass",A95))=FALSE),2*VLOOKUP("Shallow shelf "&amp;C95,KitchensData,18,0),IF(AND(ISERROR(FIND("Tower",A95))=FALSE,ISERROR(FIND("oven",A95))=FALSE),4*VLOOKUP("Deep shelf "&amp;C95,KitchensData,18,0),IF(AND(ISERROR(FIND("Tower",A95))=FALSE,ISERROR(FIND("carcass",A95))=FALSE),5*VLOOKUP("Deep shelf "&amp;C95,KitchensData,18,0),""))))</f>
        <v/>
      </c>
      <c r="K95" s="152" t="str">
        <f>IF(ISERROR(FIND("sink",A95))=FALSE,VLOOKUP("Sink liner - Aluminium "&amp;RIGHT(A95,LEN(A95)-22)&amp;"mm",ExceptionalData,5,0),IF(ISERROR(FIND("bins",A95))=FALSE,VLOOKUP("Drawer runners and clip set for bin unit (500) Dynapro",FurnitureData,5,0)+(2*VLOOKUP("Bin (42L Anthracite)",FurnitureData,5,0)),IF(ISERROR(FIND("larder",A95))=FALSE,VLOOKUP("Pull out larder unit 600mm",FurnitureData,5,0),IF(AND(ISERROR(FIND("drawer box",A95))=FALSE,ISERROR(FIND("internal",A95))=TRUE),VLOOKUP("Drawer runners and clip set (550) Dynapro",FurnitureData,5,0),IF(ISERROR(FIND("internal drawer box",A95))=FALSE,VLOOKUP("Drawer runners and clip set (450) Dynapro",FurnitureData,5,0),"")))))</f>
        <v/>
      </c>
      <c r="L95" s="152">
        <f t="shared" si="3"/>
        <v>3.987234614</v>
      </c>
      <c r="M95" s="154">
        <f>IFERROR(__xludf.DUMMYFUNCTION("IF(A95="""","""",IF(OR(ISERROR(FIND(""larder"",A95))=FALSE,ISERROR(FIND(""unit"",A95))=FALSE),VLOOKUP(LEFT(A95,FIND("" "",A95))&amp;""carcass ""&amp;RIGHT(A95,LEN(A95)-len(regexextract(A95,"".* ""))),KitchensData,13,0),IF(ISERROR(FIND(""bins"",A95))=FALSE,0.95,IF"&amp;"(ISERROR(FIND(""Cutlery insert 600"",A95))=FALSE,1.3,IF(ISERROR(FIND(""Cutlery insert 1200"",A95))=FALSE,2,IF(ISERROR(FIND(""Pan/tray rack 600"",A95))=FALSE,3.25,IF(ISERROR(FIND(""Pan/tray rack 1200"",A95))=FALSE,5.9,IF(ISERROR(FIND(""split"",A95))=FALSE,"&amp;"(((C95/1000)*0.022)*2)+VLOOKUP(SUBSTITUTE(A95,"" split"",""""),KitchensData,13,0),IF(AND(ISERROR(FIND(""drawer front"",A95))=FALSE,KitchenDoorStyle=""Flat""),(((B95/1000)*(C95/1000))*2)+((((B95+C95)/1000)*2)*0.022),IF(AND(ISERROR(FIND(""drawer front"",A95"&amp;"))=FALSE,LEFT(KitchenDoorStyle,5)=""Panel""),(((B95/1000)*(C95/1000))*2)+((((B95+C95)/1000)*2)*0.022)+((((C95/1000)-0.16)*0.013)*2)+((((D95/1000)-0.16)*0.013)*2),IF(AND(ISERROR(FIND(""drawer front"",A95))=FALSE,KitchenDoorStyle=""In-frame flat""),((((B95-"&amp;"76)/1000)*((C95-38)/1000))*2)+(MID(KitchenDoorMaterial,FIND(""("",KitchenDoorMaterial)+1,2)/1000)*((((B95-76)+(C95-38))/1000)*2)+(((B95/1000)*0.032)*2)+((((B95-76)/1000)*0.032)*2)+(((B95/1000)*0.019)*4)+(((C95/1000)*0.032)*2)+((((C95-38)/1000)*0.032)*2)+("&amp;"((C95/1000)*0.038)*4),IF(AND(ISERROR(FIND(""drawer front"",A95))=FALSE,LEFT(KitchenDoorStyle,14)=""In-frame panel""),((((B95-76)/1000)*((C95-38)/1000))*2)+((MID(KitchenDoorMaterial,FIND(""("",KitchenDoorMaterial)+1,2)/1000)*((((B95-76)+(C95-38))/1000)*2))"&amp;"+((((B95-236)/1000)+((C95-198)/1000)*2)*0.013)+(((B95/1000)*0.032)*2)+((((B95-76)/1000)*0.032)*2)+(((B95/1000)*0.019)*4)+(((C95/1000)*0.032)*2)+((((C95-38)/1000)*0.032)*2)+(((C95/1000)*0.038)*4),IF(ISERROR(FIND(""drawer box"",A95))=FALSE,((((B95/1000)*(D9"&amp;"5/1000))+((B95/1000)*(C95/1000)))*4)+((((D95/1000)+(C95/1000))*0.016)*4)+(((C95/1000)*(D95/1000))*2),IF(OR(ISERROR(FIND(""shelf"",A95))=FALSE,ISERROR(FIND(""spacer"",A95))=FALSE,,ISERROR(FIND(""filler panel"",A95))=FALSE),(((C95/1000)*(D95/1000))*2)+((((C"&amp;"95+D95)*2)/1000)*0.022),IF(ISERROR(FIND(""lost corner"",A95))=FALSE,(((B95/1000)*(C95/1000))*2)+((B95/1000)*(C95/1000))+((B95/1000)*((C95/2)/1000))+((((B95/1000)*0.025)+((C95/1000)*0.025))*2),IF(ISERROR(FIND(""carcass"",A95))=FALSE,(((C95/1000)*(D95/1000)"&amp;")*2)+(((B95/1000)*(D95/1000))*2)+((B95/1000)*(C95/1000))+((((B95/1000)*0.025)+((C95/1000)*0.025))*2),IF(AND(ISERROR(FIND(""door"",A95))=FALSE,KitchenDoorStyle=""Flat""),(((B95/1000)*(C95/1000))*2)+(MID(KitchenDoorMaterial,FIND(""("",KitchenDoorMaterial)+1"&amp;",2)/1000)*(((B95+C95)/1000)*2),IF(AND(ISERROR(FIND(""door"",A95))=FALSE,LEFT(KitchenDoorStyle,5)=""Panel""),(((B95/1000)*(C95/1000))*2)+((MID(KitchenDoorMaterial,FIND(""("",KitchenDoorMaterial)+1,2)/1000)*(((B95+C95)/1000)*2))+(((((B95-160)+(C95-160))*2)/"&amp;"1000)*(0.013)),IF(AND(ISERROR(FIND(""door"",A95))=FALSE,KitchenDoorStyle=""In-frame flat""),((((B95-76)/1000)*((C95-38)/1000))*2)+(MID(KitchenDoorMaterial,FIND(""("",KitchenDoorMaterial)+1,2)/1000)*((((B95-76)+(C95-38))/1000)*2)+(((B95/1000)*0.032)*2)+((("&amp;"(B95-76)/1000)*0.032)*2)+(((B95/1000)*0.019)*4)+(((C95/1000)*0.032)*2)+((((C95-38)/1000)*0.032)*2)+(((C95/1000)*0.038)*4),IF(AND(ISERROR(FIND(""door"",A95))=FALSE,LEFT(KitchenDoorStyle,14)=""In-frame panel""),((((B95-76)/1000)*((C95-38)/1000))*2)+((MID(Ki"&amp;"tchenDoorMaterial,FIND(""("",KitchenDoorMaterial)+1,2)/1000)*((((B95-76)+(C95-38))/1000)*2))+((((B95-236)/1000)+((C95-198)/1000)*2)*0.013)+(((B95/1000)*0.032)*2)+((((B95-76)/1000)*0.032)*2)+(((B95/1000)*0.019)*4)+(((C95/1000)*0.032)*2)+((((C95-38)/1000)*0"&amp;".032)*2)+(((C95/1000)*0.038)*4),IF(ISERROR(FIND(""Plinth"",A95))=FALSE,((B95/1000)*(C95/1000))+(((C95/1000)*0.018)*2)+(((B95/1000)*0.018)*2),IF(ISERROR(FIND(""Cornice"",A95))=FALSE,(((C95/1000)*0.1)*2)+(((C95/1000)*0.044)*2)+(((B95/1000)*0.08)*2),IF(ISERR"&amp;"OR(FIND(""Base end panel"",A95))=FALSE,((B95/1000)*(C95/1000))+(0.022*((B95/1000)+((C95/1000)*2)))+((B95/1000)*0.05),IF(ISERROR(FIND(""Wall end panel"",A95))=FALSE,((B95/1000)*(C95/1000))+(0.022*((B95/1000)+((C95/1000)*2)))+((B95/1000)*0.05),IF(ISERROR(FI"&amp;"ND(""Tower end panel"",A95))=FALSE,((B95/1000)*(C95/1000))+(0.022*((B95/1000)+((C95/1000)*2)))+((B95/1000)*0.05),IF(ISERROR(FIND(""Fillers"",A95))=FALSE,((C95/1000)*0.06)+((C95/1000)*0.069)+((0.06*0.018)*2)+((0.06*0.009)*2)+((C95/1000)*0.009)+((C95/1000)*"&amp;"0.018),IF(ISERROR(FIND(""corner post"",A95))=FALSE,(((B95/1000*0.05)*2)+((B95/1000)*0.022)*2)+((B95/1000)*0.072)+((B95/1000)*0.05)+((0.072*0.022)*2)+((0.05*0.022)*2),IF(ISERROR(FIND(""Pelmet"",A95))=FALSE,((C95/1000)*0.05)+((C95/1000)*0.068)+((0.05*0.018)"&amp;"*4)+(((C95/1000)*0.018))*2))))))))))))))))))))))))))))"),0.49272)</f>
        <v>0.49272</v>
      </c>
      <c r="N95" s="152">
        <f>IF(M95="","",IF(AND(ISERROR(FIND("carcass",A95))=TRUE,ISERROR(FIND("unit",A95))=TRUE,ISERROR(FIND("insert",A95))=TRUE,ISERROR(FIND("rack",A95))=TRUE,ISERROR(FIND("box",A95))=TRUE,ISERROR(FIND("shelf",#REF!))=TRUE),VLOOKUP(KitchenDoorFinish,Finishing!$A$2:$K$10,9,0)*M95,VLOOKUP(KitchenCarcassFinish,Finishing!$A$2:$K$40,9,0)*M95))</f>
        <v>3.6954</v>
      </c>
      <c r="O95" s="155">
        <v>0.5</v>
      </c>
      <c r="P95" s="155">
        <v>0.5</v>
      </c>
      <c r="Q95" s="152">
        <f>IF(OR(O95="",P95=""),"",((O95*X95)*(VLOOKUP("Workshop",Labour!$A$3:$E$20,4,0)/8))+((P95*AE95)*(VLOOKUP("Finishing",Labour!$A$3:$E$20,4,0)/8)))</f>
        <v>35.875</v>
      </c>
      <c r="R95" s="152">
        <f t="shared" si="4"/>
        <v>43.55763461</v>
      </c>
      <c r="S95" s="156">
        <f>IF(OR(O95="",P95=""),"",IF(OR(ISERROR(FIND("carcass",$A95))=FALSE,ISERROR(FIND("unit",$A95))=FALSE),VLOOKUP(KitchenCarcassMaterial,FixedListsCarcassMaterial,2,0),0))</f>
        <v>0</v>
      </c>
      <c r="T95" s="156">
        <f>IF(OR(O95="",P95=""),"",IF(ISERROR(FIND("door",$A95))=FALSE,VLOOKUP(KitchenDoorStyle,FixedListsDoorStyle,2,0),0))</f>
        <v>0</v>
      </c>
      <c r="U95" s="156">
        <f>IF(OR(O95="",P95=""),"",IF(ISERROR(FIND("door",$A95))=FALSE,VLOOKUP(KitchenDoorMaterial,FixedListsDoorMaterial,2,0),0))</f>
        <v>0</v>
      </c>
      <c r="V95" s="156">
        <f>IF(OR(O95="",P95=""),"",IF(ISERROR(FIND("drawer",$A95))=FALSE,VLOOKUP(KitchenDrawerType,FixedListsDrawerType,2,0),0))</f>
        <v>1</v>
      </c>
      <c r="W95" s="156">
        <f>IF(OR(O95="",P95=""),"",IF(OR(S95&gt;0, T95&gt;0,V95&gt;0),VLOOKUP(KitchenHandleType,FixedListsHandleType,2,FALSE)*IF(KitchenHandleType="Simple",0,IF(S95&gt;0,VLOOKUP(KitchenHandleType,FixedListsHandleType,4,FALSE),IF(OR(T95&gt;0,V95&gt;0),1-VLOOKUP(KitchenHandleType,FixedListsHandleType,4,FALSE),"Error"))),0))</f>
        <v>0</v>
      </c>
      <c r="X95" s="156">
        <f t="shared" si="5"/>
        <v>1</v>
      </c>
      <c r="Y95" s="156">
        <f>IF(OR(O95="",P95=""),"",IF(OR(ISERROR(FIND("carcass",$A95))=FALSE,ISERROR(FIND("unit",$A95))=FALSE),VLOOKUP(KitchenCarcassMaterial,FixedListsCarcassMaterial,3,0),0))</f>
        <v>0</v>
      </c>
      <c r="Z95" s="156">
        <f>IF(OR(O95="",P95=""),"",IF(ISERROR(FIND("door",$A95))=FALSE,VLOOKUP(KitchenDoorStyle,FixedListsDoorStyle,3,0),0))</f>
        <v>0</v>
      </c>
      <c r="AA95" s="156">
        <f>IF(OR(O95="",P95=""),"",IF(ISERROR(FIND("door",$A95))=FALSE,VLOOKUP(KitchenDoorMaterial,FixedListsDoorMaterial,3,0),0))</f>
        <v>0</v>
      </c>
      <c r="AB95" s="156">
        <f>IF(OR(O95="",P95=""),"",IF(ISERROR(FIND("drawer",$A95))=FALSE,VLOOKUP(KitchenDrawerType,FixedListsDrawerType,3,0),0))</f>
        <v>1</v>
      </c>
      <c r="AC95" s="156">
        <f>IF(OR(O95="",P95=""),"",IF(OR(Y95&gt;0,Z95&gt;0,AB95&gt;0),VLOOKUP(KitchenHandleType,FixedListsHandleType,3,FALSE),0))</f>
        <v>1</v>
      </c>
      <c r="AD95" s="156">
        <f>IF(OR(O95="",P95=""),"",IF(OR(ISERROR(FIND("carcass",$A95))=FALSE,ISERROR(FIND("unit",$A95))=FALSE),VLOOKUP(KitchenCarcassFinish,FixedListsFinishes,3,0),IF(OR(ISERROR(FIND("door",$A95))=FALSE,ISERROR(FIND("Plinth",$A95))=FALSE,ISERROR(FIND("Cornice",$A95))=FALSE,ISERROR(FIND("Fillers",$A95))=FALSE,ISERROR(FIND("Pelmet",$A95))=FALSE,ISERROR(FIND("panel",$A95))=FALSE,ISERROR(FIND("post",$A95))=FALSE),VLOOKUP(KitchenDoorFinish,FixedListsFinishes,3,0),IF(OR(ISERROR(FIND("drawer",$A95))=FALSE,ISERROR(FIND("insert",$A95))=FALSE,ISERROR(FIND("rck",$A95))=FALSE),VLOOKUP(KitchenCarcassFinish,FixedListsFinishes,3,0),0))))</f>
        <v>1</v>
      </c>
      <c r="AE95" s="156">
        <f t="shared" si="6"/>
        <v>1</v>
      </c>
      <c r="AF95" s="157" t="str">
        <f>IF(AND(KitchenHandleType="Channel",OR(ISERROR(FIND("arcass",$A95))=FALSE,ISERROR(FIND("unit",$A95))=FALSE)),IF(ISERROR(FIND("Tower",$A95))=TRUE,IF(KitchenHandleFinish="Match carcass",IF(ISERROR(FIND("Walnut",KitchenCarcassMaterial))=FALSE,(0.035*0.075*($C95/1000))*VLOOKUP("Walnut (solid m3)",SolidData,4,FALSE),IF(ISERROR(FIND("Oak",KitchenCarcassMaterial))=FALSE,(0.035*0.075*($C95/1000))*VLOOKUP("Oak (solid m3)",SolidData,4,FALSE),IF(ISERROR(FIND("ply",KitchenCarcassMaterial))=FALSE,(0.1*($C95/1000))*VLOOKUP("Birch ply (24mm)",SheetsData,7,FALSE),IF(ISERROR(FIND("H/F",KitchenCarcassMaterial))=FALSE,(0.1*($C95/1000))*VLOOKUP("H/F (22mm)",SheetsData,7,FALSE),"Carcass - not tower - new material")))),IF(KitchenHandleFinish="Match door",IF(ISERROR(FIND("Walnut",KitchenDoorMaterial))=FALSE,(0.035*0.075*($C95/1000))*VLOOKUP("Walnut (solid m3)",SolidData,4,FALSE),IF(ISERROR(FIND("Oak",KitchenDoorMaterial))=FALSE,(0.035*0.075*($C95/1000))*VLOOKUP("Oak (solid m3)",SolidData,4,FALSE),IF(ISERROR(FIND("ply",KitchenDoorMaterial))=FALSE,(0.1*($C95/1000))*VLOOKUP("Birch ply (24mm)",SheetsData,7,FALSE),IF(ISERROR(FIND("H/F",KitchenCarcassMaterial))=FALSE,(0.1*($C95/1000))*VLOOKUP("H/F (22mm)",SheetsData,7,FALSE),"Door - not tower - new material")))),"Channel - not tower - handle set to other")),IF(ISERROR(FIND("Tower",$A95))=FALSE,IF(KitchenHandleFinish="Match carcass",IF(ISERROR(FIND("Walnut",KitchenCarcassMaterial))=FALSE,(0.035*0.075*($B95/1000))*VLOOKUP("Walnut (solid m3)",SolidData,4,FALSE),IF(ISERROR(FIND("Oak",KitchenCarcassMaterial))=FALSE,(0.035*0.075*($B95/1000))*VLOOKUP("Oak (solid m3)",SolidData,4,FALSE),IF(ISERROR(FIND("ply",KitchenCarcassMaterial))=FALSE,(0.1*($B95/1000))*VLOOKUP("Birch ply (24mm)",SheetsData,7,FALSE),IF(ISERROR(FIND("H/F",KitchenCarcassMaterial))=FALSE,(0.1*($C95/1000))*VLOOKUP("H/F (22mm)",SheetsData,7,FALSE),"Carcass - tower - new material")))),IF(KitchenHandleFinish="Match door",IF(ISERROR(FIND("Walnut",KitchenDoorMaterial))=FALSE,(0.035*0.075*($B95/1000))*VLOOKUP("Walnut (solid m3)",SolidData,4,FALSE),IF(ISERROR(FIND("Oak",KitchenDoorMaterial))=FALSE,(0.035*0.075*($B95/1000))*VLOOKUP("Oak (solid m3)",SolidData,4,FALSE),IF(ISERROR(FIND("ply",KitchenDoorMaterial))=FALSE,(0.1*($B95/1000))*VLOOKUP("Birch ply (24mm)",SheetData,7,FALSE),IF(ISERROR(FIND("H/F",KitchenCarcassMaterial))=FALSE,(0.1*($C95/1000))*VLOOKUP("H/F (22mm)",SheetsData,7,FALSE),"Door - tower - new material")))),"Channel - tower - handle set to other")))),"")</f>
        <v/>
      </c>
    </row>
    <row r="96">
      <c r="A96" s="150" t="s">
        <v>204</v>
      </c>
      <c r="B96" s="115" t="str">
        <f t="shared" si="1"/>
        <v>240</v>
      </c>
      <c r="C96" s="115" t="str">
        <f>IFERROR(__xludf.DUMMYFUNCTION("IF(A96="""","""",IF(OR(RIGHT(A96,LEN(A96)-len(regexextract(A96,"".* "")))=""1200"",RIGHT(A96,LEN(A96)-len(regexextract(A96,"".* "")))=""600"",RIGHT(A96,LEN(A96)-len(regexextract(A96,"".* "")))=""400"",RIGHT(A96,LEN(A96)-len(regexextract(A96,"".* "")))=""3"&amp;"00"",RIGHT(A96,LEN(A96)-len(regexextract(A96,"".* "")))=""700"",RIGHT(A96,LEN(A96)-len(regexextract(A96,"".* "")))=""2400"",RIGHT(A96,LEN(A96)-len(regexextract(A96,"".* "")))=""650"",RIGHT(A96,LEN(A96)-len(regexextract(A96,"".* "")))=""350"",RIGHT(A96,LEN"&amp;"(A96)-len(regexextract(A96,"".* "")))=""50""),RIGHT(A96,LEN(A96)-len(regexextract(A96,"".* ""))),IF(OR(ISERROR(FIND(""spacer"",A96))=FALSE,ISERROR(FIND(""filler panel"",A96))=FALSE),""1000"",""Unexpected size in description"")))"),"600")</f>
        <v>600</v>
      </c>
      <c r="D96" s="151" t="str">
        <f t="shared" si="2"/>
        <v/>
      </c>
      <c r="E96" s="152">
        <f>IFERROR(__xludf.DUMMYFUNCTION("IF(OR(A96="""",AND(ISERROR(FIND(""drawer box"",A96))=FALSE,KitchenDrawerType="""")),"""",IF(OR(ISERROR(FIND(""larder"",A96))=FALSE,ISERROR(FIND(""fridge/freezer"",A96))=FALSE,ISERROR(FIND(""double oven"",A96))=FALSE,ISERROR(FIND(""single oven"",A96))=FALS"&amp;"E),VLOOKUP(LEFT(A96,FIND("" "",A96))&amp;""carcass ""&amp;RIGHT(A96,LEN(A96)-(LEN(A96)-3)),KitchensData,5,0),IF(ISERROR(FIND(""sink"",A96))=FALSE,VLOOKUP(LEFT(A96,FIND("" "",A96))&amp;""carcass ""&amp;VALUE(REGEXREPLACE(A96,""[^[:digit:]]"", """")),KitchensData,5,0)+(((C"&amp;"96/1000)*(300/1000))*VLOOKUP(KitchenCarcassMaterial,SheetsData,8,0)),IF(ISERROR(FIND(""bins"",A96))=FALSE,IF(ISERROR(FIND(""veneer"",KitchenCarcassMaterial))=FALSE,VLOOKUP(""Base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600"",A96))=FALSE,IF(ISERROR(FIND(""veneer"""&amp;",KitchenCarcassMaterial))=FALSE,0.54*(VLOOKUP(LEFT(KitchenCarcassMaterial,FIND(""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1200"",A96))=FALSE,"&amp;"IF(ISERROR(FIND(""veneer"",KitchenCarcassMaterial))=FALSE,0.84*(VLOOKUP(LEFT(KitchenCarcassMaterial,FIND(""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600"",A96))=FALSE,IF(ISERROR(FIND(""veneer"",KitchenCarcassMaterial))=FALSE,1.44*(VLOOKUP(LEFT(KitchenCarcassMaterial,FIND(""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1200"",A96))=FALSE,IF(ISERROR(FIND(""veneer"",KitchenCarcassMaterial))=FALSE,2.7*(VLOOKUP(LEFT(KitchenCarcassMaterial,FIND(""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front"",A96))=FALSE,((B96/1000)*(C96/1000))*VLOOKUP(KitchenDoorMaterial,SheetsData,8,0),IF(AND(KitchenDrawerType=""Match carcass"",ISERROR(FIND(""drawer box"",A96))=FALSE),(((((B96/1000)*(C96/1000))+((B96/1000"&amp;")*(D96/1000)))*2)*VLOOKUP(KitchenCarcassMaterial,SheetsData,8,0))+(((C96/1000)*(D96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box"",A96))=FALSE),(((((B96/1000)*(C96/1000))+((B96/1000)*(D96/1000)))*2)*(16/1000)*VLOOKUP(LEFT(KitchenCarcassMaterial,FIND("" "&amp;""",KitchenCarcassMaterial))&amp;""(solid m3)"",SolidData,5,0))+(((C96/1000)*(D96/1000))*VLOOKUP(LEFT(KitchenCarcassMaterial,FIND(""("",KitchenCarcassMaterial)-1)&amp;IF(OR(ISERROR(FIND(""ply"",KitchenCarcassMaterial))=FALSE,ISERROR(FIND(""H/F"",KitchenCarcassMate"&amp;"rial))=FALSE),""(9mm)"",""(10mm)""),SheetsData,8,0)),IF(ISERROR(FIND(""spacer"",A96))=FALSE,((D96/1000)*(C96/1000))*VLOOKUP(""Poplar ply (18mm)"",SheetsData,8,0),IF(ISERROR(FIND(""filler panel"",A96))=FALSE,((B96/1000)*(C96/1000))*VLOOKUP(KitchenDoorMater"&amp;"ial,SheetsData,8,0),IF(ISERROR(FIND(""shelf"",A96))=FALSE,((D96/1000)*(C96/1000))*VLOOKUP(KitchenCarcassMaterial,SheetsData,8,0),IF(ISERROR(FIND(""lost corner"",A96))=FALSE,VLOOKUP(LEFT(A96,FIND("" "",A96))&amp;""carcass ""&amp;VALUE(REGEXREPLACE(A96,""[^[:digit:"&amp;"]]"", """")),KitchensData,5,0)+((((B96/1000)*(C96/1000))+((B96/1000)*(60/1000)))*VLOOKUP(KitchenCarcassMaterial,SheetsData,8,0)),IF(ISERROR(FIND(""carcass"",A96))=FALSE,(((((B96/1000)*2)*(D96/1000))+(((C96/1000)*2)*(D96/1000)))*VLOOKUP(KitchenCarcassMater"&amp;"ial,SheetsData,8,0))+((B96/1000)*(C96/1000))*VLOOKUP(LEFT(KitchenCarcassMaterial,FIND(""("",KitchenCarcassMaterial)-1)&amp;IF(OR(ISERROR(FIND(""ply"",KitchenCarcassMaterial))=FALSE,ISERROR(FIND(""H/F"",KitchenCarcassMaterial))=FALSE),""(9mm)"",""(10mm)""),She"&amp;"etsData,8,0),IF(OR(ISERROR(FIND(""Plinth"",A96))=FALSE,ISERROR(FIND(""Cornice (flat)"",A96))=FALSE),((B96/1000)*(C96/1000))*VLOOKUP(""H/F (18mm)"",SheetsData,8,0),IF(ISERROR(FIND(""Cornice (stacked)"",A96))=FALSE,((0.08*(C96/1000))*2)*VLOOKUP(""H/F (22mm)"&amp;""",SheetsData,8,0),IF(ISERROR(FIND(""Base end panel"",A96))=FALSE,VLOOKUP(KitchenDoorMaterial,SheetsData,5,0)/3,IF(ISERROR(FIND(""Wall end panel"",A96))=FALSE,VLOOKUP(KitchenDoorMaterial,SheetsData,5,0)/9,IF(ISERROR(FIND(""Tower end panel"",A96))=FALSE,VL"&amp;"OOKUP(KitchenDoorMaterial,SheetsData,5,0),IF(ISERROR(FIND(""Fillers"",A96))=FALSE,(((0.06*(C96/1000))*2)*VLOOKUP(""H/F (18mm)"",SheetsData,8,0))+(((0.06*(C96/1000))*2)*VLOOKUP(""H/F (9mm)"",SheetsData,8,0)),IF(ISERROR(FIND(""corner post"",A96))=FALSE,(((B"&amp;"96/1000)*0.05)*2)*VLOOKUP(KitchenDoorMaterial,SheetsData,8,0),IF(ISERROR(FIND(""Pelmet"",A96))=FALSE,((((B96/1000)*(C96/1000))*2)*VLOOKUP(""H/F (18mm)"",SheetsData,8,0)),IF(ISERROR(FIND(""door"",A96))=TRUE,""Check description"",IF(KitchenDoorStyle=""Flat"&amp;""",((B96/1000)*(C96/1000))*VLOOKUP(KitchenDoorMaterial,SheetsData,8,0),IF(LEFT(KitchenDoorStyle,5)=""Panel"",(((((B96/1000)*2)*0.08)+((((C96/1000)-0.16)*2)*0.08))*VLOOKUP(""H/F (22mm)"",SheetsData,8,0))+(((B96/1000)-0.14)*((C96/1000)-0.14)*VLOOKUP(""H/F ("&amp;"9mm)"",SheetsData,8,0)),IF(KitchenDoorStyle=""In-frame flat"",((((((B96/1000)*0.019)*0.038)+((((C96-38)/1000)*0.038)*0.038))*2)*VLOOKUP(""Tulip (solid m3)"",SolidData,5,0))+(((B96-76)/1000)*((C96-38)/1000))*VLOOKUP(""H/F (22mm)"",SheetsData,8,0),IF(LEFT(K"&amp;"itchenDoorStyle,14)=""In-frame panel"",(((((((B96/1000)*0.019)*0.038)+((((C96-38)/1000)*0.038)*0.038))*2)*VLOOKUP(""Tulip (solid m3)"",SolidData,5,0))+(((((((B96-76)/1000)*2)*0.08)+(((((C96-198)/1000)*2)*0.08)))*VLOOKUP(""H/F (22mm)"",SheetsData,8,0))+((("&amp;"B96-216)/1000)*((C96-178)/1000)*VLOOKUP(""H/F (9mm)"",SheetsData,8,0)))))))))))))))))))))))))))))))))"),2.6581564095673205)</f>
        <v>2.65815641</v>
      </c>
      <c r="F96" s="152">
        <f>IFERROR(__xludf.DUMMYFUNCTION("IF(OR(A96="""",AND(ISERROR(FIND(""drawer box"",A96))=FALSE,KitchenDrawerType=""Solid dovetail"")),"""",IF(ISERROR(FIND(""bins"",A96))=FALSE,VLOOKUP(""Base carcass 600"",KitchensData,6,0),IF(OR(ISERROR(FIND(""larder"",A96))=FALSE,ISERROR(FIND(""unit"",A96)"&amp;")=FALSE),VLOOKUP(LEFT(A96,FIND("" "",A96))&amp;""carcass ""&amp;RIGHT(A96,LEN(A96)-len(regexextract(A96,"".* ""))),KitchensData,6,0),IF(ISERROR(FIND(""drawer front"",A96))=FALSE,IF(ISERROR(FIND(""veneer"",KitchenCarcassMaterial))=TRUE,0,(((B96+C96)/1000)*2)*VLOOK"&amp;"UP(""Edge banding (per M)"",SheetsData,5,0)),IF(ISERROR(FIND(""drawer box"",A96))=FALSE,IF(ISERROR(FIND(""veneer"",KitchenCarcassMaterial))=TRUE,0,(((C96+D96)/1000)*2)*VLOOKUP(""Edge banding (per M)"",SheetsData,5,0)),IF(ISERROR(FIND(""shelf"",A96))=FALSE"&amp;",IF(ISERROR(FIND(""veneer"",KitchenCarcassMaterial))=TRUE,0,(C96/1000)*VLOOKUP(""Edge banding (per M)"",SheetsData,5,0)),IF(AND(ISERROR(FIND(""carcass"",A96))=FALSE,ISERROR(FIND(""shelf"",A96))=TRUE),IF(ISERROR(FIND(""veneer"",KitchenCarcassMaterial))=TRU"&amp;"E,0,((2*(B96+C96))/1000)*VLOOKUP(""Edge banding (per M)"",SheetsData,5,0)),IF(ISERROR(FIND(""door"",A96))=TRUE,"""",IF(ISERROR(FIND(""veneer"",KitchenDoorMaterial))=TRUE,"""",((2*(B96+C96))/1000)*VLOOKUP(""Edge banding (per M)"",SheetsData,5,0))))))))))"),0.0)</f>
        <v>0</v>
      </c>
      <c r="G96" s="153" t="str">
        <f>IF(A96="","",IF(ISERROR(FIND("bins",A96))=FALSE,VLOOKUP("Base carcass 600",KitchensData,7,0),IF(OR(ISERROR(FIND("larder",A96))=FALSE,ISERROR(FIND("fridge/freezer",A96))=FALSE,ISERROR(FIND("double oven",A96))=FALSE,ISERROR(FIND("single oven",A96))=FALSE),VLOOKUP(LEFT(A96,FIND(" ",A96))&amp;"carcass "&amp;RIGHT(A96,LEN(A96)-(LEN(A96)-3)),KitchensData,7,0),IF(AND(ISERROR(FIND("carcass",A96))=FALSE,ISERROR(FIND("shelf",A96))=TRUE),IF(OR(ISERROR(FIND("Base",A96))=FALSE,ISERROR(FIND("Tower",A96))=FALSE),IF(OR(ISERROR(FIND("1200",A96))=FALSE, ISERROR(FIND("lost corner",A96))=FALSE),6*VLOOKUP("Plinth foot (2 Parts 80mm)",FurnitureData,5,0),4*VLOOKUP("Plinth foot (2 Parts 80mm)",FurnitureData,5,0)),""),""))))</f>
        <v/>
      </c>
      <c r="H96" s="115" t="str">
        <f>IF(OR(A96="",ISERROR(FIND("door",A96))=TRUE),"",IF(ISERROR(FIND("Wall",A96))=FALSE,VLOOKUP("Hinges &amp; plates (Hettich thick door)",FurnitureData,5,0)*2,IF(ISERROR(FIND("Base",A96))=FALSE,VLOOKUP("Hinges &amp; plates (Hettich thick door)",FurnitureData,5,0)*3,IF(ISERROR(FIND("Boiler",A96))=FALSE,VLOOKUP("Hinges &amp; plates (Hettich thick door)",FurnitureData,5,0)*4,IF(ISERROR(FIND("Tower",A96))=FALSE,VLOOKUP("Hinges &amp; plates (Hettich thick door)",FurnitureData,5,0)*5)))))</f>
        <v/>
      </c>
      <c r="I96" s="115" t="str">
        <f>IF(ISERROR(FIND("shelf",A96))=FALSE,(VLOOKUP("Shelf pegs",FurnitureData,5,0)/100)*4,"")</f>
        <v/>
      </c>
      <c r="J96" s="152" t="str">
        <f>IF(OR(ISERROR(FIND("fridge/freezer",A96))=FALSE,ISERROR(FIND("larder",A96))=FALSE,AND(ISERROR(FIND("Base",A96))=FALSE,ISERROR(FIND("bins",A96))=TRUE,ISERROR(FIND("no shelves",A96))=TRUE,OR(ISERROR(FIND("carcass",A96))=FALSE,ISERROR(FIND("unit",A96))=FALSE))),VLOOKUP("Deep shelf "&amp;C96,KitchensData,18,0),IF(AND(ISERROR(FIND("Wall",A96))=FALSE,ISERROR(FIND("carcass",A96))=FALSE),2*VLOOKUP("Shallow shelf "&amp;C96,KitchensData,18,0),IF(AND(ISERROR(FIND("Tower",A96))=FALSE,ISERROR(FIND("oven",A96))=FALSE),4*VLOOKUP("Deep shelf "&amp;C96,KitchensData,18,0),IF(AND(ISERROR(FIND("Tower",A96))=FALSE,ISERROR(FIND("carcass",A96))=FALSE),5*VLOOKUP("Deep shelf "&amp;C96,KitchensData,18,0),""))))</f>
        <v/>
      </c>
      <c r="K96" s="152" t="str">
        <f>IF(ISERROR(FIND("sink",A96))=FALSE,VLOOKUP("Sink liner - Aluminium "&amp;RIGHT(A96,LEN(A96)-22)&amp;"mm",ExceptionalData,5,0),IF(ISERROR(FIND("bins",A96))=FALSE,VLOOKUP("Drawer runners and clip set for bin unit (500) Dynapro",FurnitureData,5,0)+(2*VLOOKUP("Bin (42L Anthracite)",FurnitureData,5,0)),IF(ISERROR(FIND("larder",A96))=FALSE,VLOOKUP("Pull out larder unit 600mm",FurnitureData,5,0),IF(AND(ISERROR(FIND("drawer box",A96))=FALSE,ISERROR(FIND("internal",A96))=TRUE),VLOOKUP("Drawer runners and clip set (550) Dynapro",FurnitureData,5,0),IF(ISERROR(FIND("internal drawer box",A96))=FALSE,VLOOKUP("Drawer runners and clip set (450) Dynapro",FurnitureData,5,0),"")))))</f>
        <v/>
      </c>
      <c r="L96" s="152">
        <f t="shared" si="3"/>
        <v>2.65815641</v>
      </c>
      <c r="M96" s="154">
        <f>IFERROR(__xludf.DUMMYFUNCTION("IF(A96="""","""",IF(OR(ISERROR(FIND(""larder"",A96))=FALSE,ISERROR(FIND(""unit"",A96))=FALSE),VLOOKUP(LEFT(A96,FIND("" "",A96))&amp;""carcass ""&amp;RIGHT(A96,LEN(A96)-len(regexextract(A96,"".* ""))),KitchensData,13,0),IF(ISERROR(FIND(""bins"",A96))=FALSE,0.95,IF"&amp;"(ISERROR(FIND(""Cutlery insert 600"",A96))=FALSE,1.3,IF(ISERROR(FIND(""Cutlery insert 1200"",A96))=FALSE,2,IF(ISERROR(FIND(""Pan/tray rack 600"",A96))=FALSE,3.25,IF(ISERROR(FIND(""Pan/tray rack 1200"",A96))=FALSE,5.9,IF(ISERROR(FIND(""split"",A96))=FALSE,"&amp;"(((C96/1000)*0.022)*2)+VLOOKUP(SUBSTITUTE(A96,"" split"",""""),KitchensData,13,0),IF(AND(ISERROR(FIND(""drawer front"",A96))=FALSE,KitchenDoorStyle=""Flat""),(((B96/1000)*(C96/1000))*2)+((((B96+C96)/1000)*2)*0.022),IF(AND(ISERROR(FIND(""drawer front"",A96"&amp;"))=FALSE,LEFT(KitchenDoorStyle,5)=""Panel""),(((B96/1000)*(C96/1000))*2)+((((B96+C96)/1000)*2)*0.022)+((((C96/1000)-0.16)*0.013)*2)+((((D96/1000)-0.16)*0.013)*2),IF(AND(ISERROR(FIND(""drawer front"",A96))=FALSE,KitchenDoorStyle=""In-frame flat""),((((B96-"&amp;"76)/1000)*((C96-38)/1000))*2)+(MID(KitchenDoorMaterial,FIND(""("",KitchenDoorMaterial)+1,2)/1000)*((((B96-76)+(C96-38))/1000)*2)+(((B96/1000)*0.032)*2)+((((B96-76)/1000)*0.032)*2)+(((B96/1000)*0.019)*4)+(((C96/1000)*0.032)*2)+((((C96-38)/1000)*0.032)*2)+("&amp;"((C96/1000)*0.038)*4),IF(AND(ISERROR(FIND(""drawer front"",A96))=FALSE,LEFT(KitchenDoorStyle,14)=""In-frame panel""),((((B96-76)/1000)*((C96-38)/1000))*2)+((MID(KitchenDoorMaterial,FIND(""("",KitchenDoorMaterial)+1,2)/1000)*((((B96-76)+(C96-38))/1000)*2))"&amp;"+((((B96-236)/1000)+((C96-198)/1000)*2)*0.013)+(((B96/1000)*0.032)*2)+((((B96-76)/1000)*0.032)*2)+(((B96/1000)*0.019)*4)+(((C96/1000)*0.032)*2)+((((C96-38)/1000)*0.032)*2)+(((C96/1000)*0.038)*4),IF(ISERROR(FIND(""drawer box"",A96))=FALSE,((((B96/1000)*(D9"&amp;"6/1000))+((B96/1000)*(C96/1000)))*4)+((((D96/1000)+(C96/1000))*0.016)*4)+(((C96/1000)*(D96/1000))*2),IF(OR(ISERROR(FIND(""shelf"",A96))=FALSE,ISERROR(FIND(""spacer"",A96))=FALSE,,ISERROR(FIND(""filler panel"",A96))=FALSE),(((C96/1000)*(D96/1000))*2)+((((C"&amp;"96+D96)*2)/1000)*0.022),IF(ISERROR(FIND(""lost corner"",A96))=FALSE,(((B96/1000)*(C96/1000))*2)+((B96/1000)*(C96/1000))+((B96/1000)*((C96/2)/1000))+((((B96/1000)*0.025)+((C96/1000)*0.025))*2),IF(ISERROR(FIND(""carcass"",A96))=FALSE,(((C96/1000)*(D96/1000)"&amp;")*2)+(((B96/1000)*(D96/1000))*2)+((B96/1000)*(C96/1000))+((((B96/1000)*0.025)+((C96/1000)*0.025))*2),IF(AND(ISERROR(FIND(""door"",A96))=FALSE,KitchenDoorStyle=""Flat""),(((B96/1000)*(C96/1000))*2)+(MID(KitchenDoorMaterial,FIND(""("",KitchenDoorMaterial)+1"&amp;",2)/1000)*(((B96+C96)/1000)*2),IF(AND(ISERROR(FIND(""door"",A96))=FALSE,LEFT(KitchenDoorStyle,5)=""Panel""),(((B96/1000)*(C96/1000))*2)+((MID(KitchenDoorMaterial,FIND(""("",KitchenDoorMaterial)+1,2)/1000)*(((B96+C96)/1000)*2))+(((((B96-160)+(C96-160))*2)/"&amp;"1000)*(0.013)),IF(AND(ISERROR(FIND(""door"",A96))=FALSE,KitchenDoorStyle=""In-frame flat""),((((B96-76)/1000)*((C96-38)/1000))*2)+(MID(KitchenDoorMaterial,FIND(""("",KitchenDoorMaterial)+1,2)/1000)*((((B96-76)+(C96-38))/1000)*2)+(((B96/1000)*0.032)*2)+((("&amp;"(B96-76)/1000)*0.032)*2)+(((B96/1000)*0.019)*4)+(((C96/1000)*0.032)*2)+((((C96-38)/1000)*0.032)*2)+(((C96/1000)*0.038)*4),IF(AND(ISERROR(FIND(""door"",A96))=FALSE,LEFT(KitchenDoorStyle,14)=""In-frame panel""),((((B96-76)/1000)*((C96-38)/1000))*2)+((MID(Ki"&amp;"tchenDoorMaterial,FIND(""("",KitchenDoorMaterial)+1,2)/1000)*((((B96-76)+(C96-38))/1000)*2))+((((B96-236)/1000)+((C96-198)/1000)*2)*0.013)+(((B96/1000)*0.032)*2)+((((B96-76)/1000)*0.032)*2)+(((B96/1000)*0.019)*4)+(((C96/1000)*0.032)*2)+((((C96-38)/1000)*0"&amp;".032)*2)+(((C96/1000)*0.038)*4),IF(ISERROR(FIND(""Plinth"",A96))=FALSE,((B96/1000)*(C96/1000))+(((C96/1000)*0.018)*2)+(((B96/1000)*0.018)*2),IF(ISERROR(FIND(""Cornice"",A96))=FALSE,(((C96/1000)*0.1)*2)+(((C96/1000)*0.044)*2)+(((B96/1000)*0.08)*2),IF(ISERR"&amp;"OR(FIND(""Base end panel"",A96))=FALSE,((B96/1000)*(C96/1000))+(0.022*((B96/1000)+((C96/1000)*2)))+((B96/1000)*0.05),IF(ISERROR(FIND(""Wall end panel"",A96))=FALSE,((B96/1000)*(C96/1000))+(0.022*((B96/1000)+((C96/1000)*2)))+((B96/1000)*0.05),IF(ISERROR(FI"&amp;"ND(""Tower end panel"",A96))=FALSE,((B96/1000)*(C96/1000))+(0.022*((B96/1000)+((C96/1000)*2)))+((B96/1000)*0.05),IF(ISERROR(FIND(""Fillers"",A96))=FALSE,((C96/1000)*0.06)+((C96/1000)*0.069)+((0.06*0.018)*2)+((0.06*0.009)*2)+((C96/1000)*0.009)+((C96/1000)*"&amp;"0.018),IF(ISERROR(FIND(""corner post"",A96))=FALSE,(((B96/1000*0.05)*2)+((B96/1000)*0.022)*2)+((B96/1000)*0.072)+((B96/1000)*0.05)+((0.072*0.022)*2)+((0.05*0.022)*2),IF(ISERROR(FIND(""Pelmet"",A96))=FALSE,((C96/1000)*0.05)+((C96/1000)*0.068)+((0.05*0.018)"&amp;"*4)+(((C96/1000)*0.018))*2))))))))))))))))))))))))))))"),0.32495999999999997)</f>
        <v>0.32496</v>
      </c>
      <c r="N96" s="152">
        <f>IF(M96="","",IF(AND(ISERROR(FIND("carcass",A96))=TRUE,ISERROR(FIND("unit",A96))=TRUE,ISERROR(FIND("insert",A96))=TRUE,ISERROR(FIND("rack",A96))=TRUE,ISERROR(FIND("box",A96))=TRUE,ISERROR(FIND("shelf",#REF!))=TRUE),VLOOKUP(KitchenDoorFinish,Finishing!$A$2:$K$10,9,0)*M96,VLOOKUP(KitchenCarcassFinish,Finishing!$A$2:$K$40,9,0)*M96))</f>
        <v>2.4372</v>
      </c>
      <c r="O96" s="155">
        <v>0.5</v>
      </c>
      <c r="P96" s="155">
        <v>0.5</v>
      </c>
      <c r="Q96" s="152">
        <f>IF(OR(O96="",P96=""),"",((O96*X96)*(VLOOKUP("Workshop",Labour!$A$3:$E$20,4,0)/8))+((P96*AE96)*(VLOOKUP("Finishing",Labour!$A$3:$E$20,4,0)/8)))</f>
        <v>35.875</v>
      </c>
      <c r="R96" s="152">
        <f t="shared" si="4"/>
        <v>40.97035641</v>
      </c>
      <c r="S96" s="156">
        <f>IF(OR(O96="",P96=""),"",IF(OR(ISERROR(FIND("carcass",$A96))=FALSE,ISERROR(FIND("unit",$A96))=FALSE),VLOOKUP(KitchenCarcassMaterial,FixedListsCarcassMaterial,2,0),0))</f>
        <v>0</v>
      </c>
      <c r="T96" s="156">
        <f>IF(OR(O96="",P96=""),"",IF(ISERROR(FIND("door",$A96))=FALSE,VLOOKUP(KitchenDoorStyle,FixedListsDoorStyle,2,0),0))</f>
        <v>0</v>
      </c>
      <c r="U96" s="156">
        <f>IF(OR(O96="",P96=""),"",IF(ISERROR(FIND("door",$A96))=FALSE,VLOOKUP(KitchenDoorMaterial,FixedListsDoorMaterial,2,0),0))</f>
        <v>0</v>
      </c>
      <c r="V96" s="156">
        <f>IF(OR(O96="",P96=""),"",IF(ISERROR(FIND("drawer",$A96))=FALSE,VLOOKUP(KitchenDrawerType,FixedListsDrawerType,2,0),0))</f>
        <v>1</v>
      </c>
      <c r="W96" s="156">
        <f>IF(OR(O96="",P96=""),"",IF(OR(S96&gt;0, T96&gt;0,V96&gt;0),VLOOKUP(KitchenHandleType,FixedListsHandleType,2,FALSE)*IF(KitchenHandleType="Simple",0,IF(S96&gt;0,VLOOKUP(KitchenHandleType,FixedListsHandleType,4,FALSE),IF(OR(T96&gt;0,V96&gt;0),1-VLOOKUP(KitchenHandleType,FixedListsHandleType,4,FALSE),"Error"))),0))</f>
        <v>0</v>
      </c>
      <c r="X96" s="156">
        <f t="shared" si="5"/>
        <v>1</v>
      </c>
      <c r="Y96" s="156">
        <f>IF(OR(O96="",P96=""),"",IF(OR(ISERROR(FIND("carcass",$A96))=FALSE,ISERROR(FIND("unit",$A96))=FALSE),VLOOKUP(KitchenCarcassMaterial,FixedListsCarcassMaterial,3,0),0))</f>
        <v>0</v>
      </c>
      <c r="Z96" s="156">
        <f>IF(OR(O96="",P96=""),"",IF(ISERROR(FIND("door",$A96))=FALSE,VLOOKUP(KitchenDoorStyle,FixedListsDoorStyle,3,0),0))</f>
        <v>0</v>
      </c>
      <c r="AA96" s="156">
        <f>IF(OR(O96="",P96=""),"",IF(ISERROR(FIND("door",$A96))=FALSE,VLOOKUP(KitchenDoorMaterial,FixedListsDoorMaterial,3,0),0))</f>
        <v>0</v>
      </c>
      <c r="AB96" s="156">
        <f>IF(OR(O96="",P96=""),"",IF(ISERROR(FIND("drawer",$A96))=FALSE,VLOOKUP(KitchenDrawerType,FixedListsDrawerType,3,0),0))</f>
        <v>1</v>
      </c>
      <c r="AC96" s="156">
        <f>IF(OR(O96="",P96=""),"",IF(OR(Y96&gt;0,Z96&gt;0,AB96&gt;0),VLOOKUP(KitchenHandleType,FixedListsHandleType,3,FALSE),0))</f>
        <v>1</v>
      </c>
      <c r="AD96" s="156">
        <f>IF(OR(O96="",P96=""),"",IF(OR(ISERROR(FIND("carcass",$A96))=FALSE,ISERROR(FIND("unit",$A96))=FALSE),VLOOKUP(KitchenCarcassFinish,FixedListsFinishes,3,0),IF(OR(ISERROR(FIND("door",$A96))=FALSE,ISERROR(FIND("Plinth",$A96))=FALSE,ISERROR(FIND("Cornice",$A96))=FALSE,ISERROR(FIND("Fillers",$A96))=FALSE,ISERROR(FIND("Pelmet",$A96))=FALSE,ISERROR(FIND("panel",$A96))=FALSE,ISERROR(FIND("post",$A96))=FALSE),VLOOKUP(KitchenDoorFinish,FixedListsFinishes,3,0),IF(OR(ISERROR(FIND("drawer",$A96))=FALSE,ISERROR(FIND("insert",$A96))=FALSE,ISERROR(FIND("rck",$A96))=FALSE),VLOOKUP(KitchenCarcassFinish,FixedListsFinishes,3,0),0))))</f>
        <v>1</v>
      </c>
      <c r="AE96" s="156">
        <f t="shared" si="6"/>
        <v>1</v>
      </c>
      <c r="AF96" s="157" t="str">
        <f>IF(AND(KitchenHandleType="Channel",OR(ISERROR(FIND("arcass",$A96))=FALSE,ISERROR(FIND("unit",$A96))=FALSE)),IF(ISERROR(FIND("Tower",$A96))=TRUE,IF(KitchenHandleFinish="Match carcass",IF(ISERROR(FIND("Walnut",KitchenCarcassMaterial))=FALSE,(0.035*0.075*($C96/1000))*VLOOKUP("Walnut (solid m3)",SolidData,4,FALSE),IF(ISERROR(FIND("Oak",KitchenCarcassMaterial))=FALSE,(0.035*0.075*($C96/1000))*VLOOKUP("Oak (solid m3)",SolidData,4,FALSE),IF(ISERROR(FIND("ply",KitchenCarcassMaterial))=FALSE,(0.1*($C96/1000))*VLOOKUP("Birch ply (24mm)",SheetsData,7,FALSE),IF(ISERROR(FIND("H/F",KitchenCarcassMaterial))=FALSE,(0.1*($C96/1000))*VLOOKUP("H/F (22mm)",SheetsData,7,FALSE),"Carcass - not tower - new material")))),IF(KitchenHandleFinish="Match door",IF(ISERROR(FIND("Walnut",KitchenDoorMaterial))=FALSE,(0.035*0.075*($C96/1000))*VLOOKUP("Walnut (solid m3)",SolidData,4,FALSE),IF(ISERROR(FIND("Oak",KitchenDoorMaterial))=FALSE,(0.035*0.075*($C96/1000))*VLOOKUP("Oak (solid m3)",SolidData,4,FALSE),IF(ISERROR(FIND("ply",KitchenDoorMaterial))=FALSE,(0.1*($C96/1000))*VLOOKUP("Birch ply (24mm)",SheetsData,7,FALSE),IF(ISERROR(FIND("H/F",KitchenCarcassMaterial))=FALSE,(0.1*($C96/1000))*VLOOKUP("H/F (22mm)",SheetsData,7,FALSE),"Door - not tower - new material")))),"Channel - not tower - handle set to other")),IF(ISERROR(FIND("Tower",$A96))=FALSE,IF(KitchenHandleFinish="Match carcass",IF(ISERROR(FIND("Walnut",KitchenCarcassMaterial))=FALSE,(0.035*0.075*($B96/1000))*VLOOKUP("Walnut (solid m3)",SolidData,4,FALSE),IF(ISERROR(FIND("Oak",KitchenCarcassMaterial))=FALSE,(0.035*0.075*($B96/1000))*VLOOKUP("Oak (solid m3)",SolidData,4,FALSE),IF(ISERROR(FIND("ply",KitchenCarcassMaterial))=FALSE,(0.1*($B96/1000))*VLOOKUP("Birch ply (24mm)",SheetsData,7,FALSE),IF(ISERROR(FIND("H/F",KitchenCarcassMaterial))=FALSE,(0.1*($C96/1000))*VLOOKUP("H/F (22mm)",SheetsData,7,FALSE),"Carcass - tower - new material")))),IF(KitchenHandleFinish="Match door",IF(ISERROR(FIND("Walnut",KitchenDoorMaterial))=FALSE,(0.035*0.075*($B96/1000))*VLOOKUP("Walnut (solid m3)",SolidData,4,FALSE),IF(ISERROR(FIND("Oak",KitchenDoorMaterial))=FALSE,(0.035*0.075*($B96/1000))*VLOOKUP("Oak (solid m3)",SolidData,4,FALSE),IF(ISERROR(FIND("ply",KitchenDoorMaterial))=FALSE,(0.1*($B96/1000))*VLOOKUP("Birch ply (24mm)",SheetData,7,FALSE),IF(ISERROR(FIND("H/F",KitchenCarcassMaterial))=FALSE,(0.1*($C96/1000))*VLOOKUP("H/F (22mm)",SheetsData,7,FALSE),"Door - tower - new material")))),"Channel - tower - handle set to other")))),"")</f>
        <v/>
      </c>
    </row>
    <row r="97">
      <c r="A97" s="150" t="s">
        <v>205</v>
      </c>
      <c r="B97" s="115" t="str">
        <f t="shared" si="1"/>
        <v>240</v>
      </c>
      <c r="C97" s="115" t="str">
        <f>IFERROR(__xludf.DUMMYFUNCTION("IF(A97="""","""",IF(OR(RIGHT(A97,LEN(A97)-len(regexextract(A97,"".* "")))=""1200"",RIGHT(A97,LEN(A97)-len(regexextract(A97,"".* "")))=""600"",RIGHT(A97,LEN(A97)-len(regexextract(A97,"".* "")))=""400"",RIGHT(A97,LEN(A97)-len(regexextract(A97,"".* "")))=""3"&amp;"00"",RIGHT(A97,LEN(A97)-len(regexextract(A97,"".* "")))=""700"",RIGHT(A97,LEN(A97)-len(regexextract(A97,"".* "")))=""2400"",RIGHT(A97,LEN(A97)-len(regexextract(A97,"".* "")))=""650"",RIGHT(A97,LEN(A97)-len(regexextract(A97,"".* "")))=""350"",RIGHT(A97,LEN"&amp;"(A97)-len(regexextract(A97,"".* "")))=""50""),RIGHT(A97,LEN(A97)-len(regexextract(A97,"".* ""))),IF(OR(ISERROR(FIND(""spacer"",A97))=FALSE,ISERROR(FIND(""filler panel"",A97))=FALSE),""1000"",""Unexpected size in description"")))"),"1200")</f>
        <v>1200</v>
      </c>
      <c r="D97" s="151" t="str">
        <f t="shared" si="2"/>
        <v/>
      </c>
      <c r="E97" s="152">
        <f>IFERROR(__xludf.DUMMYFUNCTION("IF(OR(A97="""",AND(ISERROR(FIND(""drawer box"",A97))=FALSE,KitchenDrawerType="""")),"""",IF(OR(ISERROR(FIND(""larder"",A97))=FALSE,ISERROR(FIND(""fridge/freezer"",A97))=FALSE,ISERROR(FIND(""double oven"",A97))=FALSE,ISERROR(FIND(""single oven"",A97))=FALS"&amp;"E),VLOOKUP(LEFT(A97,FIND("" "",A97))&amp;""carcass ""&amp;RIGHT(A97,LEN(A97)-(LEN(A97)-3)),KitchensData,5,0),IF(ISERROR(FIND(""sink"",A97))=FALSE,VLOOKUP(LEFT(A97,FIND("" "",A97))&amp;""carcass ""&amp;VALUE(REGEXREPLACE(A97,""[^[:digit:]]"", """")),KitchensData,5,0)+(((C"&amp;"97/1000)*(300/1000))*VLOOKUP(KitchenCarcassMaterial,SheetsData,8,0)),IF(ISERROR(FIND(""bins"",A97))=FALSE,IF(ISERROR(FIND(""veneer"",KitchenCarcassMaterial))=FALSE,VLOOKUP(""Base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600"",A97))=FALSE,IF(ISERROR(FIND(""veneer"""&amp;",KitchenCarcassMaterial))=FALSE,0.54*(VLOOKUP(LEFT(KitchenCarcassMaterial,FIND(""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1200"",A97))=FALSE,"&amp;"IF(ISERROR(FIND(""veneer"",KitchenCarcassMaterial))=FALSE,0.84*(VLOOKUP(LEFT(KitchenCarcassMaterial,FIND(""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600"",A97))=FALSE,IF(ISERROR(FIND(""veneer"",KitchenCarcassMaterial))=FALSE,1.44*(VLOOKUP(LEFT(KitchenCarcassMaterial,FIND(""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1200"",A97))=FALSE,IF(ISERROR(FIND(""veneer"",KitchenCarcassMaterial))=FALSE,2.7*(VLOOKUP(LEFT(KitchenCarcassMaterial,FIND(""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front"",A97))=FALSE,((B97/1000)*(C97/1000))*VLOOKUP(KitchenDoorMaterial,SheetsData,8,0),IF(AND(KitchenDrawerType=""Match carcass"",ISERROR(FIND(""drawer box"",A97))=FALSE),(((((B97/1000)*(C97/1000))+((B97/1000"&amp;")*(D97/1000)))*2)*VLOOKUP(KitchenCarcassMaterial,SheetsData,8,0))+(((C97/1000)*(D97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box"",A97))=FALSE),(((((B97/1000)*(C97/1000))+((B97/1000)*(D97/1000)))*2)*(16/1000)*VLOOKUP(LEFT(KitchenCarcassMaterial,FIND("" "&amp;""",KitchenCarcassMaterial))&amp;""(solid m3)"",SolidData,5,0))+(((C97/1000)*(D97/1000))*VLOOKUP(LEFT(KitchenCarcassMaterial,FIND(""("",KitchenCarcassMaterial)-1)&amp;IF(OR(ISERROR(FIND(""ply"",KitchenCarcassMaterial))=FALSE,ISERROR(FIND(""H/F"",KitchenCarcassMate"&amp;"rial))=FALSE),""(9mm)"",""(10mm)""),SheetsData,8,0)),IF(ISERROR(FIND(""spacer"",A97))=FALSE,((D97/1000)*(C97/1000))*VLOOKUP(""Poplar ply (18mm)"",SheetsData,8,0),IF(ISERROR(FIND(""filler panel"",A97))=FALSE,((B97/1000)*(C97/1000))*VLOOKUP(KitchenDoorMater"&amp;"ial,SheetsData,8,0),IF(ISERROR(FIND(""shelf"",A97))=FALSE,((D97/1000)*(C97/1000))*VLOOKUP(KitchenCarcassMaterial,SheetsData,8,0),IF(ISERROR(FIND(""lost corner"",A97))=FALSE,VLOOKUP(LEFT(A97,FIND("" "",A97))&amp;""carcass ""&amp;VALUE(REGEXREPLACE(A97,""[^[:digit:"&amp;"]]"", """")),KitchensData,5,0)+((((B97/1000)*(C97/1000))+((B97/1000)*(60/1000)))*VLOOKUP(KitchenCarcassMaterial,SheetsData,8,0)),IF(ISERROR(FIND(""carcass"",A97))=FALSE,(((((B97/1000)*2)*(D97/1000))+(((C97/1000)*2)*(D97/1000)))*VLOOKUP(KitchenCarcassMater"&amp;"ial,SheetsData,8,0))+((B97/1000)*(C97/1000))*VLOOKUP(LEFT(KitchenCarcassMaterial,FIND(""("",KitchenCarcassMaterial)-1)&amp;IF(OR(ISERROR(FIND(""ply"",KitchenCarcassMaterial))=FALSE,ISERROR(FIND(""H/F"",KitchenCarcassMaterial))=FALSE),""(9mm)"",""(10mm)""),She"&amp;"etsData,8,0),IF(OR(ISERROR(FIND(""Plinth"",A97))=FALSE,ISERROR(FIND(""Cornice (flat)"",A97))=FALSE),((B97/1000)*(C97/1000))*VLOOKUP(""H/F (18mm)"",SheetsData,8,0),IF(ISERROR(FIND(""Cornice (stacked)"",A97))=FALSE,((0.08*(C97/1000))*2)*VLOOKUP(""H/F (22mm)"&amp;""",SheetsData,8,0),IF(ISERROR(FIND(""Base end panel"",A97))=FALSE,VLOOKUP(KitchenDoorMaterial,SheetsData,5,0)/3,IF(ISERROR(FIND(""Wall end panel"",A97))=FALSE,VLOOKUP(KitchenDoorMaterial,SheetsData,5,0)/9,IF(ISERROR(FIND(""Tower end panel"",A97))=FALSE,VL"&amp;"OOKUP(KitchenDoorMaterial,SheetsData,5,0),IF(ISERROR(FIND(""Fillers"",A97))=FALSE,(((0.06*(C97/1000))*2)*VLOOKUP(""H/F (18mm)"",SheetsData,8,0))+(((0.06*(C97/1000))*2)*VLOOKUP(""H/F (9mm)"",SheetsData,8,0)),IF(ISERROR(FIND(""corner post"",A97))=FALSE,(((B"&amp;"97/1000)*0.05)*2)*VLOOKUP(KitchenDoorMaterial,SheetsData,8,0),IF(ISERROR(FIND(""Pelmet"",A97))=FALSE,((((B97/1000)*(C97/1000))*2)*VLOOKUP(""H/F (18mm)"",SheetsData,8,0)),IF(ISERROR(FIND(""door"",A97))=TRUE,""Check description"",IF(KitchenDoorStyle=""Flat"&amp;""",((B97/1000)*(C97/1000))*VLOOKUP(KitchenDoorMaterial,SheetsData,8,0),IF(LEFT(KitchenDoorStyle,5)=""Panel"",(((((B97/1000)*2)*0.08)+((((C97/1000)-0.16)*2)*0.08))*VLOOKUP(""H/F (22mm)"",SheetsData,8,0))+(((B97/1000)-0.14)*((C97/1000)-0.14)*VLOOKUP(""H/F ("&amp;"9mm)"",SheetsData,8,0)),IF(KitchenDoorStyle=""In-frame flat"",((((((B97/1000)*0.019)*0.038)+((((C97-38)/1000)*0.038)*0.038))*2)*VLOOKUP(""Tulip (solid m3)"",SolidData,5,0))+(((B97-76)/1000)*((C97-38)/1000))*VLOOKUP(""H/F (22mm)"",SheetsData,8,0),IF(LEFT(K"&amp;"itchenDoorStyle,14)=""In-frame panel"",(((((((B97/1000)*0.019)*0.038)+((((C97-38)/1000)*0.038)*0.038))*2)*VLOOKUP(""Tulip (solid m3)"",SolidData,5,0))+(((((((B97-76)/1000)*2)*0.08)+(((((C97-198)/1000)*2)*0.08)))*VLOOKUP(""H/F (22mm)"",SheetsData,8,0))+((("&amp;"B97-216)/1000)*((C97-178)/1000)*VLOOKUP(""H/F (9mm)"",SheetsData,8,0)))))))))))))))))))))))))))))))))"),5.316312819134641)</f>
        <v>5.316312819</v>
      </c>
      <c r="F97" s="152">
        <f>IFERROR(__xludf.DUMMYFUNCTION("IF(OR(A97="""",AND(ISERROR(FIND(""drawer box"",A97))=FALSE,KitchenDrawerType=""Solid dovetail"")),"""",IF(ISERROR(FIND(""bins"",A97))=FALSE,VLOOKUP(""Base carcass 600"",KitchensData,6,0),IF(OR(ISERROR(FIND(""larder"",A97))=FALSE,ISERROR(FIND(""unit"",A97)"&amp;")=FALSE),VLOOKUP(LEFT(A97,FIND("" "",A97))&amp;""carcass ""&amp;RIGHT(A97,LEN(A97)-len(regexextract(A97,"".* ""))),KitchensData,6,0),IF(ISERROR(FIND(""drawer front"",A97))=FALSE,IF(ISERROR(FIND(""veneer"",KitchenCarcassMaterial))=TRUE,0,(((B97+C97)/1000)*2)*VLOOK"&amp;"UP(""Edge banding (per M)"",SheetsData,5,0)),IF(ISERROR(FIND(""drawer box"",A97))=FALSE,IF(ISERROR(FIND(""veneer"",KitchenCarcassMaterial))=TRUE,0,(((C97+D97)/1000)*2)*VLOOKUP(""Edge banding (per M)"",SheetsData,5,0)),IF(ISERROR(FIND(""shelf"",A97))=FALSE"&amp;",IF(ISERROR(FIND(""veneer"",KitchenCarcassMaterial))=TRUE,0,(C97/1000)*VLOOKUP(""Edge banding (per M)"",SheetsData,5,0)),IF(AND(ISERROR(FIND(""carcass"",A97))=FALSE,ISERROR(FIND(""shelf"",A97))=TRUE),IF(ISERROR(FIND(""veneer"",KitchenCarcassMaterial))=TRU"&amp;"E,0,((2*(B97+C97))/1000)*VLOOKUP(""Edge banding (per M)"",SheetsData,5,0)),IF(ISERROR(FIND(""door"",A97))=TRUE,"""",IF(ISERROR(FIND(""veneer"",KitchenDoorMaterial))=TRUE,"""",((2*(B97+C97))/1000)*VLOOKUP(""Edge banding (per M)"",SheetsData,5,0))))))))))"),0.0)</f>
        <v>0</v>
      </c>
      <c r="G97" s="153" t="str">
        <f>IF(A97="","",IF(ISERROR(FIND("bins",A97))=FALSE,VLOOKUP("Base carcass 600",KitchensData,7,0),IF(OR(ISERROR(FIND("larder",A97))=FALSE,ISERROR(FIND("fridge/freezer",A97))=FALSE,ISERROR(FIND("double oven",A97))=FALSE,ISERROR(FIND("single oven",A97))=FALSE),VLOOKUP(LEFT(A97,FIND(" ",A97))&amp;"carcass "&amp;RIGHT(A97,LEN(A97)-(LEN(A97)-3)),KitchensData,7,0),IF(AND(ISERROR(FIND("carcass",A97))=FALSE,ISERROR(FIND("shelf",A97))=TRUE),IF(OR(ISERROR(FIND("Base",A97))=FALSE,ISERROR(FIND("Tower",A97))=FALSE),IF(OR(ISERROR(FIND("1200",A97))=FALSE, ISERROR(FIND("lost corner",A97))=FALSE),6*VLOOKUP("Plinth foot (2 Parts 80mm)",FurnitureData,5,0),4*VLOOKUP("Plinth foot (2 Parts 80mm)",FurnitureData,5,0)),""),""))))</f>
        <v/>
      </c>
      <c r="H97" s="115" t="str">
        <f>IF(OR(A97="",ISERROR(FIND("door",A97))=TRUE),"",IF(ISERROR(FIND("Wall",A97))=FALSE,VLOOKUP("Hinges &amp; plates (Hettich thick door)",FurnitureData,5,0)*2,IF(ISERROR(FIND("Base",A97))=FALSE,VLOOKUP("Hinges &amp; plates (Hettich thick door)",FurnitureData,5,0)*3,IF(ISERROR(FIND("Boiler",A97))=FALSE,VLOOKUP("Hinges &amp; plates (Hettich thick door)",FurnitureData,5,0)*4,IF(ISERROR(FIND("Tower",A97))=FALSE,VLOOKUP("Hinges &amp; plates (Hettich thick door)",FurnitureData,5,0)*5)))))</f>
        <v/>
      </c>
      <c r="I97" s="115" t="str">
        <f>IF(ISERROR(FIND("shelf",A97))=FALSE,(VLOOKUP("Shelf pegs",FurnitureData,5,0)/100)*4,"")</f>
        <v/>
      </c>
      <c r="J97" s="152" t="str">
        <f>IF(OR(ISERROR(FIND("fridge/freezer",A97))=FALSE,ISERROR(FIND("larder",A97))=FALSE,AND(ISERROR(FIND("Base",A97))=FALSE,ISERROR(FIND("bins",A97))=TRUE,ISERROR(FIND("no shelves",A97))=TRUE,OR(ISERROR(FIND("carcass",A97))=FALSE,ISERROR(FIND("unit",A97))=FALSE))),VLOOKUP("Deep shelf "&amp;C97,KitchensData,18,0),IF(AND(ISERROR(FIND("Wall",A97))=FALSE,ISERROR(FIND("carcass",A97))=FALSE),2*VLOOKUP("Shallow shelf "&amp;C97,KitchensData,18,0),IF(AND(ISERROR(FIND("Tower",A97))=FALSE,ISERROR(FIND("oven",A97))=FALSE),4*VLOOKUP("Deep shelf "&amp;C97,KitchensData,18,0),IF(AND(ISERROR(FIND("Tower",A97))=FALSE,ISERROR(FIND("carcass",A97))=FALSE),5*VLOOKUP("Deep shelf "&amp;C97,KitchensData,18,0),""))))</f>
        <v/>
      </c>
      <c r="K97" s="152" t="str">
        <f>IF(ISERROR(FIND("sink",A97))=FALSE,VLOOKUP("Sink liner - Aluminium "&amp;RIGHT(A97,LEN(A97)-22)&amp;"mm",ExceptionalData,5,0),IF(ISERROR(FIND("bins",A97))=FALSE,VLOOKUP("Drawer runners and clip set for bin unit (500) Dynapro",FurnitureData,5,0)+(2*VLOOKUP("Bin (42L Anthracite)",FurnitureData,5,0)),IF(ISERROR(FIND("larder",A97))=FALSE,VLOOKUP("Pull out larder unit 600mm",FurnitureData,5,0),IF(AND(ISERROR(FIND("drawer box",A97))=FALSE,ISERROR(FIND("internal",A97))=TRUE),VLOOKUP("Drawer runners and clip set (550) Dynapro",FurnitureData,5,0),IF(ISERROR(FIND("internal drawer box",A97))=FALSE,VLOOKUP("Drawer runners and clip set (450) Dynapro",FurnitureData,5,0),"")))))</f>
        <v/>
      </c>
      <c r="L97" s="152">
        <f t="shared" si="3"/>
        <v>5.316312819</v>
      </c>
      <c r="M97" s="154">
        <f>IFERROR(__xludf.DUMMYFUNCTION("IF(A97="""","""",IF(OR(ISERROR(FIND(""larder"",A97))=FALSE,ISERROR(FIND(""unit"",A97))=FALSE),VLOOKUP(LEFT(A97,FIND("" "",A97))&amp;""carcass ""&amp;RIGHT(A97,LEN(A97)-len(regexextract(A97,"".* ""))),KitchensData,13,0),IF(ISERROR(FIND(""bins"",A97))=FALSE,0.95,IF"&amp;"(ISERROR(FIND(""Cutlery insert 600"",A97))=FALSE,1.3,IF(ISERROR(FIND(""Cutlery insert 1200"",A97))=FALSE,2,IF(ISERROR(FIND(""Pan/tray rack 600"",A97))=FALSE,3.25,IF(ISERROR(FIND(""Pan/tray rack 1200"",A97))=FALSE,5.9,IF(ISERROR(FIND(""split"",A97))=FALSE,"&amp;"(((C97/1000)*0.022)*2)+VLOOKUP(SUBSTITUTE(A97,"" split"",""""),KitchensData,13,0),IF(AND(ISERROR(FIND(""drawer front"",A97))=FALSE,KitchenDoorStyle=""Flat""),(((B97/1000)*(C97/1000))*2)+((((B97+C97)/1000)*2)*0.022),IF(AND(ISERROR(FIND(""drawer front"",A97"&amp;"))=FALSE,LEFT(KitchenDoorStyle,5)=""Panel""),(((B97/1000)*(C97/1000))*2)+((((B97+C97)/1000)*2)*0.022)+((((C97/1000)-0.16)*0.013)*2)+((((D97/1000)-0.16)*0.013)*2),IF(AND(ISERROR(FIND(""drawer front"",A97))=FALSE,KitchenDoorStyle=""In-frame flat""),((((B97-"&amp;"76)/1000)*((C97-38)/1000))*2)+(MID(KitchenDoorMaterial,FIND(""("",KitchenDoorMaterial)+1,2)/1000)*((((B97-76)+(C97-38))/1000)*2)+(((B97/1000)*0.032)*2)+((((B97-76)/1000)*0.032)*2)+(((B97/1000)*0.019)*4)+(((C97/1000)*0.032)*2)+((((C97-38)/1000)*0.032)*2)+("&amp;"((C97/1000)*0.038)*4),IF(AND(ISERROR(FIND(""drawer front"",A97))=FALSE,LEFT(KitchenDoorStyle,14)=""In-frame panel""),((((B97-76)/1000)*((C97-38)/1000))*2)+((MID(KitchenDoorMaterial,FIND(""("",KitchenDoorMaterial)+1,2)/1000)*((((B97-76)+(C97-38))/1000)*2))"&amp;"+((((B97-236)/1000)+((C97-198)/1000)*2)*0.013)+(((B97/1000)*0.032)*2)+((((B97-76)/1000)*0.032)*2)+(((B97/1000)*0.019)*4)+(((C97/1000)*0.032)*2)+((((C97-38)/1000)*0.032)*2)+(((C97/1000)*0.038)*4),IF(ISERROR(FIND(""drawer box"",A97))=FALSE,((((B97/1000)*(D9"&amp;"7/1000))+((B97/1000)*(C97/1000)))*4)+((((D97/1000)+(C97/1000))*0.016)*4)+(((C97/1000)*(D97/1000))*2),IF(OR(ISERROR(FIND(""shelf"",A97))=FALSE,ISERROR(FIND(""spacer"",A97))=FALSE,,ISERROR(FIND(""filler panel"",A97))=FALSE),(((C97/1000)*(D97/1000))*2)+((((C"&amp;"97+D97)*2)/1000)*0.022),IF(ISERROR(FIND(""lost corner"",A97))=FALSE,(((B97/1000)*(C97/1000))*2)+((B97/1000)*(C97/1000))+((B97/1000)*((C97/2)/1000))+((((B97/1000)*0.025)+((C97/1000)*0.025))*2),IF(ISERROR(FIND(""carcass"",A97))=FALSE,(((C97/1000)*(D97/1000)"&amp;")*2)+(((B97/1000)*(D97/1000))*2)+((B97/1000)*(C97/1000))+((((B97/1000)*0.025)+((C97/1000)*0.025))*2),IF(AND(ISERROR(FIND(""door"",A97))=FALSE,KitchenDoorStyle=""Flat""),(((B97/1000)*(C97/1000))*2)+(MID(KitchenDoorMaterial,FIND(""("",KitchenDoorMaterial)+1"&amp;",2)/1000)*(((B97+C97)/1000)*2),IF(AND(ISERROR(FIND(""door"",A97))=FALSE,LEFT(KitchenDoorStyle,5)=""Panel""),(((B97/1000)*(C97/1000))*2)+((MID(KitchenDoorMaterial,FIND(""("",KitchenDoorMaterial)+1,2)/1000)*(((B97+C97)/1000)*2))+(((((B97-160)+(C97-160))*2)/"&amp;"1000)*(0.013)),IF(AND(ISERROR(FIND(""door"",A97))=FALSE,KitchenDoorStyle=""In-frame flat""),((((B97-76)/1000)*((C97-38)/1000))*2)+(MID(KitchenDoorMaterial,FIND(""("",KitchenDoorMaterial)+1,2)/1000)*((((B97-76)+(C97-38))/1000)*2)+(((B97/1000)*0.032)*2)+((("&amp;"(B97-76)/1000)*0.032)*2)+(((B97/1000)*0.019)*4)+(((C97/1000)*0.032)*2)+((((C97-38)/1000)*0.032)*2)+(((C97/1000)*0.038)*4),IF(AND(ISERROR(FIND(""door"",A97))=FALSE,LEFT(KitchenDoorStyle,14)=""In-frame panel""),((((B97-76)/1000)*((C97-38)/1000))*2)+((MID(Ki"&amp;"tchenDoorMaterial,FIND(""("",KitchenDoorMaterial)+1,2)/1000)*((((B97-76)+(C97-38))/1000)*2))+((((B97-236)/1000)+((C97-198)/1000)*2)*0.013)+(((B97/1000)*0.032)*2)+((((B97-76)/1000)*0.032)*2)+(((B97/1000)*0.019)*4)+(((C97/1000)*0.032)*2)+((((C97-38)/1000)*0"&amp;".032)*2)+(((C97/1000)*0.038)*4),IF(ISERROR(FIND(""Plinth"",A97))=FALSE,((B97/1000)*(C97/1000))+(((C97/1000)*0.018)*2)+(((B97/1000)*0.018)*2),IF(ISERROR(FIND(""Cornice"",A97))=FALSE,(((C97/1000)*0.1)*2)+(((C97/1000)*0.044)*2)+(((B97/1000)*0.08)*2),IF(ISERR"&amp;"OR(FIND(""Base end panel"",A97))=FALSE,((B97/1000)*(C97/1000))+(0.022*((B97/1000)+((C97/1000)*2)))+((B97/1000)*0.05),IF(ISERROR(FIND(""Wall end panel"",A97))=FALSE,((B97/1000)*(C97/1000))+(0.022*((B97/1000)+((C97/1000)*2)))+((B97/1000)*0.05),IF(ISERROR(FI"&amp;"ND(""Tower end panel"",A97))=FALSE,((B97/1000)*(C97/1000))+(0.022*((B97/1000)+((C97/1000)*2)))+((B97/1000)*0.05),IF(ISERROR(FIND(""Fillers"",A97))=FALSE,((C97/1000)*0.06)+((C97/1000)*0.069)+((0.06*0.018)*2)+((0.06*0.009)*2)+((C97/1000)*0.009)+((C97/1000)*"&amp;"0.018),IF(ISERROR(FIND(""corner post"",A97))=FALSE,(((B97/1000*0.05)*2)+((B97/1000)*0.022)*2)+((B97/1000)*0.072)+((B97/1000)*0.05)+((0.072*0.022)*2)+((0.05*0.022)*2),IF(ISERROR(FIND(""Pelmet"",A97))=FALSE,((C97/1000)*0.05)+((C97/1000)*0.068)+((0.05*0.018)"&amp;"*4)+(((C97/1000)*0.018))*2))))))))))))))))))))))))))))"),0.6393599999999999)</f>
        <v>0.63936</v>
      </c>
      <c r="N97" s="152">
        <f>IF(M97="","",IF(AND(ISERROR(FIND("carcass",A97))=TRUE,ISERROR(FIND("unit",A97))=TRUE,ISERROR(FIND("insert",A97))=TRUE,ISERROR(FIND("rack",A97))=TRUE,ISERROR(FIND("box",A97))=TRUE,ISERROR(FIND("shelf",#REF!))=TRUE),VLOOKUP(KitchenDoorFinish,Finishing!$A$2:$K$10,9,0)*M97,VLOOKUP(KitchenCarcassFinish,Finishing!$A$2:$K$40,9,0)*M97))</f>
        <v>4.7952</v>
      </c>
      <c r="O97" s="155">
        <v>0.5</v>
      </c>
      <c r="P97" s="155">
        <v>0.5</v>
      </c>
      <c r="Q97" s="152">
        <f>IF(OR(O97="",P97=""),"",((O97*X97)*(VLOOKUP("Workshop",Labour!$A$3:$E$20,4,0)/8))+((P97*AE97)*(VLOOKUP("Finishing",Labour!$A$3:$E$20,4,0)/8)))</f>
        <v>35.875</v>
      </c>
      <c r="R97" s="152">
        <f t="shared" si="4"/>
        <v>45.98651282</v>
      </c>
      <c r="S97" s="156">
        <f>IF(OR(O97="",P97=""),"",IF(OR(ISERROR(FIND("carcass",$A97))=FALSE,ISERROR(FIND("unit",$A97))=FALSE),VLOOKUP(KitchenCarcassMaterial,FixedListsCarcassMaterial,2,0),0))</f>
        <v>0</v>
      </c>
      <c r="T97" s="156">
        <f>IF(OR(O97="",P97=""),"",IF(ISERROR(FIND("door",$A97))=FALSE,VLOOKUP(KitchenDoorStyle,FixedListsDoorStyle,2,0),0))</f>
        <v>0</v>
      </c>
      <c r="U97" s="156">
        <f>IF(OR(O97="",P97=""),"",IF(ISERROR(FIND("door",$A97))=FALSE,VLOOKUP(KitchenDoorMaterial,FixedListsDoorMaterial,2,0),0))</f>
        <v>0</v>
      </c>
      <c r="V97" s="156">
        <f>IF(OR(O97="",P97=""),"",IF(ISERROR(FIND("drawer",$A97))=FALSE,VLOOKUP(KitchenDrawerType,FixedListsDrawerType,2,0),0))</f>
        <v>1</v>
      </c>
      <c r="W97" s="156">
        <f>IF(OR(O97="",P97=""),"",IF(OR(S97&gt;0, T97&gt;0,V97&gt;0),VLOOKUP(KitchenHandleType,FixedListsHandleType,2,FALSE)*IF(KitchenHandleType="Simple",0,IF(S97&gt;0,VLOOKUP(KitchenHandleType,FixedListsHandleType,4,FALSE),IF(OR(T97&gt;0,V97&gt;0),1-VLOOKUP(KitchenHandleType,FixedListsHandleType,4,FALSE),"Error"))),0))</f>
        <v>0</v>
      </c>
      <c r="X97" s="156">
        <f t="shared" si="5"/>
        <v>1</v>
      </c>
      <c r="Y97" s="156">
        <f>IF(OR(O97="",P97=""),"",IF(OR(ISERROR(FIND("carcass",$A97))=FALSE,ISERROR(FIND("unit",$A97))=FALSE),VLOOKUP(KitchenCarcassMaterial,FixedListsCarcassMaterial,3,0),0))</f>
        <v>0</v>
      </c>
      <c r="Z97" s="156">
        <f>IF(OR(O97="",P97=""),"",IF(ISERROR(FIND("door",$A97))=FALSE,VLOOKUP(KitchenDoorStyle,FixedListsDoorStyle,3,0),0))</f>
        <v>0</v>
      </c>
      <c r="AA97" s="156">
        <f>IF(OR(O97="",P97=""),"",IF(ISERROR(FIND("door",$A97))=FALSE,VLOOKUP(KitchenDoorMaterial,FixedListsDoorMaterial,3,0),0))</f>
        <v>0</v>
      </c>
      <c r="AB97" s="156">
        <f>IF(OR(O97="",P97=""),"",IF(ISERROR(FIND("drawer",$A97))=FALSE,VLOOKUP(KitchenDrawerType,FixedListsDrawerType,3,0),0))</f>
        <v>1</v>
      </c>
      <c r="AC97" s="156">
        <f>IF(OR(O97="",P97=""),"",IF(OR(Y97&gt;0,Z97&gt;0,AB97&gt;0),VLOOKUP(KitchenHandleType,FixedListsHandleType,3,FALSE),0))</f>
        <v>1</v>
      </c>
      <c r="AD97" s="156">
        <f>IF(OR(O97="",P97=""),"",IF(OR(ISERROR(FIND("carcass",$A97))=FALSE,ISERROR(FIND("unit",$A97))=FALSE),VLOOKUP(KitchenCarcassFinish,FixedListsFinishes,3,0),IF(OR(ISERROR(FIND("door",$A97))=FALSE,ISERROR(FIND("Plinth",$A97))=FALSE,ISERROR(FIND("Cornice",$A97))=FALSE,ISERROR(FIND("Fillers",$A97))=FALSE,ISERROR(FIND("Pelmet",$A97))=FALSE,ISERROR(FIND("panel",$A97))=FALSE,ISERROR(FIND("post",$A97))=FALSE),VLOOKUP(KitchenDoorFinish,FixedListsFinishes,3,0),IF(OR(ISERROR(FIND("drawer",$A97))=FALSE,ISERROR(FIND("insert",$A97))=FALSE,ISERROR(FIND("rck",$A97))=FALSE),VLOOKUP(KitchenCarcassFinish,FixedListsFinishes,3,0),0))))</f>
        <v>1</v>
      </c>
      <c r="AE97" s="156">
        <f t="shared" si="6"/>
        <v>1</v>
      </c>
      <c r="AF97" s="157" t="str">
        <f>IF(AND(KitchenHandleType="Channel",OR(ISERROR(FIND("arcass",$A97))=FALSE,ISERROR(FIND("unit",$A97))=FALSE)),IF(ISERROR(FIND("Tower",$A97))=TRUE,IF(KitchenHandleFinish="Match carcass",IF(ISERROR(FIND("Walnut",KitchenCarcassMaterial))=FALSE,(0.035*0.075*($C97/1000))*VLOOKUP("Walnut (solid m3)",SolidData,4,FALSE),IF(ISERROR(FIND("Oak",KitchenCarcassMaterial))=FALSE,(0.035*0.075*($C97/1000))*VLOOKUP("Oak (solid m3)",SolidData,4,FALSE),IF(ISERROR(FIND("ply",KitchenCarcassMaterial))=FALSE,(0.1*($C97/1000))*VLOOKUP("Birch ply (24mm)",SheetsData,7,FALSE),IF(ISERROR(FIND("H/F",KitchenCarcassMaterial))=FALSE,(0.1*($C97/1000))*VLOOKUP("H/F (22mm)",SheetsData,7,FALSE),"Carcass - not tower - new material")))),IF(KitchenHandleFinish="Match door",IF(ISERROR(FIND("Walnut",KitchenDoorMaterial))=FALSE,(0.035*0.075*($C97/1000))*VLOOKUP("Walnut (solid m3)",SolidData,4,FALSE),IF(ISERROR(FIND("Oak",KitchenDoorMaterial))=FALSE,(0.035*0.075*($C97/1000))*VLOOKUP("Oak (solid m3)",SolidData,4,FALSE),IF(ISERROR(FIND("ply",KitchenDoorMaterial))=FALSE,(0.1*($C97/1000))*VLOOKUP("Birch ply (24mm)",SheetsData,7,FALSE),IF(ISERROR(FIND("H/F",KitchenCarcassMaterial))=FALSE,(0.1*($C97/1000))*VLOOKUP("H/F (22mm)",SheetsData,7,FALSE),"Door - not tower - new material")))),"Channel - not tower - handle set to other")),IF(ISERROR(FIND("Tower",$A97))=FALSE,IF(KitchenHandleFinish="Match carcass",IF(ISERROR(FIND("Walnut",KitchenCarcassMaterial))=FALSE,(0.035*0.075*($B97/1000))*VLOOKUP("Walnut (solid m3)",SolidData,4,FALSE),IF(ISERROR(FIND("Oak",KitchenCarcassMaterial))=FALSE,(0.035*0.075*($B97/1000))*VLOOKUP("Oak (solid m3)",SolidData,4,FALSE),IF(ISERROR(FIND("ply",KitchenCarcassMaterial))=FALSE,(0.1*($B97/1000))*VLOOKUP("Birch ply (24mm)",SheetsData,7,FALSE),IF(ISERROR(FIND("H/F",KitchenCarcassMaterial))=FALSE,(0.1*($C97/1000))*VLOOKUP("H/F (22mm)",SheetsData,7,FALSE),"Carcass - tower - new material")))),IF(KitchenHandleFinish="Match door",IF(ISERROR(FIND("Walnut",KitchenDoorMaterial))=FALSE,(0.035*0.075*($B97/1000))*VLOOKUP("Walnut (solid m3)",SolidData,4,FALSE),IF(ISERROR(FIND("Oak",KitchenDoorMaterial))=FALSE,(0.035*0.075*($B97/1000))*VLOOKUP("Oak (solid m3)",SolidData,4,FALSE),IF(ISERROR(FIND("ply",KitchenDoorMaterial))=FALSE,(0.1*($B97/1000))*VLOOKUP("Birch ply (24mm)",SheetData,7,FALSE),IF(ISERROR(FIND("H/F",KitchenCarcassMaterial))=FALSE,(0.1*($C97/1000))*VLOOKUP("H/F (22mm)",SheetsData,7,FALSE),"Door - tower - new material")))),"Channel - tower - handle set to other")))),"")</f>
        <v/>
      </c>
    </row>
    <row r="98">
      <c r="A98" s="150" t="s">
        <v>206</v>
      </c>
      <c r="B98" s="115" t="str">
        <f t="shared" si="1"/>
        <v>360</v>
      </c>
      <c r="C98" s="115" t="str">
        <f>IFERROR(__xludf.DUMMYFUNCTION("IF(A98="""","""",IF(OR(RIGHT(A98,LEN(A98)-len(regexextract(A98,"".* "")))=""1200"",RIGHT(A98,LEN(A98)-len(regexextract(A98,"".* "")))=""600"",RIGHT(A98,LEN(A98)-len(regexextract(A98,"".* "")))=""400"",RIGHT(A98,LEN(A98)-len(regexextract(A98,"".* "")))=""3"&amp;"00"",RIGHT(A98,LEN(A98)-len(regexextract(A98,"".* "")))=""700"",RIGHT(A98,LEN(A98)-len(regexextract(A98,"".* "")))=""2400"",RIGHT(A98,LEN(A98)-len(regexextract(A98,"".* "")))=""650"",RIGHT(A98,LEN(A98)-len(regexextract(A98,"".* "")))=""350"",RIGHT(A98,LEN"&amp;"(A98)-len(regexextract(A98,"".* "")))=""50""),RIGHT(A98,LEN(A98)-len(regexextract(A98,"".* ""))),IF(OR(ISERROR(FIND(""spacer"",A98))=FALSE,ISERROR(FIND(""filler panel"",A98))=FALSE),""1000"",""Unexpected size in description"")))"),"600")</f>
        <v>600</v>
      </c>
      <c r="D98" s="151" t="str">
        <f t="shared" si="2"/>
        <v/>
      </c>
      <c r="E98" s="152">
        <f>IFERROR(__xludf.DUMMYFUNCTION("IF(OR(A98="""",AND(ISERROR(FIND(""drawer box"",A98))=FALSE,KitchenDrawerType="""")),"""",IF(OR(ISERROR(FIND(""larder"",A98))=FALSE,ISERROR(FIND(""fridge/freezer"",A98))=FALSE,ISERROR(FIND(""double oven"",A98))=FALSE,ISERROR(FIND(""single oven"",A98))=FALS"&amp;"E),VLOOKUP(LEFT(A98,FIND("" "",A98))&amp;""carcass ""&amp;RIGHT(A98,LEN(A98)-(LEN(A98)-3)),KitchensData,5,0),IF(ISERROR(FIND(""sink"",A98))=FALSE,VLOOKUP(LEFT(A98,FIND("" "",A98))&amp;""carcass ""&amp;VALUE(REGEXREPLACE(A98,""[^[:digit:]]"", """")),KitchensData,5,0)+(((C"&amp;"98/1000)*(300/1000))*VLOOKUP(KitchenCarcassMaterial,SheetsData,8,0)),IF(ISERROR(FIND(""bins"",A98))=FALSE,IF(ISERROR(FIND(""veneer"",KitchenCarcassMaterial))=FALSE,VLOOKUP(""Base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600"",A98))=FALSE,IF(ISERROR(FIND(""veneer"""&amp;",KitchenCarcassMaterial))=FALSE,0.54*(VLOOKUP(LEFT(KitchenCarcassMaterial,FIND(""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1200"",A98))=FALSE,"&amp;"IF(ISERROR(FIND(""veneer"",KitchenCarcassMaterial))=FALSE,0.84*(VLOOKUP(LEFT(KitchenCarcassMaterial,FIND(""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600"",A98))=FALSE,IF(ISERROR(FIND(""veneer"",KitchenCarcassMaterial))=FALSE,1.44*(VLOOKUP(LEFT(KitchenCarcassMaterial,FIND(""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1200"",A98))=FALSE,IF(ISERROR(FIND(""veneer"",KitchenCarcassMaterial))=FALSE,2.7*(VLOOKUP(LEFT(KitchenCarcassMaterial,FIND(""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front"",A98))=FALSE,((B98/1000)*(C98/1000))*VLOOKUP(KitchenDoorMaterial,SheetsData,8,0),IF(AND(KitchenDrawerType=""Match carcass"",ISERROR(FIND(""drawer box"",A98))=FALSE),(((((B98/1000)*(C98/1000))+((B98/1000"&amp;")*(D98/1000)))*2)*VLOOKUP(KitchenCarcassMaterial,SheetsData,8,0))+(((C98/1000)*(D98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box"",A98))=FALSE),(((((B98/1000)*(C98/1000))+((B98/1000)*(D98/1000)))*2)*(16/1000)*VLOOKUP(LEFT(KitchenCarcassMaterial,FIND("" "&amp;""",KitchenCarcassMaterial))&amp;""(solid m3)"",SolidData,5,0))+(((C98/1000)*(D98/1000))*VLOOKUP(LEFT(KitchenCarcassMaterial,FIND(""("",KitchenCarcassMaterial)-1)&amp;IF(OR(ISERROR(FIND(""ply"",KitchenCarcassMaterial))=FALSE,ISERROR(FIND(""H/F"",KitchenCarcassMate"&amp;"rial))=FALSE),""(9mm)"",""(10mm)""),SheetsData,8,0)),IF(ISERROR(FIND(""spacer"",A98))=FALSE,((D98/1000)*(C98/1000))*VLOOKUP(""Poplar ply (18mm)"",SheetsData,8,0),IF(ISERROR(FIND(""filler panel"",A98))=FALSE,((B98/1000)*(C98/1000))*VLOOKUP(KitchenDoorMater"&amp;"ial,SheetsData,8,0),IF(ISERROR(FIND(""shelf"",A98))=FALSE,((D98/1000)*(C98/1000))*VLOOKUP(KitchenCarcassMaterial,SheetsData,8,0),IF(ISERROR(FIND(""lost corner"",A98))=FALSE,VLOOKUP(LEFT(A98,FIND("" "",A98))&amp;""carcass ""&amp;VALUE(REGEXREPLACE(A98,""[^[:digit:"&amp;"]]"", """")),KitchensData,5,0)+((((B98/1000)*(C98/1000))+((B98/1000)*(60/1000)))*VLOOKUP(KitchenCarcassMaterial,SheetsData,8,0)),IF(ISERROR(FIND(""carcass"",A98))=FALSE,(((((B98/1000)*2)*(D98/1000))+(((C98/1000)*2)*(D98/1000)))*VLOOKUP(KitchenCarcassMater"&amp;"ial,SheetsData,8,0))+((B98/1000)*(C98/1000))*VLOOKUP(LEFT(KitchenCarcassMaterial,FIND(""("",KitchenCarcassMaterial)-1)&amp;IF(OR(ISERROR(FIND(""ply"",KitchenCarcassMaterial))=FALSE,ISERROR(FIND(""H/F"",KitchenCarcassMaterial))=FALSE),""(9mm)"",""(10mm)""),She"&amp;"etsData,8,0),IF(OR(ISERROR(FIND(""Plinth"",A98))=FALSE,ISERROR(FIND(""Cornice (flat)"",A98))=FALSE),((B98/1000)*(C98/1000))*VLOOKUP(""H/F (18mm)"",SheetsData,8,0),IF(ISERROR(FIND(""Cornice (stacked)"",A98))=FALSE,((0.08*(C98/1000))*2)*VLOOKUP(""H/F (22mm)"&amp;""",SheetsData,8,0),IF(ISERROR(FIND(""Base end panel"",A98))=FALSE,VLOOKUP(KitchenDoorMaterial,SheetsData,5,0)/3,IF(ISERROR(FIND(""Wall end panel"",A98))=FALSE,VLOOKUP(KitchenDoorMaterial,SheetsData,5,0)/9,IF(ISERROR(FIND(""Tower end panel"",A98))=FALSE,VL"&amp;"OOKUP(KitchenDoorMaterial,SheetsData,5,0),IF(ISERROR(FIND(""Fillers"",A98))=FALSE,(((0.06*(C98/1000))*2)*VLOOKUP(""H/F (18mm)"",SheetsData,8,0))+(((0.06*(C98/1000))*2)*VLOOKUP(""H/F (9mm)"",SheetsData,8,0)),IF(ISERROR(FIND(""corner post"",A98))=FALSE,(((B"&amp;"98/1000)*0.05)*2)*VLOOKUP(KitchenDoorMaterial,SheetsData,8,0),IF(ISERROR(FIND(""Pelmet"",A98))=FALSE,((((B98/1000)*(C98/1000))*2)*VLOOKUP(""H/F (18mm)"",SheetsData,8,0)),IF(ISERROR(FIND(""door"",A98))=TRUE,""Check description"",IF(KitchenDoorStyle=""Flat"&amp;""",((B98/1000)*(C98/1000))*VLOOKUP(KitchenDoorMaterial,SheetsData,8,0),IF(LEFT(KitchenDoorStyle,5)=""Panel"",(((((B98/1000)*2)*0.08)+((((C98/1000)-0.16)*2)*0.08))*VLOOKUP(""H/F (22mm)"",SheetsData,8,0))+(((B98/1000)-0.14)*((C98/1000)-0.14)*VLOOKUP(""H/F ("&amp;"9mm)"",SheetsData,8,0)),IF(KitchenDoorStyle=""In-frame flat"",((((((B98/1000)*0.019)*0.038)+((((C98-38)/1000)*0.038)*0.038))*2)*VLOOKUP(""Tulip (solid m3)"",SolidData,5,0))+(((B98-76)/1000)*((C98-38)/1000))*VLOOKUP(""H/F (22mm)"",SheetsData,8,0),IF(LEFT(K"&amp;"itchenDoorStyle,14)=""In-frame panel"",(((((((B98/1000)*0.019)*0.038)+((((C98-38)/1000)*0.038)*0.038))*2)*VLOOKUP(""Tulip (solid m3)"",SolidData,5,0))+(((((((B98-76)/1000)*2)*0.08)+(((((C98-198)/1000)*2)*0.08)))*VLOOKUP(""H/F (22mm)"",SheetsData,8,0))+((("&amp;"B98-216)/1000)*((C98-178)/1000)*VLOOKUP(""H/F (9mm)"",SheetsData,8,0)))))))))))))))))))))))))))))))))"),3.9872346143509807)</f>
        <v>3.987234614</v>
      </c>
      <c r="F98" s="152">
        <f>IFERROR(__xludf.DUMMYFUNCTION("IF(OR(A98="""",AND(ISERROR(FIND(""drawer box"",A98))=FALSE,KitchenDrawerType=""Solid dovetail"")),"""",IF(ISERROR(FIND(""bins"",A98))=FALSE,VLOOKUP(""Base carcass 600"",KitchensData,6,0),IF(OR(ISERROR(FIND(""larder"",A98))=FALSE,ISERROR(FIND(""unit"",A98)"&amp;")=FALSE),VLOOKUP(LEFT(A98,FIND("" "",A98))&amp;""carcass ""&amp;RIGHT(A98,LEN(A98)-len(regexextract(A98,"".* ""))),KitchensData,6,0),IF(ISERROR(FIND(""drawer front"",A98))=FALSE,IF(ISERROR(FIND(""veneer"",KitchenCarcassMaterial))=TRUE,0,(((B98+C98)/1000)*2)*VLOOK"&amp;"UP(""Edge banding (per M)"",SheetsData,5,0)),IF(ISERROR(FIND(""drawer box"",A98))=FALSE,IF(ISERROR(FIND(""veneer"",KitchenCarcassMaterial))=TRUE,0,(((C98+D98)/1000)*2)*VLOOKUP(""Edge banding (per M)"",SheetsData,5,0)),IF(ISERROR(FIND(""shelf"",A98))=FALSE"&amp;",IF(ISERROR(FIND(""veneer"",KitchenCarcassMaterial))=TRUE,0,(C98/1000)*VLOOKUP(""Edge banding (per M)"",SheetsData,5,0)),IF(AND(ISERROR(FIND(""carcass"",A98))=FALSE,ISERROR(FIND(""shelf"",A98))=TRUE),IF(ISERROR(FIND(""veneer"",KitchenCarcassMaterial))=TRU"&amp;"E,0,((2*(B98+C98))/1000)*VLOOKUP(""Edge banding (per M)"",SheetsData,5,0)),IF(ISERROR(FIND(""door"",A98))=TRUE,"""",IF(ISERROR(FIND(""veneer"",KitchenDoorMaterial))=TRUE,"""",((2*(B98+C98))/1000)*VLOOKUP(""Edge banding (per M)"",SheetsData,5,0))))))))))"),0.0)</f>
        <v>0</v>
      </c>
      <c r="G98" s="153" t="str">
        <f>IF(A98="","",IF(ISERROR(FIND("bins",A98))=FALSE,VLOOKUP("Base carcass 600",KitchensData,7,0),IF(OR(ISERROR(FIND("larder",A98))=FALSE,ISERROR(FIND("fridge/freezer",A98))=FALSE,ISERROR(FIND("double oven",A98))=FALSE,ISERROR(FIND("single oven",A98))=FALSE),VLOOKUP(LEFT(A98,FIND(" ",A98))&amp;"carcass "&amp;RIGHT(A98,LEN(A98)-(LEN(A98)-3)),KitchensData,7,0),IF(AND(ISERROR(FIND("carcass",A98))=FALSE,ISERROR(FIND("shelf",A98))=TRUE),IF(OR(ISERROR(FIND("Base",A98))=FALSE,ISERROR(FIND("Tower",A98))=FALSE),IF(OR(ISERROR(FIND("1200",A98))=FALSE, ISERROR(FIND("lost corner",A98))=FALSE),6*VLOOKUP("Plinth foot (2 Parts 80mm)",FurnitureData,5,0),4*VLOOKUP("Plinth foot (2 Parts 80mm)",FurnitureData,5,0)),""),""))))</f>
        <v/>
      </c>
      <c r="H98" s="115" t="str">
        <f>IF(OR(A98="",ISERROR(FIND("door",A98))=TRUE),"",IF(ISERROR(FIND("Wall",A98))=FALSE,VLOOKUP("Hinges &amp; plates (Hettich thick door)",FurnitureData,5,0)*2,IF(ISERROR(FIND("Base",A98))=FALSE,VLOOKUP("Hinges &amp; plates (Hettich thick door)",FurnitureData,5,0)*3,IF(ISERROR(FIND("Boiler",A98))=FALSE,VLOOKUP("Hinges &amp; plates (Hettich thick door)",FurnitureData,5,0)*4,IF(ISERROR(FIND("Tower",A98))=FALSE,VLOOKUP("Hinges &amp; plates (Hettich thick door)",FurnitureData,5,0)*5)))))</f>
        <v/>
      </c>
      <c r="I98" s="115" t="str">
        <f>IF(ISERROR(FIND("shelf",A98))=FALSE,(VLOOKUP("Shelf pegs",FurnitureData,5,0)/100)*4,"")</f>
        <v/>
      </c>
      <c r="J98" s="152" t="str">
        <f>IF(OR(ISERROR(FIND("fridge/freezer",A98))=FALSE,ISERROR(FIND("larder",A98))=FALSE,AND(ISERROR(FIND("Base",A98))=FALSE,ISERROR(FIND("bins",A98))=TRUE,ISERROR(FIND("no shelves",A98))=TRUE,OR(ISERROR(FIND("carcass",A98))=FALSE,ISERROR(FIND("unit",A98))=FALSE))),VLOOKUP("Deep shelf "&amp;C98,KitchensData,18,0),IF(AND(ISERROR(FIND("Wall",A98))=FALSE,ISERROR(FIND("carcass",A98))=FALSE),2*VLOOKUP("Shallow shelf "&amp;C98,KitchensData,18,0),IF(AND(ISERROR(FIND("Tower",A98))=FALSE,ISERROR(FIND("oven",A98))=FALSE),4*VLOOKUP("Deep shelf "&amp;C98,KitchensData,18,0),IF(AND(ISERROR(FIND("Tower",A98))=FALSE,ISERROR(FIND("carcass",A98))=FALSE),5*VLOOKUP("Deep shelf "&amp;C98,KitchensData,18,0),""))))</f>
        <v/>
      </c>
      <c r="K98" s="152" t="str">
        <f>IF(ISERROR(FIND("sink",A98))=FALSE,VLOOKUP("Sink liner - Aluminium "&amp;RIGHT(A98,LEN(A98)-22)&amp;"mm",ExceptionalData,5,0),IF(ISERROR(FIND("bins",A98))=FALSE,VLOOKUP("Drawer runners and clip set for bin unit (500) Dynapro",FurnitureData,5,0)+(2*VLOOKUP("Bin (42L Anthracite)",FurnitureData,5,0)),IF(ISERROR(FIND("larder",A98))=FALSE,VLOOKUP("Pull out larder unit 600mm",FurnitureData,5,0),IF(AND(ISERROR(FIND("drawer box",A98))=FALSE,ISERROR(FIND("internal",A98))=TRUE),VLOOKUP("Drawer runners and clip set (550) Dynapro",FurnitureData,5,0),IF(ISERROR(FIND("internal drawer box",A98))=FALSE,VLOOKUP("Drawer runners and clip set (450) Dynapro",FurnitureData,5,0),"")))))</f>
        <v/>
      </c>
      <c r="L98" s="152">
        <f t="shared" si="3"/>
        <v>3.987234614</v>
      </c>
      <c r="M98" s="154">
        <f>IFERROR(__xludf.DUMMYFUNCTION("IF(A98="""","""",IF(OR(ISERROR(FIND(""larder"",A98))=FALSE,ISERROR(FIND(""unit"",A98))=FALSE),VLOOKUP(LEFT(A98,FIND("" "",A98))&amp;""carcass ""&amp;RIGHT(A98,LEN(A98)-len(regexextract(A98,"".* ""))),KitchensData,13,0),IF(ISERROR(FIND(""bins"",A98))=FALSE,0.95,IF"&amp;"(ISERROR(FIND(""Cutlery insert 600"",A98))=FALSE,1.3,IF(ISERROR(FIND(""Cutlery insert 1200"",A98))=FALSE,2,IF(ISERROR(FIND(""Pan/tray rack 600"",A98))=FALSE,3.25,IF(ISERROR(FIND(""Pan/tray rack 1200"",A98))=FALSE,5.9,IF(ISERROR(FIND(""split"",A98))=FALSE,"&amp;"(((C98/1000)*0.022)*2)+VLOOKUP(SUBSTITUTE(A98,"" split"",""""),KitchensData,13,0),IF(AND(ISERROR(FIND(""drawer front"",A98))=FALSE,KitchenDoorStyle=""Flat""),(((B98/1000)*(C98/1000))*2)+((((B98+C98)/1000)*2)*0.022),IF(AND(ISERROR(FIND(""drawer front"",A98"&amp;"))=FALSE,LEFT(KitchenDoorStyle,5)=""Panel""),(((B98/1000)*(C98/1000))*2)+((((B98+C98)/1000)*2)*0.022)+((((C98/1000)-0.16)*0.013)*2)+((((D98/1000)-0.16)*0.013)*2),IF(AND(ISERROR(FIND(""drawer front"",A98))=FALSE,KitchenDoorStyle=""In-frame flat""),((((B98-"&amp;"76)/1000)*((C98-38)/1000))*2)+(MID(KitchenDoorMaterial,FIND(""("",KitchenDoorMaterial)+1,2)/1000)*((((B98-76)+(C98-38))/1000)*2)+(((B98/1000)*0.032)*2)+((((B98-76)/1000)*0.032)*2)+(((B98/1000)*0.019)*4)+(((C98/1000)*0.032)*2)+((((C98-38)/1000)*0.032)*2)+("&amp;"((C98/1000)*0.038)*4),IF(AND(ISERROR(FIND(""drawer front"",A98))=FALSE,LEFT(KitchenDoorStyle,14)=""In-frame panel""),((((B98-76)/1000)*((C98-38)/1000))*2)+((MID(KitchenDoorMaterial,FIND(""("",KitchenDoorMaterial)+1,2)/1000)*((((B98-76)+(C98-38))/1000)*2))"&amp;"+((((B98-236)/1000)+((C98-198)/1000)*2)*0.013)+(((B98/1000)*0.032)*2)+((((B98-76)/1000)*0.032)*2)+(((B98/1000)*0.019)*4)+(((C98/1000)*0.032)*2)+((((C98-38)/1000)*0.032)*2)+(((C98/1000)*0.038)*4),IF(ISERROR(FIND(""drawer box"",A98))=FALSE,((((B98/1000)*(D9"&amp;"8/1000))+((B98/1000)*(C98/1000)))*4)+((((D98/1000)+(C98/1000))*0.016)*4)+(((C98/1000)*(D98/1000))*2),IF(OR(ISERROR(FIND(""shelf"",A98))=FALSE,ISERROR(FIND(""spacer"",A98))=FALSE,,ISERROR(FIND(""filler panel"",A98))=FALSE),(((C98/1000)*(D98/1000))*2)+((((C"&amp;"98+D98)*2)/1000)*0.022),IF(ISERROR(FIND(""lost corner"",A98))=FALSE,(((B98/1000)*(C98/1000))*2)+((B98/1000)*(C98/1000))+((B98/1000)*((C98/2)/1000))+((((B98/1000)*0.025)+((C98/1000)*0.025))*2),IF(ISERROR(FIND(""carcass"",A98))=FALSE,(((C98/1000)*(D98/1000)"&amp;")*2)+(((B98/1000)*(D98/1000))*2)+((B98/1000)*(C98/1000))+((((B98/1000)*0.025)+((C98/1000)*0.025))*2),IF(AND(ISERROR(FIND(""door"",A98))=FALSE,KitchenDoorStyle=""Flat""),(((B98/1000)*(C98/1000))*2)+(MID(KitchenDoorMaterial,FIND(""("",KitchenDoorMaterial)+1"&amp;",2)/1000)*(((B98+C98)/1000)*2),IF(AND(ISERROR(FIND(""door"",A98))=FALSE,LEFT(KitchenDoorStyle,5)=""Panel""),(((B98/1000)*(C98/1000))*2)+((MID(KitchenDoorMaterial,FIND(""("",KitchenDoorMaterial)+1,2)/1000)*(((B98+C98)/1000)*2))+(((((B98-160)+(C98-160))*2)/"&amp;"1000)*(0.013)),IF(AND(ISERROR(FIND(""door"",A98))=FALSE,KitchenDoorStyle=""In-frame flat""),((((B98-76)/1000)*((C98-38)/1000))*2)+(MID(KitchenDoorMaterial,FIND(""("",KitchenDoorMaterial)+1,2)/1000)*((((B98-76)+(C98-38))/1000)*2)+(((B98/1000)*0.032)*2)+((("&amp;"(B98-76)/1000)*0.032)*2)+(((B98/1000)*0.019)*4)+(((C98/1000)*0.032)*2)+((((C98-38)/1000)*0.032)*2)+(((C98/1000)*0.038)*4),IF(AND(ISERROR(FIND(""door"",A98))=FALSE,LEFT(KitchenDoorStyle,14)=""In-frame panel""),((((B98-76)/1000)*((C98-38)/1000))*2)+((MID(Ki"&amp;"tchenDoorMaterial,FIND(""("",KitchenDoorMaterial)+1,2)/1000)*((((B98-76)+(C98-38))/1000)*2))+((((B98-236)/1000)+((C98-198)/1000)*2)*0.013)+(((B98/1000)*0.032)*2)+((((B98-76)/1000)*0.032)*2)+(((B98/1000)*0.019)*4)+(((C98/1000)*0.032)*2)+((((C98-38)/1000)*0"&amp;".032)*2)+(((C98/1000)*0.038)*4),IF(ISERROR(FIND(""Plinth"",A98))=FALSE,((B98/1000)*(C98/1000))+(((C98/1000)*0.018)*2)+(((B98/1000)*0.018)*2),IF(ISERROR(FIND(""Cornice"",A98))=FALSE,(((C98/1000)*0.1)*2)+(((C98/1000)*0.044)*2)+(((B98/1000)*0.08)*2),IF(ISERR"&amp;"OR(FIND(""Base end panel"",A98))=FALSE,((B98/1000)*(C98/1000))+(0.022*((B98/1000)+((C98/1000)*2)))+((B98/1000)*0.05),IF(ISERROR(FIND(""Wall end panel"",A98))=FALSE,((B98/1000)*(C98/1000))+(0.022*((B98/1000)+((C98/1000)*2)))+((B98/1000)*0.05),IF(ISERROR(FI"&amp;"ND(""Tower end panel"",A98))=FALSE,((B98/1000)*(C98/1000))+(0.022*((B98/1000)+((C98/1000)*2)))+((B98/1000)*0.05),IF(ISERROR(FIND(""Fillers"",A98))=FALSE,((C98/1000)*0.06)+((C98/1000)*0.069)+((0.06*0.018)*2)+((0.06*0.009)*2)+((C98/1000)*0.009)+((C98/1000)*"&amp;"0.018),IF(ISERROR(FIND(""corner post"",A98))=FALSE,(((B98/1000*0.05)*2)+((B98/1000)*0.022)*2)+((B98/1000)*0.072)+((B98/1000)*0.05)+((0.072*0.022)*2)+((0.05*0.022)*2),IF(ISERROR(FIND(""Pelmet"",A98))=FALSE,((C98/1000)*0.05)+((C98/1000)*0.068)+((0.05*0.018)"&amp;"*4)+(((C98/1000)*0.018))*2))))))))))))))))))))))))))))"),0.47424)</f>
        <v>0.47424</v>
      </c>
      <c r="N98" s="152">
        <f>IF(M98="","",IF(AND(ISERROR(FIND("carcass",A98))=TRUE,ISERROR(FIND("unit",A98))=TRUE,ISERROR(FIND("insert",A98))=TRUE,ISERROR(FIND("rack",A98))=TRUE,ISERROR(FIND("box",A98))=TRUE,ISERROR(FIND("shelf",#REF!))=TRUE),VLOOKUP(KitchenDoorFinish,Finishing!$A$2:$K$10,9,0)*M98,VLOOKUP(KitchenCarcassFinish,Finishing!$A$2:$K$40,9,0)*M98))</f>
        <v>3.5568</v>
      </c>
      <c r="O98" s="155">
        <v>0.5</v>
      </c>
      <c r="P98" s="155">
        <v>0.5</v>
      </c>
      <c r="Q98" s="152">
        <f>IF(OR(O98="",P98=""),"",((O98*X98)*(VLOOKUP("Workshop",Labour!$A$3:$E$20,4,0)/8))+((P98*AE98)*(VLOOKUP("Finishing",Labour!$A$3:$E$20,4,0)/8)))</f>
        <v>35.875</v>
      </c>
      <c r="R98" s="152">
        <f t="shared" si="4"/>
        <v>43.41903461</v>
      </c>
      <c r="S98" s="156">
        <f>IF(OR(O98="",P98=""),"",IF(OR(ISERROR(FIND("carcass",$A98))=FALSE,ISERROR(FIND("unit",$A98))=FALSE),VLOOKUP(KitchenCarcassMaterial,FixedListsCarcassMaterial,2,0),0))</f>
        <v>0</v>
      </c>
      <c r="T98" s="156">
        <f>IF(OR(O98="",P98=""),"",IF(ISERROR(FIND("door",$A98))=FALSE,VLOOKUP(KitchenDoorStyle,FixedListsDoorStyle,2,0),0))</f>
        <v>0</v>
      </c>
      <c r="U98" s="156">
        <f>IF(OR(O98="",P98=""),"",IF(ISERROR(FIND("door",$A98))=FALSE,VLOOKUP(KitchenDoorMaterial,FixedListsDoorMaterial,2,0),0))</f>
        <v>0</v>
      </c>
      <c r="V98" s="156">
        <f>IF(OR(O98="",P98=""),"",IF(ISERROR(FIND("drawer",$A98))=FALSE,VLOOKUP(KitchenDrawerType,FixedListsDrawerType,2,0),0))</f>
        <v>1</v>
      </c>
      <c r="W98" s="156">
        <f>IF(OR(O98="",P98=""),"",IF(OR(S98&gt;0, T98&gt;0,V98&gt;0),VLOOKUP(KitchenHandleType,FixedListsHandleType,2,FALSE)*IF(KitchenHandleType="Simple",0,IF(S98&gt;0,VLOOKUP(KitchenHandleType,FixedListsHandleType,4,FALSE),IF(OR(T98&gt;0,V98&gt;0),1-VLOOKUP(KitchenHandleType,FixedListsHandleType,4,FALSE),"Error"))),0))</f>
        <v>0</v>
      </c>
      <c r="X98" s="156">
        <f t="shared" si="5"/>
        <v>1</v>
      </c>
      <c r="Y98" s="156">
        <f>IF(OR(O98="",P98=""),"",IF(OR(ISERROR(FIND("carcass",$A98))=FALSE,ISERROR(FIND("unit",$A98))=FALSE),VLOOKUP(KitchenCarcassMaterial,FixedListsCarcassMaterial,3,0),0))</f>
        <v>0</v>
      </c>
      <c r="Z98" s="156">
        <f>IF(OR(O98="",P98=""),"",IF(ISERROR(FIND("door",$A98))=FALSE,VLOOKUP(KitchenDoorStyle,FixedListsDoorStyle,3,0),0))</f>
        <v>0</v>
      </c>
      <c r="AA98" s="156">
        <f>IF(OR(O98="",P98=""),"",IF(ISERROR(FIND("door",$A98))=FALSE,VLOOKUP(KitchenDoorMaterial,FixedListsDoorMaterial,3,0),0))</f>
        <v>0</v>
      </c>
      <c r="AB98" s="156">
        <f>IF(OR(O98="",P98=""),"",IF(ISERROR(FIND("drawer",$A98))=FALSE,VLOOKUP(KitchenDrawerType,FixedListsDrawerType,3,0),0))</f>
        <v>1</v>
      </c>
      <c r="AC98" s="156">
        <f>IF(OR(O98="",P98=""),"",IF(OR(Y98&gt;0,Z98&gt;0,AB98&gt;0),VLOOKUP(KitchenHandleType,FixedListsHandleType,3,FALSE),0))</f>
        <v>1</v>
      </c>
      <c r="AD98" s="156">
        <f>IF(OR(O98="",P98=""),"",IF(OR(ISERROR(FIND("carcass",$A98))=FALSE,ISERROR(FIND("unit",$A98))=FALSE),VLOOKUP(KitchenCarcassFinish,FixedListsFinishes,3,0),IF(OR(ISERROR(FIND("door",$A98))=FALSE,ISERROR(FIND("Plinth",$A98))=FALSE,ISERROR(FIND("Cornice",$A98))=FALSE,ISERROR(FIND("Fillers",$A98))=FALSE,ISERROR(FIND("Pelmet",$A98))=FALSE,ISERROR(FIND("panel",$A98))=FALSE,ISERROR(FIND("post",$A98))=FALSE),VLOOKUP(KitchenDoorFinish,FixedListsFinishes,3,0),IF(OR(ISERROR(FIND("drawer",$A98))=FALSE,ISERROR(FIND("insert",$A98))=FALSE,ISERROR(FIND("rck",$A98))=FALSE),VLOOKUP(KitchenCarcassFinish,FixedListsFinishes,3,0),0))))</f>
        <v>1</v>
      </c>
      <c r="AE98" s="156">
        <f t="shared" si="6"/>
        <v>1</v>
      </c>
      <c r="AF98" s="157" t="str">
        <f>IF(AND(KitchenHandleType="Channel",OR(ISERROR(FIND("arcass",$A98))=FALSE,ISERROR(FIND("unit",$A98))=FALSE)),IF(ISERROR(FIND("Tower",$A98))=TRUE,IF(KitchenHandleFinish="Match carcass",IF(ISERROR(FIND("Walnut",KitchenCarcassMaterial))=FALSE,(0.035*0.075*($C98/1000))*VLOOKUP("Walnut (solid m3)",SolidData,4,FALSE),IF(ISERROR(FIND("Oak",KitchenCarcassMaterial))=FALSE,(0.035*0.075*($C98/1000))*VLOOKUP("Oak (solid m3)",SolidData,4,FALSE),IF(ISERROR(FIND("ply",KitchenCarcassMaterial))=FALSE,(0.1*($C98/1000))*VLOOKUP("Birch ply (24mm)",SheetsData,7,FALSE),IF(ISERROR(FIND("H/F",KitchenCarcassMaterial))=FALSE,(0.1*($C98/1000))*VLOOKUP("H/F (22mm)",SheetsData,7,FALSE),"Carcass - not tower - new material")))),IF(KitchenHandleFinish="Match door",IF(ISERROR(FIND("Walnut",KitchenDoorMaterial))=FALSE,(0.035*0.075*($C98/1000))*VLOOKUP("Walnut (solid m3)",SolidData,4,FALSE),IF(ISERROR(FIND("Oak",KitchenDoorMaterial))=FALSE,(0.035*0.075*($C98/1000))*VLOOKUP("Oak (solid m3)",SolidData,4,FALSE),IF(ISERROR(FIND("ply",KitchenDoorMaterial))=FALSE,(0.1*($C98/1000))*VLOOKUP("Birch ply (24mm)",SheetsData,7,FALSE),IF(ISERROR(FIND("H/F",KitchenCarcassMaterial))=FALSE,(0.1*($C98/1000))*VLOOKUP("H/F (22mm)",SheetsData,7,FALSE),"Door - not tower - new material")))),"Channel - not tower - handle set to other")),IF(ISERROR(FIND("Tower",$A98))=FALSE,IF(KitchenHandleFinish="Match carcass",IF(ISERROR(FIND("Walnut",KitchenCarcassMaterial))=FALSE,(0.035*0.075*($B98/1000))*VLOOKUP("Walnut (solid m3)",SolidData,4,FALSE),IF(ISERROR(FIND("Oak",KitchenCarcassMaterial))=FALSE,(0.035*0.075*($B98/1000))*VLOOKUP("Oak (solid m3)",SolidData,4,FALSE),IF(ISERROR(FIND("ply",KitchenCarcassMaterial))=FALSE,(0.1*($B98/1000))*VLOOKUP("Birch ply (24mm)",SheetsData,7,FALSE),IF(ISERROR(FIND("H/F",KitchenCarcassMaterial))=FALSE,(0.1*($C98/1000))*VLOOKUP("H/F (22mm)",SheetsData,7,FALSE),"Carcass - tower - new material")))),IF(KitchenHandleFinish="Match door",IF(ISERROR(FIND("Walnut",KitchenDoorMaterial))=FALSE,(0.035*0.075*($B98/1000))*VLOOKUP("Walnut (solid m3)",SolidData,4,FALSE),IF(ISERROR(FIND("Oak",KitchenDoorMaterial))=FALSE,(0.035*0.075*($B98/1000))*VLOOKUP("Oak (solid m3)",SolidData,4,FALSE),IF(ISERROR(FIND("ply",KitchenDoorMaterial))=FALSE,(0.1*($B98/1000))*VLOOKUP("Birch ply (24mm)",SheetData,7,FALSE),IF(ISERROR(FIND("H/F",KitchenCarcassMaterial))=FALSE,(0.1*($C98/1000))*VLOOKUP("H/F (22mm)",SheetsData,7,FALSE),"Door - tower - new material")))),"Channel - tower - handle set to other")))),"")</f>
        <v/>
      </c>
    </row>
    <row r="99">
      <c r="A99" s="150" t="s">
        <v>207</v>
      </c>
      <c r="B99" s="115" t="str">
        <f t="shared" si="1"/>
        <v>360</v>
      </c>
      <c r="C99" s="115" t="str">
        <f>IFERROR(__xludf.DUMMYFUNCTION("IF(A99="""","""",IF(OR(RIGHT(A99,LEN(A99)-len(regexextract(A99,"".* "")))=""1200"",RIGHT(A99,LEN(A99)-len(regexextract(A99,"".* "")))=""600"",RIGHT(A99,LEN(A99)-len(regexextract(A99,"".* "")))=""400"",RIGHT(A99,LEN(A99)-len(regexextract(A99,"".* "")))=""3"&amp;"00"",RIGHT(A99,LEN(A99)-len(regexextract(A99,"".* "")))=""700"",RIGHT(A99,LEN(A99)-len(regexextract(A99,"".* "")))=""2400"",RIGHT(A99,LEN(A99)-len(regexextract(A99,"".* "")))=""650"",RIGHT(A99,LEN(A99)-len(regexextract(A99,"".* "")))=""350"",RIGHT(A99,LEN"&amp;"(A99)-len(regexextract(A99,"".* "")))=""50""),RIGHT(A99,LEN(A99)-len(regexextract(A99,"".* ""))),IF(OR(ISERROR(FIND(""spacer"",A99))=FALSE,ISERROR(FIND(""filler panel"",A99))=FALSE),""1000"",""Unexpected size in description"")))"),"1200")</f>
        <v>1200</v>
      </c>
      <c r="D99" s="151" t="str">
        <f t="shared" si="2"/>
        <v/>
      </c>
      <c r="E99" s="152">
        <f>IFERROR(__xludf.DUMMYFUNCTION("IF(OR(A99="""",AND(ISERROR(FIND(""drawer box"",A99))=FALSE,KitchenDrawerType="""")),"""",IF(OR(ISERROR(FIND(""larder"",A99))=FALSE,ISERROR(FIND(""fridge/freezer"",A99))=FALSE,ISERROR(FIND(""double oven"",A99))=FALSE,ISERROR(FIND(""single oven"",A99))=FALS"&amp;"E),VLOOKUP(LEFT(A99,FIND("" "",A99))&amp;""carcass ""&amp;RIGHT(A99,LEN(A99)-(LEN(A99)-3)),KitchensData,5,0),IF(ISERROR(FIND(""sink"",A99))=FALSE,VLOOKUP(LEFT(A99,FIND("" "",A99))&amp;""carcass ""&amp;VALUE(REGEXREPLACE(A99,""[^[:digit:]]"", """")),KitchensData,5,0)+(((C"&amp;"99/1000)*(300/1000))*VLOOKUP(KitchenCarcassMaterial,SheetsData,8,0)),IF(ISERROR(FIND(""bins"",A99))=FALSE,IF(ISERROR(FIND(""veneer"",KitchenCarcassMaterial))=FALSE,VLOOKUP(""Base carcass 600"",KitchensData,5,0)+(0.72*(VLOOKUP(LEFT(KitchenCarcassMaterial,F"&amp;"IND("" "",KitchenCarcassMaterial)-1)&amp;"" (solid m3)"",SolidData,5,0)*0.016)),VLOOKUP(""Base carcass 600"",KitchensData,5,0)+(0.72*VLOOKUP(KitchenCarcassMaterial,SheetsData,8,0))),IF(ISERROR(FIND(""Cutlery insert 600"",A99))=FALSE,IF(ISERROR(FIND(""veneer"""&amp;",KitchenCarcassMaterial))=FALSE,0.54*(VLOOKUP(LEFT(KitchenCarcassMaterial,FIND("" "",KitchenCarcassMaterial)-1)&amp;"" (solid m3)"",SolidData,5,0)*0.016),0.54*VLOOKUP(KitchenCarcassMaterial,SheetsData,8,0)),IF(ISERROR(FIND(""Cutlery insert 1200"",A99))=FALSE,"&amp;"IF(ISERROR(FIND(""veneer"",KitchenCarcassMaterial))=FALSE,0.84*(VLOOKUP(LEFT(KitchenCarcassMaterial,FIND("" "",KitchenCarcassMaterial)-1)&amp;"" (solid m3)"",SolidData,5,0)*0.016),0.84*VLOOKUP(KitchenCarcassMaterial,SheetsData,8,0)),IF(ISERROR(FIND(""Pan/tray"&amp;" rack 600"",A99))=FALSE,IF(ISERROR(FIND(""veneer"",KitchenCarcassMaterial))=FALSE,1.44*(VLOOKUP(LEFT(KitchenCarcassMaterial,FIND("" "",KitchenCarcassMaterial)-1)&amp;"" (solid m3)"",SolidData,5,0)*0.016),1.44*VLOOKUP(KitchenCarcassMaterial,SheetsData,8,0)),IF"&amp;"(ISERROR(FIND(""Pan/tray rack 1200"",A99))=FALSE,IF(ISERROR(FIND(""veneer"",KitchenCarcassMaterial))=FALSE,2.7*(VLOOKUP(LEFT(KitchenCarcassMaterial,FIND("" "",KitchenCarcassMaterial)-1)&amp;"" (solid m3)"",SolidData,5,0)*0.016),2.7*VLOOKUP(KitchenCarcassMater"&amp;"ial,SheetsData,8,0)),IF(ISERROR(FIND(""drawer front"",A99))=FALSE,((B99/1000)*(C99/1000))*VLOOKUP(KitchenDoorMaterial,SheetsData,8,0),IF(AND(KitchenDrawerType=""Match carcass"",ISERROR(FIND(""drawer box"",A99))=FALSE),(((((B99/1000)*(C99/1000))+((B99/1000"&amp;")*(D99/1000)))*2)*VLOOKUP(KitchenCarcassMaterial,SheetsData,8,0))+(((C99/1000)*(D99/1000))*VLOOKUP(LEFT(KitchenCarcassMaterial,FIND(""("",KitchenCarcassMaterial)-1)&amp;IF(OR(ISERROR(FIND(""ply"",KitchenCarcassMaterial))=FALSE,ISERROR(FIND(""H/F"",KitchenCarc"&amp;"assMaterial))=FALSE),""(9mm)"",""(10mm)""),SheetsData,8,0)),IF(AND(KitchenDrawerType=""Solid dovetail"",ISERROR(FIND(""drawer box"",A99))=FALSE),(((((B99/1000)*(C99/1000))+((B99/1000)*(D99/1000)))*2)*(16/1000)*VLOOKUP(LEFT(KitchenCarcassMaterial,FIND("" "&amp;""",KitchenCarcassMaterial))&amp;""(solid m3)"",SolidData,5,0))+(((C99/1000)*(D99/1000))*VLOOKUP(LEFT(KitchenCarcassMaterial,FIND(""("",KitchenCarcassMaterial)-1)&amp;IF(OR(ISERROR(FIND(""ply"",KitchenCarcassMaterial))=FALSE,ISERROR(FIND(""H/F"",KitchenCarcassMate"&amp;"rial))=FALSE),""(9mm)"",""(10mm)""),SheetsData,8,0)),IF(ISERROR(FIND(""spacer"",A99))=FALSE,((D99/1000)*(C99/1000))*VLOOKUP(""Poplar ply (18mm)"",SheetsData,8,0),IF(ISERROR(FIND(""filler panel"",A99))=FALSE,((B99/1000)*(C99/1000))*VLOOKUP(KitchenDoorMater"&amp;"ial,SheetsData,8,0),IF(ISERROR(FIND(""shelf"",A99))=FALSE,((D99/1000)*(C99/1000))*VLOOKUP(KitchenCarcassMaterial,SheetsData,8,0),IF(ISERROR(FIND(""lost corner"",A99))=FALSE,VLOOKUP(LEFT(A99,FIND("" "",A99))&amp;""carcass ""&amp;VALUE(REGEXREPLACE(A99,""[^[:digit:"&amp;"]]"", """")),KitchensData,5,0)+((((B99/1000)*(C99/1000))+((B99/1000)*(60/1000)))*VLOOKUP(KitchenCarcassMaterial,SheetsData,8,0)),IF(ISERROR(FIND(""carcass"",A99))=FALSE,(((((B99/1000)*2)*(D99/1000))+(((C99/1000)*2)*(D99/1000)))*VLOOKUP(KitchenCarcassMater"&amp;"ial,SheetsData,8,0))+((B99/1000)*(C99/1000))*VLOOKUP(LEFT(KitchenCarcassMaterial,FIND(""("",KitchenCarcassMaterial)-1)&amp;IF(OR(ISERROR(FIND(""ply"",KitchenCarcassMaterial))=FALSE,ISERROR(FIND(""H/F"",KitchenCarcassMaterial))=FALSE),""(9mm)"",""(10mm)""),She"&amp;"etsData,8,0),IF(OR(ISERROR(FIND(""Plinth"",A99))=FALSE,ISERROR(FIND(""Cornice (flat)"",A99))=FALSE),((B99/1000)*(C99/1000))*VLOOKUP(""H/F (18mm)"",SheetsData,8,0),IF(ISERROR(FIND(""Cornice (stacked)"",A99))=FALSE,((0.08*(C99/1000))*2)*VLOOKUP(""H/F (22mm)"&amp;""",SheetsData,8,0),IF(ISERROR(FIND(""Base end panel"",A99))=FALSE,VLOOKUP(KitchenDoorMaterial,SheetsData,5,0)/3,IF(ISERROR(FIND(""Wall end panel"",A99))=FALSE,VLOOKUP(KitchenDoorMaterial,SheetsData,5,0)/9,IF(ISERROR(FIND(""Tower end panel"",A99))=FALSE,VL"&amp;"OOKUP(KitchenDoorMaterial,SheetsData,5,0),IF(ISERROR(FIND(""Fillers"",A99))=FALSE,(((0.06*(C99/1000))*2)*VLOOKUP(""H/F (18mm)"",SheetsData,8,0))+(((0.06*(C99/1000))*2)*VLOOKUP(""H/F (9mm)"",SheetsData,8,0)),IF(ISERROR(FIND(""corner post"",A99))=FALSE,(((B"&amp;"99/1000)*0.05)*2)*VLOOKUP(KitchenDoorMaterial,SheetsData,8,0),IF(ISERROR(FIND(""Pelmet"",A99))=FALSE,((((B99/1000)*(C99/1000))*2)*VLOOKUP(""H/F (18mm)"",SheetsData,8,0)),IF(ISERROR(FIND(""door"",A99))=TRUE,""Check description"",IF(KitchenDoorStyle=""Flat"&amp;""",((B99/1000)*(C99/1000))*VLOOKUP(KitchenDoorMaterial,SheetsData,8,0),IF(LEFT(KitchenDoorStyle,5)=""Panel"",(((((B99/1000)*2)*0.08)+((((C99/1000)-0.16)*2)*0.08))*VLOOKUP(""H/F (22mm)"",SheetsData,8,0))+(((B99/1000)-0.14)*((C99/1000)-0.14)*VLOOKUP(""H/F ("&amp;"9mm)"",SheetsData,8,0)),IF(KitchenDoorStyle=""In-frame flat"",((((((B99/1000)*0.019)*0.038)+((((C99-38)/1000)*0.038)*0.038))*2)*VLOOKUP(""Tulip (solid m3)"",SolidData,5,0))+(((B99-76)/1000)*((C99-38)/1000))*VLOOKUP(""H/F (22mm)"",SheetsData,8,0),IF(LEFT(K"&amp;"itchenDoorStyle,14)=""In-frame panel"",(((((((B99/1000)*0.019)*0.038)+((((C99-38)/1000)*0.038)*0.038))*2)*VLOOKUP(""Tulip (solid m3)"",SolidData,5,0))+(((((((B99-76)/1000)*2)*0.08)+(((((C99-198)/1000)*2)*0.08)))*VLOOKUP(""H/F (22mm)"",SheetsData,8,0))+((("&amp;"B99-216)/1000)*((C99-178)/1000)*VLOOKUP(""H/F (9mm)"",SheetsData,8,0)))))))))))))))))))))))))))))))))"),7.974469228701961)</f>
        <v>7.974469229</v>
      </c>
      <c r="F99" s="152">
        <f>IFERROR(__xludf.DUMMYFUNCTION("IF(OR(A99="""",AND(ISERROR(FIND(""drawer box"",A99))=FALSE,KitchenDrawerType=""Solid dovetail"")),"""",IF(ISERROR(FIND(""bins"",A99))=FALSE,VLOOKUP(""Base carcass 600"",KitchensData,6,0),IF(OR(ISERROR(FIND(""larder"",A99))=FALSE,ISERROR(FIND(""unit"",A99)"&amp;")=FALSE),VLOOKUP(LEFT(A99,FIND("" "",A99))&amp;""carcass ""&amp;RIGHT(A99,LEN(A99)-len(regexextract(A99,"".* ""))),KitchensData,6,0),IF(ISERROR(FIND(""drawer front"",A99))=FALSE,IF(ISERROR(FIND(""veneer"",KitchenCarcassMaterial))=TRUE,0,(((B99+C99)/1000)*2)*VLOOK"&amp;"UP(""Edge banding (per M)"",SheetsData,5,0)),IF(ISERROR(FIND(""drawer box"",A99))=FALSE,IF(ISERROR(FIND(""veneer"",KitchenCarcassMaterial))=TRUE,0,(((C99+D99)/1000)*2)*VLOOKUP(""Edge banding (per M)"",SheetsData,5,0)),IF(ISERROR(FIND(""shelf"",A99))=FALSE"&amp;",IF(ISERROR(FIND(""veneer"",KitchenCarcassMaterial))=TRUE,0,(C99/1000)*VLOOKUP(""Edge banding (per M)"",SheetsData,5,0)),IF(AND(ISERROR(FIND(""carcass"",A99))=FALSE,ISERROR(FIND(""shelf"",A99))=TRUE),IF(ISERROR(FIND(""veneer"",KitchenCarcassMaterial))=TRU"&amp;"E,0,((2*(B99+C99))/1000)*VLOOKUP(""Edge banding (per M)"",SheetsData,5,0)),IF(ISERROR(FIND(""door"",A99))=TRUE,"""",IF(ISERROR(FIND(""veneer"",KitchenDoorMaterial))=TRUE,"""",((2*(B99+C99))/1000)*VLOOKUP(""Edge banding (per M)"",SheetsData,5,0))))))))))"),0.0)</f>
        <v>0</v>
      </c>
      <c r="G99" s="153" t="str">
        <f>IF(A99="","",IF(ISERROR(FIND("bins",A99))=FALSE,VLOOKUP("Base carcass 600",KitchensData,7,0),IF(OR(ISERROR(FIND("larder",A99))=FALSE,ISERROR(FIND("fridge/freezer",A99))=FALSE,ISERROR(FIND("double oven",A99))=FALSE,ISERROR(FIND("single oven",A99))=FALSE),VLOOKUP(LEFT(A99,FIND(" ",A99))&amp;"carcass "&amp;RIGHT(A99,LEN(A99)-(LEN(A99)-3)),KitchensData,7,0),IF(AND(ISERROR(FIND("carcass",A99))=FALSE,ISERROR(FIND("shelf",A99))=TRUE),IF(OR(ISERROR(FIND("Base",A99))=FALSE,ISERROR(FIND("Tower",A99))=FALSE),IF(OR(ISERROR(FIND("1200",A99))=FALSE, ISERROR(FIND("lost corner",A99))=FALSE),6*VLOOKUP("Plinth foot (2 Parts 80mm)",FurnitureData,5,0),4*VLOOKUP("Plinth foot (2 Parts 80mm)",FurnitureData,5,0)),""),""))))</f>
        <v/>
      </c>
      <c r="H99" s="115" t="str">
        <f>IF(OR(A99="",ISERROR(FIND("door",A99))=TRUE),"",IF(ISERROR(FIND("Wall",A99))=FALSE,VLOOKUP("Hinges &amp; plates (Hettich thick door)",FurnitureData,5,0)*2,IF(ISERROR(FIND("Base",A99))=FALSE,VLOOKUP("Hinges &amp; plates (Hettich thick door)",FurnitureData,5,0)*3,IF(ISERROR(FIND("Boiler",A99))=FALSE,VLOOKUP("Hinges &amp; plates (Hettich thick door)",FurnitureData,5,0)*4,IF(ISERROR(FIND("Tower",A99))=FALSE,VLOOKUP("Hinges &amp; plates (Hettich thick door)",FurnitureData,5,0)*5)))))</f>
        <v/>
      </c>
      <c r="I99" s="115" t="str">
        <f>IF(ISERROR(FIND("shelf",A99))=FALSE,(VLOOKUP("Shelf pegs",FurnitureData,5,0)/100)*4,"")</f>
        <v/>
      </c>
      <c r="J99" s="152" t="str">
        <f>IF(OR(ISERROR(FIND("fridge/freezer",A99))=FALSE,ISERROR(FIND("larder",A99))=FALSE,AND(ISERROR(FIND("Base",A99))=FALSE,ISERROR(FIND("bins",A99))=TRUE,ISERROR(FIND("no shelves",A99))=TRUE,OR(ISERROR(FIND("carcass",A99))=FALSE,ISERROR(FIND("unit",A99))=FALSE))),VLOOKUP("Deep shelf "&amp;C99,KitchensData,18,0),IF(AND(ISERROR(FIND("Wall",A99))=FALSE,ISERROR(FIND("carcass",A99))=FALSE),2*VLOOKUP("Shallow shelf "&amp;C99,KitchensData,18,0),IF(AND(ISERROR(FIND("Tower",A99))=FALSE,ISERROR(FIND("oven",A99))=FALSE),4*VLOOKUP("Deep shelf "&amp;C99,KitchensData,18,0),IF(AND(ISERROR(FIND("Tower",A99))=FALSE,ISERROR(FIND("carcass",A99))=FALSE),5*VLOOKUP("Deep shelf "&amp;C99,KitchensData,18,0),""))))</f>
        <v/>
      </c>
      <c r="K99" s="152" t="str">
        <f>IF(ISERROR(FIND("sink",A99))=FALSE,VLOOKUP("Sink liner - Aluminium "&amp;RIGHT(A99,LEN(A99)-22)&amp;"mm",ExceptionalData,5,0),IF(ISERROR(FIND("bins",A99))=FALSE,VLOOKUP("Drawer runners and clip set for bin unit (500) Dynapro",FurnitureData,5,0)+(2*VLOOKUP("Bin (42L Anthracite)",FurnitureData,5,0)),IF(ISERROR(FIND("larder",A99))=FALSE,VLOOKUP("Pull out larder unit 600mm",FurnitureData,5,0),IF(AND(ISERROR(FIND("drawer box",A99))=FALSE,ISERROR(FIND("internal",A99))=TRUE),VLOOKUP("Drawer runners and clip set (550) Dynapro",FurnitureData,5,0),IF(ISERROR(FIND("internal drawer box",A99))=FALSE,VLOOKUP("Drawer runners and clip set (450) Dynapro",FurnitureData,5,0),"")))))</f>
        <v/>
      </c>
      <c r="L99" s="152">
        <f t="shared" si="3"/>
        <v>7.974469229</v>
      </c>
      <c r="M99" s="154">
        <f>IFERROR(__xludf.DUMMYFUNCTION("IF(A99="""","""",IF(OR(ISERROR(FIND(""larder"",A99))=FALSE,ISERROR(FIND(""unit"",A99))=FALSE),VLOOKUP(LEFT(A99,FIND("" "",A99))&amp;""carcass ""&amp;RIGHT(A99,LEN(A99)-len(regexextract(A99,"".* ""))),KitchensData,13,0),IF(ISERROR(FIND(""bins"",A99))=FALSE,0.95,IF"&amp;"(ISERROR(FIND(""Cutlery insert 600"",A99))=FALSE,1.3,IF(ISERROR(FIND(""Cutlery insert 1200"",A99))=FALSE,2,IF(ISERROR(FIND(""Pan/tray rack 600"",A99))=FALSE,3.25,IF(ISERROR(FIND(""Pan/tray rack 1200"",A99))=FALSE,5.9,IF(ISERROR(FIND(""split"",A99))=FALSE,"&amp;"(((C99/1000)*0.022)*2)+VLOOKUP(SUBSTITUTE(A99,"" split"",""""),KitchensData,13,0),IF(AND(ISERROR(FIND(""drawer front"",A99))=FALSE,KitchenDoorStyle=""Flat""),(((B99/1000)*(C99/1000))*2)+((((B99+C99)/1000)*2)*0.022),IF(AND(ISERROR(FIND(""drawer front"",A99"&amp;"))=FALSE,LEFT(KitchenDoorStyle,5)=""Panel""),(((B99/1000)*(C99/1000))*2)+((((B99+C99)/1000)*2)*0.022)+((((C99/1000)-0.16)*0.013)*2)+((((D99/1000)-0.16)*0.013)*2),IF(AND(ISERROR(FIND(""drawer front"",A99))=FALSE,KitchenDoorStyle=""In-frame flat""),((((B99-"&amp;"76)/1000)*((C99-38)/1000))*2)+(MID(KitchenDoorMaterial,FIND(""("",KitchenDoorMaterial)+1,2)/1000)*((((B99-76)+(C99-38))/1000)*2)+(((B99/1000)*0.032)*2)+((((B99-76)/1000)*0.032)*2)+(((B99/1000)*0.019)*4)+(((C99/1000)*0.032)*2)+((((C99-38)/1000)*0.032)*2)+("&amp;"((C99/1000)*0.038)*4),IF(AND(ISERROR(FIND(""drawer front"",A99))=FALSE,LEFT(KitchenDoorStyle,14)=""In-frame panel""),((((B99-76)/1000)*((C99-38)/1000))*2)+((MID(KitchenDoorMaterial,FIND(""("",KitchenDoorMaterial)+1,2)/1000)*((((B99-76)+(C99-38))/1000)*2))"&amp;"+((((B99-236)/1000)+((C99-198)/1000)*2)*0.013)+(((B99/1000)*0.032)*2)+((((B99-76)/1000)*0.032)*2)+(((B99/1000)*0.019)*4)+(((C99/1000)*0.032)*2)+((((C99-38)/1000)*0.032)*2)+(((C99/1000)*0.038)*4),IF(ISERROR(FIND(""drawer box"",A99))=FALSE,((((B99/1000)*(D9"&amp;"9/1000))+((B99/1000)*(C99/1000)))*4)+((((D99/1000)+(C99/1000))*0.016)*4)+(((C99/1000)*(D99/1000))*2),IF(OR(ISERROR(FIND(""shelf"",A99))=FALSE,ISERROR(FIND(""spacer"",A99))=FALSE,,ISERROR(FIND(""filler panel"",A99))=FALSE),(((C99/1000)*(D99/1000))*2)+((((C"&amp;"99+D99)*2)/1000)*0.022),IF(ISERROR(FIND(""lost corner"",A99))=FALSE,(((B99/1000)*(C99/1000))*2)+((B99/1000)*(C99/1000))+((B99/1000)*((C99/2)/1000))+((((B99/1000)*0.025)+((C99/1000)*0.025))*2),IF(ISERROR(FIND(""carcass"",A99))=FALSE,(((C99/1000)*(D99/1000)"&amp;")*2)+(((B99/1000)*(D99/1000))*2)+((B99/1000)*(C99/1000))+((((B99/1000)*0.025)+((C99/1000)*0.025))*2),IF(AND(ISERROR(FIND(""door"",A99))=FALSE,KitchenDoorStyle=""Flat""),(((B99/1000)*(C99/1000))*2)+(MID(KitchenDoorMaterial,FIND(""("",KitchenDoorMaterial)+1"&amp;",2)/1000)*(((B99+C99)/1000)*2),IF(AND(ISERROR(FIND(""door"",A99))=FALSE,LEFT(KitchenDoorStyle,5)=""Panel""),(((B99/1000)*(C99/1000))*2)+((MID(KitchenDoorMaterial,FIND(""("",KitchenDoorMaterial)+1,2)/1000)*(((B99+C99)/1000)*2))+(((((B99-160)+(C99-160))*2)/"&amp;"1000)*(0.013)),IF(AND(ISERROR(FIND(""door"",A99))=FALSE,KitchenDoorStyle=""In-frame flat""),((((B99-76)/1000)*((C99-38)/1000))*2)+(MID(KitchenDoorMaterial,FIND(""("",KitchenDoorMaterial)+1,2)/1000)*((((B99-76)+(C99-38))/1000)*2)+(((B99/1000)*0.032)*2)+((("&amp;"(B99-76)/1000)*0.032)*2)+(((B99/1000)*0.019)*4)+(((C99/1000)*0.032)*2)+((((C99-38)/1000)*0.032)*2)+(((C99/1000)*0.038)*4),IF(AND(ISERROR(FIND(""door"",A99))=FALSE,LEFT(KitchenDoorStyle,14)=""In-frame panel""),((((B99-76)/1000)*((C99-38)/1000))*2)+((MID(Ki"&amp;"tchenDoorMaterial,FIND(""("",KitchenDoorMaterial)+1,2)/1000)*((((B99-76)+(C99-38))/1000)*2))+((((B99-236)/1000)+((C99-198)/1000)*2)*0.013)+(((B99/1000)*0.032)*2)+((((B99-76)/1000)*0.032)*2)+(((B99/1000)*0.019)*4)+(((C99/1000)*0.032)*2)+((((C99-38)/1000)*0"&amp;".032)*2)+(((C99/1000)*0.038)*4),IF(ISERROR(FIND(""Plinth"",A99))=FALSE,((B99/1000)*(C99/1000))+(((C99/1000)*0.018)*2)+(((B99/1000)*0.018)*2),IF(ISERROR(FIND(""Cornice"",A99))=FALSE,(((C99/1000)*0.1)*2)+(((C99/1000)*0.044)*2)+(((B99/1000)*0.08)*2),IF(ISERR"&amp;"OR(FIND(""Base end panel"",A99))=FALSE,((B99/1000)*(C99/1000))+(0.022*((B99/1000)+((C99/1000)*2)))+((B99/1000)*0.05),IF(ISERROR(FIND(""Wall end panel"",A99))=FALSE,((B99/1000)*(C99/1000))+(0.022*((B99/1000)+((C99/1000)*2)))+((B99/1000)*0.05),IF(ISERROR(FI"&amp;"ND(""Tower end panel"",A99))=FALSE,((B99/1000)*(C99/1000))+(0.022*((B99/1000)+((C99/1000)*2)))+((B99/1000)*0.05),IF(ISERROR(FIND(""Fillers"",A99))=FALSE,((C99/1000)*0.06)+((C99/1000)*0.069)+((0.06*0.018)*2)+((0.06*0.009)*2)+((C99/1000)*0.009)+((C99/1000)*"&amp;"0.018),IF(ISERROR(FIND(""corner post"",A99))=FALSE,(((B99/1000*0.05)*2)+((B99/1000)*0.022)*2)+((B99/1000)*0.072)+((B99/1000)*0.05)+((0.072*0.022)*2)+((0.05*0.022)*2),IF(ISERROR(FIND(""Pelmet"",A99))=FALSE,((C99/1000)*0.05)+((C99/1000)*0.068)+((0.05*0.018)"&amp;"*4)+(((C99/1000)*0.018))*2))))))))))))))))))))))))))))"),0.93264)</f>
        <v>0.93264</v>
      </c>
      <c r="N99" s="152">
        <f>IF(M99="","",IF(AND(ISERROR(FIND("carcass",A99))=TRUE,ISERROR(FIND("unit",A99))=TRUE,ISERROR(FIND("insert",A99))=TRUE,ISERROR(FIND("rack",A99))=TRUE,ISERROR(FIND("box",A99))=TRUE,ISERROR(FIND("shelf",#REF!))=TRUE),VLOOKUP(KitchenDoorFinish,Finishing!$A$2:$K$10,9,0)*M99,VLOOKUP(KitchenCarcassFinish,Finishing!$A$2:$K$40,9,0)*M99))</f>
        <v>6.9948</v>
      </c>
      <c r="O99" s="155">
        <v>0.5</v>
      </c>
      <c r="P99" s="155">
        <v>0.5</v>
      </c>
      <c r="Q99" s="152">
        <f>IF(OR(O99="",P99=""),"",((O99*X99)*(VLOOKUP("Workshop",Labour!$A$3:$E$20,4,0)/8))+((P99*AE99)*(VLOOKUP("Finishing",Labour!$A$3:$E$20,4,0)/8)))</f>
        <v>35.875</v>
      </c>
      <c r="R99" s="152">
        <f t="shared" si="4"/>
        <v>50.84426923</v>
      </c>
      <c r="S99" s="156">
        <f>IF(OR(O99="",P99=""),"",IF(OR(ISERROR(FIND("carcass",$A99))=FALSE,ISERROR(FIND("unit",$A99))=FALSE),VLOOKUP(KitchenCarcassMaterial,FixedListsCarcassMaterial,2,0),0))</f>
        <v>0</v>
      </c>
      <c r="T99" s="156">
        <f>IF(OR(O99="",P99=""),"",IF(ISERROR(FIND("door",$A99))=FALSE,VLOOKUP(KitchenDoorStyle,FixedListsDoorStyle,2,0),0))</f>
        <v>0</v>
      </c>
      <c r="U99" s="156">
        <f>IF(OR(O99="",P99=""),"",IF(ISERROR(FIND("door",$A99))=FALSE,VLOOKUP(KitchenDoorMaterial,FixedListsDoorMaterial,2,0),0))</f>
        <v>0</v>
      </c>
      <c r="V99" s="156">
        <f>IF(OR(O99="",P99=""),"",IF(ISERROR(FIND("drawer",$A99))=FALSE,VLOOKUP(KitchenDrawerType,FixedListsDrawerType,2,0),0))</f>
        <v>1</v>
      </c>
      <c r="W99" s="156">
        <f>IF(OR(O99="",P99=""),"",IF(OR(S99&gt;0, T99&gt;0,V99&gt;0),VLOOKUP(KitchenHandleType,FixedListsHandleType,2,FALSE)*IF(KitchenHandleType="Simple",0,IF(S99&gt;0,VLOOKUP(KitchenHandleType,FixedListsHandleType,4,FALSE),IF(OR(T99&gt;0,V99&gt;0),1-VLOOKUP(KitchenHandleType,FixedListsHandleType,4,FALSE),"Error"))),0))</f>
        <v>0</v>
      </c>
      <c r="X99" s="156">
        <f t="shared" si="5"/>
        <v>1</v>
      </c>
      <c r="Y99" s="156">
        <f>IF(OR(O99="",P99=""),"",IF(OR(ISERROR(FIND("carcass",$A99))=FALSE,ISERROR(FIND("unit",$A99))=FALSE),VLOOKUP(KitchenCarcassMaterial,FixedListsCarcassMaterial,3,0),0))</f>
        <v>0</v>
      </c>
      <c r="Z99" s="156">
        <f>IF(OR(O99="",P99=""),"",IF(ISERROR(FIND("door",$A99))=FALSE,VLOOKUP(KitchenDoorStyle,FixedListsDoorStyle,3,0),0))</f>
        <v>0</v>
      </c>
      <c r="AA99" s="156">
        <f>IF(OR(O99="",P99=""),"",IF(ISERROR(FIND("door",$A99))=FALSE,VLOOKUP(KitchenDoorMaterial,FixedListsDoorMaterial,3,0),0))</f>
        <v>0</v>
      </c>
      <c r="AB99" s="156">
        <f>IF(OR(O99="",P99=""),"",IF(ISERROR(FIND("drawer",$A99))=FALSE,VLOOKUP(KitchenDrawerType,FixedListsDrawerType,3,0),0))</f>
        <v>1</v>
      </c>
      <c r="AC99" s="156">
        <f>IF(OR(O99="",P99=""),"",IF(OR(Y99&gt;0,Z99&gt;0,AB99&gt;0),VLOOKUP(KitchenHandleType,FixedListsHandleType,3,FALSE),0))</f>
        <v>1</v>
      </c>
      <c r="AD99" s="156">
        <f>IF(OR(O99="",P99=""),"",IF(OR(ISERROR(FIND("carcass",$A99))=FALSE,ISERROR(FIND("unit",$A99))=FALSE),VLOOKUP(KitchenCarcassFinish,FixedListsFinishes,3,0),IF(OR(ISERROR(FIND("door",$A99))=FALSE,ISERROR(FIND("Plinth",$A99))=FALSE,ISERROR(FIND("Cornice",$A99))=FALSE,ISERROR(FIND("Fillers",$A99))=FALSE,ISERROR(FIND("Pelmet",$A99))=FALSE,ISERROR(FIND("panel",$A99))=FALSE,ISERROR(FIND("post",$A99))=FALSE),VLOOKUP(KitchenDoorFinish,FixedListsFinishes,3,0),IF(OR(ISERROR(FIND("drawer",$A99))=FALSE,ISERROR(FIND("insert",$A99))=FALSE,ISERROR(FIND("rck",$A99))=FALSE),VLOOKUP(KitchenCarcassFinish,FixedListsFinishes,3,0),0))))</f>
        <v>1</v>
      </c>
      <c r="AE99" s="156">
        <f t="shared" si="6"/>
        <v>1</v>
      </c>
      <c r="AF99" s="157" t="str">
        <f>IF(AND(KitchenHandleType="Channel",OR(ISERROR(FIND("arcass",$A99))=FALSE,ISERROR(FIND("unit",$A99))=FALSE)),IF(ISERROR(FIND("Tower",$A99))=TRUE,IF(KitchenHandleFinish="Match carcass",IF(ISERROR(FIND("Walnut",KitchenCarcassMaterial))=FALSE,(0.035*0.075*($C99/1000))*VLOOKUP("Walnut (solid m3)",SolidData,4,FALSE),IF(ISERROR(FIND("Oak",KitchenCarcassMaterial))=FALSE,(0.035*0.075*($C99/1000))*VLOOKUP("Oak (solid m3)",SolidData,4,FALSE),IF(ISERROR(FIND("ply",KitchenCarcassMaterial))=FALSE,(0.1*($C99/1000))*VLOOKUP("Birch ply (24mm)",SheetsData,7,FALSE),IF(ISERROR(FIND("H/F",KitchenCarcassMaterial))=FALSE,(0.1*($C99/1000))*VLOOKUP("H/F (22mm)",SheetsData,7,FALSE),"Carcass - not tower - new material")))),IF(KitchenHandleFinish="Match door",IF(ISERROR(FIND("Walnut",KitchenDoorMaterial))=FALSE,(0.035*0.075*($C99/1000))*VLOOKUP("Walnut (solid m3)",SolidData,4,FALSE),IF(ISERROR(FIND("Oak",KitchenDoorMaterial))=FALSE,(0.035*0.075*($C99/1000))*VLOOKUP("Oak (solid m3)",SolidData,4,FALSE),IF(ISERROR(FIND("ply",KitchenDoorMaterial))=FALSE,(0.1*($C99/1000))*VLOOKUP("Birch ply (24mm)",SheetsData,7,FALSE),IF(ISERROR(FIND("H/F",KitchenCarcassMaterial))=FALSE,(0.1*($C99/1000))*VLOOKUP("H/F (22mm)",SheetsData,7,FALSE),"Door - not tower - new material")))),"Channel - not tower - handle set to other")),IF(ISERROR(FIND("Tower",$A99))=FALSE,IF(KitchenHandleFinish="Match carcass",IF(ISERROR(FIND("Walnut",KitchenCarcassMaterial))=FALSE,(0.035*0.075*($B99/1000))*VLOOKUP("Walnut (solid m3)",SolidData,4,FALSE),IF(ISERROR(FIND("Oak",KitchenCarcassMaterial))=FALSE,(0.035*0.075*($B99/1000))*VLOOKUP("Oak (solid m3)",SolidData,4,FALSE),IF(ISERROR(FIND("ply",KitchenCarcassMaterial))=FALSE,(0.1*($B99/1000))*VLOOKUP("Birch ply (24mm)",SheetsData,7,FALSE),IF(ISERROR(FIND("H/F",KitchenCarcassMaterial))=FALSE,(0.1*($C99/1000))*VLOOKUP("H/F (22mm)",SheetsData,7,FALSE),"Carcass - tower - new material")))),IF(KitchenHandleFinish="Match door",IF(ISERROR(FIND("Walnut",KitchenDoorMaterial))=FALSE,(0.035*0.075*($B99/1000))*VLOOKUP("Walnut (solid m3)",SolidData,4,FALSE),IF(ISERROR(FIND("Oak",KitchenDoorMaterial))=FALSE,(0.035*0.075*($B99/1000))*VLOOKUP("Oak (solid m3)",SolidData,4,FALSE),IF(ISERROR(FIND("ply",KitchenDoorMaterial))=FALSE,(0.1*($B99/1000))*VLOOKUP("Birch ply (24mm)",SheetData,7,FALSE),IF(ISERROR(FIND("H/F",KitchenCarcassMaterial))=FALSE,(0.1*($C99/1000))*VLOOKUP("H/F (22mm)",SheetsData,7,FALSE),"Door - tower - new material")))),"Channel - tower - handle set to other")))),"")</f>
        <v/>
      </c>
    </row>
    <row r="100">
      <c r="A100" s="150" t="s">
        <v>208</v>
      </c>
      <c r="B100" s="115" t="str">
        <f t="shared" si="1"/>
        <v/>
      </c>
      <c r="C100" s="115" t="str">
        <f>IFERROR(__xludf.DUMMYFUNCTION("IF(A100="""","""",IF(OR(RIGHT(A100,LEN(A100)-len(regexextract(A100,"".* "")))=""1200"",RIGHT(A100,LEN(A100)-len(regexextract(A100,"".* "")))=""600"",RIGHT(A100,LEN(A100)-len(regexextract(A100,"".* "")))=""400"",RIGHT(A100,LEN(A100)-len(regexextract(A100,"&amp;""".* "")))=""300"",RIGHT(A100,LEN(A100)-len(regexextract(A100,"".* "")))=""700"",RIGHT(A100,LEN(A100)-len(regexextract(A100,"".* "")))=""2400"",RIGHT(A100,LEN(A100)-len(regexextract(A100,"".* "")))=""650"",RIGHT(A100,LEN(A100)-len(regexextract(A100,"".* "&amp;""")))=""350"",RIGHT(A100,LEN(A100)-len(regexextract(A100,"".* "")))=""50""),RIGHT(A100,LEN(A100)-len(regexextract(A100,"".* ""))),IF(OR(ISERROR(FIND(""spacer"",A100))=FALSE,ISERROR(FIND(""filler panel"",A100))=FALSE),""1000"",""Unexpected size in descript"&amp;"ion"")))"),"1000")</f>
        <v>1000</v>
      </c>
      <c r="D100" s="151" t="str">
        <f t="shared" si="2"/>
        <v>100</v>
      </c>
      <c r="E100" s="152">
        <f>IFERROR(__xludf.DUMMYFUNCTION("IF(OR(A100="""",AND(ISERROR(FIND(""drawer box"",A100))=FALSE,KitchenDrawerType="""")),"""",IF(OR(ISERROR(FIND(""larder"",A100))=FALSE,ISERROR(FIND(""fridge/freezer"",A100))=FALSE,ISERROR(FIND(""double oven"",A100))=FALSE,ISERROR(FIND(""single oven"",A100)"&amp;")=FALSE),VLOOKUP(LEFT(A100,FIND("" "",A100))&amp;""carcass ""&amp;RIGHT(A100,LEN(A100)-(LEN(A100)-3)),KitchensData,5,0),IF(ISERROR(FIND(""sink"",A100))=FALSE,VLOOKUP(LEFT(A100,FIND("" "",A100))&amp;""carcass ""&amp;VALUE(REGEXREPLACE(A100,""[^[:digit:]]"", """")),Kitchen"&amp;"sData,5,0)+(((C100/1000)*(300/1000))*VLOOKUP(KitchenCarcassMaterial,SheetsData,8,0)),IF(ISERROR(FIND(""bins"",A100))=FALSE,IF(ISERROR(FIND(""veneer"",KitchenCarcassMaterial))=FALSE,VLOOKUP(""Base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600"",A100))=FALSE,IF(ISERR"&amp;"OR(FIND(""veneer"",KitchenCarcassMaterial))=FALSE,0.54*(VLOOKUP(LEFT(KitchenCarcassMaterial,FIND(""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1"&amp;"200"",A100))=FALSE,IF(ISERROR(FIND(""veneer"",KitchenCarcassMaterial))=FALSE,0.84*(VLOOKUP(LEFT(KitchenCarcassMaterial,FIND(""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600"",A100))=FALSE,IF(ISERROR(FIND(""veneer"",KitchenCarcassMaterial))=FALSE,1.44*(VLOOKUP(LEFT(KitchenCarcassMaterial,FIND(""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1200"",A100))=FALSE,IF(ISERROR(FIND(""veneer"",KitchenCarcassMaterial))=FALSE,2.7*(VLOOKUP(LEFT(KitchenCarcassMaterial,FIND(""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front"",A100))=FALSE,((B100/1000)*(C100/1000))*VLOOKUP(KitchenDoorMaterial,SheetsData,8,0),IF(AND(KitchenDrawerType=""Match carcass"",ISERROR(FIND(""drawer box"",A100))=FALSE),(((((B100/10"&amp;"00)*(C100/1000))+((B100/1000)*(D100/1000)))*2)*VLOOKUP(KitchenCarcassMaterial,SheetsData,8,0))+(((C100/1000)*(D100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box"",A100))=FALSE),(((((B100/1000)*(C100/1000))+((B100/1000)*(D100/1000)))*2)*(16/1000)*VLOOKUP(L"&amp;"EFT(KitchenCarcassMaterial,FIND("" "",KitchenCarcassMaterial))&amp;""(solid m3)"",SolidData,5,0))+(((C100/1000)*(D100/1000))*VLOOKUP(LEFT(KitchenCarcassMaterial,FIND(""("",KitchenCarcassMaterial)-1)&amp;IF(OR(ISERROR(FIND(""ply"",KitchenCarcassMaterial))=FALSE,IS"&amp;"ERROR(FIND(""H/F"",KitchenCarcassMaterial))=FALSE),""(9mm)"",""(10mm)""),SheetsData,8,0)),IF(ISERROR(FIND(""spacer"",A100))=FALSE,((D100/1000)*(C100/1000))*VLOOKUP(""Poplar ply (18mm)"",SheetsData,8,0),IF(ISERROR(FIND(""filler panel"",A100))=FALSE,((B100/"&amp;"1000)*(C100/1000))*VLOOKUP(KitchenDoorMaterial,SheetsData,8,0),IF(ISERROR(FIND(""shelf"",A100))=FALSE,((D100/1000)*(C100/1000))*VLOOKUP(KitchenCarcassMaterial,SheetsData,8,0),IF(ISERROR(FIND(""lost corner"",A100))=FALSE,VLOOKUP(LEFT(A100,FIND("" "",A100))"&amp;"&amp;""carcass ""&amp;VALUE(REGEXREPLACE(A100,""[^[:digit:]]"", """")),KitchensData,5,0)+((((B100/1000)*(C100/1000))+((B100/1000)*(60/1000)))*VLOOKUP(KitchenCarcassMaterial,SheetsData,8,0)),IF(ISERROR(FIND(""carcass"",A100))=FALSE,(((((B100/1000)*2)*(D100/1000))+"&amp;"(((C100/1000)*2)*(D100/1000)))*VLOOKUP(KitchenCarcassMaterial,SheetsData,8,0))+((B100/1000)*(C100/1000))*VLOOKUP(LEFT(KitchenCarcassMaterial,FIND(""("",KitchenCarcassMaterial)-1)&amp;IF(OR(ISERROR(FIND(""ply"",KitchenCarcassMaterial))=FALSE,ISERROR(FIND(""H/F"&amp;""",KitchenCarcassMaterial))=FALSE),""(9mm)"",""(10mm)""),SheetsData,8,0),IF(OR(ISERROR(FIND(""Plinth"",A100))=FALSE,ISERROR(FIND(""Cornice (flat)"",A100))=FALSE),((B100/1000)*(C100/1000))*VLOOKUP(""H/F (18mm)"",SheetsData,8,0),IF(ISERROR(FIND(""Cornice (s"&amp;"tacked)"",A100))=FALSE,((0.08*(C100/1000))*2)*VLOOKUP(""H/F (22mm)"",SheetsData,8,0),IF(ISERROR(FIND(""Base end panel"",A100))=FALSE,VLOOKUP(KitchenDoorMaterial,SheetsData,5,0)/3,IF(ISERROR(FIND(""Wall end panel"",A100))=FALSE,VLOOKUP(KitchenDoorMaterial,"&amp;"SheetsData,5,0)/9,IF(ISERROR(FIND(""Tower end panel"",A100))=FALSE,VLOOKUP(KitchenDoorMaterial,SheetsData,5,0),IF(ISERROR(FIND(""Fillers"",A100))=FALSE,(((0.06*(C100/1000))*2)*VLOOKUP(""H/F (18mm)"",SheetsData,8,0))+(((0.06*(C100/1000))*2)*VLOOKUP(""H/F ("&amp;"9mm)"",SheetsData,8,0)),IF(ISERROR(FIND(""corner post"",A100))=FALSE,(((B100/1000)*0.05)*2)*VLOOKUP(KitchenDoorMaterial,SheetsData,8,0),IF(ISERROR(FIND(""Pelmet"",A100))=FALSE,((((B100/1000)*(C100/1000))*2)*VLOOKUP(""H/F (18mm)"",SheetsData,8,0)),IF(ISERR"&amp;"OR(FIND(""door"",A100))=TRUE,""Check description"",IF(KitchenDoorStyle=""Flat"",((B100/1000)*(C100/1000))*VLOOKUP(KitchenDoorMaterial,SheetsData,8,0),IF(LEFT(KitchenDoorStyle,5)=""Panel"",(((((B100/1000)*2)*0.08)+((((C100/1000)-0.16)*2)*0.08))*VLOOKUP(""H"&amp;"/F (22mm)"",SheetsData,8,0))+(((B100/1000)-0.14)*((C100/1000)-0.14)*VLOOKUP(""H/F (9mm)"",SheetsData,8,0)),IF(KitchenDoorStyle=""In-frame flat"",((((((B100/1000)*0.019)*0.038)+((((C100-38)/1000)*0.038)*0.038))*2)*VLOOKUP(""Tulip (solid m3)"",SolidData,5,0"&amp;"))+(((B100-76)/1000)*((C100-38)/1000))*VLOOKUP(""H/F (22mm)"",SheetsData,8,0),IF(LEFT(KitchenDoorStyle,14)=""In-frame panel"",(((((((B100/1000)*0.019)*0.038)+((((C100-38)/1000)*0.038)*0.038))*2)*VLOOKUP(""Tulip (solid m3)"",SolidData,5,0))+(((((((B100-76)"&amp;"/1000)*2)*0.08)+(((((C100-198)/1000)*2)*0.08)))*VLOOKUP(""H/F (22mm)"",SheetsData,8,0))+(((B100-216)/1000)*((C100-178)/1000)*VLOOKUP(""H/F (9mm)"",SheetsData,8,0)))))))))))))))))))))))))))))))))"),1.987704918032787)</f>
        <v>1.987704918</v>
      </c>
      <c r="F100" s="152" t="str">
        <f>IFERROR(__xludf.DUMMYFUNCTION("IF(OR(A100="""",AND(ISERROR(FIND(""drawer box"",A100))=FALSE,KitchenDrawerType=""Solid dovetail"")),"""",IF(ISERROR(FIND(""bins"",A100))=FALSE,VLOOKUP(""Base carcass 600"",KitchensData,6,0),IF(OR(ISERROR(FIND(""larder"",A100))=FALSE,ISERROR(FIND(""unit"","&amp;"A100))=FALSE),VLOOKUP(LEFT(A100,FIND("" "",A100))&amp;""carcass ""&amp;RIGHT(A100,LEN(A100)-len(regexextract(A100,"".* ""))),KitchensData,6,0),IF(ISERROR(FIND(""drawer front"",A100))=FALSE,IF(ISERROR(FIND(""veneer"",KitchenCarcassMaterial))=TRUE,0,(((B100+C100)/1"&amp;"000)*2)*VLOOKUP(""Edge banding (per M)"",SheetsData,5,0)),IF(ISERROR(FIND(""drawer box"",A100))=FALSE,IF(ISERROR(FIND(""veneer"",KitchenCarcassMaterial))=TRUE,0,(((C100+D100)/1000)*2)*VLOOKUP(""Edge banding (per M)"",SheetsData,5,0)),IF(ISERROR(FIND(""she"&amp;"lf"",A100))=FALSE,IF(ISERROR(FIND(""veneer"",KitchenCarcassMaterial))=TRUE,0,(C100/1000)*VLOOKUP(""Edge banding (per M)"",SheetsData,5,0)),IF(AND(ISERROR(FIND(""carcass"",A100))=FALSE,ISERROR(FIND(""shelf"",A100))=TRUE),IF(ISERROR(FIND(""veneer"",KitchenC"&amp;"arcassMaterial))=TRUE,0,((2*(B100+C100))/1000)*VLOOKUP(""Edge banding (per M)"",SheetsData,5,0)),IF(ISERROR(FIND(""door"",A100))=TRUE,"""",IF(ISERROR(FIND(""veneer"",KitchenDoorMaterial))=TRUE,"""",((2*(B100+C100))/1000)*VLOOKUP(""Edge banding (per M)"",S"&amp;"heetsData,5,0))))))))))"),"")</f>
        <v/>
      </c>
      <c r="G100" s="153" t="str">
        <f>IF(A100="","",IF(ISERROR(FIND("bins",A100))=FALSE,VLOOKUP("Base carcass 600",KitchensData,7,0),IF(OR(ISERROR(FIND("larder",A100))=FALSE,ISERROR(FIND("fridge/freezer",A100))=FALSE,ISERROR(FIND("double oven",A100))=FALSE,ISERROR(FIND("single oven",A100))=FALSE),VLOOKUP(LEFT(A100,FIND(" ",A100))&amp;"carcass "&amp;RIGHT(A100,LEN(A100)-(LEN(A100)-3)),KitchensData,7,0),IF(AND(ISERROR(FIND("carcass",A100))=FALSE,ISERROR(FIND("shelf",A100))=TRUE),IF(OR(ISERROR(FIND("Base",A100))=FALSE,ISERROR(FIND("Tower",A100))=FALSE),IF(OR(ISERROR(FIND("1200",A100))=FALSE, ISERROR(FIND("lost corner",A100))=FALSE),6*VLOOKUP("Plinth foot (2 Parts 80mm)",FurnitureData,5,0),4*VLOOKUP("Plinth foot (2 Parts 80mm)",FurnitureData,5,0)),""),""))))</f>
        <v/>
      </c>
      <c r="H100" s="115" t="str">
        <f>IF(OR(A100="",ISERROR(FIND("door",A100))=TRUE),"",IF(ISERROR(FIND("Wall",A100))=FALSE,VLOOKUP("Hinges &amp; plates (Hettich thick door)",FurnitureData,5,0)*2,IF(ISERROR(FIND("Base",A100))=FALSE,VLOOKUP("Hinges &amp; plates (Hettich thick door)",FurnitureData,5,0)*3,IF(ISERROR(FIND("Boiler",A100))=FALSE,VLOOKUP("Hinges &amp; plates (Hettich thick door)",FurnitureData,5,0)*4,IF(ISERROR(FIND("Tower",A100))=FALSE,VLOOKUP("Hinges &amp; plates (Hettich thick door)",FurnitureData,5,0)*5)))))</f>
        <v/>
      </c>
      <c r="I100" s="115" t="str">
        <f>IF(ISERROR(FIND("shelf",A100))=FALSE,(VLOOKUP("Shelf pegs",FurnitureData,5,0)/100)*4,"")</f>
        <v/>
      </c>
      <c r="J100" s="152" t="str">
        <f>IF(OR(ISERROR(FIND("fridge/freezer",A100))=FALSE,ISERROR(FIND("larder",A100))=FALSE,AND(ISERROR(FIND("Base",A100))=FALSE,ISERROR(FIND("bins",A100))=TRUE,ISERROR(FIND("no shelves",A100))=TRUE,OR(ISERROR(FIND("carcass",A100))=FALSE,ISERROR(FIND("unit",A100))=FALSE))),VLOOKUP("Deep shelf "&amp;C100,KitchensData,18,0),IF(AND(ISERROR(FIND("Wall",A100))=FALSE,ISERROR(FIND("carcass",A100))=FALSE),2*VLOOKUP("Shallow shelf "&amp;C100,KitchensData,18,0),IF(AND(ISERROR(FIND("Tower",A100))=FALSE,ISERROR(FIND("oven",A100))=FALSE),4*VLOOKUP("Deep shelf "&amp;C100,KitchensData,18,0),IF(AND(ISERROR(FIND("Tower",A100))=FALSE,ISERROR(FIND("carcass",A100))=FALSE),5*VLOOKUP("Deep shelf "&amp;C100,KitchensData,18,0),""))))</f>
        <v/>
      </c>
      <c r="K100" s="152" t="str">
        <f>IF(ISERROR(FIND("sink",A100))=FALSE,VLOOKUP("Sink liner - Aluminium "&amp;RIGHT(A100,LEN(A100)-22)&amp;"mm",ExceptionalData,5,0),IF(ISERROR(FIND("bins",A100))=FALSE,VLOOKUP("Drawer runners and clip set for bin unit (500) Dynapro",FurnitureData,5,0)+(2*VLOOKUP("Bin (42L Anthracite)",FurnitureData,5,0)),IF(ISERROR(FIND("larder",A100))=FALSE,VLOOKUP("Pull out larder unit 600mm",FurnitureData,5,0),IF(AND(ISERROR(FIND("drawer box",A100))=FALSE,ISERROR(FIND("internal",A100))=TRUE),VLOOKUP("Drawer runners and clip set (550) Dynapro",FurnitureData,5,0),IF(ISERROR(FIND("internal drawer box",A100))=FALSE,VLOOKUP("Drawer runners and clip set (450) Dynapro",FurnitureData,5,0),"")))))</f>
        <v/>
      </c>
      <c r="L100" s="152">
        <f t="shared" si="3"/>
        <v>1.987704918</v>
      </c>
      <c r="M100" s="154">
        <f>IFERROR(__xludf.DUMMYFUNCTION("IF(A100="""","""",IF(OR(ISERROR(FIND(""larder"",A100))=FALSE,ISERROR(FIND(""unit"",A100))=FALSE),VLOOKUP(LEFT(A100,FIND("" "",A100))&amp;""carcass ""&amp;RIGHT(A100,LEN(A100)-len(regexextract(A100,"".* ""))),KitchensData,13,0),IF(ISERROR(FIND(""bins"",A100))=FALS"&amp;"E,0.95,IF(ISERROR(FIND(""Cutlery insert 600"",A100))=FALSE,1.3,IF(ISERROR(FIND(""Cutlery insert 1200"",A100))=FALSE,2,IF(ISERROR(FIND(""Pan/tray rack 600"",A100))=FALSE,3.25,IF(ISERROR(FIND(""Pan/tray rack 1200"",A100))=FALSE,5.9,IF(ISERROR(FIND(""split"""&amp;",A100))=FALSE,(((C100/1000)*0.022)*2)+VLOOKUP(SUBSTITUTE(A100,"" split"",""""),KitchensData,13,0),IF(AND(ISERROR(FIND(""drawer front"",A100))=FALSE,KitchenDoorStyle=""Flat""),(((B100/1000)*(C100/1000))*2)+((((B100+C100)/1000)*2)*0.022),IF(AND(ISERROR(FIND"&amp;"(""drawer front"",A100))=FALSE,LEFT(KitchenDoorStyle,5)=""Panel""),(((B100/1000)*(C100/1000))*2)+((((B100+C100)/1000)*2)*0.022)+((((C100/1000)-0.16)*0.013)*2)+((((D100/1000)-0.16)*0.013)*2),IF(AND(ISERROR(FIND(""drawer front"",A100))=FALSE,KitchenDoorStyl"&amp;"e=""In-frame flat""),((((B100-76)/1000)*((C100-38)/1000))*2)+(MID(KitchenDoorMaterial,FIND(""("",KitchenDoorMaterial)+1,2)/1000)*((((B100-76)+(C100-38))/1000)*2)+(((B100/1000)*0.032)*2)+((((B100-76)/1000)*0.032)*2)+(((B100/1000)*0.019)*4)+(((C100/1000)*0."&amp;"032)*2)+((((C100-38)/1000)*0.032)*2)+(((C100/1000)*0.038)*4),IF(AND(ISERROR(FIND(""drawer front"",A100))=FALSE,LEFT(KitchenDoorStyle,14)=""In-frame panel""),((((B100-76)/1000)*((C100-38)/1000))*2)+((MID(KitchenDoorMaterial,FIND(""("",KitchenDoorMaterial)+"&amp;"1,2)/1000)*((((B100-76)+(C100-38))/1000)*2))+((((B100-236)/1000)+((C100-198)/1000)*2)*0.013)+(((B100/1000)*0.032)*2)+((((B100-76)/1000)*0.032)*2)+(((B100/1000)*0.019)*4)+(((C100/1000)*0.032)*2)+((((C100-38)/1000)*0.032)*2)+(((C100/1000)*0.038)*4),IF(ISERR"&amp;"OR(FIND(""drawer box"",A100))=FALSE,((((B100/1000)*(D100/1000))+((B100/1000)*(C100/1000)))*4)+((((D100/1000)+(C100/1000))*0.016)*4)+(((C100/1000)*(D100/1000))*2),IF(OR(ISERROR(FIND(""shelf"",A100))=FALSE,ISERROR(FIND(""spacer"",A100))=FALSE,,ISERROR(FIND("&amp;"""filler panel"",A100))=FALSE),(((C100/1000)*(D100/1000))*2)+((((C100+D100)*2)/1000)*0.022),IF(ISERROR(FIND(""lost corner"",A100))=FALSE,(((B100/1000)*(C100/1000))*2)+((B100/1000)*(C100/1000))+((B100/1000)*((C100/2)/1000))+((((B100/1000)*0.025)+((C100/100"&amp;"0)*0.025))*2),IF(ISERROR(FIND(""carcass"",A100))=FALSE,(((C100/1000)*(D100/1000))*2)+(((B100/1000)*(D100/1000))*2)+((B100/1000)*(C100/1000))+((((B100/1000)*0.025)+((C100/1000)*0.025))*2),IF(AND(ISERROR(FIND(""door"",A100))=FALSE,KitchenDoorStyle=""Flat"")"&amp;",(((B100/1000)*(C100/1000))*2)+(MID(KitchenDoorMaterial,FIND(""("",KitchenDoorMaterial)+1,2)/1000)*(((B100+C100)/1000)*2),IF(AND(ISERROR(FIND(""door"",A100))=FALSE,LEFT(KitchenDoorStyle,5)=""Panel""),(((B100/1000)*(C100/1000))*2)+((MID(KitchenDoorMaterial"&amp;",FIND(""("",KitchenDoorMaterial)+1,2)/1000)*(((B100+C100)/1000)*2))+(((((B100-160)+(C100-160))*2)/1000)*(0.013)),IF(AND(ISERROR(FIND(""door"",A100))=FALSE,KitchenDoorStyle=""In-frame flat""),((((B100-76)/1000)*((C100-38)/1000))*2)+(MID(KitchenDoorMaterial"&amp;",FIND(""("",KitchenDoorMaterial)+1,2)/1000)*((((B100-76)+(C100-38))/1000)*2)+(((B100/1000)*0.032)*2)+((((B100-76)/1000)*0.032)*2)+(((B100/1000)*0.019)*4)+(((C100/1000)*0.032)*2)+((((C100-38)/1000)*0.032)*2)+(((C100/1000)*0.038)*4),IF(AND(ISERROR(FIND(""do"&amp;"or"",A100))=FALSE,LEFT(KitchenDoorStyle,14)=""In-frame panel""),((((B100-76)/1000)*((C100-38)/1000))*2)+((MID(KitchenDoorMaterial,FIND(""("",KitchenDoorMaterial)+1,2)/1000)*((((B100-76)+(C100-38))/1000)*2))+((((B100-236)/1000)+((C100-198)/1000)*2)*0.013)+"&amp;"(((B100/1000)*0.032)*2)+((((B100-76)/1000)*0.032)*2)+(((B100/1000)*0.019)*4)+(((C100/1000)*0.032)*2)+((((C100-38)/1000)*0.032)*2)+(((C100/1000)*0.038)*4),IF(ISERROR(FIND(""Plinth"",A100))=FALSE,((B100/1000)*(C100/1000))+(((C100/1000)*0.018)*2)+(((B100/100"&amp;"0)*0.018)*2),IF(ISERROR(FIND(""Cornice"",A100))=FALSE,(((C100/1000)*0.1)*2)+(((C100/1000)*0.044)*2)+(((B100/1000)*0.08)*2),IF(ISERROR(FIND(""Base end panel"",A100))=FALSE,((B100/1000)*(C100/1000))+(0.022*((B100/1000)+((C100/1000)*2)))+((B100/1000)*0.05),I"&amp;"F(ISERROR(FIND(""Wall end panel"",A100))=FALSE,((B100/1000)*(C100/1000))+(0.022*((B100/1000)+((C100/1000)*2)))+((B100/1000)*0.05),IF(ISERROR(FIND(""Tower end panel"",A100))=FALSE,((B100/1000)*(C100/1000))+(0.022*((B100/1000)+((C100/1000)*2)))+((B100/1000)"&amp;"*0.05),IF(ISERROR(FIND(""Fillers"",A100))=FALSE,((C100/1000)*0.06)+((C100/1000)*0.069)+((0.06*0.018)*2)+((0.06*0.009)*2)+((C100/1000)*0.009)+((C100/1000)*0.018),IF(ISERROR(FIND(""corner post"",A100))=FALSE,(((B100/1000*0.05)*2)+((B100/1000)*0.022)*2)+((B1"&amp;"00/1000)*0.072)+((B100/1000)*0.05)+((0.072*0.022)*2)+((0.05*0.022)*2),IF(ISERROR(FIND(""Pelmet"",A100))=FALSE,((C100/1000)*0.05)+((C100/1000)*0.068)+((0.05*0.018)*4)+(((C100/1000)*0.018))*2))))))))))))))))))))))))))))"),0.2484)</f>
        <v>0.2484</v>
      </c>
      <c r="N100" s="152">
        <f>IF(M100="","",IF(AND(ISERROR(FIND("carcass",A100))=TRUE,ISERROR(FIND("unit",A100))=TRUE,ISERROR(FIND("insert",A100))=TRUE,ISERROR(FIND("rack",A100))=TRUE,ISERROR(FIND("box",A100))=TRUE,ISERROR(FIND("shelf",#REF!))=TRUE),VLOOKUP(KitchenDoorFinish,Finishing!$A$2:$K$10,9,0)*M100,VLOOKUP(KitchenCarcassFinish,Finishing!$A$2:$K$40,9,0)*M100))</f>
        <v>1.863</v>
      </c>
      <c r="O100" s="155">
        <v>0.25</v>
      </c>
      <c r="P100" s="155">
        <v>0.5</v>
      </c>
      <c r="Q100" s="152">
        <f>IF(OR(O100="",P100=""),"",((O100*X100)*(VLOOKUP("Workshop",Labour!$A$3:$E$20,4,0)/8))+((P100*AE100)*(VLOOKUP("Finishing",Labour!$A$3:$E$20,4,0)/8)))</f>
        <v>24.9375</v>
      </c>
      <c r="R100" s="152">
        <f t="shared" si="4"/>
        <v>28.78820492</v>
      </c>
      <c r="S100" s="156">
        <f>IF(OR(O100="",P100=""),"",IF(OR(ISERROR(FIND("carcass",$A100))=FALSE,ISERROR(FIND("unit",$A100))=FALSE),VLOOKUP(KitchenCarcassMaterial,FixedListsCarcassMaterial,2,0),0))</f>
        <v>0</v>
      </c>
      <c r="T100" s="156">
        <f>IF(OR(O100="",P100=""),"",IF(ISERROR(FIND("door",$A100))=FALSE,VLOOKUP(KitchenDoorStyle,FixedListsDoorStyle,2,0),0))</f>
        <v>0</v>
      </c>
      <c r="U100" s="156">
        <f>IF(OR(O100="",P100=""),"",IF(ISERROR(FIND("door",$A100))=FALSE,VLOOKUP(KitchenDoorMaterial,FixedListsDoorMaterial,2,0),0))</f>
        <v>0</v>
      </c>
      <c r="V100" s="156">
        <f>IF(OR(O100="",P100=""),"",IF(ISERROR(FIND("drawer",$A100))=FALSE,VLOOKUP(KitchenDrawerType,FixedListsDrawerType,2,0),0))</f>
        <v>0</v>
      </c>
      <c r="W100" s="156">
        <f>IF(OR(O100="",P100=""),"",IF(OR(S100&gt;0, T100&gt;0,V100&gt;0),VLOOKUP(KitchenHandleType,FixedListsHandleType,2,FALSE)*IF(KitchenHandleType="Simple",0,IF(S100&gt;0,VLOOKUP(KitchenHandleType,FixedListsHandleType,4,FALSE),IF(OR(T100&gt;0,V100&gt;0),1-VLOOKUP(KitchenHandleType,FixedListsHandleType,4,FALSE),"Error"))),0))</f>
        <v>0</v>
      </c>
      <c r="X100" s="156">
        <f t="shared" si="5"/>
        <v>1</v>
      </c>
      <c r="Y100" s="156">
        <f>IF(OR(O100="",P100=""),"",IF(OR(ISERROR(FIND("carcass",$A100))=FALSE,ISERROR(FIND("unit",$A100))=FALSE),VLOOKUP(KitchenCarcassMaterial,FixedListsCarcassMaterial,3,0),0))</f>
        <v>0</v>
      </c>
      <c r="Z100" s="156">
        <f>IF(OR(O100="",P100=""),"",IF(ISERROR(FIND("door",$A100))=FALSE,VLOOKUP(KitchenDoorStyle,FixedListsDoorStyle,3,0),0))</f>
        <v>0</v>
      </c>
      <c r="AA100" s="156">
        <f>IF(OR(O100="",P100=""),"",IF(ISERROR(FIND("door",$A100))=FALSE,VLOOKUP(KitchenDoorMaterial,FixedListsDoorMaterial,3,0),0))</f>
        <v>0</v>
      </c>
      <c r="AB100" s="156">
        <f>IF(OR(O100="",P100=""),"",IF(ISERROR(FIND("drawer",$A100))=FALSE,VLOOKUP(KitchenDrawerType,FixedListsDrawerType,3,0),0))</f>
        <v>0</v>
      </c>
      <c r="AC100" s="156">
        <f>IF(OR(O100="",P100=""),"",IF(OR(Y100&gt;0,Z100&gt;0,AB100&gt;0),VLOOKUP(KitchenHandleType,FixedListsHandleType,3,FALSE),0))</f>
        <v>0</v>
      </c>
      <c r="AD100" s="156">
        <f>IF(OR(O100="",P100=""),"",IF(OR(ISERROR(FIND("carcass",$A100))=FALSE,ISERROR(FIND("unit",$A100))=FALSE),VLOOKUP(KitchenCarcassFinish,FixedListsFinishes,3,0),IF(OR(ISERROR(FIND("door",$A100))=FALSE,ISERROR(FIND("Plinth",$A100))=FALSE,ISERROR(FIND("Cornice",$A100))=FALSE,ISERROR(FIND("Fillers",$A100))=FALSE,ISERROR(FIND("Pelmet",$A100))=FALSE,ISERROR(FIND("panel",$A100))=FALSE,ISERROR(FIND("post",$A100))=FALSE),VLOOKUP(KitchenDoorFinish,FixedListsFinishes,3,0),IF(OR(ISERROR(FIND("drawer",$A100))=FALSE,ISERROR(FIND("insert",$A100))=FALSE,ISERROR(FIND("rck",$A100))=FALSE),VLOOKUP(KitchenCarcassFinish,FixedListsFinishes,3,0),0))))</f>
        <v>0</v>
      </c>
      <c r="AE100" s="156">
        <f t="shared" si="6"/>
        <v>1</v>
      </c>
      <c r="AF100" s="157" t="str">
        <f>IF(AND(KitchenHandleType="Channel",OR(ISERROR(FIND("arcass",$A100))=FALSE,ISERROR(FIND("unit",$A100))=FALSE)),IF(ISERROR(FIND("Tower",$A100))=TRUE,IF(KitchenHandleFinish="Match carcass",IF(ISERROR(FIND("Walnut",KitchenCarcassMaterial))=FALSE,(0.035*0.075*($C100/1000))*VLOOKUP("Walnut (solid m3)",SolidData,4,FALSE),IF(ISERROR(FIND("Oak",KitchenCarcassMaterial))=FALSE,(0.035*0.075*($C100/1000))*VLOOKUP("Oak (solid m3)",SolidData,4,FALSE),IF(ISERROR(FIND("ply",KitchenCarcassMaterial))=FALSE,(0.1*($C100/1000))*VLOOKUP("Birch ply (24mm)",SheetsData,7,FALSE),IF(ISERROR(FIND("H/F",KitchenCarcassMaterial))=FALSE,(0.1*($C100/1000))*VLOOKUP("H/F (22mm)",SheetsData,7,FALSE),"Carcass - not tower - new material")))),IF(KitchenHandleFinish="Match door",IF(ISERROR(FIND("Walnut",KitchenDoorMaterial))=FALSE,(0.035*0.075*($C100/1000))*VLOOKUP("Walnut (solid m3)",SolidData,4,FALSE),IF(ISERROR(FIND("Oak",KitchenDoorMaterial))=FALSE,(0.035*0.075*($C100/1000))*VLOOKUP("Oak (solid m3)",SolidData,4,FALSE),IF(ISERROR(FIND("ply",KitchenDoorMaterial))=FALSE,(0.1*($C100/1000))*VLOOKUP("Birch ply (24mm)",SheetsData,7,FALSE),IF(ISERROR(FIND("H/F",KitchenCarcassMaterial))=FALSE,(0.1*($C100/1000))*VLOOKUP("H/F (22mm)",SheetsData,7,FALSE),"Door - not tower - new material")))),"Channel - not tower - handle set to other")),IF(ISERROR(FIND("Tower",$A100))=FALSE,IF(KitchenHandleFinish="Match carcass",IF(ISERROR(FIND("Walnut",KitchenCarcassMaterial))=FALSE,(0.035*0.075*($B100/1000))*VLOOKUP("Walnut (solid m3)",SolidData,4,FALSE),IF(ISERROR(FIND("Oak",KitchenCarcassMaterial))=FALSE,(0.035*0.075*($B100/1000))*VLOOKUP("Oak (solid m3)",SolidData,4,FALSE),IF(ISERROR(FIND("ply",KitchenCarcassMaterial))=FALSE,(0.1*($B100/1000))*VLOOKUP("Birch ply (24mm)",SheetsData,7,FALSE),IF(ISERROR(FIND("H/F",KitchenCarcassMaterial))=FALSE,(0.1*($C100/1000))*VLOOKUP("H/F (22mm)",SheetsData,7,FALSE),"Carcass - tower - new material")))),IF(KitchenHandleFinish="Match door",IF(ISERROR(FIND("Walnut",KitchenDoorMaterial))=FALSE,(0.035*0.075*($B100/1000))*VLOOKUP("Walnut (solid m3)",SolidData,4,FALSE),IF(ISERROR(FIND("Oak",KitchenDoorMaterial))=FALSE,(0.035*0.075*($B100/1000))*VLOOKUP("Oak (solid m3)",SolidData,4,FALSE),IF(ISERROR(FIND("ply",KitchenDoorMaterial))=FALSE,(0.1*($B100/1000))*VLOOKUP("Birch ply (24mm)",SheetData,7,FALSE),IF(ISERROR(FIND("H/F",KitchenCarcassMaterial))=FALSE,(0.1*($C100/1000))*VLOOKUP("H/F (22mm)",SheetsData,7,FALSE),"Door - tower - new material")))),"Channel - tower - handle set to other")))),"")</f>
        <v/>
      </c>
    </row>
    <row r="101">
      <c r="A101" s="150" t="s">
        <v>209</v>
      </c>
      <c r="B101" s="115" t="str">
        <f t="shared" si="1"/>
        <v>100</v>
      </c>
      <c r="C101" s="115" t="str">
        <f>IFERROR(__xludf.DUMMYFUNCTION("IF(A101="""","""",IF(OR(RIGHT(A101,LEN(A101)-len(regexextract(A101,"".* "")))=""1200"",RIGHT(A101,LEN(A101)-len(regexextract(A101,"".* "")))=""600"",RIGHT(A101,LEN(A101)-len(regexextract(A101,"".* "")))=""400"",RIGHT(A101,LEN(A101)-len(regexextract(A101,"&amp;""".* "")))=""300"",RIGHT(A101,LEN(A101)-len(regexextract(A101,"".* "")))=""700"",RIGHT(A101,LEN(A101)-len(regexextract(A101,"".* "")))=""2400"",RIGHT(A101,LEN(A101)-len(regexextract(A101,"".* "")))=""650"",RIGHT(A101,LEN(A101)-len(regexextract(A101,"".* "&amp;""")))=""350"",RIGHT(A101,LEN(A101)-len(regexextract(A101,"".* "")))=""50""),RIGHT(A101,LEN(A101)-len(regexextract(A101,"".* ""))),IF(OR(ISERROR(FIND(""spacer"",A101))=FALSE,ISERROR(FIND(""filler panel"",A101))=FALSE),""1000"",""Unexpected size in descript"&amp;"ion"")))"),"1000")</f>
        <v>1000</v>
      </c>
      <c r="D101" s="151" t="str">
        <f t="shared" si="2"/>
        <v/>
      </c>
      <c r="E101" s="152">
        <f>IFERROR(__xludf.DUMMYFUNCTION("IF(OR(A101="""",AND(ISERROR(FIND(""drawer box"",A101))=FALSE,KitchenDrawerType="""")),"""",IF(OR(ISERROR(FIND(""larder"",A101))=FALSE,ISERROR(FIND(""fridge/freezer"",A101))=FALSE,ISERROR(FIND(""double oven"",A101))=FALSE,ISERROR(FIND(""single oven"",A101)"&amp;")=FALSE),VLOOKUP(LEFT(A101,FIND("" "",A101))&amp;""carcass ""&amp;RIGHT(A101,LEN(A101)-(LEN(A101)-3)),KitchensData,5,0),IF(ISERROR(FIND(""sink"",A101))=FALSE,VLOOKUP(LEFT(A101,FIND("" "",A101))&amp;""carcass ""&amp;VALUE(REGEXREPLACE(A101,""[^[:digit:]]"", """")),Kitchen"&amp;"sData,5,0)+(((C101/1000)*(300/1000))*VLOOKUP(KitchenCarcassMaterial,SheetsData,8,0)),IF(ISERROR(FIND(""bins"",A101))=FALSE,IF(ISERROR(FIND(""veneer"",KitchenCarcassMaterial))=FALSE,VLOOKUP(""Base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600"",A101))=FALSE,IF(ISERR"&amp;"OR(FIND(""veneer"",KitchenCarcassMaterial))=FALSE,0.54*(VLOOKUP(LEFT(KitchenCarcassMaterial,FIND(""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1"&amp;"200"",A101))=FALSE,IF(ISERROR(FIND(""veneer"",KitchenCarcassMaterial))=FALSE,0.84*(VLOOKUP(LEFT(KitchenCarcassMaterial,FIND(""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600"",A101))=FALSE,IF(ISERROR(FIND(""veneer"",KitchenCarcassMaterial))=FALSE,1.44*(VLOOKUP(LEFT(KitchenCarcassMaterial,FIND(""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1200"",A101))=FALSE,IF(ISERROR(FIND(""veneer"",KitchenCarcassMaterial))=FALSE,2.7*(VLOOKUP(LEFT(KitchenCarcassMaterial,FIND(""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front"",A101))=FALSE,((B101/1000)*(C101/1000))*VLOOKUP(KitchenDoorMaterial,SheetsData,8,0),IF(AND(KitchenDrawerType=""Match carcass"",ISERROR(FIND(""drawer box"",A101))=FALSE),(((((B101/10"&amp;"00)*(C101/1000))+((B101/1000)*(D101/1000)))*2)*VLOOKUP(KitchenCarcassMaterial,SheetsData,8,0))+(((C101/1000)*(D101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box"",A101))=FALSE),(((((B101/1000)*(C101/1000))+((B101/1000)*(D101/1000)))*2)*(16/1000)*VLOOKUP(L"&amp;"EFT(KitchenCarcassMaterial,FIND("" "",KitchenCarcassMaterial))&amp;""(solid m3)"",SolidData,5,0))+(((C101/1000)*(D101/1000))*VLOOKUP(LEFT(KitchenCarcassMaterial,FIND(""("",KitchenCarcassMaterial)-1)&amp;IF(OR(ISERROR(FIND(""ply"",KitchenCarcassMaterial))=FALSE,IS"&amp;"ERROR(FIND(""H/F"",KitchenCarcassMaterial))=FALSE),""(9mm)"",""(10mm)""),SheetsData,8,0)),IF(ISERROR(FIND(""spacer"",A101))=FALSE,((D101/1000)*(C101/1000))*VLOOKUP(""Poplar ply (18mm)"",SheetsData,8,0),IF(ISERROR(FIND(""filler panel"",A101))=FALSE,((B101/"&amp;"1000)*(C101/1000))*VLOOKUP(KitchenDoorMaterial,SheetsData,8,0),IF(ISERROR(FIND(""shelf"",A101))=FALSE,((D101/1000)*(C101/1000))*VLOOKUP(KitchenCarcassMaterial,SheetsData,8,0),IF(ISERROR(FIND(""lost corner"",A101))=FALSE,VLOOKUP(LEFT(A101,FIND("" "",A101))"&amp;"&amp;""carcass ""&amp;VALUE(REGEXREPLACE(A101,""[^[:digit:]]"", """")),KitchensData,5,0)+((((B101/1000)*(C101/1000))+((B101/1000)*(60/1000)))*VLOOKUP(KitchenCarcassMaterial,SheetsData,8,0)),IF(ISERROR(FIND(""carcass"",A101))=FALSE,(((((B101/1000)*2)*(D101/1000))+"&amp;"(((C101/1000)*2)*(D101/1000)))*VLOOKUP(KitchenCarcassMaterial,SheetsData,8,0))+((B101/1000)*(C101/1000))*VLOOKUP(LEFT(KitchenCarcassMaterial,FIND(""("",KitchenCarcassMaterial)-1)&amp;IF(OR(ISERROR(FIND(""ply"",KitchenCarcassMaterial))=FALSE,ISERROR(FIND(""H/F"&amp;""",KitchenCarcassMaterial))=FALSE),""(9mm)"",""(10mm)""),SheetsData,8,0),IF(OR(ISERROR(FIND(""Plinth"",A101))=FALSE,ISERROR(FIND(""Cornice (flat)"",A101))=FALSE),((B101/1000)*(C101/1000))*VLOOKUP(""H/F (18mm)"",SheetsData,8,0),IF(ISERROR(FIND(""Cornice (s"&amp;"tacked)"",A101))=FALSE,((0.08*(C101/1000))*2)*VLOOKUP(""H/F (22mm)"",SheetsData,8,0),IF(ISERROR(FIND(""Base end panel"",A101))=FALSE,VLOOKUP(KitchenDoorMaterial,SheetsData,5,0)/3,IF(ISERROR(FIND(""Wall end panel"",A101))=FALSE,VLOOKUP(KitchenDoorMaterial,"&amp;"SheetsData,5,0)/9,IF(ISERROR(FIND(""Tower end panel"",A101))=FALSE,VLOOKUP(KitchenDoorMaterial,SheetsData,5,0),IF(ISERROR(FIND(""Fillers"",A101))=FALSE,(((0.06*(C101/1000))*2)*VLOOKUP(""H/F (18mm)"",SheetsData,8,0))+(((0.06*(C101/1000))*2)*VLOOKUP(""H/F ("&amp;"9mm)"",SheetsData,8,0)),IF(ISERROR(FIND(""corner post"",A101))=FALSE,(((B101/1000)*0.05)*2)*VLOOKUP(KitchenDoorMaterial,SheetsData,8,0),IF(ISERROR(FIND(""Pelmet"",A101))=FALSE,((((B101/1000)*(C101/1000))*2)*VLOOKUP(""H/F (18mm)"",SheetsData,8,0)),IF(ISERR"&amp;"OR(FIND(""door"",A101))=TRUE,""Check description"",IF(KitchenDoorStyle=""Flat"",((B101/1000)*(C101/1000))*VLOOKUP(KitchenDoorMaterial,SheetsData,8,0),IF(LEFT(KitchenDoorStyle,5)=""Panel"",(((((B101/1000)*2)*0.08)+((((C101/1000)-0.16)*2)*0.08))*VLOOKUP(""H"&amp;"/F (22mm)"",SheetsData,8,0))+(((B101/1000)-0.14)*((C101/1000)-0.14)*VLOOKUP(""H/F (9mm)"",SheetsData,8,0)),IF(KitchenDoorStyle=""In-frame flat"",((((((B101/1000)*0.019)*0.038)+((((C101-38)/1000)*0.038)*0.038))*2)*VLOOKUP(""Tulip (solid m3)"",SolidData,5,0"&amp;"))+(((B101-76)/1000)*((C101-38)/1000))*VLOOKUP(""H/F (22mm)"",SheetsData,8,0),IF(LEFT(KitchenDoorStyle,14)=""In-frame panel"",(((((((B101/1000)*0.019)*0.038)+((((C101-38)/1000)*0.038)*0.038))*2)*VLOOKUP(""Tulip (solid m3)"",SolidData,5,0))+(((((((B101-76)"&amp;"/1000)*2)*0.08)+(((((C101-198)/1000)*2)*0.08)))*VLOOKUP(""H/F (22mm)"",SheetsData,8,0))+(((B101-216)/1000)*((C101-178)/1000)*VLOOKUP(""H/F (9mm)"",SheetsData,8,0)))))))))))))))))))))))))))))))))"),1.8459419510884172)</f>
        <v>1.845941951</v>
      </c>
      <c r="F101" s="152" t="str">
        <f>IFERROR(__xludf.DUMMYFUNCTION("IF(OR(A101="""",AND(ISERROR(FIND(""drawer box"",A101))=FALSE,KitchenDrawerType=""Solid dovetail"")),"""",IF(ISERROR(FIND(""bins"",A101))=FALSE,VLOOKUP(""Base carcass 600"",KitchensData,6,0),IF(OR(ISERROR(FIND(""larder"",A101))=FALSE,ISERROR(FIND(""unit"","&amp;"A101))=FALSE),VLOOKUP(LEFT(A101,FIND("" "",A101))&amp;""carcass ""&amp;RIGHT(A101,LEN(A101)-len(regexextract(A101,"".* ""))),KitchensData,6,0),IF(ISERROR(FIND(""drawer front"",A101))=FALSE,IF(ISERROR(FIND(""veneer"",KitchenCarcassMaterial))=TRUE,0,(((B101+C101)/1"&amp;"000)*2)*VLOOKUP(""Edge banding (per M)"",SheetsData,5,0)),IF(ISERROR(FIND(""drawer box"",A101))=FALSE,IF(ISERROR(FIND(""veneer"",KitchenCarcassMaterial))=TRUE,0,(((C101+D101)/1000)*2)*VLOOKUP(""Edge banding (per M)"",SheetsData,5,0)),IF(ISERROR(FIND(""she"&amp;"lf"",A101))=FALSE,IF(ISERROR(FIND(""veneer"",KitchenCarcassMaterial))=TRUE,0,(C101/1000)*VLOOKUP(""Edge banding (per M)"",SheetsData,5,0)),IF(AND(ISERROR(FIND(""carcass"",A101))=FALSE,ISERROR(FIND(""shelf"",A101))=TRUE),IF(ISERROR(FIND(""veneer"",KitchenC"&amp;"arcassMaterial))=TRUE,0,((2*(B101+C101))/1000)*VLOOKUP(""Edge banding (per M)"",SheetsData,5,0)),IF(ISERROR(FIND(""door"",A101))=TRUE,"""",IF(ISERROR(FIND(""veneer"",KitchenDoorMaterial))=TRUE,"""",((2*(B101+C101))/1000)*VLOOKUP(""Edge banding (per M)"",S"&amp;"heetsData,5,0))))))))))"),"")</f>
        <v/>
      </c>
      <c r="G101" s="153" t="str">
        <f>IF(A101="","",IF(ISERROR(FIND("bins",A101))=FALSE,VLOOKUP("Base carcass 600",KitchensData,7,0),IF(OR(ISERROR(FIND("larder",A101))=FALSE,ISERROR(FIND("fridge/freezer",A101))=FALSE,ISERROR(FIND("double oven",A101))=FALSE,ISERROR(FIND("single oven",A101))=FALSE),VLOOKUP(LEFT(A101,FIND(" ",A101))&amp;"carcass "&amp;RIGHT(A101,LEN(A101)-(LEN(A101)-3)),KitchensData,7,0),IF(AND(ISERROR(FIND("carcass",A101))=FALSE,ISERROR(FIND("shelf",A101))=TRUE),IF(OR(ISERROR(FIND("Base",A101))=FALSE,ISERROR(FIND("Tower",A101))=FALSE),IF(OR(ISERROR(FIND("1200",A101))=FALSE, ISERROR(FIND("lost corner",A101))=FALSE),6*VLOOKUP("Plinth foot (2 Parts 80mm)",FurnitureData,5,0),4*VLOOKUP("Plinth foot (2 Parts 80mm)",FurnitureData,5,0)),""),""))))</f>
        <v/>
      </c>
      <c r="H101" s="115" t="str">
        <f>IF(OR(A101="",ISERROR(FIND("door",A101))=TRUE),"",IF(ISERROR(FIND("Wall",A101))=FALSE,VLOOKUP("Hinges &amp; plates (Hettich thick door)",FurnitureData,5,0)*2,IF(ISERROR(FIND("Base",A101))=FALSE,VLOOKUP("Hinges &amp; plates (Hettich thick door)",FurnitureData,5,0)*3,IF(ISERROR(FIND("Boiler",A101))=FALSE,VLOOKUP("Hinges &amp; plates (Hettich thick door)",FurnitureData,5,0)*4,IF(ISERROR(FIND("Tower",A101))=FALSE,VLOOKUP("Hinges &amp; plates (Hettich thick door)",FurnitureData,5,0)*5)))))</f>
        <v/>
      </c>
      <c r="I101" s="115" t="str">
        <f>IF(ISERROR(FIND("shelf",A101))=FALSE,(VLOOKUP("Shelf pegs",FurnitureData,5,0)/100)*4,"")</f>
        <v/>
      </c>
      <c r="J101" s="152" t="str">
        <f>IF(OR(ISERROR(FIND("fridge/freezer",A101))=FALSE,ISERROR(FIND("larder",A101))=FALSE,AND(ISERROR(FIND("Base",A101))=FALSE,ISERROR(FIND("bins",A101))=TRUE,ISERROR(FIND("no shelves",A101))=TRUE,OR(ISERROR(FIND("carcass",A101))=FALSE,ISERROR(FIND("unit",A101))=FALSE))),VLOOKUP("Deep shelf "&amp;C101,KitchensData,18,0),IF(AND(ISERROR(FIND("Wall",A101))=FALSE,ISERROR(FIND("carcass",A101))=FALSE),2*VLOOKUP("Shallow shelf "&amp;C101,KitchensData,18,0),IF(AND(ISERROR(FIND("Tower",A101))=FALSE,ISERROR(FIND("oven",A101))=FALSE),4*VLOOKUP("Deep shelf "&amp;C101,KitchensData,18,0),IF(AND(ISERROR(FIND("Tower",A101))=FALSE,ISERROR(FIND("carcass",A101))=FALSE),5*VLOOKUP("Deep shelf "&amp;C101,KitchensData,18,0),""))))</f>
        <v/>
      </c>
      <c r="K101" s="152" t="str">
        <f>IF(ISERROR(FIND("sink",A101))=FALSE,VLOOKUP("Sink liner - Aluminium "&amp;RIGHT(A101,LEN(A101)-22)&amp;"mm",ExceptionalData,5,0),IF(ISERROR(FIND("bins",A101))=FALSE,VLOOKUP("Drawer runners and clip set for bin unit (500) Dynapro",FurnitureData,5,0)+(2*VLOOKUP("Bin (42L Anthracite)",FurnitureData,5,0)),IF(ISERROR(FIND("larder",A101))=FALSE,VLOOKUP("Pull out larder unit 600mm",FurnitureData,5,0),IF(AND(ISERROR(FIND("drawer box",A101))=FALSE,ISERROR(FIND("internal",A101))=TRUE),VLOOKUP("Drawer runners and clip set (550) Dynapro",FurnitureData,5,0),IF(ISERROR(FIND("internal drawer box",A101))=FALSE,VLOOKUP("Drawer runners and clip set (450) Dynapro",FurnitureData,5,0),"")))))</f>
        <v/>
      </c>
      <c r="L101" s="152">
        <f t="shared" si="3"/>
        <v>1.845941951</v>
      </c>
      <c r="M101" s="154">
        <f>IFERROR(__xludf.DUMMYFUNCTION("IF(A101="""","""",IF(OR(ISERROR(FIND(""larder"",A101))=FALSE,ISERROR(FIND(""unit"",A101))=FALSE),VLOOKUP(LEFT(A101,FIND("" "",A101))&amp;""carcass ""&amp;RIGHT(A101,LEN(A101)-len(regexextract(A101,"".* ""))),KitchensData,13,0),IF(ISERROR(FIND(""bins"",A101))=FALS"&amp;"E,0.95,IF(ISERROR(FIND(""Cutlery insert 600"",A101))=FALSE,1.3,IF(ISERROR(FIND(""Cutlery insert 1200"",A101))=FALSE,2,IF(ISERROR(FIND(""Pan/tray rack 600"",A101))=FALSE,3.25,IF(ISERROR(FIND(""Pan/tray rack 1200"",A101))=FALSE,5.9,IF(ISERROR(FIND(""split"""&amp;",A101))=FALSE,(((C101/1000)*0.022)*2)+VLOOKUP(SUBSTITUTE(A101,"" split"",""""),KitchensData,13,0),IF(AND(ISERROR(FIND(""drawer front"",A101))=FALSE,KitchenDoorStyle=""Flat""),(((B101/1000)*(C101/1000))*2)+((((B101+C101)/1000)*2)*0.022),IF(AND(ISERROR(FIND"&amp;"(""drawer front"",A101))=FALSE,LEFT(KitchenDoorStyle,5)=""Panel""),(((B101/1000)*(C101/1000))*2)+((((B101+C101)/1000)*2)*0.022)+((((C101/1000)-0.16)*0.013)*2)+((((D101/1000)-0.16)*0.013)*2),IF(AND(ISERROR(FIND(""drawer front"",A101))=FALSE,KitchenDoorStyl"&amp;"e=""In-frame flat""),((((B101-76)/1000)*((C101-38)/1000))*2)+(MID(KitchenDoorMaterial,FIND(""("",KitchenDoorMaterial)+1,2)/1000)*((((B101-76)+(C101-38))/1000)*2)+(((B101/1000)*0.032)*2)+((((B101-76)/1000)*0.032)*2)+(((B101/1000)*0.019)*4)+(((C101/1000)*0."&amp;"032)*2)+((((C101-38)/1000)*0.032)*2)+(((C101/1000)*0.038)*4),IF(AND(ISERROR(FIND(""drawer front"",A101))=FALSE,LEFT(KitchenDoorStyle,14)=""In-frame panel""),((((B101-76)/1000)*((C101-38)/1000))*2)+((MID(KitchenDoorMaterial,FIND(""("",KitchenDoorMaterial)+"&amp;"1,2)/1000)*((((B101-76)+(C101-38))/1000)*2))+((((B101-236)/1000)+((C101-198)/1000)*2)*0.013)+(((B101/1000)*0.032)*2)+((((B101-76)/1000)*0.032)*2)+(((B101/1000)*0.019)*4)+(((C101/1000)*0.032)*2)+((((C101-38)/1000)*0.032)*2)+(((C101/1000)*0.038)*4),IF(ISERR"&amp;"OR(FIND(""drawer box"",A101))=FALSE,((((B101/1000)*(D101/1000))+((B101/1000)*(C101/1000)))*4)+((((D101/1000)+(C101/1000))*0.016)*4)+(((C101/1000)*(D101/1000))*2),IF(OR(ISERROR(FIND(""shelf"",A101))=FALSE,ISERROR(FIND(""spacer"",A101))=FALSE,,ISERROR(FIND("&amp;"""filler panel"",A101))=FALSE),(((C101/1000)*(D101/1000))*2)+((((C101+D101)*2)/1000)*0.022),IF(ISERROR(FIND(""lost corner"",A101))=FALSE,(((B101/1000)*(C101/1000))*2)+((B101/1000)*(C101/1000))+((B101/1000)*((C101/2)/1000))+((((B101/1000)*0.025)+((C101/100"&amp;"0)*0.025))*2),IF(ISERROR(FIND(""carcass"",A101))=FALSE,(((C101/1000)*(D101/1000))*2)+(((B101/1000)*(D101/1000))*2)+((B101/1000)*(C101/1000))+((((B101/1000)*0.025)+((C101/1000)*0.025))*2),IF(AND(ISERROR(FIND(""door"",A101))=FALSE,KitchenDoorStyle=""Flat"")"&amp;",(((B101/1000)*(C101/1000))*2)+(MID(KitchenDoorMaterial,FIND(""("",KitchenDoorMaterial)+1,2)/1000)*(((B101+C101)/1000)*2),IF(AND(ISERROR(FIND(""door"",A101))=FALSE,LEFT(KitchenDoorStyle,5)=""Panel""),(((B101/1000)*(C101/1000))*2)+((MID(KitchenDoorMaterial"&amp;",FIND(""("",KitchenDoorMaterial)+1,2)/1000)*(((B101+C101)/1000)*2))+(((((B101-160)+(C101-160))*2)/1000)*(0.013)),IF(AND(ISERROR(FIND(""door"",A101))=FALSE,KitchenDoorStyle=""In-frame flat""),((((B101-76)/1000)*((C101-38)/1000))*2)+(MID(KitchenDoorMaterial"&amp;",FIND(""("",KitchenDoorMaterial)+1,2)/1000)*((((B101-76)+(C101-38))/1000)*2)+(((B101/1000)*0.032)*2)+((((B101-76)/1000)*0.032)*2)+(((B101/1000)*0.019)*4)+(((C101/1000)*0.032)*2)+((((C101-38)/1000)*0.032)*2)+(((C101/1000)*0.038)*4),IF(AND(ISERROR(FIND(""do"&amp;"or"",A101))=FALSE,LEFT(KitchenDoorStyle,14)=""In-frame panel""),((((B101-76)/1000)*((C101-38)/1000))*2)+((MID(KitchenDoorMaterial,FIND(""("",KitchenDoorMaterial)+1,2)/1000)*((((B101-76)+(C101-38))/1000)*2))+((((B101-236)/1000)+((C101-198)/1000)*2)*0.013)+"&amp;"(((B101/1000)*0.032)*2)+((((B101-76)/1000)*0.032)*2)+(((B101/1000)*0.019)*4)+(((C101/1000)*0.032)*2)+((((C101-38)/1000)*0.032)*2)+(((C101/1000)*0.038)*4),IF(ISERROR(FIND(""Plinth"",A101))=FALSE,((B101/1000)*(C101/1000))+(((C101/1000)*0.018)*2)+(((B101/100"&amp;"0)*0.018)*2),IF(ISERROR(FIND(""Cornice"",A101))=FALSE,(((C101/1000)*0.1)*2)+(((C101/1000)*0.044)*2)+(((B101/1000)*0.08)*2),IF(ISERROR(FIND(""Base end panel"",A101))=FALSE,((B101/1000)*(C101/1000))+(0.022*((B101/1000)+((C101/1000)*2)))+((B101/1000)*0.05),I"&amp;"F(ISERROR(FIND(""Wall end panel"",A101))=FALSE,((B101/1000)*(C101/1000))+(0.022*((B101/1000)+((C101/1000)*2)))+((B101/1000)*0.05),IF(ISERROR(FIND(""Tower end panel"",A101))=FALSE,((B101/1000)*(C101/1000))+(0.022*((B101/1000)+((C101/1000)*2)))+((B101/1000)"&amp;"*0.05),IF(ISERROR(FIND(""Fillers"",A101))=FALSE,((C101/1000)*0.06)+((C101/1000)*0.069)+((0.06*0.018)*2)+((0.06*0.009)*2)+((C101/1000)*0.009)+((C101/1000)*0.018),IF(ISERROR(FIND(""corner post"",A101))=FALSE,(((B101/1000*0.05)*2)+((B101/1000)*0.022)*2)+((B1"&amp;"01/1000)*0.072)+((B101/1000)*0.05)+((0.072*0.022)*2)+((0.05*0.022)*2),IF(ISERROR(FIND(""Pelmet"",A101))=FALSE,((C101/1000)*0.05)+((C101/1000)*0.068)+((0.05*0.018)*4)+(((C101/1000)*0.018))*2))))))))))))))))))))))))))))"),0.044)</f>
        <v>0.044</v>
      </c>
      <c r="N101" s="152">
        <f>IF(M101="","",IF(AND(ISERROR(FIND("carcass",A101))=TRUE,ISERROR(FIND("unit",A101))=TRUE,ISERROR(FIND("insert",A101))=TRUE,ISERROR(FIND("rack",A101))=TRUE,ISERROR(FIND("box",A101))=TRUE,ISERROR(FIND("shelf",#REF!))=TRUE),VLOOKUP(KitchenDoorFinish,Finishing!$A$2:$K$10,9,0)*M101,VLOOKUP(KitchenCarcassFinish,Finishing!$A$2:$K$40,9,0)*M101))</f>
        <v>0.33</v>
      </c>
      <c r="O101" s="155">
        <v>1.0</v>
      </c>
      <c r="P101" s="155">
        <v>1.0</v>
      </c>
      <c r="Q101" s="152">
        <f>IF(OR(O101="",P101=""),"",((O101*X101)*(VLOOKUP("Workshop",Labour!$A$3:$E$20,4,0)/8))+((P101*AE101)*(VLOOKUP("Finishing",Labour!$A$3:$E$20,4,0)/8)))</f>
        <v>99.75</v>
      </c>
      <c r="R101" s="152">
        <f t="shared" si="4"/>
        <v>101.925942</v>
      </c>
      <c r="S101" s="156">
        <f>IF(OR(O101="",P101=""),"",IF(OR(ISERROR(FIND("carcass",$A101))=FALSE,ISERROR(FIND("unit",$A101))=FALSE),VLOOKUP(KitchenCarcassMaterial,FixedListsCarcassMaterial,2,0),0))</f>
        <v>0</v>
      </c>
      <c r="T101" s="156">
        <f>IF(OR(O101="",P101=""),"",IF(ISERROR(FIND("door",$A101))=FALSE,VLOOKUP(KitchenDoorStyle,FixedListsDoorStyle,2,0),0))</f>
        <v>0</v>
      </c>
      <c r="U101" s="156">
        <f>IF(OR(O101="",P101=""),"",IF(ISERROR(FIND("door",$A101))=FALSE,VLOOKUP(KitchenDoorMaterial,FixedListsDoorMaterial,2,0),0))</f>
        <v>0</v>
      </c>
      <c r="V101" s="156">
        <f>IF(OR(O101="",P101=""),"",IF(ISERROR(FIND("drawer",$A101))=FALSE,VLOOKUP(KitchenDrawerType,FixedListsDrawerType,2,0),0))</f>
        <v>0</v>
      </c>
      <c r="W101" s="156">
        <f>IF(OR(O101="",P101=""),"",IF(OR(S101&gt;0, T101&gt;0,V101&gt;0),VLOOKUP(KitchenHandleType,FixedListsHandleType,2,FALSE)*IF(KitchenHandleType="Simple",0,IF(S101&gt;0,VLOOKUP(KitchenHandleType,FixedListsHandleType,4,FALSE),IF(OR(T101&gt;0,V101&gt;0),1-VLOOKUP(KitchenHandleType,FixedListsHandleType,4,FALSE),"Error"))),0))</f>
        <v>0</v>
      </c>
      <c r="X101" s="156">
        <f t="shared" si="5"/>
        <v>1</v>
      </c>
      <c r="Y101" s="156">
        <f>IF(OR(O101="",P101=""),"",IF(OR(ISERROR(FIND("carcass",$A101))=FALSE,ISERROR(FIND("unit",$A101))=FALSE),VLOOKUP(KitchenCarcassMaterial,FixedListsCarcassMaterial,3,0),0))</f>
        <v>0</v>
      </c>
      <c r="Z101" s="156">
        <f>IF(OR(O101="",P101=""),"",IF(ISERROR(FIND("door",$A101))=FALSE,VLOOKUP(KitchenDoorStyle,FixedListsDoorStyle,3,0),0))</f>
        <v>0</v>
      </c>
      <c r="AA101" s="156">
        <f>IF(OR(O101="",P101=""),"",IF(ISERROR(FIND("door",$A101))=FALSE,VLOOKUP(KitchenDoorMaterial,FixedListsDoorMaterial,3,0),0))</f>
        <v>0</v>
      </c>
      <c r="AB101" s="156">
        <f>IF(OR(O101="",P101=""),"",IF(ISERROR(FIND("drawer",$A101))=FALSE,VLOOKUP(KitchenDrawerType,FixedListsDrawerType,3,0),0))</f>
        <v>0</v>
      </c>
      <c r="AC101" s="156">
        <f>IF(OR(O101="",P101=""),"",IF(OR(Y101&gt;0,Z101&gt;0,AB101&gt;0),VLOOKUP(KitchenHandleType,FixedListsHandleType,3,FALSE),0))</f>
        <v>0</v>
      </c>
      <c r="AD101" s="156">
        <f>IF(OR(O101="",P101=""),"",IF(OR(ISERROR(FIND("carcass",$A101))=FALSE,ISERROR(FIND("unit",$A101))=FALSE),VLOOKUP(KitchenCarcassFinish,FixedListsFinishes,3,0),IF(OR(ISERROR(FIND("door",$A101))=FALSE,ISERROR(FIND("Plinth",$A101))=FALSE,ISERROR(FIND("Cornice",$A101))=FALSE,ISERROR(FIND("Fillers",$A101))=FALSE,ISERROR(FIND("Pelmet",$A101))=FALSE,ISERROR(FIND("panel",$A101))=FALSE,ISERROR(FIND("post",$A101))=FALSE),VLOOKUP(KitchenDoorFinish,FixedListsFinishes,3,0),IF(OR(ISERROR(FIND("drawer",$A101))=FALSE,ISERROR(FIND("insert",$A101))=FALSE,ISERROR(FIND("rck",$A101))=FALSE),VLOOKUP(KitchenCarcassFinish,FixedListsFinishes,3,0),0))))</f>
        <v>2</v>
      </c>
      <c r="AE101" s="156">
        <f t="shared" si="6"/>
        <v>2</v>
      </c>
      <c r="AF101" s="157" t="str">
        <f>IF(AND(KitchenHandleType="Channel",OR(ISERROR(FIND("arcass",$A101))=FALSE,ISERROR(FIND("unit",$A101))=FALSE)),IF(ISERROR(FIND("Tower",$A101))=TRUE,IF(KitchenHandleFinish="Match carcass",IF(ISERROR(FIND("Walnut",KitchenCarcassMaterial))=FALSE,(0.035*0.075*($C101/1000))*VLOOKUP("Walnut (solid m3)",SolidData,4,FALSE),IF(ISERROR(FIND("Oak",KitchenCarcassMaterial))=FALSE,(0.035*0.075*($C101/1000))*VLOOKUP("Oak (solid m3)",SolidData,4,FALSE),IF(ISERROR(FIND("ply",KitchenCarcassMaterial))=FALSE,(0.1*($C101/1000))*VLOOKUP("Birch ply (24mm)",SheetsData,7,FALSE),IF(ISERROR(FIND("H/F",KitchenCarcassMaterial))=FALSE,(0.1*($C101/1000))*VLOOKUP("H/F (22mm)",SheetsData,7,FALSE),"Carcass - not tower - new material")))),IF(KitchenHandleFinish="Match door",IF(ISERROR(FIND("Walnut",KitchenDoorMaterial))=FALSE,(0.035*0.075*($C101/1000))*VLOOKUP("Walnut (solid m3)",SolidData,4,FALSE),IF(ISERROR(FIND("Oak",KitchenDoorMaterial))=FALSE,(0.035*0.075*($C101/1000))*VLOOKUP("Oak (solid m3)",SolidData,4,FALSE),IF(ISERROR(FIND("ply",KitchenDoorMaterial))=FALSE,(0.1*($C101/1000))*VLOOKUP("Birch ply (24mm)",SheetsData,7,FALSE),IF(ISERROR(FIND("H/F",KitchenCarcassMaterial))=FALSE,(0.1*($C101/1000))*VLOOKUP("H/F (22mm)",SheetsData,7,FALSE),"Door - not tower - new material")))),"Channel - not tower - handle set to other")),IF(ISERROR(FIND("Tower",$A101))=FALSE,IF(KitchenHandleFinish="Match carcass",IF(ISERROR(FIND("Walnut",KitchenCarcassMaterial))=FALSE,(0.035*0.075*($B101/1000))*VLOOKUP("Walnut (solid m3)",SolidData,4,FALSE),IF(ISERROR(FIND("Oak",KitchenCarcassMaterial))=FALSE,(0.035*0.075*($B101/1000))*VLOOKUP("Oak (solid m3)",SolidData,4,FALSE),IF(ISERROR(FIND("ply",KitchenCarcassMaterial))=FALSE,(0.1*($B101/1000))*VLOOKUP("Birch ply (24mm)",SheetsData,7,FALSE),IF(ISERROR(FIND("H/F",KitchenCarcassMaterial))=FALSE,(0.1*($C101/1000))*VLOOKUP("H/F (22mm)",SheetsData,7,FALSE),"Carcass - tower - new material")))),IF(KitchenHandleFinish="Match door",IF(ISERROR(FIND("Walnut",KitchenDoorMaterial))=FALSE,(0.035*0.075*($B101/1000))*VLOOKUP("Walnut (solid m3)",SolidData,4,FALSE),IF(ISERROR(FIND("Oak",KitchenDoorMaterial))=FALSE,(0.035*0.075*($B101/1000))*VLOOKUP("Oak (solid m3)",SolidData,4,FALSE),IF(ISERROR(FIND("ply",KitchenDoorMaterial))=FALSE,(0.1*($B101/1000))*VLOOKUP("Birch ply (24mm)",SheetData,7,FALSE),IF(ISERROR(FIND("H/F",KitchenCarcassMaterial))=FALSE,(0.1*($C101/1000))*VLOOKUP("H/F (22mm)",SheetsData,7,FALSE),"Door - tower - new material")))),"Channel - tower - handle set to other")))),"")</f>
        <v/>
      </c>
    </row>
    <row r="102">
      <c r="A102" s="150" t="s">
        <v>210</v>
      </c>
      <c r="B102" s="115">
        <f t="shared" si="1"/>
        <v>80</v>
      </c>
      <c r="C102" s="115" t="str">
        <f>IFERROR(__xludf.DUMMYFUNCTION("IF(A102="""","""",IF(OR(RIGHT(A102,LEN(A102)-len(regexextract(A102,"".* "")))=""1200"",RIGHT(A102,LEN(A102)-len(regexextract(A102,"".* "")))=""600"",RIGHT(A102,LEN(A102)-len(regexextract(A102,"".* "")))=""400"",RIGHT(A102,LEN(A102)-len(regexextract(A102,"&amp;""".* "")))=""300"",RIGHT(A102,LEN(A102)-len(regexextract(A102,"".* "")))=""700"",RIGHT(A102,LEN(A102)-len(regexextract(A102,"".* "")))=""2400"",RIGHT(A102,LEN(A102)-len(regexextract(A102,"".* "")))=""650"",RIGHT(A102,LEN(A102)-len(regexextract(A102,"".* "&amp;""")))=""350"",RIGHT(A102,LEN(A102)-len(regexextract(A102,"".* "")))=""50""),RIGHT(A102,LEN(A102)-len(regexextract(A102,"".* ""))),IF(OR(ISERROR(FIND(""spacer"",A102))=FALSE,ISERROR(FIND(""filler panel"",A102))=FALSE),""1000"",""Unexpected size in descript"&amp;"ion"")))"),"2400")</f>
        <v>2400</v>
      </c>
      <c r="D102" s="151" t="str">
        <f t="shared" si="2"/>
        <v/>
      </c>
      <c r="E102" s="152">
        <f>IFERROR(__xludf.DUMMYFUNCTION("IF(OR(A102="""",AND(ISERROR(FIND(""drawer box"",A102))=FALSE,KitchenDrawerType="""")),"""",IF(OR(ISERROR(FIND(""larder"",A102))=FALSE,ISERROR(FIND(""fridge/freezer"",A102))=FALSE,ISERROR(FIND(""double oven"",A102))=FALSE,ISERROR(FIND(""single oven"",A102)"&amp;")=FALSE),VLOOKUP(LEFT(A102,FIND("" "",A102))&amp;""carcass ""&amp;RIGHT(A102,LEN(A102)-(LEN(A102)-3)),KitchensData,5,0),IF(ISERROR(FIND(""sink"",A102))=FALSE,VLOOKUP(LEFT(A102,FIND("" "",A102))&amp;""carcass ""&amp;VALUE(REGEXREPLACE(A102,""[^[:digit:]]"", """")),Kitchen"&amp;"sData,5,0)+(((C102/1000)*(300/1000))*VLOOKUP(KitchenCarcassMaterial,SheetsData,8,0)),IF(ISERROR(FIND(""bins"",A102))=FALSE,IF(ISERROR(FIND(""veneer"",KitchenCarcassMaterial))=FALSE,VLOOKUP(""Base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600"",A102))=FALSE,IF(ISERR"&amp;"OR(FIND(""veneer"",KitchenCarcassMaterial))=FALSE,0.54*(VLOOKUP(LEFT(KitchenCarcassMaterial,FIND(""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1"&amp;"200"",A102))=FALSE,IF(ISERROR(FIND(""veneer"",KitchenCarcassMaterial))=FALSE,0.84*(VLOOKUP(LEFT(KitchenCarcassMaterial,FIND(""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600"",A102))=FALSE,IF(ISERROR(FIND(""veneer"",KitchenCarcassMaterial))=FALSE,1.44*(VLOOKUP(LEFT(KitchenCarcassMaterial,FIND(""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1200"",A102))=FALSE,IF(ISERROR(FIND(""veneer"",KitchenCarcassMaterial))=FALSE,2.7*(VLOOKUP(LEFT(KitchenCarcassMaterial,FIND(""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front"",A102))=FALSE,((B102/1000)*(C102/1000))*VLOOKUP(KitchenDoorMaterial,SheetsData,8,0),IF(AND(KitchenDrawerType=""Match carcass"",ISERROR(FIND(""drawer box"",A102))=FALSE),(((((B102/10"&amp;"00)*(C102/1000))+((B102/1000)*(D102/1000)))*2)*VLOOKUP(KitchenCarcassMaterial,SheetsData,8,0))+(((C102/1000)*(D102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box"",A102))=FALSE),(((((B102/1000)*(C102/1000))+((B102/1000)*(D102/1000)))*2)*(16/1000)*VLOOKUP(L"&amp;"EFT(KitchenCarcassMaterial,FIND("" "",KitchenCarcassMaterial))&amp;""(solid m3)"",SolidData,5,0))+(((C102/1000)*(D102/1000))*VLOOKUP(LEFT(KitchenCarcassMaterial,FIND(""("",KitchenCarcassMaterial)-1)&amp;IF(OR(ISERROR(FIND(""ply"",KitchenCarcassMaterial))=FALSE,IS"&amp;"ERROR(FIND(""H/F"",KitchenCarcassMaterial))=FALSE),""(9mm)"",""(10mm)""),SheetsData,8,0)),IF(ISERROR(FIND(""spacer"",A102))=FALSE,((D102/1000)*(C102/1000))*VLOOKUP(""Poplar ply (18mm)"",SheetsData,8,0),IF(ISERROR(FIND(""filler panel"",A102))=FALSE,((B102/"&amp;"1000)*(C102/1000))*VLOOKUP(KitchenDoorMaterial,SheetsData,8,0),IF(ISERROR(FIND(""shelf"",A102))=FALSE,((D102/1000)*(C102/1000))*VLOOKUP(KitchenCarcassMaterial,SheetsData,8,0),IF(ISERROR(FIND(""lost corner"",A102))=FALSE,VLOOKUP(LEFT(A102,FIND("" "",A102))"&amp;"&amp;""carcass ""&amp;VALUE(REGEXREPLACE(A102,""[^[:digit:]]"", """")),KitchensData,5,0)+((((B102/1000)*(C102/1000))+((B102/1000)*(60/1000)))*VLOOKUP(KitchenCarcassMaterial,SheetsData,8,0)),IF(ISERROR(FIND(""carcass"",A102))=FALSE,(((((B102/1000)*2)*(D102/1000))+"&amp;"(((C102/1000)*2)*(D102/1000)))*VLOOKUP(KitchenCarcassMaterial,SheetsData,8,0))+((B102/1000)*(C102/1000))*VLOOKUP(LEFT(KitchenCarcassMaterial,FIND(""("",KitchenCarcassMaterial)-1)&amp;IF(OR(ISERROR(FIND(""ply"",KitchenCarcassMaterial))=FALSE,ISERROR(FIND(""H/F"&amp;""",KitchenCarcassMaterial))=FALSE),""(9mm)"",""(10mm)""),SheetsData,8,0),IF(OR(ISERROR(FIND(""Plinth"",A102))=FALSE,ISERROR(FIND(""Cornice (flat)"",A102))=FALSE),((B102/1000)*(C102/1000))*VLOOKUP(""H/F (18mm)"",SheetsData,8,0),IF(ISERROR(FIND(""Cornice (s"&amp;"tacked)"",A102))=FALSE,((0.08*(C102/1000))*2)*VLOOKUP(""H/F (22mm)"",SheetsData,8,0),IF(ISERROR(FIND(""Base end panel"",A102))=FALSE,VLOOKUP(KitchenDoorMaterial,SheetsData,5,0)/3,IF(ISERROR(FIND(""Wall end panel"",A102))=FALSE,VLOOKUP(KitchenDoorMaterial,"&amp;"SheetsData,5,0)/9,IF(ISERROR(FIND(""Tower end panel"",A102))=FALSE,VLOOKUP(KitchenDoorMaterial,SheetsData,5,0),IF(ISERROR(FIND(""Fillers"",A102))=FALSE,(((0.06*(C102/1000))*2)*VLOOKUP(""H/F (18mm)"",SheetsData,8,0))+(((0.06*(C102/1000))*2)*VLOOKUP(""H/F ("&amp;"9mm)"",SheetsData,8,0)),IF(ISERROR(FIND(""corner post"",A102))=FALSE,(((B102/1000)*0.05)*2)*VLOOKUP(KitchenDoorMaterial,SheetsData,8,0),IF(ISERROR(FIND(""Pelmet"",A102))=FALSE,((((B102/1000)*(C102/1000))*2)*VLOOKUP(""H/F (18mm)"",SheetsData,8,0)),IF(ISERR"&amp;"OR(FIND(""door"",A102))=TRUE,""Check description"",IF(KitchenDoorStyle=""Flat"",((B102/1000)*(C102/1000))*VLOOKUP(KitchenDoorMaterial,SheetsData,8,0),IF(LEFT(KitchenDoorStyle,5)=""Panel"",(((((B102/1000)*2)*0.08)+((((C102/1000)-0.16)*2)*0.08))*VLOOKUP(""H"&amp;"/F (22mm)"",SheetsData,8,0))+(((B102/1000)-0.14)*((C102/1000)-0.14)*VLOOKUP(""H/F (9mm)"",SheetsData,8,0)),IF(KitchenDoorStyle=""In-frame flat"",((((((B102/1000)*0.019)*0.038)+((((C102-38)/1000)*0.038)*0.038))*2)*VLOOKUP(""Tulip (solid m3)"",SolidData,5,0"&amp;"))+(((B102-76)/1000)*((C102-38)/1000))*VLOOKUP(""H/F (22mm)"",SheetsData,8,0),IF(LEFT(KitchenDoorStyle,14)=""In-frame panel"",(((((((B102/1000)*0.019)*0.038)+((((C102-38)/1000)*0.038)*0.038))*2)*VLOOKUP(""Tulip (solid m3)"",SolidData,5,0))+(((((((B102-76)"&amp;"/1000)*2)*0.08)+(((((C102-198)/1000)*2)*0.08)))*VLOOKUP(""H/F (22mm)"",SheetsData,8,0))+(((B102-216)/1000)*((C102-178)/1000)*VLOOKUP(""H/F (9mm)"",SheetsData,8,0)))))))))))))))))))))))))))))))))"),7.106154259607632)</f>
        <v>7.10615426</v>
      </c>
      <c r="F102" s="152" t="str">
        <f>IFERROR(__xludf.DUMMYFUNCTION("IF(OR(A102="""",AND(ISERROR(FIND(""drawer box"",A102))=FALSE,KitchenDrawerType=""Solid dovetail"")),"""",IF(ISERROR(FIND(""bins"",A102))=FALSE,VLOOKUP(""Base carcass 600"",KitchensData,6,0),IF(OR(ISERROR(FIND(""larder"",A102))=FALSE,ISERROR(FIND(""unit"","&amp;"A102))=FALSE),VLOOKUP(LEFT(A102,FIND("" "",A102))&amp;""carcass ""&amp;RIGHT(A102,LEN(A102)-len(regexextract(A102,"".* ""))),KitchensData,6,0),IF(ISERROR(FIND(""drawer front"",A102))=FALSE,IF(ISERROR(FIND(""veneer"",KitchenCarcassMaterial))=TRUE,0,(((B102+C102)/1"&amp;"000)*2)*VLOOKUP(""Edge banding (per M)"",SheetsData,5,0)),IF(ISERROR(FIND(""drawer box"",A102))=FALSE,IF(ISERROR(FIND(""veneer"",KitchenCarcassMaterial))=TRUE,0,(((C102+D102)/1000)*2)*VLOOKUP(""Edge banding (per M)"",SheetsData,5,0)),IF(ISERROR(FIND(""she"&amp;"lf"",A102))=FALSE,IF(ISERROR(FIND(""veneer"",KitchenCarcassMaterial))=TRUE,0,(C102/1000)*VLOOKUP(""Edge banding (per M)"",SheetsData,5,0)),IF(AND(ISERROR(FIND(""carcass"",A102))=FALSE,ISERROR(FIND(""shelf"",A102))=TRUE),IF(ISERROR(FIND(""veneer"",KitchenC"&amp;"arcassMaterial))=TRUE,0,((2*(B102+C102))/1000)*VLOOKUP(""Edge banding (per M)"",SheetsData,5,0)),IF(ISERROR(FIND(""door"",A102))=TRUE,"""",IF(ISERROR(FIND(""veneer"",KitchenDoorMaterial))=TRUE,"""",((2*(B102+C102))/1000)*VLOOKUP(""Edge banding (per M)"",S"&amp;"heetsData,5,0))))))))))"),"")</f>
        <v/>
      </c>
      <c r="G102" s="153" t="str">
        <f>IF(A102="","",IF(ISERROR(FIND("bins",A102))=FALSE,VLOOKUP("Base carcass 600",KitchensData,7,0),IF(OR(ISERROR(FIND("larder",A102))=FALSE,ISERROR(FIND("fridge/freezer",A102))=FALSE,ISERROR(FIND("double oven",A102))=FALSE,ISERROR(FIND("single oven",A102))=FALSE),VLOOKUP(LEFT(A102,FIND(" ",A102))&amp;"carcass "&amp;RIGHT(A102,LEN(A102)-(LEN(A102)-3)),KitchensData,7,0),IF(AND(ISERROR(FIND("carcass",A102))=FALSE,ISERROR(FIND("shelf",A102))=TRUE),IF(OR(ISERROR(FIND("Base",A102))=FALSE,ISERROR(FIND("Tower",A102))=FALSE),IF(OR(ISERROR(FIND("1200",A102))=FALSE, ISERROR(FIND("lost corner",A102))=FALSE),6*VLOOKUP("Plinth foot (2 Parts 80mm)",FurnitureData,5,0),4*VLOOKUP("Plinth foot (2 Parts 80mm)",FurnitureData,5,0)),""),""))))</f>
        <v/>
      </c>
      <c r="H102" s="115" t="str">
        <f>IF(OR(A102="",ISERROR(FIND("door",A102))=TRUE),"",IF(ISERROR(FIND("Wall",A102))=FALSE,VLOOKUP("Hinges &amp; plates (Hettich thick door)",FurnitureData,5,0)*2,IF(ISERROR(FIND("Base",A102))=FALSE,VLOOKUP("Hinges &amp; plates (Hettich thick door)",FurnitureData,5,0)*3,IF(ISERROR(FIND("Boiler",A102))=FALSE,VLOOKUP("Hinges &amp; plates (Hettich thick door)",FurnitureData,5,0)*4,IF(ISERROR(FIND("Tower",A102))=FALSE,VLOOKUP("Hinges &amp; plates (Hettich thick door)",FurnitureData,5,0)*5)))))</f>
        <v/>
      </c>
      <c r="I102" s="115" t="str">
        <f>IF(ISERROR(FIND("shelf",A102))=FALSE,(VLOOKUP("Shelf pegs",FurnitureData,5,0)/100)*4,"")</f>
        <v/>
      </c>
      <c r="J102" s="152" t="str">
        <f>IF(OR(ISERROR(FIND("fridge/freezer",A102))=FALSE,ISERROR(FIND("larder",A102))=FALSE,AND(ISERROR(FIND("Base",A102))=FALSE,ISERROR(FIND("bins",A102))=TRUE,ISERROR(FIND("no shelves",A102))=TRUE,OR(ISERROR(FIND("carcass",A102))=FALSE,ISERROR(FIND("unit",A102))=FALSE))),VLOOKUP("Deep shelf "&amp;C102,KitchensData,18,0),IF(AND(ISERROR(FIND("Wall",A102))=FALSE,ISERROR(FIND("carcass",A102))=FALSE),2*VLOOKUP("Shallow shelf "&amp;C102,KitchensData,18,0),IF(AND(ISERROR(FIND("Tower",A102))=FALSE,ISERROR(FIND("oven",A102))=FALSE),4*VLOOKUP("Deep shelf "&amp;C102,KitchensData,18,0),IF(AND(ISERROR(FIND("Tower",A102))=FALSE,ISERROR(FIND("carcass",A102))=FALSE),5*VLOOKUP("Deep shelf "&amp;C102,KitchensData,18,0),""))))</f>
        <v/>
      </c>
      <c r="K102" s="152" t="str">
        <f>IF(ISERROR(FIND("sink",A102))=FALSE,VLOOKUP("Sink liner - Aluminium "&amp;RIGHT(A102,LEN(A102)-22)&amp;"mm",ExceptionalData,5,0),IF(ISERROR(FIND("bins",A102))=FALSE,VLOOKUP("Drawer runners and clip set for bin unit (500) Dynapro",FurnitureData,5,0)+(2*VLOOKUP("Bin (42L Anthracite)",FurnitureData,5,0)),IF(ISERROR(FIND("larder",A102))=FALSE,VLOOKUP("Pull out larder unit 600mm",FurnitureData,5,0),IF(AND(ISERROR(FIND("drawer box",A102))=FALSE,ISERROR(FIND("internal",A102))=TRUE),VLOOKUP("Drawer runners and clip set (550) Dynapro",FurnitureData,5,0),IF(ISERROR(FIND("internal drawer box",A102))=FALSE,VLOOKUP("Drawer runners and clip set (450) Dynapro",FurnitureData,5,0),"")))))</f>
        <v/>
      </c>
      <c r="L102" s="152">
        <f t="shared" si="3"/>
        <v>7.10615426</v>
      </c>
      <c r="M102" s="154">
        <f>IFERROR(__xludf.DUMMYFUNCTION("IF(A102="""","""",IF(OR(ISERROR(FIND(""larder"",A102))=FALSE,ISERROR(FIND(""unit"",A102))=FALSE),VLOOKUP(LEFT(A102,FIND("" "",A102))&amp;""carcass ""&amp;RIGHT(A102,LEN(A102)-len(regexextract(A102,"".* ""))),KitchensData,13,0),IF(ISERROR(FIND(""bins"",A102))=FALS"&amp;"E,0.95,IF(ISERROR(FIND(""Cutlery insert 600"",A102))=FALSE,1.3,IF(ISERROR(FIND(""Cutlery insert 1200"",A102))=FALSE,2,IF(ISERROR(FIND(""Pan/tray rack 600"",A102))=FALSE,3.25,IF(ISERROR(FIND(""Pan/tray rack 1200"",A102))=FALSE,5.9,IF(ISERROR(FIND(""split"""&amp;",A102))=FALSE,(((C102/1000)*0.022)*2)+VLOOKUP(SUBSTITUTE(A102,"" split"",""""),KitchensData,13,0),IF(AND(ISERROR(FIND(""drawer front"",A102))=FALSE,KitchenDoorStyle=""Flat""),(((B102/1000)*(C102/1000))*2)+((((B102+C102)/1000)*2)*0.022),IF(AND(ISERROR(FIND"&amp;"(""drawer front"",A102))=FALSE,LEFT(KitchenDoorStyle,5)=""Panel""),(((B102/1000)*(C102/1000))*2)+((((B102+C102)/1000)*2)*0.022)+((((C102/1000)-0.16)*0.013)*2)+((((D102/1000)-0.16)*0.013)*2),IF(AND(ISERROR(FIND(""drawer front"",A102))=FALSE,KitchenDoorStyl"&amp;"e=""In-frame flat""),((((B102-76)/1000)*((C102-38)/1000))*2)+(MID(KitchenDoorMaterial,FIND(""("",KitchenDoorMaterial)+1,2)/1000)*((((B102-76)+(C102-38))/1000)*2)+(((B102/1000)*0.032)*2)+((((B102-76)/1000)*0.032)*2)+(((B102/1000)*0.019)*4)+(((C102/1000)*0."&amp;"032)*2)+((((C102-38)/1000)*0.032)*2)+(((C102/1000)*0.038)*4),IF(AND(ISERROR(FIND(""drawer front"",A102))=FALSE,LEFT(KitchenDoorStyle,14)=""In-frame panel""),((((B102-76)/1000)*((C102-38)/1000))*2)+((MID(KitchenDoorMaterial,FIND(""("",KitchenDoorMaterial)+"&amp;"1,2)/1000)*((((B102-76)+(C102-38))/1000)*2))+((((B102-236)/1000)+((C102-198)/1000)*2)*0.013)+(((B102/1000)*0.032)*2)+((((B102-76)/1000)*0.032)*2)+(((B102/1000)*0.019)*4)+(((C102/1000)*0.032)*2)+((((C102-38)/1000)*0.032)*2)+(((C102/1000)*0.038)*4),IF(ISERR"&amp;"OR(FIND(""drawer box"",A102))=FALSE,((((B102/1000)*(D102/1000))+((B102/1000)*(C102/1000)))*4)+((((D102/1000)+(C102/1000))*0.016)*4)+(((C102/1000)*(D102/1000))*2),IF(OR(ISERROR(FIND(""shelf"",A102))=FALSE,ISERROR(FIND(""spacer"",A102))=FALSE,,ISERROR(FIND("&amp;"""filler panel"",A102))=FALSE),(((C102/1000)*(D102/1000))*2)+((((C102+D102)*2)/1000)*0.022),IF(ISERROR(FIND(""lost corner"",A102))=FALSE,(((B102/1000)*(C102/1000))*2)+((B102/1000)*(C102/1000))+((B102/1000)*((C102/2)/1000))+((((B102/1000)*0.025)+((C102/100"&amp;"0)*0.025))*2),IF(ISERROR(FIND(""carcass"",A102))=FALSE,(((C102/1000)*(D102/1000))*2)+(((B102/1000)*(D102/1000))*2)+((B102/1000)*(C102/1000))+((((B102/1000)*0.025)+((C102/1000)*0.025))*2),IF(AND(ISERROR(FIND(""door"",A102))=FALSE,KitchenDoorStyle=""Flat"")"&amp;",(((B102/1000)*(C102/1000))*2)+(MID(KitchenDoorMaterial,FIND(""("",KitchenDoorMaterial)+1,2)/1000)*(((B102+C102)/1000)*2),IF(AND(ISERROR(FIND(""door"",A102))=FALSE,LEFT(KitchenDoorStyle,5)=""Panel""),(((B102/1000)*(C102/1000))*2)+((MID(KitchenDoorMaterial"&amp;",FIND(""("",KitchenDoorMaterial)+1,2)/1000)*(((B102+C102)/1000)*2))+(((((B102-160)+(C102-160))*2)/1000)*(0.013)),IF(AND(ISERROR(FIND(""door"",A102))=FALSE,KitchenDoorStyle=""In-frame flat""),((((B102-76)/1000)*((C102-38)/1000))*2)+(MID(KitchenDoorMaterial"&amp;",FIND(""("",KitchenDoorMaterial)+1,2)/1000)*((((B102-76)+(C102-38))/1000)*2)+(((B102/1000)*0.032)*2)+((((B102-76)/1000)*0.032)*2)+(((B102/1000)*0.019)*4)+(((C102/1000)*0.032)*2)+((((C102-38)/1000)*0.032)*2)+(((C102/1000)*0.038)*4),IF(AND(ISERROR(FIND(""do"&amp;"or"",A102))=FALSE,LEFT(KitchenDoorStyle,14)=""In-frame panel""),((((B102-76)/1000)*((C102-38)/1000))*2)+((MID(KitchenDoorMaterial,FIND(""("",KitchenDoorMaterial)+1,2)/1000)*((((B102-76)+(C102-38))/1000)*2))+((((B102-236)/1000)+((C102-198)/1000)*2)*0.013)+"&amp;"(((B102/1000)*0.032)*2)+((((B102-76)/1000)*0.032)*2)+(((B102/1000)*0.019)*4)+(((C102/1000)*0.032)*2)+((((C102-38)/1000)*0.032)*2)+(((C102/1000)*0.038)*4),IF(ISERROR(FIND(""Plinth"",A102))=FALSE,((B102/1000)*(C102/1000))+(((C102/1000)*0.018)*2)+(((B102/100"&amp;"0)*0.018)*2),IF(ISERROR(FIND(""Cornice"",A102))=FALSE,(((C102/1000)*0.1)*2)+(((C102/1000)*0.044)*2)+(((B102/1000)*0.08)*2),IF(ISERROR(FIND(""Base end panel"",A102))=FALSE,((B102/1000)*(C102/1000))+(0.022*((B102/1000)+((C102/1000)*2)))+((B102/1000)*0.05),I"&amp;"F(ISERROR(FIND(""Wall end panel"",A102))=FALSE,((B102/1000)*(C102/1000))+(0.022*((B102/1000)+((C102/1000)*2)))+((B102/1000)*0.05),IF(ISERROR(FIND(""Tower end panel"",A102))=FALSE,((B102/1000)*(C102/1000))+(0.022*((B102/1000)+((C102/1000)*2)))+((B102/1000)"&amp;"*0.05),IF(ISERROR(FIND(""Fillers"",A102))=FALSE,((C102/1000)*0.06)+((C102/1000)*0.069)+((0.06*0.018)*2)+((0.06*0.009)*2)+((C102/1000)*0.009)+((C102/1000)*0.018),IF(ISERROR(FIND(""corner post"",A102))=FALSE,(((B102/1000*0.05)*2)+((B102/1000)*0.022)*2)+((B1"&amp;"02/1000)*0.072)+((B102/1000)*0.05)+((0.072*0.022)*2)+((0.05*0.022)*2),IF(ISERROR(FIND(""Pelmet"",A102))=FALSE,((C102/1000)*0.05)+((C102/1000)*0.068)+((0.05*0.018)*4)+(((C102/1000)*0.018))*2))))))))))))))))))))))))))))"),0.37764000000000003)</f>
        <v>0.37764</v>
      </c>
      <c r="N102" s="152">
        <f>IF(M102="","",IF(AND(ISERROR(FIND("carcass",A102))=TRUE,ISERROR(FIND("unit",A102))=TRUE,ISERROR(FIND("insert",A102))=TRUE,ISERROR(FIND("rack",A102))=TRUE,ISERROR(FIND("box",A102))=TRUE,ISERROR(FIND("shelf",#REF!))=TRUE),VLOOKUP(KitchenDoorFinish,Finishing!$A$2:$K$10,9,0)*M102,VLOOKUP(KitchenCarcassFinish,Finishing!$A$2:$K$40,9,0)*M102))</f>
        <v>2.8323</v>
      </c>
      <c r="O102" s="155">
        <v>1.0</v>
      </c>
      <c r="P102" s="155">
        <v>1.0</v>
      </c>
      <c r="Q102" s="152">
        <f>IF(OR(O102="",P102=""),"",((O102*X102)*(VLOOKUP("Workshop",Labour!$A$3:$E$20,4,0)/8))+((P102*AE102)*(VLOOKUP("Finishing",Labour!$A$3:$E$20,4,0)/8)))</f>
        <v>99.75</v>
      </c>
      <c r="R102" s="152">
        <f t="shared" si="4"/>
        <v>109.6884543</v>
      </c>
      <c r="S102" s="156">
        <f>IF(OR(O102="",P102=""),"",IF(OR(ISERROR(FIND("carcass",$A102))=FALSE,ISERROR(FIND("unit",$A102))=FALSE),VLOOKUP(KitchenCarcassMaterial,FixedListsCarcassMaterial,2,0),0))</f>
        <v>0</v>
      </c>
      <c r="T102" s="156">
        <f>IF(OR(O102="",P102=""),"",IF(ISERROR(FIND("door",$A102))=FALSE,VLOOKUP(KitchenDoorStyle,FixedListsDoorStyle,2,0),0))</f>
        <v>0</v>
      </c>
      <c r="U102" s="156">
        <f>IF(OR(O102="",P102=""),"",IF(ISERROR(FIND("door",$A102))=FALSE,VLOOKUP(KitchenDoorMaterial,FixedListsDoorMaterial,2,0),0))</f>
        <v>0</v>
      </c>
      <c r="V102" s="156">
        <f>IF(OR(O102="",P102=""),"",IF(ISERROR(FIND("drawer",$A102))=FALSE,VLOOKUP(KitchenDrawerType,FixedListsDrawerType,2,0),0))</f>
        <v>0</v>
      </c>
      <c r="W102" s="156">
        <f>IF(OR(O102="",P102=""),"",IF(OR(S102&gt;0, T102&gt;0,V102&gt;0),VLOOKUP(KitchenHandleType,FixedListsHandleType,2,FALSE)*IF(KitchenHandleType="Simple",0,IF(S102&gt;0,VLOOKUP(KitchenHandleType,FixedListsHandleType,4,FALSE),IF(OR(T102&gt;0,V102&gt;0),1-VLOOKUP(KitchenHandleType,FixedListsHandleType,4,FALSE),"Error"))),0))</f>
        <v>0</v>
      </c>
      <c r="X102" s="156">
        <f t="shared" si="5"/>
        <v>1</v>
      </c>
      <c r="Y102" s="156">
        <f>IF(OR(O102="",P102=""),"",IF(OR(ISERROR(FIND("carcass",$A102))=FALSE,ISERROR(FIND("unit",$A102))=FALSE),VLOOKUP(KitchenCarcassMaterial,FixedListsCarcassMaterial,3,0),0))</f>
        <v>0</v>
      </c>
      <c r="Z102" s="156">
        <f>IF(OR(O102="",P102=""),"",IF(ISERROR(FIND("door",$A102))=FALSE,VLOOKUP(KitchenDoorStyle,FixedListsDoorStyle,3,0),0))</f>
        <v>0</v>
      </c>
      <c r="AA102" s="156">
        <f>IF(OR(O102="",P102=""),"",IF(ISERROR(FIND("door",$A102))=FALSE,VLOOKUP(KitchenDoorMaterial,FixedListsDoorMaterial,3,0),0))</f>
        <v>0</v>
      </c>
      <c r="AB102" s="156">
        <f>IF(OR(O102="",P102=""),"",IF(ISERROR(FIND("drawer",$A102))=FALSE,VLOOKUP(KitchenDrawerType,FixedListsDrawerType,3,0),0))</f>
        <v>0</v>
      </c>
      <c r="AC102" s="156">
        <f>IF(OR(O102="",P102=""),"",IF(OR(Y102&gt;0,Z102&gt;0,AB102&gt;0),VLOOKUP(KitchenHandleType,FixedListsHandleType,3,FALSE),0))</f>
        <v>0</v>
      </c>
      <c r="AD102" s="156">
        <f>IF(OR(O102="",P102=""),"",IF(OR(ISERROR(FIND("carcass",$A102))=FALSE,ISERROR(FIND("unit",$A102))=FALSE),VLOOKUP(KitchenCarcassFinish,FixedListsFinishes,3,0),IF(OR(ISERROR(FIND("door",$A102))=FALSE,ISERROR(FIND("Plinth",$A102))=FALSE,ISERROR(FIND("Cornice",$A102))=FALSE,ISERROR(FIND("Fillers",$A102))=FALSE,ISERROR(FIND("Pelmet",$A102))=FALSE,ISERROR(FIND("panel",$A102))=FALSE,ISERROR(FIND("post",$A102))=FALSE),VLOOKUP(KitchenDoorFinish,FixedListsFinishes,3,0),IF(OR(ISERROR(FIND("drawer",$A102))=FALSE,ISERROR(FIND("insert",$A102))=FALSE,ISERROR(FIND("rck",$A102))=FALSE),VLOOKUP(KitchenCarcassFinish,FixedListsFinishes,3,0),0))))</f>
        <v>2</v>
      </c>
      <c r="AE102" s="156">
        <f t="shared" si="6"/>
        <v>2</v>
      </c>
      <c r="AF102" s="157" t="str">
        <f>IF(AND(KitchenHandleType="Channel",OR(ISERROR(FIND("arcass",$A102))=FALSE,ISERROR(FIND("unit",$A102))=FALSE)),IF(ISERROR(FIND("Tower",$A102))=TRUE,IF(KitchenHandleFinish="Match carcass",IF(ISERROR(FIND("Walnut",KitchenCarcassMaterial))=FALSE,(0.035*0.075*($C102/1000))*VLOOKUP("Walnut (solid m3)",SolidData,4,FALSE),IF(ISERROR(FIND("Oak",KitchenCarcassMaterial))=FALSE,(0.035*0.075*($C102/1000))*VLOOKUP("Oak (solid m3)",SolidData,4,FALSE),IF(ISERROR(FIND("ply",KitchenCarcassMaterial))=FALSE,(0.1*($C102/1000))*VLOOKUP("Birch ply (24mm)",SheetsData,7,FALSE),IF(ISERROR(FIND("H/F",KitchenCarcassMaterial))=FALSE,(0.1*($C102/1000))*VLOOKUP("H/F (22mm)",SheetsData,7,FALSE),"Carcass - not tower - new material")))),IF(KitchenHandleFinish="Match door",IF(ISERROR(FIND("Walnut",KitchenDoorMaterial))=FALSE,(0.035*0.075*($C102/1000))*VLOOKUP("Walnut (solid m3)",SolidData,4,FALSE),IF(ISERROR(FIND("Oak",KitchenDoorMaterial))=FALSE,(0.035*0.075*($C102/1000))*VLOOKUP("Oak (solid m3)",SolidData,4,FALSE),IF(ISERROR(FIND("ply",KitchenDoorMaterial))=FALSE,(0.1*($C102/1000))*VLOOKUP("Birch ply (24mm)",SheetsData,7,FALSE),IF(ISERROR(FIND("H/F",KitchenCarcassMaterial))=FALSE,(0.1*($C102/1000))*VLOOKUP("H/F (22mm)",SheetsData,7,FALSE),"Door - not tower - new material")))),"Channel - not tower - handle set to other")),IF(ISERROR(FIND("Tower",$A102))=FALSE,IF(KitchenHandleFinish="Match carcass",IF(ISERROR(FIND("Walnut",KitchenCarcassMaterial))=FALSE,(0.035*0.075*($B102/1000))*VLOOKUP("Walnut (solid m3)",SolidData,4,FALSE),IF(ISERROR(FIND("Oak",KitchenCarcassMaterial))=FALSE,(0.035*0.075*($B102/1000))*VLOOKUP("Oak (solid m3)",SolidData,4,FALSE),IF(ISERROR(FIND("ply",KitchenCarcassMaterial))=FALSE,(0.1*($B102/1000))*VLOOKUP("Birch ply (24mm)",SheetsData,7,FALSE),IF(ISERROR(FIND("H/F",KitchenCarcassMaterial))=FALSE,(0.1*($C102/1000))*VLOOKUP("H/F (22mm)",SheetsData,7,FALSE),"Carcass - tower - new material")))),IF(KitchenHandleFinish="Match door",IF(ISERROR(FIND("Walnut",KitchenDoorMaterial))=FALSE,(0.035*0.075*($B102/1000))*VLOOKUP("Walnut (solid m3)",SolidData,4,FALSE),IF(ISERROR(FIND("Oak",KitchenDoorMaterial))=FALSE,(0.035*0.075*($B102/1000))*VLOOKUP("Oak (solid m3)",SolidData,4,FALSE),IF(ISERROR(FIND("ply",KitchenDoorMaterial))=FALSE,(0.1*($B102/1000))*VLOOKUP("Birch ply (24mm)",SheetData,7,FALSE),IF(ISERROR(FIND("H/F",KitchenCarcassMaterial))=FALSE,(0.1*($C102/1000))*VLOOKUP("H/F (22mm)",SheetsData,7,FALSE),"Door - tower - new material")))),"Channel - tower - handle set to other")))),"")</f>
        <v/>
      </c>
    </row>
    <row r="103">
      <c r="A103" s="150" t="s">
        <v>211</v>
      </c>
      <c r="B103" s="115">
        <f t="shared" si="1"/>
        <v>800</v>
      </c>
      <c r="C103" s="115" t="str">
        <f>IFERROR(__xludf.DUMMYFUNCTION("IF(A103="""","""",IF(OR(RIGHT(A103,LEN(A103)-len(regexextract(A103,"".* "")))=""1200"",RIGHT(A103,LEN(A103)-len(regexextract(A103,"".* "")))=""600"",RIGHT(A103,LEN(A103)-len(regexextract(A103,"".* "")))=""400"",RIGHT(A103,LEN(A103)-len(regexextract(A103,"&amp;""".* "")))=""300"",RIGHT(A103,LEN(A103)-len(regexextract(A103,"".* "")))=""700"",RIGHT(A103,LEN(A103)-len(regexextract(A103,"".* "")))=""2400"",RIGHT(A103,LEN(A103)-len(regexextract(A103,"".* "")))=""650"",RIGHT(A103,LEN(A103)-len(regexextract(A103,"".* "&amp;""")))=""350"",RIGHT(A103,LEN(A103)-len(regexextract(A103,"".* "")))=""50""),RIGHT(A103,LEN(A103)-len(regexextract(A103,"".* ""))),IF(OR(ISERROR(FIND(""spacer"",A103))=FALSE,ISERROR(FIND(""filler panel"",A103))=FALSE),""1000"",""Unexpected size in descript"&amp;"ion"")))"),"1200")</f>
        <v>1200</v>
      </c>
      <c r="D103" s="151">
        <f t="shared" si="2"/>
        <v>600</v>
      </c>
      <c r="E103" s="152">
        <f>IFERROR(__xludf.DUMMYFUNCTION("IF(OR(A103="""",AND(ISERROR(FIND(""drawer box"",A103))=FALSE,KitchenDrawerType="""")),"""",IF(OR(ISERROR(FIND(""larder"",A103))=FALSE,ISERROR(FIND(""fridge/freezer"",A103))=FALSE,ISERROR(FIND(""double oven"",A103))=FALSE,ISERROR(FIND(""single oven"",A103)"&amp;")=FALSE),VLOOKUP(LEFT(A103,FIND("" "",A103))&amp;""carcass ""&amp;RIGHT(A103,LEN(A103)-(LEN(A103)-3)),KitchensData,5,0),IF(ISERROR(FIND(""sink"",A103))=FALSE,VLOOKUP(LEFT(A103,FIND("" "",A103))&amp;""carcass ""&amp;VALUE(REGEXREPLACE(A103,""[^[:digit:]]"", """")),Kitchen"&amp;"sData,5,0)+(((C103/1000)*(300/1000))*VLOOKUP(KitchenCarcassMaterial,SheetsData,8,0)),IF(ISERROR(FIND(""bins"",A103))=FALSE,IF(ISERROR(FIND(""veneer"",KitchenCarcassMaterial))=FALSE,VLOOKUP(""Base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600"",A103))=FALSE,IF(ISERR"&amp;"OR(FIND(""veneer"",KitchenCarcassMaterial))=FALSE,0.54*(VLOOKUP(LEFT(KitchenCarcassMaterial,FIND(""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1"&amp;"200"",A103))=FALSE,IF(ISERROR(FIND(""veneer"",KitchenCarcassMaterial))=FALSE,0.84*(VLOOKUP(LEFT(KitchenCarcassMaterial,FIND(""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600"",A103))=FALSE,IF(ISERROR(FIND(""veneer"",KitchenCarcassMaterial))=FALSE,1.44*(VLOOKUP(LEFT(KitchenCarcassMaterial,FIND(""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1200"",A103))=FALSE,IF(ISERROR(FIND(""veneer"",KitchenCarcassMaterial))=FALSE,2.7*(VLOOKUP(LEFT(KitchenCarcassMaterial,FIND(""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front"",A103))=FALSE,((B103/1000)*(C103/1000))*VLOOKUP(KitchenDoorMaterial,SheetsData,8,0),IF(AND(KitchenDrawerType=""Match carcass"",ISERROR(FIND(""drawer box"",A103))=FALSE),(((((B103/10"&amp;"00)*(C103/1000))+((B103/1000)*(D103/1000)))*2)*VLOOKUP(KitchenCarcassMaterial,SheetsData,8,0))+(((C103/1000)*(D103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box"",A103))=FALSE),(((((B103/1000)*(C103/1000))+((B103/1000)*(D103/1000)))*2)*(16/1000)*VLOOKUP(L"&amp;"EFT(KitchenCarcassMaterial,FIND("" "",KitchenCarcassMaterial))&amp;""(solid m3)"",SolidData,5,0))+(((C103/1000)*(D103/1000))*VLOOKUP(LEFT(KitchenCarcassMaterial,FIND(""("",KitchenCarcassMaterial)-1)&amp;IF(OR(ISERROR(FIND(""ply"",KitchenCarcassMaterial))=FALSE,IS"&amp;"ERROR(FIND(""H/F"",KitchenCarcassMaterial))=FALSE),""(9mm)"",""(10mm)""),SheetsData,8,0)),IF(ISERROR(FIND(""spacer"",A103))=FALSE,((D103/1000)*(C103/1000))*VLOOKUP(""Poplar ply (18mm)"",SheetsData,8,0),IF(ISERROR(FIND(""filler panel"",A103))=FALSE,((B103/"&amp;"1000)*(C103/1000))*VLOOKUP(KitchenDoorMaterial,SheetsData,8,0),IF(ISERROR(FIND(""shelf"",A103))=FALSE,((D103/1000)*(C103/1000))*VLOOKUP(KitchenCarcassMaterial,SheetsData,8,0),IF(ISERROR(FIND(""lost corner"",A103))=FALSE,VLOOKUP(LEFT(A103,FIND("" "",A103))"&amp;"&amp;""carcass ""&amp;VALUE(REGEXREPLACE(A103,""[^[:digit:]]"", """")),KitchensData,5,0)+((((B103/1000)*(C103/1000))+((B103/1000)*(60/1000)))*VLOOKUP(KitchenCarcassMaterial,SheetsData,8,0)),IF(ISERROR(FIND(""carcass"",A103))=FALSE,(((((B103/1000)*2)*(D103/1000))+"&amp;"(((C103/1000)*2)*(D103/1000)))*VLOOKUP(KitchenCarcassMaterial,SheetsData,8,0))+((B103/1000)*(C103/1000))*VLOOKUP(LEFT(KitchenCarcassMaterial,FIND(""("",KitchenCarcassMaterial)-1)&amp;IF(OR(ISERROR(FIND(""ply"",KitchenCarcassMaterial))=FALSE,ISERROR(FIND(""H/F"&amp;""",KitchenCarcassMaterial))=FALSE),""(9mm)"",""(10mm)""),SheetsData,8,0),IF(OR(ISERROR(FIND(""Plinth"",A103))=FALSE,ISERROR(FIND(""Cornice (flat)"",A103))=FALSE),((B103/1000)*(C103/1000))*VLOOKUP(""H/F (18mm)"",SheetsData,8,0),IF(ISERROR(FIND(""Cornice (s"&amp;"tacked)"",A103))=FALSE,((0.08*(C103/1000))*2)*VLOOKUP(""H/F (22mm)"",SheetsData,8,0),IF(ISERROR(FIND(""Base end panel"",A103))=FALSE,VLOOKUP(KitchenDoorMaterial,SheetsData,5,0)/3,IF(ISERROR(FIND(""Wall end panel"",A103))=FALSE,VLOOKUP(KitchenDoorMaterial,"&amp;"SheetsData,5,0)/9,IF(ISERROR(FIND(""Tower end panel"",A103))=FALSE,VLOOKUP(KitchenDoorMaterial,SheetsData,5,0),IF(ISERROR(FIND(""Fillers"",A103))=FALSE,(((0.06*(C103/1000))*2)*VLOOKUP(""H/F (18mm)"",SheetsData,8,0))+(((0.06*(C103/1000))*2)*VLOOKUP(""H/F ("&amp;"9mm)"",SheetsData,8,0)),IF(ISERROR(FIND(""corner post"",A103))=FALSE,(((B103/1000)*0.05)*2)*VLOOKUP(KitchenDoorMaterial,SheetsData,8,0),IF(ISERROR(FIND(""Pelmet"",A103))=FALSE,((((B103/1000)*(C103/1000))*2)*VLOOKUP(""H/F (18mm)"",SheetsData,8,0)),IF(ISERR"&amp;"OR(FIND(""door"",A103))=TRUE,""Check description"",IF(KitchenDoorStyle=""Flat"",((B103/1000)*(C103/1000))*VLOOKUP(KitchenDoorMaterial,SheetsData,8,0),IF(LEFT(KitchenDoorStyle,5)=""Panel"",(((((B103/1000)*2)*0.08)+((((C103/1000)-0.16)*2)*0.08))*VLOOKUP(""H"&amp;"/F (22mm)"",SheetsData,8,0))+(((B103/1000)-0.14)*((C103/1000)-0.14)*VLOOKUP(""H/F (9mm)"",SheetsData,8,0)),IF(KitchenDoorStyle=""In-frame flat"",((((((B103/1000)*0.019)*0.038)+((((C103-38)/1000)*0.038)*0.038))*2)*VLOOKUP(""Tulip (solid m3)"",SolidData,5,0"&amp;"))+(((B103-76)/1000)*((C103-38)/1000))*VLOOKUP(""H/F (22mm)"",SheetsData,8,0),IF(LEFT(KitchenDoorStyle,14)=""In-frame panel"",(((((((B103/1000)*0.019)*0.038)+((((C103-38)/1000)*0.038)*0.038))*2)*VLOOKUP(""Tulip (solid m3)"",SolidData,5,0))+(((((((B103-76)"&amp;"/1000)*2)*0.08)+(((((C103-198)/1000)*2)*0.08)))*VLOOKUP(""H/F (22mm)"",SheetsData,8,0))+(((B103-216)/1000)*((C103-178)/1000)*VLOOKUP(""H/F (9mm)"",SheetsData,8,0)))))))))))))))))))))))))))))))))"),100.40042999193766)</f>
        <v>100.40043</v>
      </c>
      <c r="F103" s="152">
        <f>IFERROR(__xludf.DUMMYFUNCTION("IF(OR(A103="""",AND(ISERROR(FIND(""drawer box"",A103))=FALSE,KitchenDrawerType=""Solid dovetail"")),"""",IF(ISERROR(FIND(""bins"",A103))=FALSE,VLOOKUP(""Base carcass 600"",KitchensData,6,0),IF(OR(ISERROR(FIND(""larder"",A103))=FALSE,ISERROR(FIND(""unit"","&amp;"A103))=FALSE),VLOOKUP(LEFT(A103,FIND("" "",A103))&amp;""carcass ""&amp;RIGHT(A103,LEN(A103)-len(regexextract(A103,"".* ""))),KitchensData,6,0),IF(ISERROR(FIND(""drawer front"",A103))=FALSE,IF(ISERROR(FIND(""veneer"",KitchenCarcassMaterial))=TRUE,0,(((B103+C103)/1"&amp;"000)*2)*VLOOKUP(""Edge banding (per M)"",SheetsData,5,0)),IF(ISERROR(FIND(""drawer box"",A103))=FALSE,IF(ISERROR(FIND(""veneer"",KitchenCarcassMaterial))=TRUE,0,(((C103+D103)/1000)*2)*VLOOKUP(""Edge banding (per M)"",SheetsData,5,0)),IF(ISERROR(FIND(""she"&amp;"lf"",A103))=FALSE,IF(ISERROR(FIND(""veneer"",KitchenCarcassMaterial))=TRUE,0,(C103/1000)*VLOOKUP(""Edge banding (per M)"",SheetsData,5,0)),IF(AND(ISERROR(FIND(""carcass"",A103))=FALSE,ISERROR(FIND(""shelf"",A103))=TRUE),IF(ISERROR(FIND(""veneer"",KitchenC"&amp;"arcassMaterial))=TRUE,0,((2*(B103+C103))/1000)*VLOOKUP(""Edge banding (per M)"",SheetsData,5,0)),IF(ISERROR(FIND(""door"",A103))=TRUE,"""",IF(ISERROR(FIND(""veneer"",KitchenDoorMaterial))=TRUE,"""",((2*(B103+C103))/1000)*VLOOKUP(""Edge banding (per M)"",S"&amp;"heetsData,5,0))))))))))"),0.0)</f>
        <v>0</v>
      </c>
      <c r="G103" s="153">
        <f>IF(A103="","",IF(ISERROR(FIND("bins",A103))=FALSE,VLOOKUP("Base carcass 600",KitchensData,7,0),IF(OR(ISERROR(FIND("larder",A103))=FALSE,ISERROR(FIND("fridge/freezer",A103))=FALSE,ISERROR(FIND("double oven",A103))=FALSE,ISERROR(FIND("single oven",A103))=FALSE),VLOOKUP(LEFT(A103,FIND(" ",A103))&amp;"carcass "&amp;RIGHT(A103,LEN(A103)-(LEN(A103)-3)),KitchensData,7,0),IF(AND(ISERROR(FIND("carcass",A103))=FALSE,ISERROR(FIND("shelf",A103))=TRUE),IF(OR(ISERROR(FIND("Base",A103))=FALSE,ISERROR(FIND("Tower",A103))=FALSE),IF(OR(ISERROR(FIND("1200",A103))=FALSE, ISERROR(FIND("lost corner",A103))=FALSE),6*VLOOKUP("Plinth foot (2 Parts 80mm)",FurnitureData,5,0),4*VLOOKUP("Plinth foot (2 Parts 80mm)",FurnitureData,5,0)),""),""))))</f>
        <v>5.7</v>
      </c>
      <c r="H103" s="115" t="str">
        <f>IF(OR(A103="",ISERROR(FIND("door",A103))=TRUE),"",IF(ISERROR(FIND("Wall",A103))=FALSE,VLOOKUP("Hinges &amp; plates (Hettich thick door)",FurnitureData,5,0)*2,IF(ISERROR(FIND("Base",A103))=FALSE,VLOOKUP("Hinges &amp; plates (Hettich thick door)",FurnitureData,5,0)*3,IF(ISERROR(FIND("Boiler",A103))=FALSE,VLOOKUP("Hinges &amp; plates (Hettich thick door)",FurnitureData,5,0)*4,IF(ISERROR(FIND("Tower",A103))=FALSE,VLOOKUP("Hinges &amp; plates (Hettich thick door)",FurnitureData,5,0)*5)))))</f>
        <v/>
      </c>
      <c r="I103" s="115" t="str">
        <f>IF(ISERROR(FIND("shelf",A103))=FALSE,(VLOOKUP("Shelf pegs",FurnitureData,5,0)/100)*4,"")</f>
        <v/>
      </c>
      <c r="J103" s="152" t="str">
        <f>IF(OR(ISERROR(FIND("fridge/freezer",A103))=FALSE,ISERROR(FIND("larder",A103))=FALSE,AND(ISERROR(FIND("Base",A103))=FALSE,ISERROR(FIND("bins",A103))=TRUE,ISERROR(FIND("no shelves",A103))=TRUE,OR(ISERROR(FIND("carcass",A103))=FALSE,ISERROR(FIND("unit",A103))=FALSE))),VLOOKUP("Deep shelf "&amp;C103,KitchensData,18,0),IF(AND(ISERROR(FIND("Wall",A103))=FALSE,ISERROR(FIND("carcass",A103))=FALSE),2*VLOOKUP("Shallow shelf "&amp;C103,KitchensData,18,0),IF(AND(ISERROR(FIND("Tower",A103))=FALSE,ISERROR(FIND("oven",A103))=FALSE),4*VLOOKUP("Deep shelf "&amp;C103,KitchensData,18,0),IF(AND(ISERROR(FIND("Tower",A103))=FALSE,ISERROR(FIND("carcass",A103))=FALSE),5*VLOOKUP("Deep shelf "&amp;C103,KitchensData,18,0),""))))</f>
        <v/>
      </c>
      <c r="K103" s="152" t="str">
        <f>IF(ISERROR(FIND("sink",A103))=FALSE,VLOOKUP("Sink liner - Aluminium "&amp;RIGHT(A103,LEN(A103)-22)&amp;"mm",ExceptionalData,5,0),IF(ISERROR(FIND("bins",A103))=FALSE,VLOOKUP("Drawer runners and clip set for bin unit (500) Dynapro",FurnitureData,5,0)+(2*VLOOKUP("Bin (42L Anthracite)",FurnitureData,5,0)),IF(ISERROR(FIND("larder",A103))=FALSE,VLOOKUP("Pull out larder unit 600mm",FurnitureData,5,0),IF(AND(ISERROR(FIND("drawer box",A103))=FALSE,ISERROR(FIND("internal",A103))=TRUE),VLOOKUP("Drawer runners and clip set (550) Dynapro",FurnitureData,5,0),IF(ISERROR(FIND("internal drawer box",A103))=FALSE,VLOOKUP("Drawer runners and clip set (450) Dynapro",FurnitureData,5,0),"")))))</f>
        <v/>
      </c>
      <c r="L103" s="152">
        <f t="shared" si="3"/>
        <v>106.10043</v>
      </c>
      <c r="M103" s="154">
        <f>IFERROR(__xludf.DUMMYFUNCTION("IF(A103="""","""",IF(OR(ISERROR(FIND(""larder"",A103))=FALSE,ISERROR(FIND(""unit"",A103))=FALSE),VLOOKUP(LEFT(A103,FIND("" "",A103))&amp;""carcass ""&amp;RIGHT(A103,LEN(A103)-len(regexextract(A103,"".* ""))),KitchensData,13,0),IF(ISERROR(FIND(""bins"",A103))=FALS"&amp;"E,0.95,IF(ISERROR(FIND(""Cutlery insert 600"",A103))=FALSE,1.3,IF(ISERROR(FIND(""Cutlery insert 1200"",A103))=FALSE,2,IF(ISERROR(FIND(""Pan/tray rack 600"",A103))=FALSE,3.25,IF(ISERROR(FIND(""Pan/tray rack 1200"",A103))=FALSE,5.9,IF(ISERROR(FIND(""split"""&amp;",A103))=FALSE,(((C103/1000)*0.022)*2)+VLOOKUP(SUBSTITUTE(A103,"" split"",""""),KitchensData,13,0),IF(AND(ISERROR(FIND(""drawer front"",A103))=FALSE,KitchenDoorStyle=""Flat""),(((B103/1000)*(C103/1000))*2)+((((B103+C103)/1000)*2)*0.022),IF(AND(ISERROR(FIND"&amp;"(""drawer front"",A103))=FALSE,LEFT(KitchenDoorStyle,5)=""Panel""),(((B103/1000)*(C103/1000))*2)+((((B103+C103)/1000)*2)*0.022)+((((C103/1000)-0.16)*0.013)*2)+((((D103/1000)-0.16)*0.013)*2),IF(AND(ISERROR(FIND(""drawer front"",A103))=FALSE,KitchenDoorStyl"&amp;"e=""In-frame flat""),((((B103-76)/1000)*((C103-38)/1000))*2)+(MID(KitchenDoorMaterial,FIND(""("",KitchenDoorMaterial)+1,2)/1000)*((((B103-76)+(C103-38))/1000)*2)+(((B103/1000)*0.032)*2)+((((B103-76)/1000)*0.032)*2)+(((B103/1000)*0.019)*4)+(((C103/1000)*0."&amp;"032)*2)+((((C103-38)/1000)*0.032)*2)+(((C103/1000)*0.038)*4),IF(AND(ISERROR(FIND(""drawer front"",A103))=FALSE,LEFT(KitchenDoorStyle,14)=""In-frame panel""),((((B103-76)/1000)*((C103-38)/1000))*2)+((MID(KitchenDoorMaterial,FIND(""("",KitchenDoorMaterial)+"&amp;"1,2)/1000)*((((B103-76)+(C103-38))/1000)*2))+((((B103-236)/1000)+((C103-198)/1000)*2)*0.013)+(((B103/1000)*0.032)*2)+((((B103-76)/1000)*0.032)*2)+(((B103/1000)*0.019)*4)+(((C103/1000)*0.032)*2)+((((C103-38)/1000)*0.032)*2)+(((C103/1000)*0.038)*4),IF(ISERR"&amp;"OR(FIND(""drawer box"",A103))=FALSE,((((B103/1000)*(D103/1000))+((B103/1000)*(C103/1000)))*4)+((((D103/1000)+(C103/1000))*0.016)*4)+(((C103/1000)*(D103/1000))*2),IF(OR(ISERROR(FIND(""shelf"",A103))=FALSE,ISERROR(FIND(""spacer"",A103))=FALSE,,ISERROR(FIND("&amp;"""filler panel"",A103))=FALSE),(((C103/1000)*(D103/1000))*2)+((((C103+D103)*2)/1000)*0.022),IF(ISERROR(FIND(""lost corner"",A103))=FALSE,(((B103/1000)*(C103/1000))*2)+((B103/1000)*(C103/1000))+((B103/1000)*((C103/2)/1000))+((((B103/1000)*0.025)+((C103/100"&amp;"0)*0.025))*2),IF(ISERROR(FIND(""carcass"",A103))=FALSE,(((C103/1000)*(D103/1000))*2)+(((B103/1000)*(D103/1000))*2)+((B103/1000)*(C103/1000))+((((B103/1000)*0.025)+((C103/1000)*0.025))*2),IF(AND(ISERROR(FIND(""door"",A103))=FALSE,KitchenDoorStyle=""Flat"")"&amp;",(((B103/1000)*(C103/1000))*2)+(MID(KitchenDoorMaterial,FIND(""("",KitchenDoorMaterial)+1,2)/1000)*(((B103+C103)/1000)*2),IF(AND(ISERROR(FIND(""door"",A103))=FALSE,LEFT(KitchenDoorStyle,5)=""Panel""),(((B103/1000)*(C103/1000))*2)+((MID(KitchenDoorMaterial"&amp;",FIND(""("",KitchenDoorMaterial)+1,2)/1000)*(((B103+C103)/1000)*2))+(((((B103-160)+(C103-160))*2)/1000)*(0.013)),IF(AND(ISERROR(FIND(""door"",A103))=FALSE,KitchenDoorStyle=""In-frame flat""),((((B103-76)/1000)*((C103-38)/1000))*2)+(MID(KitchenDoorMaterial"&amp;",FIND(""("",KitchenDoorMaterial)+1,2)/1000)*((((B103-76)+(C103-38))/1000)*2)+(((B103/1000)*0.032)*2)+((((B103-76)/1000)*0.032)*2)+(((B103/1000)*0.019)*4)+(((C103/1000)*0.032)*2)+((((C103-38)/1000)*0.032)*2)+(((C103/1000)*0.038)*4),IF(AND(ISERROR(FIND(""do"&amp;"or"",A103))=FALSE,LEFT(KitchenDoorStyle,14)=""In-frame panel""),((((B103-76)/1000)*((C103-38)/1000))*2)+((MID(KitchenDoorMaterial,FIND(""("",KitchenDoorMaterial)+1,2)/1000)*((((B103-76)+(C103-38))/1000)*2))+((((B103-236)/1000)+((C103-198)/1000)*2)*0.013)+"&amp;"(((B103/1000)*0.032)*2)+((((B103-76)/1000)*0.032)*2)+(((B103/1000)*0.019)*4)+(((C103/1000)*0.032)*2)+((((C103-38)/1000)*0.032)*2)+(((C103/1000)*0.038)*4),IF(ISERROR(FIND(""Plinth"",A103))=FALSE,((B103/1000)*(C103/1000))+(((C103/1000)*0.018)*2)+(((B103/100"&amp;"0)*0.018)*2),IF(ISERROR(FIND(""Cornice"",A103))=FALSE,(((C103/1000)*0.1)*2)+(((C103/1000)*0.044)*2)+(((B103/1000)*0.08)*2),IF(ISERROR(FIND(""Base end panel"",A103))=FALSE,((B103/1000)*(C103/1000))+(0.022*((B103/1000)+((C103/1000)*2)))+((B103/1000)*0.05),I"&amp;"F(ISERROR(FIND(""Wall end panel"",A103))=FALSE,((B103/1000)*(C103/1000))+(0.022*((B103/1000)+((C103/1000)*2)))+((B103/1000)*0.05),IF(ISERROR(FIND(""Tower end panel"",A103))=FALSE,((B103/1000)*(C103/1000))+(0.022*((B103/1000)+((C103/1000)*2)))+((B103/1000)"&amp;"*0.05),IF(ISERROR(FIND(""Fillers"",A103))=FALSE,((C103/1000)*0.06)+((C103/1000)*0.069)+((0.06*0.018)*2)+((0.06*0.009)*2)+((C103/1000)*0.009)+((C103/1000)*0.018),IF(ISERROR(FIND(""corner post"",A103))=FALSE,(((B103/1000*0.05)*2)+((B103/1000)*0.022)*2)+((B1"&amp;"03/1000)*0.072)+((B103/1000)*0.05)+((0.072*0.022)*2)+((0.05*0.022)*2),IF(ISERROR(FIND(""Pelmet"",A103))=FALSE,((C103/1000)*0.05)+((C103/1000)*0.068)+((0.05*0.018)*4)+(((C103/1000)*0.018))*2))))))))))))))))))))))))))))"),3.46)</f>
        <v>3.46</v>
      </c>
      <c r="N103" s="152">
        <f>IF(M103="","",IF(AND(ISERROR(FIND("carcass",A103))=TRUE,ISERROR(FIND("unit",A103))=TRUE,ISERROR(FIND("insert",A103))=TRUE,ISERROR(FIND("rack",A103))=TRUE,ISERROR(FIND("box",A103))=TRUE,ISERROR(FIND("shelf",#REF!))=TRUE),VLOOKUP(KitchenDoorFinish,Finishing!$A$2:$K$10,9,0)*M103,VLOOKUP(KitchenCarcassFinish,Finishing!$A$2:$K$40,9,0)*M103))</f>
        <v>12.975</v>
      </c>
      <c r="O103" s="155">
        <v>1.0</v>
      </c>
      <c r="P103" s="155">
        <v>1.0</v>
      </c>
      <c r="Q103" s="152">
        <f>IF(OR(O103="",P103=""),"",((O103*X103)*(VLOOKUP("Workshop",Labour!$A$3:$E$20,4,0)/8))+((P103*AE103)*(VLOOKUP("Finishing",Labour!$A$3:$E$20,4,0)/8)))</f>
        <v>71.75</v>
      </c>
      <c r="R103" s="152">
        <f t="shared" si="4"/>
        <v>190.82543</v>
      </c>
      <c r="S103" s="156">
        <f>IF(OR(O103="",P103=""),"",IF(OR(ISERROR(FIND("carcass",$A103))=FALSE,ISERROR(FIND("unit",$A103))=FALSE),VLOOKUP(KitchenCarcassMaterial,FixedListsCarcassMaterial,2,0),0))</f>
        <v>1</v>
      </c>
      <c r="T103" s="156">
        <f>IF(OR(O103="",P103=""),"",IF(ISERROR(FIND("door",$A103))=FALSE,VLOOKUP(KitchenDoorStyle,FixedListsDoorStyle,2,0),0))</f>
        <v>0</v>
      </c>
      <c r="U103" s="156">
        <f>IF(OR(O103="",P103=""),"",IF(ISERROR(FIND("door",$A103))=FALSE,VLOOKUP(KitchenDoorMaterial,FixedListsDoorMaterial,2,0),0))</f>
        <v>0</v>
      </c>
      <c r="V103" s="156">
        <f>IF(OR(O103="",P103=""),"",IF(ISERROR(FIND("drawer",$A103))=FALSE,VLOOKUP(KitchenDrawerType,FixedListsDrawerType,2,0),0))</f>
        <v>0</v>
      </c>
      <c r="W103" s="156">
        <f>IF(OR(O103="",P103=""),"",IF(OR(S103&gt;0, T103&gt;0,V103&gt;0),VLOOKUP(KitchenHandleType,FixedListsHandleType,2,FALSE)*IF(KitchenHandleType="Simple",0,IF(S103&gt;0,VLOOKUP(KitchenHandleType,FixedListsHandleType,4,FALSE),IF(OR(T103&gt;0,V103&gt;0),1-VLOOKUP(KitchenHandleType,FixedListsHandleType,4,FALSE),"Error"))),0))</f>
        <v>0</v>
      </c>
      <c r="X103" s="156">
        <f t="shared" si="5"/>
        <v>1</v>
      </c>
      <c r="Y103" s="156">
        <f>IF(OR(O103="",P103=""),"",IF(OR(ISERROR(FIND("carcass",$A103))=FALSE,ISERROR(FIND("unit",$A103))=FALSE),VLOOKUP(KitchenCarcassMaterial,FixedListsCarcassMaterial,3,0),0))</f>
        <v>1</v>
      </c>
      <c r="Z103" s="156">
        <f>IF(OR(O103="",P103=""),"",IF(ISERROR(FIND("door",$A103))=FALSE,VLOOKUP(KitchenDoorStyle,FixedListsDoorStyle,3,0),0))</f>
        <v>0</v>
      </c>
      <c r="AA103" s="156">
        <f>IF(OR(O103="",P103=""),"",IF(ISERROR(FIND("door",$A103))=FALSE,VLOOKUP(KitchenDoorMaterial,FixedListsDoorMaterial,3,0),0))</f>
        <v>0</v>
      </c>
      <c r="AB103" s="156">
        <f>IF(OR(O103="",P103=""),"",IF(ISERROR(FIND("drawer",$A103))=FALSE,VLOOKUP(KitchenDrawerType,FixedListsDrawerType,3,0),0))</f>
        <v>0</v>
      </c>
      <c r="AC103" s="156">
        <f>IF(OR(O103="",P103=""),"",IF(OR(Y103&gt;0,Z103&gt;0,AB103&gt;0),VLOOKUP(KitchenHandleType,FixedListsHandleType,3,FALSE),0))</f>
        <v>1</v>
      </c>
      <c r="AD103" s="156">
        <f>IF(OR(O103="",P103=""),"",IF(OR(ISERROR(FIND("carcass",$A103))=FALSE,ISERROR(FIND("unit",$A103))=FALSE),VLOOKUP(KitchenCarcassFinish,FixedListsFinishes,3,0),IF(OR(ISERROR(FIND("door",$A103))=FALSE,ISERROR(FIND("Plinth",$A103))=FALSE,ISERROR(FIND("Cornice",$A103))=FALSE,ISERROR(FIND("Fillers",$A103))=FALSE,ISERROR(FIND("Pelmet",$A103))=FALSE,ISERROR(FIND("panel",$A103))=FALSE,ISERROR(FIND("post",$A103))=FALSE),VLOOKUP(KitchenDoorFinish,FixedListsFinishes,3,0),IF(OR(ISERROR(FIND("drawer",$A103))=FALSE,ISERROR(FIND("insert",$A103))=FALSE,ISERROR(FIND("rck",$A103))=FALSE),VLOOKUP(KitchenCarcassFinish,FixedListsFinishes,3,0),0))))</f>
        <v>1</v>
      </c>
      <c r="AE103" s="156">
        <f t="shared" si="6"/>
        <v>1</v>
      </c>
      <c r="AF103" s="157" t="str">
        <f>IF(AND(KitchenHandleType="Channel",OR(ISERROR(FIND("arcass",$A103))=FALSE,ISERROR(FIND("unit",$A103))=FALSE)),IF(ISERROR(FIND("Tower",$A103))=TRUE,IF(KitchenHandleFinish="Match carcass",IF(ISERROR(FIND("Walnut",KitchenCarcassMaterial))=FALSE,(0.035*0.075*($C103/1000))*VLOOKUP("Walnut (solid m3)",SolidData,4,FALSE),IF(ISERROR(FIND("Oak",KitchenCarcassMaterial))=FALSE,(0.035*0.075*($C103/1000))*VLOOKUP("Oak (solid m3)",SolidData,4,FALSE),IF(ISERROR(FIND("ply",KitchenCarcassMaterial))=FALSE,(0.1*($C103/1000))*VLOOKUP("Birch ply (24mm)",SheetsData,7,FALSE),IF(ISERROR(FIND("H/F",KitchenCarcassMaterial))=FALSE,(0.1*($C103/1000))*VLOOKUP("H/F (22mm)",SheetsData,7,FALSE),"Carcass - not tower - new material")))),IF(KitchenHandleFinish="Match door",IF(ISERROR(FIND("Walnut",KitchenDoorMaterial))=FALSE,(0.035*0.075*($C103/1000))*VLOOKUP("Walnut (solid m3)",SolidData,4,FALSE),IF(ISERROR(FIND("Oak",KitchenDoorMaterial))=FALSE,(0.035*0.075*($C103/1000))*VLOOKUP("Oak (solid m3)",SolidData,4,FALSE),IF(ISERROR(FIND("ply",KitchenDoorMaterial))=FALSE,(0.1*($C103/1000))*VLOOKUP("Birch ply (24mm)",SheetsData,7,FALSE),IF(ISERROR(FIND("H/F",KitchenCarcassMaterial))=FALSE,(0.1*($C103/1000))*VLOOKUP("H/F (22mm)",SheetsData,7,FALSE),"Door - not tower - new material")))),"Channel - not tower - handle set to other")),IF(ISERROR(FIND("Tower",$A103))=FALSE,IF(KitchenHandleFinish="Match carcass",IF(ISERROR(FIND("Walnut",KitchenCarcassMaterial))=FALSE,(0.035*0.075*($B103/1000))*VLOOKUP("Walnut (solid m3)",SolidData,4,FALSE),IF(ISERROR(FIND("Oak",KitchenCarcassMaterial))=FALSE,(0.035*0.075*($B103/1000))*VLOOKUP("Oak (solid m3)",SolidData,4,FALSE),IF(ISERROR(FIND("ply",KitchenCarcassMaterial))=FALSE,(0.1*($B103/1000))*VLOOKUP("Birch ply (24mm)",SheetsData,7,FALSE),IF(ISERROR(FIND("H/F",KitchenCarcassMaterial))=FALSE,(0.1*($C103/1000))*VLOOKUP("H/F (22mm)",SheetsData,7,FALSE),"Carcass - tower - new material")))),IF(KitchenHandleFinish="Match door",IF(ISERROR(FIND("Walnut",KitchenDoorMaterial))=FALSE,(0.035*0.075*($B103/1000))*VLOOKUP("Walnut (solid m3)",SolidData,4,FALSE),IF(ISERROR(FIND("Oak",KitchenDoorMaterial))=FALSE,(0.035*0.075*($B103/1000))*VLOOKUP("Oak (solid m3)",SolidData,4,FALSE),IF(ISERROR(FIND("ply",KitchenDoorMaterial))=FALSE,(0.1*($B103/1000))*VLOOKUP("Birch ply (24mm)",SheetData,7,FALSE),IF(ISERROR(FIND("H/F",KitchenCarcassMaterial))=FALSE,(0.1*($C103/1000))*VLOOKUP("H/F (22mm)",SheetsData,7,FALSE),"Door - tower - new material")))),"Channel - tower - handle set to other")))),"")</f>
        <v/>
      </c>
    </row>
    <row r="104">
      <c r="A104" s="150" t="s">
        <v>212</v>
      </c>
      <c r="B104" s="115">
        <f t="shared" si="1"/>
        <v>800</v>
      </c>
      <c r="C104" s="115" t="str">
        <f>IFERROR(__xludf.DUMMYFUNCTION("IF(A104="""","""",IF(OR(RIGHT(A104,LEN(A104)-len(regexextract(A104,"".* "")))=""1200"",RIGHT(A104,LEN(A104)-len(regexextract(A104,"".* "")))=""600"",RIGHT(A104,LEN(A104)-len(regexextract(A104,"".* "")))=""400"",RIGHT(A104,LEN(A104)-len(regexextract(A104,"&amp;""".* "")))=""300"",RIGHT(A104,LEN(A104)-len(regexextract(A104,"".* "")))=""700"",RIGHT(A104,LEN(A104)-len(regexextract(A104,"".* "")))=""2400"",RIGHT(A104,LEN(A104)-len(regexextract(A104,"".* "")))=""650"",RIGHT(A104,LEN(A104)-len(regexextract(A104,"".* "&amp;""")))=""350"",RIGHT(A104,LEN(A104)-len(regexextract(A104,"".* "")))=""50""),RIGHT(A104,LEN(A104)-len(regexextract(A104,"".* ""))),IF(OR(ISERROR(FIND(""spacer"",A104))=FALSE,ISERROR(FIND(""filler panel"",A104))=FALSE),""1000"",""Unexpected size in descript"&amp;"ion"")))"),"600")</f>
        <v>600</v>
      </c>
      <c r="D104" s="151">
        <f t="shared" si="2"/>
        <v>600</v>
      </c>
      <c r="E104" s="152">
        <f>IFERROR(__xludf.DUMMYFUNCTION("IF(OR(A104="""",AND(ISERROR(FIND(""drawer box"",A104))=FALSE,KitchenDrawerType="""")),"""",IF(OR(ISERROR(FIND(""larder"",A104))=FALSE,ISERROR(FIND(""fridge/freezer"",A104))=FALSE,ISERROR(FIND(""double oven"",A104))=FALSE,ISERROR(FIND(""single oven"",A104)"&amp;")=FALSE),VLOOKUP(LEFT(A104,FIND("" "",A104))&amp;""carcass ""&amp;RIGHT(A104,LEN(A104)-(LEN(A104)-3)),KitchensData,5,0),IF(ISERROR(FIND(""sink"",A104))=FALSE,VLOOKUP(LEFT(A104,FIND("" "",A104))&amp;""carcass ""&amp;VALUE(REGEXREPLACE(A104,""[^[:digit:]]"", """")),Kitchen"&amp;"sData,5,0)+(((C104/1000)*(300/1000))*VLOOKUP(KitchenCarcassMaterial,SheetsData,8,0)),IF(ISERROR(FIND(""bins"",A104))=FALSE,IF(ISERROR(FIND(""veneer"",KitchenCarcassMaterial))=FALSE,VLOOKUP(""Base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600"",A104))=FALSE,IF(ISERR"&amp;"OR(FIND(""veneer"",KitchenCarcassMaterial))=FALSE,0.54*(VLOOKUP(LEFT(KitchenCarcassMaterial,FIND(""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1"&amp;"200"",A104))=FALSE,IF(ISERROR(FIND(""veneer"",KitchenCarcassMaterial))=FALSE,0.84*(VLOOKUP(LEFT(KitchenCarcassMaterial,FIND(""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600"",A104))=FALSE,IF(ISERROR(FIND(""veneer"",KitchenCarcassMaterial))=FALSE,1.44*(VLOOKUP(LEFT(KitchenCarcassMaterial,FIND(""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1200"",A104))=FALSE,IF(ISERROR(FIND(""veneer"",KitchenCarcassMaterial))=FALSE,2.7*(VLOOKUP(LEFT(KitchenCarcassMaterial,FIND(""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front"",A104))=FALSE,((B104/1000)*(C104/1000))*VLOOKUP(KitchenDoorMaterial,SheetsData,8,0),IF(AND(KitchenDrawerType=""Match carcass"",ISERROR(FIND(""drawer box"",A104))=FALSE),(((((B104/10"&amp;"00)*(C104/1000))+((B104/1000)*(D104/1000)))*2)*VLOOKUP(KitchenCarcassMaterial,SheetsData,8,0))+(((C104/1000)*(D104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box"",A104))=FALSE),(((((B104/1000)*(C104/1000))+((B104/1000)*(D104/1000)))*2)*(16/1000)*VLOOKUP(L"&amp;"EFT(KitchenCarcassMaterial,FIND("" "",KitchenCarcassMaterial))&amp;""(solid m3)"",SolidData,5,0))+(((C104/1000)*(D104/1000))*VLOOKUP(LEFT(KitchenCarcassMaterial,FIND(""("",KitchenCarcassMaterial)-1)&amp;IF(OR(ISERROR(FIND(""ply"",KitchenCarcassMaterial))=FALSE,IS"&amp;"ERROR(FIND(""H/F"",KitchenCarcassMaterial))=FALSE),""(9mm)"",""(10mm)""),SheetsData,8,0)),IF(ISERROR(FIND(""spacer"",A104))=FALSE,((D104/1000)*(C104/1000))*VLOOKUP(""Poplar ply (18mm)"",SheetsData,8,0),IF(ISERROR(FIND(""filler panel"",A104))=FALSE,((B104/"&amp;"1000)*(C104/1000))*VLOOKUP(KitchenDoorMaterial,SheetsData,8,0),IF(ISERROR(FIND(""shelf"",A104))=FALSE,((D104/1000)*(C104/1000))*VLOOKUP(KitchenCarcassMaterial,SheetsData,8,0),IF(ISERROR(FIND(""lost corner"",A104))=FALSE,VLOOKUP(LEFT(A104,FIND("" "",A104))"&amp;"&amp;""carcass ""&amp;VALUE(REGEXREPLACE(A104,""[^[:digit:]]"", """")),KitchensData,5,0)+((((B104/1000)*(C104/1000))+((B104/1000)*(60/1000)))*VLOOKUP(KitchenCarcassMaterial,SheetsData,8,0)),IF(ISERROR(FIND(""carcass"",A104))=FALSE,(((((B104/1000)*2)*(D104/1000))+"&amp;"(((C104/1000)*2)*(D104/1000)))*VLOOKUP(KitchenCarcassMaterial,SheetsData,8,0))+((B104/1000)*(C104/1000))*VLOOKUP(LEFT(KitchenCarcassMaterial,FIND(""("",KitchenCarcassMaterial)-1)&amp;IF(OR(ISERROR(FIND(""ply"",KitchenCarcassMaterial))=FALSE,ISERROR(FIND(""H/F"&amp;""",KitchenCarcassMaterial))=FALSE),""(9mm)"",""(10mm)""),SheetsData,8,0),IF(OR(ISERROR(FIND(""Plinth"",A104))=FALSE,ISERROR(FIND(""Cornice (flat)"",A104))=FALSE),((B104/1000)*(C104/1000))*VLOOKUP(""H/F (18mm)"",SheetsData,8,0),IF(ISERROR(FIND(""Cornice (s"&amp;"tacked)"",A104))=FALSE,((0.08*(C104/1000))*2)*VLOOKUP(""H/F (22mm)"",SheetsData,8,0),IF(ISERROR(FIND(""Base end panel"",A104))=FALSE,VLOOKUP(KitchenDoorMaterial,SheetsData,5,0)/3,IF(ISERROR(FIND(""Wall end panel"",A104))=FALSE,VLOOKUP(KitchenDoorMaterial,"&amp;"SheetsData,5,0)/9,IF(ISERROR(FIND(""Tower end panel"",A104))=FALSE,VLOOKUP(KitchenDoorMaterial,SheetsData,5,0),IF(ISERROR(FIND(""Fillers"",A104))=FALSE,(((0.06*(C104/1000))*2)*VLOOKUP(""H/F (18mm)"",SheetsData,8,0))+(((0.06*(C104/1000))*2)*VLOOKUP(""H/F ("&amp;"9mm)"",SheetsData,8,0)),IF(ISERROR(FIND(""corner post"",A104))=FALSE,(((B104/1000)*0.05)*2)*VLOOKUP(KitchenDoorMaterial,SheetsData,8,0),IF(ISERROR(FIND(""Pelmet"",A104))=FALSE,((((B104/1000)*(C104/1000))*2)*VLOOKUP(""H/F (18mm)"",SheetsData,8,0)),IF(ISERR"&amp;"OR(FIND(""door"",A104))=TRUE,""Check description"",IF(KitchenDoorStyle=""Flat"",((B104/1000)*(C104/1000))*VLOOKUP(KitchenDoorMaterial,SheetsData,8,0),IF(LEFT(KitchenDoorStyle,5)=""Panel"",(((((B104/1000)*2)*0.08)+((((C104/1000)-0.16)*2)*0.08))*VLOOKUP(""H"&amp;"/F (22mm)"",SheetsData,8,0))+(((B104/1000)-0.14)*((C104/1000)-0.14)*VLOOKUP(""H/F (9mm)"",SheetsData,8,0)),IF(KitchenDoorStyle=""In-frame flat"",((((((B104/1000)*0.019)*0.038)+((((C104-38)/1000)*0.038)*0.038))*2)*VLOOKUP(""Tulip (solid m3)"",SolidData,5,0"&amp;"))+(((B104-76)/1000)*((C104-38)/1000))*VLOOKUP(""H/F (22mm)"",SheetsData,8,0),IF(LEFT(KitchenDoorStyle,14)=""In-frame panel"",(((((((B104/1000)*0.019)*0.038)+((((C104-38)/1000)*0.038)*0.038))*2)*VLOOKUP(""Tulip (solid m3)"",SolidData,5,0))+(((((((B104-76)"&amp;"/1000)*2)*0.08)+(((((C104-198)/1000)*2)*0.08)))*VLOOKUP(""H/F (22mm)"",SheetsData,8,0))+(((B104-216)/1000)*((C104-178)/1000)*VLOOKUP(""H/F (9mm)"",SheetsData,8,0)))))))))))))))))))))))))))))))))"),66.15560333243752)</f>
        <v>66.15560333</v>
      </c>
      <c r="F104" s="152">
        <f>IFERROR(__xludf.DUMMYFUNCTION("IF(OR(A104="""",AND(ISERROR(FIND(""drawer box"",A104))=FALSE,KitchenDrawerType=""Solid dovetail"")),"""",IF(ISERROR(FIND(""bins"",A104))=FALSE,VLOOKUP(""Base carcass 600"",KitchensData,6,0),IF(OR(ISERROR(FIND(""larder"",A104))=FALSE,ISERROR(FIND(""unit"","&amp;"A104))=FALSE),VLOOKUP(LEFT(A104,FIND("" "",A104))&amp;""carcass ""&amp;RIGHT(A104,LEN(A104)-len(regexextract(A104,"".* ""))),KitchensData,6,0),IF(ISERROR(FIND(""drawer front"",A104))=FALSE,IF(ISERROR(FIND(""veneer"",KitchenCarcassMaterial))=TRUE,0,(((B104+C104)/1"&amp;"000)*2)*VLOOKUP(""Edge banding (per M)"",SheetsData,5,0)),IF(ISERROR(FIND(""drawer box"",A104))=FALSE,IF(ISERROR(FIND(""veneer"",KitchenCarcassMaterial))=TRUE,0,(((C104+D104)/1000)*2)*VLOOKUP(""Edge banding (per M)"",SheetsData,5,0)),IF(ISERROR(FIND(""she"&amp;"lf"",A104))=FALSE,IF(ISERROR(FIND(""veneer"",KitchenCarcassMaterial))=TRUE,0,(C104/1000)*VLOOKUP(""Edge banding (per M)"",SheetsData,5,0)),IF(AND(ISERROR(FIND(""carcass"",A104))=FALSE,ISERROR(FIND(""shelf"",A104))=TRUE),IF(ISERROR(FIND(""veneer"",KitchenC"&amp;"arcassMaterial))=TRUE,0,((2*(B104+C104))/1000)*VLOOKUP(""Edge banding (per M)"",SheetsData,5,0)),IF(ISERROR(FIND(""door"",A104))=TRUE,"""",IF(ISERROR(FIND(""veneer"",KitchenDoorMaterial))=TRUE,"""",((2*(B104+C104))/1000)*VLOOKUP(""Edge banding (per M)"",S"&amp;"heetsData,5,0))))))))))"),0.0)</f>
        <v>0</v>
      </c>
      <c r="G104" s="153">
        <f>IF(A104="","",IF(ISERROR(FIND("bins",A104))=FALSE,VLOOKUP("Base carcass 600",KitchensData,7,0),IF(OR(ISERROR(FIND("larder",A104))=FALSE,ISERROR(FIND("fridge/freezer",A104))=FALSE,ISERROR(FIND("double oven",A104))=FALSE,ISERROR(FIND("single oven",A104))=FALSE),VLOOKUP(LEFT(A104,FIND(" ",A104))&amp;"carcass "&amp;RIGHT(A104,LEN(A104)-(LEN(A104)-3)),KitchensData,7,0),IF(AND(ISERROR(FIND("carcass",A104))=FALSE,ISERROR(FIND("shelf",A104))=TRUE),IF(OR(ISERROR(FIND("Base",A104))=FALSE,ISERROR(FIND("Tower",A104))=FALSE),IF(OR(ISERROR(FIND("1200",A104))=FALSE, ISERROR(FIND("lost corner",A104))=FALSE),6*VLOOKUP("Plinth foot (2 Parts 80mm)",FurnitureData,5,0),4*VLOOKUP("Plinth foot (2 Parts 80mm)",FurnitureData,5,0)),""),""))))</f>
        <v>3.8</v>
      </c>
      <c r="H104" s="115" t="str">
        <f>IF(OR(A104="",ISERROR(FIND("door",A104))=TRUE),"",IF(ISERROR(FIND("Wall",A104))=FALSE,VLOOKUP("Hinges &amp; plates (Hettich thick door)",FurnitureData,5,0)*2,IF(ISERROR(FIND("Base",A104))=FALSE,VLOOKUP("Hinges &amp; plates (Hettich thick door)",FurnitureData,5,0)*3,IF(ISERROR(FIND("Boiler",A104))=FALSE,VLOOKUP("Hinges &amp; plates (Hettich thick door)",FurnitureData,5,0)*4,IF(ISERROR(FIND("Tower",A104))=FALSE,VLOOKUP("Hinges &amp; plates (Hettich thick door)",FurnitureData,5,0)*5)))))</f>
        <v/>
      </c>
      <c r="I104" s="115" t="str">
        <f>IF(ISERROR(FIND("shelf",A104))=FALSE,(VLOOKUP("Shelf pegs",FurnitureData,5,0)/100)*4,"")</f>
        <v/>
      </c>
      <c r="J104" s="152" t="str">
        <f>IF(OR(ISERROR(FIND("fridge/freezer",A104))=FALSE,ISERROR(FIND("larder",A104))=FALSE,AND(ISERROR(FIND("Base",A104))=FALSE,ISERROR(FIND("bins",A104))=TRUE,ISERROR(FIND("no shelves",A104))=TRUE,OR(ISERROR(FIND("carcass",A104))=FALSE,ISERROR(FIND("unit",A104))=FALSE))),VLOOKUP("Deep shelf "&amp;C104,KitchensData,18,0),IF(AND(ISERROR(FIND("Wall",A104))=FALSE,ISERROR(FIND("carcass",A104))=FALSE),2*VLOOKUP("Shallow shelf "&amp;C104,KitchensData,18,0),IF(AND(ISERROR(FIND("Tower",A104))=FALSE,ISERROR(FIND("oven",A104))=FALSE),4*VLOOKUP("Deep shelf "&amp;C104,KitchensData,18,0),IF(AND(ISERROR(FIND("Tower",A104))=FALSE,ISERROR(FIND("carcass",A104))=FALSE),5*VLOOKUP("Deep shelf "&amp;C104,KitchensData,18,0),""))))</f>
        <v/>
      </c>
      <c r="K104" s="152" t="str">
        <f>IF(ISERROR(FIND("sink",A104))=FALSE,VLOOKUP("Sink liner - Aluminium "&amp;RIGHT(A104,LEN(A104)-22)&amp;"mm",ExceptionalData,5,0),IF(ISERROR(FIND("bins",A104))=FALSE,VLOOKUP("Drawer runners and clip set for bin unit (500) Dynapro",FurnitureData,5,0)+(2*VLOOKUP("Bin (42L Anthracite)",FurnitureData,5,0)),IF(ISERROR(FIND("larder",A104))=FALSE,VLOOKUP("Pull out larder unit 600mm",FurnitureData,5,0),IF(AND(ISERROR(FIND("drawer box",A104))=FALSE,ISERROR(FIND("internal",A104))=TRUE),VLOOKUP("Drawer runners and clip set (550) Dynapro",FurnitureData,5,0),IF(ISERROR(FIND("internal drawer box",A104))=FALSE,VLOOKUP("Drawer runners and clip set (450) Dynapro",FurnitureData,5,0),"")))))</f>
        <v/>
      </c>
      <c r="L104" s="152">
        <f t="shared" si="3"/>
        <v>69.95560333</v>
      </c>
      <c r="M104" s="154">
        <f>IFERROR(__xludf.DUMMYFUNCTION("IF(A104="""","""",IF(OR(ISERROR(FIND(""larder"",A104))=FALSE,ISERROR(FIND(""unit"",A104))=FALSE),VLOOKUP(LEFT(A104,FIND("" "",A104))&amp;""carcass ""&amp;RIGHT(A104,LEN(A104)-len(regexextract(A104,"".* ""))),KitchensData,13,0),IF(ISERROR(FIND(""bins"",A104))=FALS"&amp;"E,0.95,IF(ISERROR(FIND(""Cutlery insert 600"",A104))=FALSE,1.3,IF(ISERROR(FIND(""Cutlery insert 1200"",A104))=FALSE,2,IF(ISERROR(FIND(""Pan/tray rack 600"",A104))=FALSE,3.25,IF(ISERROR(FIND(""Pan/tray rack 1200"",A104))=FALSE,5.9,IF(ISERROR(FIND(""split"""&amp;",A104))=FALSE,(((C104/1000)*0.022)*2)+VLOOKUP(SUBSTITUTE(A104,"" split"",""""),KitchensData,13,0),IF(AND(ISERROR(FIND(""drawer front"",A104))=FALSE,KitchenDoorStyle=""Flat""),(((B104/1000)*(C104/1000))*2)+((((B104+C104)/1000)*2)*0.022),IF(AND(ISERROR(FIND"&amp;"(""drawer front"",A104))=FALSE,LEFT(KitchenDoorStyle,5)=""Panel""),(((B104/1000)*(C104/1000))*2)+((((B104+C104)/1000)*2)*0.022)+((((C104/1000)-0.16)*0.013)*2)+((((D104/1000)-0.16)*0.013)*2),IF(AND(ISERROR(FIND(""drawer front"",A104))=FALSE,KitchenDoorStyl"&amp;"e=""In-frame flat""),((((B104-76)/1000)*((C104-38)/1000))*2)+(MID(KitchenDoorMaterial,FIND(""("",KitchenDoorMaterial)+1,2)/1000)*((((B104-76)+(C104-38))/1000)*2)+(((B104/1000)*0.032)*2)+((((B104-76)/1000)*0.032)*2)+(((B104/1000)*0.019)*4)+(((C104/1000)*0."&amp;"032)*2)+((((C104-38)/1000)*0.032)*2)+(((C104/1000)*0.038)*4),IF(AND(ISERROR(FIND(""drawer front"",A104))=FALSE,LEFT(KitchenDoorStyle,14)=""In-frame panel""),((((B104-76)/1000)*((C104-38)/1000))*2)+((MID(KitchenDoorMaterial,FIND(""("",KitchenDoorMaterial)+"&amp;"1,2)/1000)*((((B104-76)+(C104-38))/1000)*2))+((((B104-236)/1000)+((C104-198)/1000)*2)*0.013)+(((B104/1000)*0.032)*2)+((((B104-76)/1000)*0.032)*2)+(((B104/1000)*0.019)*4)+(((C104/1000)*0.032)*2)+((((C104-38)/1000)*0.032)*2)+(((C104/1000)*0.038)*4),IF(ISERR"&amp;"OR(FIND(""drawer box"",A104))=FALSE,((((B104/1000)*(D104/1000))+((B104/1000)*(C104/1000)))*4)+((((D104/1000)+(C104/1000))*0.016)*4)+(((C104/1000)*(D104/1000))*2),IF(OR(ISERROR(FIND(""shelf"",A104))=FALSE,ISERROR(FIND(""spacer"",A104))=FALSE,,ISERROR(FIND("&amp;"""filler panel"",A104))=FALSE),(((C104/1000)*(D104/1000))*2)+((((C104+D104)*2)/1000)*0.022),IF(ISERROR(FIND(""lost corner"",A104))=FALSE,(((B104/1000)*(C104/1000))*2)+((B104/1000)*(C104/1000))+((B104/1000)*((C104/2)/1000))+((((B104/1000)*0.025)+((C104/100"&amp;"0)*0.025))*2),IF(ISERROR(FIND(""carcass"",A104))=FALSE,(((C104/1000)*(D104/1000))*2)+(((B104/1000)*(D104/1000))*2)+((B104/1000)*(C104/1000))+((((B104/1000)*0.025)+((C104/1000)*0.025))*2),IF(AND(ISERROR(FIND(""door"",A104))=FALSE,KitchenDoorStyle=""Flat"")"&amp;",(((B104/1000)*(C104/1000))*2)+(MID(KitchenDoorMaterial,FIND(""("",KitchenDoorMaterial)+1,2)/1000)*(((B104+C104)/1000)*2),IF(AND(ISERROR(FIND(""door"",A104))=FALSE,LEFT(KitchenDoorStyle,5)=""Panel""),(((B104/1000)*(C104/1000))*2)+((MID(KitchenDoorMaterial"&amp;",FIND(""("",KitchenDoorMaterial)+1,2)/1000)*(((B104+C104)/1000)*2))+(((((B104-160)+(C104-160))*2)/1000)*(0.013)),IF(AND(ISERROR(FIND(""door"",A104))=FALSE,KitchenDoorStyle=""In-frame flat""),((((B104-76)/1000)*((C104-38)/1000))*2)+(MID(KitchenDoorMaterial"&amp;",FIND(""("",KitchenDoorMaterial)+1,2)/1000)*((((B104-76)+(C104-38))/1000)*2)+(((B104/1000)*0.032)*2)+((((B104-76)/1000)*0.032)*2)+(((B104/1000)*0.019)*4)+(((C104/1000)*0.032)*2)+((((C104-38)/1000)*0.032)*2)+(((C104/1000)*0.038)*4),IF(AND(ISERROR(FIND(""do"&amp;"or"",A104))=FALSE,LEFT(KitchenDoorStyle,14)=""In-frame panel""),((((B104-76)/1000)*((C104-38)/1000))*2)+((MID(KitchenDoorMaterial,FIND(""("",KitchenDoorMaterial)+1,2)/1000)*((((B104-76)+(C104-38))/1000)*2))+((((B104-236)/1000)+((C104-198)/1000)*2)*0.013)+"&amp;"(((B104/1000)*0.032)*2)+((((B104-76)/1000)*0.032)*2)+(((B104/1000)*0.019)*4)+(((C104/1000)*0.032)*2)+((((C104-38)/1000)*0.032)*2)+(((C104/1000)*0.038)*4),IF(ISERROR(FIND(""Plinth"",A104))=FALSE,((B104/1000)*(C104/1000))+(((C104/1000)*0.018)*2)+(((B104/100"&amp;"0)*0.018)*2),IF(ISERROR(FIND(""Cornice"",A104))=FALSE,(((C104/1000)*0.1)*2)+(((C104/1000)*0.044)*2)+(((B104/1000)*0.08)*2),IF(ISERROR(FIND(""Base end panel"",A104))=FALSE,((B104/1000)*(C104/1000))+(0.022*((B104/1000)+((C104/1000)*2)))+((B104/1000)*0.05),I"&amp;"F(ISERROR(FIND(""Wall end panel"",A104))=FALSE,((B104/1000)*(C104/1000))+(0.022*((B104/1000)+((C104/1000)*2)))+((B104/1000)*0.05),IF(ISERROR(FIND(""Tower end panel"",A104))=FALSE,((B104/1000)*(C104/1000))+(0.022*((B104/1000)+((C104/1000)*2)))+((B104/1000)"&amp;"*0.05),IF(ISERROR(FIND(""Fillers"",A104))=FALSE,((C104/1000)*0.06)+((C104/1000)*0.069)+((0.06*0.018)*2)+((0.06*0.009)*2)+((C104/1000)*0.009)+((C104/1000)*0.018),IF(ISERROR(FIND(""corner post"",A104))=FALSE,(((B104/1000*0.05)*2)+((B104/1000)*0.022)*2)+((B1"&amp;"04/1000)*0.072)+((B104/1000)*0.05)+((0.072*0.022)*2)+((0.05*0.022)*2),IF(ISERROR(FIND(""Pelmet"",A104))=FALSE,((C104/1000)*0.05)+((C104/1000)*0.068)+((0.05*0.018)*4)+(((C104/1000)*0.018))*2))))))))))))))))))))))))))))"),2.23)</f>
        <v>2.23</v>
      </c>
      <c r="N104" s="152">
        <f>IF(M104="","",IF(AND(ISERROR(FIND("carcass",A104))=TRUE,ISERROR(FIND("unit",A104))=TRUE,ISERROR(FIND("insert",A104))=TRUE,ISERROR(FIND("rack",A104))=TRUE,ISERROR(FIND("box",A104))=TRUE,ISERROR(FIND("shelf",#REF!))=TRUE),VLOOKUP(KitchenDoorFinish,Finishing!$A$2:$K$10,9,0)*M104,VLOOKUP(KitchenCarcassFinish,Finishing!$A$2:$K$40,9,0)*M104))</f>
        <v>8.3625</v>
      </c>
      <c r="O104" s="155">
        <v>1.0</v>
      </c>
      <c r="P104" s="155">
        <v>1.0</v>
      </c>
      <c r="Q104" s="152">
        <f>IF(OR(O104="",P104=""),"",((O104*X104)*(VLOOKUP("Workshop",Labour!$A$3:$E$20,4,0)/8))+((P104*AE104)*(VLOOKUP("Finishing",Labour!$A$3:$E$20,4,0)/8)))</f>
        <v>71.75</v>
      </c>
      <c r="R104" s="152">
        <f t="shared" si="4"/>
        <v>150.0681033</v>
      </c>
      <c r="S104" s="156">
        <f>IF(OR(O104="",P104=""),"",IF(OR(ISERROR(FIND("carcass",$A104))=FALSE,ISERROR(FIND("unit",$A104))=FALSE),VLOOKUP(KitchenCarcassMaterial,FixedListsCarcassMaterial,2,0),0))</f>
        <v>1</v>
      </c>
      <c r="T104" s="156">
        <f>IF(OR(O104="",P104=""),"",IF(ISERROR(FIND("door",$A104))=FALSE,VLOOKUP(KitchenDoorStyle,FixedListsDoorStyle,2,0),0))</f>
        <v>0</v>
      </c>
      <c r="U104" s="156">
        <f>IF(OR(O104="",P104=""),"",IF(ISERROR(FIND("door",$A104))=FALSE,VLOOKUP(KitchenDoorMaterial,FixedListsDoorMaterial,2,0),0))</f>
        <v>0</v>
      </c>
      <c r="V104" s="156">
        <f>IF(OR(O104="",P104=""),"",IF(ISERROR(FIND("drawer",$A104))=FALSE,VLOOKUP(KitchenDrawerType,FixedListsDrawerType,2,0),0))</f>
        <v>0</v>
      </c>
      <c r="W104" s="156">
        <f>IF(OR(O104="",P104=""),"",IF(OR(S104&gt;0, T104&gt;0,V104&gt;0),VLOOKUP(KitchenHandleType,FixedListsHandleType,2,FALSE)*IF(KitchenHandleType="Simple",0,IF(S104&gt;0,VLOOKUP(KitchenHandleType,FixedListsHandleType,4,FALSE),IF(OR(T104&gt;0,V104&gt;0),1-VLOOKUP(KitchenHandleType,FixedListsHandleType,4,FALSE),"Error"))),0))</f>
        <v>0</v>
      </c>
      <c r="X104" s="156">
        <f t="shared" si="5"/>
        <v>1</v>
      </c>
      <c r="Y104" s="156">
        <f>IF(OR(O104="",P104=""),"",IF(OR(ISERROR(FIND("carcass",$A104))=FALSE,ISERROR(FIND("unit",$A104))=FALSE),VLOOKUP(KitchenCarcassMaterial,FixedListsCarcassMaterial,3,0),0))</f>
        <v>1</v>
      </c>
      <c r="Z104" s="156">
        <f>IF(OR(O104="",P104=""),"",IF(ISERROR(FIND("door",$A104))=FALSE,VLOOKUP(KitchenDoorStyle,FixedListsDoorStyle,3,0),0))</f>
        <v>0</v>
      </c>
      <c r="AA104" s="156">
        <f>IF(OR(O104="",P104=""),"",IF(ISERROR(FIND("door",$A104))=FALSE,VLOOKUP(KitchenDoorMaterial,FixedListsDoorMaterial,3,0),0))</f>
        <v>0</v>
      </c>
      <c r="AB104" s="156">
        <f>IF(OR(O104="",P104=""),"",IF(ISERROR(FIND("drawer",$A104))=FALSE,VLOOKUP(KitchenDrawerType,FixedListsDrawerType,3,0),0))</f>
        <v>0</v>
      </c>
      <c r="AC104" s="156">
        <f>IF(OR(O104="",P104=""),"",IF(OR(Y104&gt;0,Z104&gt;0,AB104&gt;0),VLOOKUP(KitchenHandleType,FixedListsHandleType,3,FALSE),0))</f>
        <v>1</v>
      </c>
      <c r="AD104" s="156">
        <f>IF(OR(O104="",P104=""),"",IF(OR(ISERROR(FIND("carcass",$A104))=FALSE,ISERROR(FIND("unit",$A104))=FALSE),VLOOKUP(KitchenCarcassFinish,FixedListsFinishes,3,0),IF(OR(ISERROR(FIND("door",$A104))=FALSE,ISERROR(FIND("Plinth",$A104))=FALSE,ISERROR(FIND("Cornice",$A104))=FALSE,ISERROR(FIND("Fillers",$A104))=FALSE,ISERROR(FIND("Pelmet",$A104))=FALSE,ISERROR(FIND("panel",$A104))=FALSE,ISERROR(FIND("post",$A104))=FALSE),VLOOKUP(KitchenDoorFinish,FixedListsFinishes,3,0),IF(OR(ISERROR(FIND("drawer",$A104))=FALSE,ISERROR(FIND("insert",$A104))=FALSE,ISERROR(FIND("rck",$A104))=FALSE),VLOOKUP(KitchenCarcassFinish,FixedListsFinishes,3,0),0))))</f>
        <v>1</v>
      </c>
      <c r="AE104" s="156">
        <f t="shared" si="6"/>
        <v>1</v>
      </c>
      <c r="AF104" s="157" t="str">
        <f>IF(AND(KitchenHandleType="Channel",OR(ISERROR(FIND("arcass",$A104))=FALSE,ISERROR(FIND("unit",$A104))=FALSE)),IF(ISERROR(FIND("Tower",$A104))=TRUE,IF(KitchenHandleFinish="Match carcass",IF(ISERROR(FIND("Walnut",KitchenCarcassMaterial))=FALSE,(0.035*0.075*($C104/1000))*VLOOKUP("Walnut (solid m3)",SolidData,4,FALSE),IF(ISERROR(FIND("Oak",KitchenCarcassMaterial))=FALSE,(0.035*0.075*($C104/1000))*VLOOKUP("Oak (solid m3)",SolidData,4,FALSE),IF(ISERROR(FIND("ply",KitchenCarcassMaterial))=FALSE,(0.1*($C104/1000))*VLOOKUP("Birch ply (24mm)",SheetsData,7,FALSE),IF(ISERROR(FIND("H/F",KitchenCarcassMaterial))=FALSE,(0.1*($C104/1000))*VLOOKUP("H/F (22mm)",SheetsData,7,FALSE),"Carcass - not tower - new material")))),IF(KitchenHandleFinish="Match door",IF(ISERROR(FIND("Walnut",KitchenDoorMaterial))=FALSE,(0.035*0.075*($C104/1000))*VLOOKUP("Walnut (solid m3)",SolidData,4,FALSE),IF(ISERROR(FIND("Oak",KitchenDoorMaterial))=FALSE,(0.035*0.075*($C104/1000))*VLOOKUP("Oak (solid m3)",SolidData,4,FALSE),IF(ISERROR(FIND("ply",KitchenDoorMaterial))=FALSE,(0.1*($C104/1000))*VLOOKUP("Birch ply (24mm)",SheetsData,7,FALSE),IF(ISERROR(FIND("H/F",KitchenCarcassMaterial))=FALSE,(0.1*($C104/1000))*VLOOKUP("H/F (22mm)",SheetsData,7,FALSE),"Door - not tower - new material")))),"Channel - not tower - handle set to other")),IF(ISERROR(FIND("Tower",$A104))=FALSE,IF(KitchenHandleFinish="Match carcass",IF(ISERROR(FIND("Walnut",KitchenCarcassMaterial))=FALSE,(0.035*0.075*($B104/1000))*VLOOKUP("Walnut (solid m3)",SolidData,4,FALSE),IF(ISERROR(FIND("Oak",KitchenCarcassMaterial))=FALSE,(0.035*0.075*($B104/1000))*VLOOKUP("Oak (solid m3)",SolidData,4,FALSE),IF(ISERROR(FIND("ply",KitchenCarcassMaterial))=FALSE,(0.1*($B104/1000))*VLOOKUP("Birch ply (24mm)",SheetsData,7,FALSE),IF(ISERROR(FIND("H/F",KitchenCarcassMaterial))=FALSE,(0.1*($C104/1000))*VLOOKUP("H/F (22mm)",SheetsData,7,FALSE),"Carcass - tower - new material")))),IF(KitchenHandleFinish="Match door",IF(ISERROR(FIND("Walnut",KitchenDoorMaterial))=FALSE,(0.035*0.075*($B104/1000))*VLOOKUP("Walnut (solid m3)",SolidData,4,FALSE),IF(ISERROR(FIND("Oak",KitchenDoorMaterial))=FALSE,(0.035*0.075*($B104/1000))*VLOOKUP("Oak (solid m3)",SolidData,4,FALSE),IF(ISERROR(FIND("ply",KitchenDoorMaterial))=FALSE,(0.1*($B104/1000))*VLOOKUP("Birch ply (24mm)",SheetData,7,FALSE),IF(ISERROR(FIND("H/F",KitchenCarcassMaterial))=FALSE,(0.1*($C104/1000))*VLOOKUP("H/F (22mm)",SheetsData,7,FALSE),"Door - tower - new material")))),"Channel - tower - handle set to other")))),"")</f>
        <v/>
      </c>
    </row>
    <row r="105">
      <c r="A105" s="150" t="s">
        <v>213</v>
      </c>
      <c r="B105" s="115">
        <f t="shared" si="1"/>
        <v>800</v>
      </c>
      <c r="C105" s="115" t="str">
        <f>IFERROR(__xludf.DUMMYFUNCTION("IF(A105="""","""",IF(OR(RIGHT(A105,LEN(A105)-len(regexextract(A105,"".* "")))=""1200"",RIGHT(A105,LEN(A105)-len(regexextract(A105,"".* "")))=""600"",RIGHT(A105,LEN(A105)-len(regexextract(A105,"".* "")))=""400"",RIGHT(A105,LEN(A105)-len(regexextract(A105,"&amp;""".* "")))=""300"",RIGHT(A105,LEN(A105)-len(regexextract(A105,"".* "")))=""700"",RIGHT(A105,LEN(A105)-len(regexextract(A105,"".* "")))=""2400"",RIGHT(A105,LEN(A105)-len(regexextract(A105,"".* "")))=""650"",RIGHT(A105,LEN(A105)-len(regexextract(A105,"".* "&amp;""")))=""350"",RIGHT(A105,LEN(A105)-len(regexextract(A105,"".* "")))=""50""),RIGHT(A105,LEN(A105)-len(regexextract(A105,"".* ""))),IF(OR(ISERROR(FIND(""spacer"",A105))=FALSE,ISERROR(FIND(""filler panel"",A105))=FALSE),""1000"",""Unexpected size in descript"&amp;"ion"")))"),"400")</f>
        <v>400</v>
      </c>
      <c r="D105" s="151">
        <f t="shared" si="2"/>
        <v>600</v>
      </c>
      <c r="E105" s="152">
        <f>IFERROR(__xludf.DUMMYFUNCTION("IF(OR(A105="""",AND(ISERROR(FIND(""drawer box"",A105))=FALSE,KitchenDrawerType="""")),"""",IF(OR(ISERROR(FIND(""larder"",A105))=FALSE,ISERROR(FIND(""fridge/freezer"",A105))=FALSE,ISERROR(FIND(""double oven"",A105))=FALSE,ISERROR(FIND(""single oven"",A105)"&amp;")=FALSE),VLOOKUP(LEFT(A105,FIND("" "",A105))&amp;""carcass ""&amp;RIGHT(A105,LEN(A105)-(LEN(A105)-3)),KitchensData,5,0),IF(ISERROR(FIND(""sink"",A105))=FALSE,VLOOKUP(LEFT(A105,FIND("" "",A105))&amp;""carcass ""&amp;VALUE(REGEXREPLACE(A105,""[^[:digit:]]"", """")),Kitchen"&amp;"sData,5,0)+(((C105/1000)*(300/1000))*VLOOKUP(KitchenCarcassMaterial,SheetsData,8,0)),IF(ISERROR(FIND(""bins"",A105))=FALSE,IF(ISERROR(FIND(""veneer"",KitchenCarcassMaterial))=FALSE,VLOOKUP(""Base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600"",A105))=FALSE,IF(ISERR"&amp;"OR(FIND(""veneer"",KitchenCarcassMaterial))=FALSE,0.54*(VLOOKUP(LEFT(KitchenCarcassMaterial,FIND(""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1"&amp;"200"",A105))=FALSE,IF(ISERROR(FIND(""veneer"",KitchenCarcassMaterial))=FALSE,0.84*(VLOOKUP(LEFT(KitchenCarcassMaterial,FIND(""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600"",A105))=FALSE,IF(ISERROR(FIND(""veneer"",KitchenCarcassMaterial))=FALSE,1.44*(VLOOKUP(LEFT(KitchenCarcassMaterial,FIND(""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1200"",A105))=FALSE,IF(ISERROR(FIND(""veneer"",KitchenCarcassMaterial))=FALSE,2.7*(VLOOKUP(LEFT(KitchenCarcassMaterial,FIND(""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front"",A105))=FALSE,((B105/1000)*(C105/1000))*VLOOKUP(KitchenDoorMaterial,SheetsData,8,0),IF(AND(KitchenDrawerType=""Match carcass"",ISERROR(FIND(""drawer box"",A105))=FALSE),(((((B105/10"&amp;"00)*(C105/1000))+((B105/1000)*(D105/1000)))*2)*VLOOKUP(KitchenCarcassMaterial,SheetsData,8,0))+(((C105/1000)*(D105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box"",A105))=FALSE),(((((B105/1000)*(C105/1000))+((B105/1000)*(D105/1000)))*2)*(16/1000)*VLOOKUP(L"&amp;"EFT(KitchenCarcassMaterial,FIND("" "",KitchenCarcassMaterial))&amp;""(solid m3)"",SolidData,5,0))+(((C105/1000)*(D105/1000))*VLOOKUP(LEFT(KitchenCarcassMaterial,FIND(""("",KitchenCarcassMaterial)-1)&amp;IF(OR(ISERROR(FIND(""ply"",KitchenCarcassMaterial))=FALSE,IS"&amp;"ERROR(FIND(""H/F"",KitchenCarcassMaterial))=FALSE),""(9mm)"",""(10mm)""),SheetsData,8,0)),IF(ISERROR(FIND(""spacer"",A105))=FALSE,((D105/1000)*(C105/1000))*VLOOKUP(""Poplar ply (18mm)"",SheetsData,8,0),IF(ISERROR(FIND(""filler panel"",A105))=FALSE,((B105/"&amp;"1000)*(C105/1000))*VLOOKUP(KitchenDoorMaterial,SheetsData,8,0),IF(ISERROR(FIND(""shelf"",A105))=FALSE,((D105/1000)*(C105/1000))*VLOOKUP(KitchenCarcassMaterial,SheetsData,8,0),IF(ISERROR(FIND(""lost corner"",A105))=FALSE,VLOOKUP(LEFT(A105,FIND("" "",A105))"&amp;"&amp;""carcass ""&amp;VALUE(REGEXREPLACE(A105,""[^[:digit:]]"", """")),KitchensData,5,0)+((((B105/1000)*(C105/1000))+((B105/1000)*(60/1000)))*VLOOKUP(KitchenCarcassMaterial,SheetsData,8,0)),IF(ISERROR(FIND(""carcass"",A105))=FALSE,(((((B105/1000)*2)*(D105/1000))+"&amp;"(((C105/1000)*2)*(D105/1000)))*VLOOKUP(KitchenCarcassMaterial,SheetsData,8,0))+((B105/1000)*(C105/1000))*VLOOKUP(LEFT(KitchenCarcassMaterial,FIND(""("",KitchenCarcassMaterial)-1)&amp;IF(OR(ISERROR(FIND(""ply"",KitchenCarcassMaterial))=FALSE,ISERROR(FIND(""H/F"&amp;""",KitchenCarcassMaterial))=FALSE),""(9mm)"",""(10mm)""),SheetsData,8,0),IF(OR(ISERROR(FIND(""Plinth"",A105))=FALSE,ISERROR(FIND(""Cornice (flat)"",A105))=FALSE),((B105/1000)*(C105/1000))*VLOOKUP(""H/F (18mm)"",SheetsData,8,0),IF(ISERROR(FIND(""Cornice (s"&amp;"tacked)"",A105))=FALSE,((0.08*(C105/1000))*2)*VLOOKUP(""H/F (22mm)"",SheetsData,8,0),IF(ISERROR(FIND(""Base end panel"",A105))=FALSE,VLOOKUP(KitchenDoorMaterial,SheetsData,5,0)/3,IF(ISERROR(FIND(""Wall end panel"",A105))=FALSE,VLOOKUP(KitchenDoorMaterial,"&amp;"SheetsData,5,0)/9,IF(ISERROR(FIND(""Tower end panel"",A105))=FALSE,VLOOKUP(KitchenDoorMaterial,SheetsData,5,0),IF(ISERROR(FIND(""Fillers"",A105))=FALSE,(((0.06*(C105/1000))*2)*VLOOKUP(""H/F (18mm)"",SheetsData,8,0))+(((0.06*(C105/1000))*2)*VLOOKUP(""H/F ("&amp;"9mm)"",SheetsData,8,0)),IF(ISERROR(FIND(""corner post"",A105))=FALSE,(((B105/1000)*0.05)*2)*VLOOKUP(KitchenDoorMaterial,SheetsData,8,0),IF(ISERROR(FIND(""Pelmet"",A105))=FALSE,((((B105/1000)*(C105/1000))*2)*VLOOKUP(""H/F (18mm)"",SheetsData,8,0)),IF(ISERR"&amp;"OR(FIND(""door"",A105))=TRUE,""Check description"",IF(KitchenDoorStyle=""Flat"",((B105/1000)*(C105/1000))*VLOOKUP(KitchenDoorMaterial,SheetsData,8,0),IF(LEFT(KitchenDoorStyle,5)=""Panel"",(((((B105/1000)*2)*0.08)+((((C105/1000)-0.16)*2)*0.08))*VLOOKUP(""H"&amp;"/F (22mm)"",SheetsData,8,0))+(((B105/1000)-0.14)*((C105/1000)-0.14)*VLOOKUP(""H/F (9mm)"",SheetsData,8,0)),IF(KitchenDoorStyle=""In-frame flat"",((((((B105/1000)*0.019)*0.038)+((((C105-38)/1000)*0.038)*0.038))*2)*VLOOKUP(""Tulip (solid m3)"",SolidData,5,0"&amp;"))+(((B105-76)/1000)*((C105-38)/1000))*VLOOKUP(""H/F (22mm)"",SheetsData,8,0),IF(LEFT(KitchenDoorStyle,14)=""In-frame panel"",(((((((B105/1000)*0.019)*0.038)+((((C105-38)/1000)*0.038)*0.038))*2)*VLOOKUP(""Tulip (solid m3)"",SolidData,5,0))+(((((((B105-76)"&amp;"/1000)*2)*0.08)+(((((C105-198)/1000)*2)*0.08)))*VLOOKUP(""H/F (22mm)"",SheetsData,8,0))+(((B105-216)/1000)*((C105-178)/1000)*VLOOKUP(""H/F (9mm)"",SheetsData,8,0)))))))))))))))))))))))))))))))))"),54.740661112604144)</f>
        <v>54.74066111</v>
      </c>
      <c r="F105" s="152">
        <f>IFERROR(__xludf.DUMMYFUNCTION("IF(OR(A105="""",AND(ISERROR(FIND(""drawer box"",A105))=FALSE,KitchenDrawerType=""Solid dovetail"")),"""",IF(ISERROR(FIND(""bins"",A105))=FALSE,VLOOKUP(""Base carcass 600"",KitchensData,6,0),IF(OR(ISERROR(FIND(""larder"",A105))=FALSE,ISERROR(FIND(""unit"","&amp;"A105))=FALSE),VLOOKUP(LEFT(A105,FIND("" "",A105))&amp;""carcass ""&amp;RIGHT(A105,LEN(A105)-len(regexextract(A105,"".* ""))),KitchensData,6,0),IF(ISERROR(FIND(""drawer front"",A105))=FALSE,IF(ISERROR(FIND(""veneer"",KitchenCarcassMaterial))=TRUE,0,(((B105+C105)/1"&amp;"000)*2)*VLOOKUP(""Edge banding (per M)"",SheetsData,5,0)),IF(ISERROR(FIND(""drawer box"",A105))=FALSE,IF(ISERROR(FIND(""veneer"",KitchenCarcassMaterial))=TRUE,0,(((C105+D105)/1000)*2)*VLOOKUP(""Edge banding (per M)"",SheetsData,5,0)),IF(ISERROR(FIND(""she"&amp;"lf"",A105))=FALSE,IF(ISERROR(FIND(""veneer"",KitchenCarcassMaterial))=TRUE,0,(C105/1000)*VLOOKUP(""Edge banding (per M)"",SheetsData,5,0)),IF(AND(ISERROR(FIND(""carcass"",A105))=FALSE,ISERROR(FIND(""shelf"",A105))=TRUE),IF(ISERROR(FIND(""veneer"",KitchenC"&amp;"arcassMaterial))=TRUE,0,((2*(B105+C105))/1000)*VLOOKUP(""Edge banding (per M)"",SheetsData,5,0)),IF(ISERROR(FIND(""door"",A105))=TRUE,"""",IF(ISERROR(FIND(""veneer"",KitchenDoorMaterial))=TRUE,"""",((2*(B105+C105))/1000)*VLOOKUP(""Edge banding (per M)"",S"&amp;"heetsData,5,0))))))))))"),0.0)</f>
        <v>0</v>
      </c>
      <c r="G105" s="153">
        <f>IF(A105="","",IF(ISERROR(FIND("bins",A105))=FALSE,VLOOKUP("Base carcass 600",KitchensData,7,0),IF(OR(ISERROR(FIND("larder",A105))=FALSE,ISERROR(FIND("fridge/freezer",A105))=FALSE,ISERROR(FIND("double oven",A105))=FALSE,ISERROR(FIND("single oven",A105))=FALSE),VLOOKUP(LEFT(A105,FIND(" ",A105))&amp;"carcass "&amp;RIGHT(A105,LEN(A105)-(LEN(A105)-3)),KitchensData,7,0),IF(AND(ISERROR(FIND("carcass",A105))=FALSE,ISERROR(FIND("shelf",A105))=TRUE),IF(OR(ISERROR(FIND("Base",A105))=FALSE,ISERROR(FIND("Tower",A105))=FALSE),IF(OR(ISERROR(FIND("1200",A105))=FALSE, ISERROR(FIND("lost corner",A105))=FALSE),6*VLOOKUP("Plinth foot (2 Parts 80mm)",FurnitureData,5,0),4*VLOOKUP("Plinth foot (2 Parts 80mm)",FurnitureData,5,0)),""),""))))</f>
        <v>3.8</v>
      </c>
      <c r="H105" s="115" t="str">
        <f>IF(OR(A105="",ISERROR(FIND("door",A105))=TRUE),"",IF(ISERROR(FIND("Wall",A105))=FALSE,VLOOKUP("Hinges &amp; plates (Hettich thick door)",FurnitureData,5,0)*2,IF(ISERROR(FIND("Base",A105))=FALSE,VLOOKUP("Hinges &amp; plates (Hettich thick door)",FurnitureData,5,0)*3,IF(ISERROR(FIND("Boiler",A105))=FALSE,VLOOKUP("Hinges &amp; plates (Hettich thick door)",FurnitureData,5,0)*4,IF(ISERROR(FIND("Tower",A105))=FALSE,VLOOKUP("Hinges &amp; plates (Hettich thick door)",FurnitureData,5,0)*5)))))</f>
        <v/>
      </c>
      <c r="I105" s="115" t="str">
        <f>IF(ISERROR(FIND("shelf",A105))=FALSE,(VLOOKUP("Shelf pegs",FurnitureData,5,0)/100)*4,"")</f>
        <v/>
      </c>
      <c r="J105" s="152" t="str">
        <f>IF(OR(ISERROR(FIND("fridge/freezer",A105))=FALSE,ISERROR(FIND("larder",A105))=FALSE,AND(ISERROR(FIND("Base",A105))=FALSE,ISERROR(FIND("bins",A105))=TRUE,ISERROR(FIND("no shelves",A105))=TRUE,OR(ISERROR(FIND("carcass",A105))=FALSE,ISERROR(FIND("unit",A105))=FALSE))),VLOOKUP("Deep shelf "&amp;C105,KitchensData,18,0),IF(AND(ISERROR(FIND("Wall",A105))=FALSE,ISERROR(FIND("carcass",A105))=FALSE),2*VLOOKUP("Shallow shelf "&amp;C105,KitchensData,18,0),IF(AND(ISERROR(FIND("Tower",A105))=FALSE,ISERROR(FIND("oven",A105))=FALSE),4*VLOOKUP("Deep shelf "&amp;C105,KitchensData,18,0),IF(AND(ISERROR(FIND("Tower",A105))=FALSE,ISERROR(FIND("carcass",A105))=FALSE),5*VLOOKUP("Deep shelf "&amp;C105,KitchensData,18,0),""))))</f>
        <v/>
      </c>
      <c r="K105" s="152" t="str">
        <f>IF(ISERROR(FIND("sink",A105))=FALSE,VLOOKUP("Sink liner - Aluminium "&amp;RIGHT(A105,LEN(A105)-22)&amp;"mm",ExceptionalData,5,0),IF(ISERROR(FIND("bins",A105))=FALSE,VLOOKUP("Drawer runners and clip set for bin unit (500) Dynapro",FurnitureData,5,0)+(2*VLOOKUP("Bin (42L Anthracite)",FurnitureData,5,0)),IF(ISERROR(FIND("larder",A105))=FALSE,VLOOKUP("Pull out larder unit 600mm",FurnitureData,5,0),IF(AND(ISERROR(FIND("drawer box",A105))=FALSE,ISERROR(FIND("internal",A105))=TRUE),VLOOKUP("Drawer runners and clip set (550) Dynapro",FurnitureData,5,0),IF(ISERROR(FIND("internal drawer box",A105))=FALSE,VLOOKUP("Drawer runners and clip set (450) Dynapro",FurnitureData,5,0),"")))))</f>
        <v/>
      </c>
      <c r="L105" s="152">
        <f t="shared" si="3"/>
        <v>58.54066111</v>
      </c>
      <c r="M105" s="154">
        <f>IFERROR(__xludf.DUMMYFUNCTION("IF(A105="""","""",IF(OR(ISERROR(FIND(""larder"",A105))=FALSE,ISERROR(FIND(""unit"",A105))=FALSE),VLOOKUP(LEFT(A105,FIND("" "",A105))&amp;""carcass ""&amp;RIGHT(A105,LEN(A105)-len(regexextract(A105,"".* ""))),KitchensData,13,0),IF(ISERROR(FIND(""bins"",A105))=FALS"&amp;"E,0.95,IF(ISERROR(FIND(""Cutlery insert 600"",A105))=FALSE,1.3,IF(ISERROR(FIND(""Cutlery insert 1200"",A105))=FALSE,2,IF(ISERROR(FIND(""Pan/tray rack 600"",A105))=FALSE,3.25,IF(ISERROR(FIND(""Pan/tray rack 1200"",A105))=FALSE,5.9,IF(ISERROR(FIND(""split"""&amp;",A105))=FALSE,(((C105/1000)*0.022)*2)+VLOOKUP(SUBSTITUTE(A105,"" split"",""""),KitchensData,13,0),IF(AND(ISERROR(FIND(""drawer front"",A105))=FALSE,KitchenDoorStyle=""Flat""),(((B105/1000)*(C105/1000))*2)+((((B105+C105)/1000)*2)*0.022),IF(AND(ISERROR(FIND"&amp;"(""drawer front"",A105))=FALSE,LEFT(KitchenDoorStyle,5)=""Panel""),(((B105/1000)*(C105/1000))*2)+((((B105+C105)/1000)*2)*0.022)+((((C105/1000)-0.16)*0.013)*2)+((((D105/1000)-0.16)*0.013)*2),IF(AND(ISERROR(FIND(""drawer front"",A105))=FALSE,KitchenDoorStyl"&amp;"e=""In-frame flat""),((((B105-76)/1000)*((C105-38)/1000))*2)+(MID(KitchenDoorMaterial,FIND(""("",KitchenDoorMaterial)+1,2)/1000)*((((B105-76)+(C105-38))/1000)*2)+(((B105/1000)*0.032)*2)+((((B105-76)/1000)*0.032)*2)+(((B105/1000)*0.019)*4)+(((C105/1000)*0."&amp;"032)*2)+((((C105-38)/1000)*0.032)*2)+(((C105/1000)*0.038)*4),IF(AND(ISERROR(FIND(""drawer front"",A105))=FALSE,LEFT(KitchenDoorStyle,14)=""In-frame panel""),((((B105-76)/1000)*((C105-38)/1000))*2)+((MID(KitchenDoorMaterial,FIND(""("",KitchenDoorMaterial)+"&amp;"1,2)/1000)*((((B105-76)+(C105-38))/1000)*2))+((((B105-236)/1000)+((C105-198)/1000)*2)*0.013)+(((B105/1000)*0.032)*2)+((((B105-76)/1000)*0.032)*2)+(((B105/1000)*0.019)*4)+(((C105/1000)*0.032)*2)+((((C105-38)/1000)*0.032)*2)+(((C105/1000)*0.038)*4),IF(ISERR"&amp;"OR(FIND(""drawer box"",A105))=FALSE,((((B105/1000)*(D105/1000))+((B105/1000)*(C105/1000)))*4)+((((D105/1000)+(C105/1000))*0.016)*4)+(((C105/1000)*(D105/1000))*2),IF(OR(ISERROR(FIND(""shelf"",A105))=FALSE,ISERROR(FIND(""spacer"",A105))=FALSE,,ISERROR(FIND("&amp;"""filler panel"",A105))=FALSE),(((C105/1000)*(D105/1000))*2)+((((C105+D105)*2)/1000)*0.022),IF(ISERROR(FIND(""lost corner"",A105))=FALSE,(((B105/1000)*(C105/1000))*2)+((B105/1000)*(C105/1000))+((B105/1000)*((C105/2)/1000))+((((B105/1000)*0.025)+((C105/100"&amp;"0)*0.025))*2),IF(ISERROR(FIND(""carcass"",A105))=FALSE,(((C105/1000)*(D105/1000))*2)+(((B105/1000)*(D105/1000))*2)+((B105/1000)*(C105/1000))+((((B105/1000)*0.025)+((C105/1000)*0.025))*2),IF(AND(ISERROR(FIND(""door"",A105))=FALSE,KitchenDoorStyle=""Flat"")"&amp;",(((B105/1000)*(C105/1000))*2)+(MID(KitchenDoorMaterial,FIND(""("",KitchenDoorMaterial)+1,2)/1000)*(((B105+C105)/1000)*2),IF(AND(ISERROR(FIND(""door"",A105))=FALSE,LEFT(KitchenDoorStyle,5)=""Panel""),(((B105/1000)*(C105/1000))*2)+((MID(KitchenDoorMaterial"&amp;",FIND(""("",KitchenDoorMaterial)+1,2)/1000)*(((B105+C105)/1000)*2))+(((((B105-160)+(C105-160))*2)/1000)*(0.013)),IF(AND(ISERROR(FIND(""door"",A105))=FALSE,KitchenDoorStyle=""In-frame flat""),((((B105-76)/1000)*((C105-38)/1000))*2)+(MID(KitchenDoorMaterial"&amp;",FIND(""("",KitchenDoorMaterial)+1,2)/1000)*((((B105-76)+(C105-38))/1000)*2)+(((B105/1000)*0.032)*2)+((((B105-76)/1000)*0.032)*2)+(((B105/1000)*0.019)*4)+(((C105/1000)*0.032)*2)+((((C105-38)/1000)*0.032)*2)+(((C105/1000)*0.038)*4),IF(AND(ISERROR(FIND(""do"&amp;"or"",A105))=FALSE,LEFT(KitchenDoorStyle,14)=""In-frame panel""),((((B105-76)/1000)*((C105-38)/1000))*2)+((MID(KitchenDoorMaterial,FIND(""("",KitchenDoorMaterial)+1,2)/1000)*((((B105-76)+(C105-38))/1000)*2))+((((B105-236)/1000)+((C105-198)/1000)*2)*0.013)+"&amp;"(((B105/1000)*0.032)*2)+((((B105-76)/1000)*0.032)*2)+(((B105/1000)*0.019)*4)+(((C105/1000)*0.032)*2)+((((C105-38)/1000)*0.032)*2)+(((C105/1000)*0.038)*4),IF(ISERROR(FIND(""Plinth"",A105))=FALSE,((B105/1000)*(C105/1000))+(((C105/1000)*0.018)*2)+(((B105/100"&amp;"0)*0.018)*2),IF(ISERROR(FIND(""Cornice"",A105))=FALSE,(((C105/1000)*0.1)*2)+(((C105/1000)*0.044)*2)+(((B105/1000)*0.08)*2),IF(ISERROR(FIND(""Base end panel"",A105))=FALSE,((B105/1000)*(C105/1000))+(0.022*((B105/1000)+((C105/1000)*2)))+((B105/1000)*0.05),I"&amp;"F(ISERROR(FIND(""Wall end panel"",A105))=FALSE,((B105/1000)*(C105/1000))+(0.022*((B105/1000)+((C105/1000)*2)))+((B105/1000)*0.05),IF(ISERROR(FIND(""Tower end panel"",A105))=FALSE,((B105/1000)*(C105/1000))+(0.022*((B105/1000)+((C105/1000)*2)))+((B105/1000)"&amp;"*0.05),IF(ISERROR(FIND(""Fillers"",A105))=FALSE,((C105/1000)*0.06)+((C105/1000)*0.069)+((0.06*0.018)*2)+((0.06*0.009)*2)+((C105/1000)*0.009)+((C105/1000)*0.018),IF(ISERROR(FIND(""corner post"",A105))=FALSE,(((B105/1000*0.05)*2)+((B105/1000)*0.022)*2)+((B1"&amp;"05/1000)*0.072)+((B105/1000)*0.05)+((0.072*0.022)*2)+((0.05*0.022)*2),IF(ISERROR(FIND(""Pelmet"",A105))=FALSE,((C105/1000)*0.05)+((C105/1000)*0.068)+((0.05*0.018)*4)+(((C105/1000)*0.018))*2))))))))))))))))))))))))))))"),1.82)</f>
        <v>1.82</v>
      </c>
      <c r="N105" s="152">
        <f>IF(M105="","",IF(AND(ISERROR(FIND("carcass",A105))=TRUE,ISERROR(FIND("unit",A105))=TRUE,ISERROR(FIND("insert",A105))=TRUE,ISERROR(FIND("rack",A105))=TRUE,ISERROR(FIND("box",A105))=TRUE,ISERROR(FIND("shelf",#REF!))=TRUE),VLOOKUP(KitchenDoorFinish,Finishing!$A$2:$K$10,9,0)*M105,VLOOKUP(KitchenCarcassFinish,Finishing!$A$2:$K$40,9,0)*M105))</f>
        <v>6.825</v>
      </c>
      <c r="O105" s="155">
        <v>1.0</v>
      </c>
      <c r="P105" s="155">
        <v>1.0</v>
      </c>
      <c r="Q105" s="152">
        <f>IF(OR(O105="",P105=""),"",((O105*X105)*(VLOOKUP("Workshop",Labour!$A$3:$E$20,4,0)/8))+((P105*AE105)*(VLOOKUP("Finishing",Labour!$A$3:$E$20,4,0)/8)))</f>
        <v>71.75</v>
      </c>
      <c r="R105" s="152">
        <f t="shared" si="4"/>
        <v>137.1156611</v>
      </c>
      <c r="S105" s="156">
        <f>IF(OR(O105="",P105=""),"",IF(OR(ISERROR(FIND("carcass",$A105))=FALSE,ISERROR(FIND("unit",$A105))=FALSE),VLOOKUP(KitchenCarcassMaterial,FixedListsCarcassMaterial,2,0),0))</f>
        <v>1</v>
      </c>
      <c r="T105" s="156">
        <f>IF(OR(O105="",P105=""),"",IF(ISERROR(FIND("door",$A105))=FALSE,VLOOKUP(KitchenDoorStyle,FixedListsDoorStyle,2,0),0))</f>
        <v>0</v>
      </c>
      <c r="U105" s="156">
        <f>IF(OR(O105="",P105=""),"",IF(ISERROR(FIND("door",$A105))=FALSE,VLOOKUP(KitchenDoorMaterial,FixedListsDoorMaterial,2,0),0))</f>
        <v>0</v>
      </c>
      <c r="V105" s="156">
        <f>IF(OR(O105="",P105=""),"",IF(ISERROR(FIND("drawer",$A105))=FALSE,VLOOKUP(KitchenDrawerType,FixedListsDrawerType,2,0),0))</f>
        <v>0</v>
      </c>
      <c r="W105" s="156">
        <f>IF(OR(O105="",P105=""),"",IF(OR(S105&gt;0, T105&gt;0,V105&gt;0),VLOOKUP(KitchenHandleType,FixedListsHandleType,2,FALSE)*IF(KitchenHandleType="Simple",0,IF(S105&gt;0,VLOOKUP(KitchenHandleType,FixedListsHandleType,4,FALSE),IF(OR(T105&gt;0,V105&gt;0),1-VLOOKUP(KitchenHandleType,FixedListsHandleType,4,FALSE),"Error"))),0))</f>
        <v>0</v>
      </c>
      <c r="X105" s="156">
        <f t="shared" si="5"/>
        <v>1</v>
      </c>
      <c r="Y105" s="156">
        <f>IF(OR(O105="",P105=""),"",IF(OR(ISERROR(FIND("carcass",$A105))=FALSE,ISERROR(FIND("unit",$A105))=FALSE),VLOOKUP(KitchenCarcassMaterial,FixedListsCarcassMaterial,3,0),0))</f>
        <v>1</v>
      </c>
      <c r="Z105" s="156">
        <f>IF(OR(O105="",P105=""),"",IF(ISERROR(FIND("door",$A105))=FALSE,VLOOKUP(KitchenDoorStyle,FixedListsDoorStyle,3,0),0))</f>
        <v>0</v>
      </c>
      <c r="AA105" s="156">
        <f>IF(OR(O105="",P105=""),"",IF(ISERROR(FIND("door",$A105))=FALSE,VLOOKUP(KitchenDoorMaterial,FixedListsDoorMaterial,3,0),0))</f>
        <v>0</v>
      </c>
      <c r="AB105" s="156">
        <f>IF(OR(O105="",P105=""),"",IF(ISERROR(FIND("drawer",$A105))=FALSE,VLOOKUP(KitchenDrawerType,FixedListsDrawerType,3,0),0))</f>
        <v>0</v>
      </c>
      <c r="AC105" s="156">
        <f>IF(OR(O105="",P105=""),"",IF(OR(Y105&gt;0,Z105&gt;0,AB105&gt;0),VLOOKUP(KitchenHandleType,FixedListsHandleType,3,FALSE),0))</f>
        <v>1</v>
      </c>
      <c r="AD105" s="156">
        <f>IF(OR(O105="",P105=""),"",IF(OR(ISERROR(FIND("carcass",$A105))=FALSE,ISERROR(FIND("unit",$A105))=FALSE),VLOOKUP(KitchenCarcassFinish,FixedListsFinishes,3,0),IF(OR(ISERROR(FIND("door",$A105))=FALSE,ISERROR(FIND("Plinth",$A105))=FALSE,ISERROR(FIND("Cornice",$A105))=FALSE,ISERROR(FIND("Fillers",$A105))=FALSE,ISERROR(FIND("Pelmet",$A105))=FALSE,ISERROR(FIND("panel",$A105))=FALSE,ISERROR(FIND("post",$A105))=FALSE),VLOOKUP(KitchenDoorFinish,FixedListsFinishes,3,0),IF(OR(ISERROR(FIND("drawer",$A105))=FALSE,ISERROR(FIND("insert",$A105))=FALSE,ISERROR(FIND("rck",$A105))=FALSE),VLOOKUP(KitchenCarcassFinish,FixedListsFinishes,3,0),0))))</f>
        <v>1</v>
      </c>
      <c r="AE105" s="156">
        <f t="shared" si="6"/>
        <v>1</v>
      </c>
      <c r="AF105" s="157" t="str">
        <f>IF(AND(KitchenHandleType="Channel",OR(ISERROR(FIND("arcass",$A105))=FALSE,ISERROR(FIND("unit",$A105))=FALSE)),IF(ISERROR(FIND("Tower",$A105))=TRUE,IF(KitchenHandleFinish="Match carcass",IF(ISERROR(FIND("Walnut",KitchenCarcassMaterial))=FALSE,(0.035*0.075*($C105/1000))*VLOOKUP("Walnut (solid m3)",SolidData,4,FALSE),IF(ISERROR(FIND("Oak",KitchenCarcassMaterial))=FALSE,(0.035*0.075*($C105/1000))*VLOOKUP("Oak (solid m3)",SolidData,4,FALSE),IF(ISERROR(FIND("ply",KitchenCarcassMaterial))=FALSE,(0.1*($C105/1000))*VLOOKUP("Birch ply (24mm)",SheetsData,7,FALSE),IF(ISERROR(FIND("H/F",KitchenCarcassMaterial))=FALSE,(0.1*($C105/1000))*VLOOKUP("H/F (22mm)",SheetsData,7,FALSE),"Carcass - not tower - new material")))),IF(KitchenHandleFinish="Match door",IF(ISERROR(FIND("Walnut",KitchenDoorMaterial))=FALSE,(0.035*0.075*($C105/1000))*VLOOKUP("Walnut (solid m3)",SolidData,4,FALSE),IF(ISERROR(FIND("Oak",KitchenDoorMaterial))=FALSE,(0.035*0.075*($C105/1000))*VLOOKUP("Oak (solid m3)",SolidData,4,FALSE),IF(ISERROR(FIND("ply",KitchenDoorMaterial))=FALSE,(0.1*($C105/1000))*VLOOKUP("Birch ply (24mm)",SheetsData,7,FALSE),IF(ISERROR(FIND("H/F",KitchenCarcassMaterial))=FALSE,(0.1*($C105/1000))*VLOOKUP("H/F (22mm)",SheetsData,7,FALSE),"Door - not tower - new material")))),"Channel - not tower - handle set to other")),IF(ISERROR(FIND("Tower",$A105))=FALSE,IF(KitchenHandleFinish="Match carcass",IF(ISERROR(FIND("Walnut",KitchenCarcassMaterial))=FALSE,(0.035*0.075*($B105/1000))*VLOOKUP("Walnut (solid m3)",SolidData,4,FALSE),IF(ISERROR(FIND("Oak",KitchenCarcassMaterial))=FALSE,(0.035*0.075*($B105/1000))*VLOOKUP("Oak (solid m3)",SolidData,4,FALSE),IF(ISERROR(FIND("ply",KitchenCarcassMaterial))=FALSE,(0.1*($B105/1000))*VLOOKUP("Birch ply (24mm)",SheetsData,7,FALSE),IF(ISERROR(FIND("H/F",KitchenCarcassMaterial))=FALSE,(0.1*($C105/1000))*VLOOKUP("H/F (22mm)",SheetsData,7,FALSE),"Carcass - tower - new material")))),IF(KitchenHandleFinish="Match door",IF(ISERROR(FIND("Walnut",KitchenDoorMaterial))=FALSE,(0.035*0.075*($B105/1000))*VLOOKUP("Walnut (solid m3)",SolidData,4,FALSE),IF(ISERROR(FIND("Oak",KitchenDoorMaterial))=FALSE,(0.035*0.075*($B105/1000))*VLOOKUP("Oak (solid m3)",SolidData,4,FALSE),IF(ISERROR(FIND("ply",KitchenDoorMaterial))=FALSE,(0.1*($B105/1000))*VLOOKUP("Birch ply (24mm)",SheetData,7,FALSE),IF(ISERROR(FIND("H/F",KitchenCarcassMaterial))=FALSE,(0.1*($C105/1000))*VLOOKUP("H/F (22mm)",SheetsData,7,FALSE),"Door - tower - new material")))),"Channel - tower - handle set to other")))),"")</f>
        <v/>
      </c>
    </row>
    <row r="106">
      <c r="A106" s="150" t="s">
        <v>214</v>
      </c>
      <c r="B106" s="115">
        <f t="shared" si="1"/>
        <v>800</v>
      </c>
      <c r="C106" s="115" t="str">
        <f>IFERROR(__xludf.DUMMYFUNCTION("IF(A106="""","""",IF(OR(RIGHT(A106,LEN(A106)-len(regexextract(A106,"".* "")))=""1200"",RIGHT(A106,LEN(A106)-len(regexextract(A106,"".* "")))=""600"",RIGHT(A106,LEN(A106)-len(regexextract(A106,"".* "")))=""400"",RIGHT(A106,LEN(A106)-len(regexextract(A106,"&amp;""".* "")))=""300"",RIGHT(A106,LEN(A106)-len(regexextract(A106,"".* "")))=""700"",RIGHT(A106,LEN(A106)-len(regexextract(A106,"".* "")))=""2400"",RIGHT(A106,LEN(A106)-len(regexextract(A106,"".* "")))=""650"",RIGHT(A106,LEN(A106)-len(regexextract(A106,"".* "&amp;""")))=""350"",RIGHT(A106,LEN(A106)-len(regexextract(A106,"".* "")))=""50""),RIGHT(A106,LEN(A106)-len(regexextract(A106,"".* ""))),IF(OR(ISERROR(FIND(""spacer"",A106))=FALSE,ISERROR(FIND(""filler panel"",A106))=FALSE),""1000"",""Unexpected size in descript"&amp;"ion"")))"),"300")</f>
        <v>300</v>
      </c>
      <c r="D106" s="151">
        <f t="shared" si="2"/>
        <v>600</v>
      </c>
      <c r="E106" s="152">
        <f>IFERROR(__xludf.DUMMYFUNCTION("IF(OR(A106="""",AND(ISERROR(FIND(""drawer box"",A106))=FALSE,KitchenDrawerType="""")),"""",IF(OR(ISERROR(FIND(""larder"",A106))=FALSE,ISERROR(FIND(""fridge/freezer"",A106))=FALSE,ISERROR(FIND(""double oven"",A106))=FALSE,ISERROR(FIND(""single oven"",A106)"&amp;")=FALSE),VLOOKUP(LEFT(A106,FIND("" "",A106))&amp;""carcass ""&amp;RIGHT(A106,LEN(A106)-(LEN(A106)-3)),KitchensData,5,0),IF(ISERROR(FIND(""sink"",A106))=FALSE,VLOOKUP(LEFT(A106,FIND("" "",A106))&amp;""carcass ""&amp;VALUE(REGEXREPLACE(A106,""[^[:digit:]]"", """")),Kitchen"&amp;"sData,5,0)+(((C106/1000)*(300/1000))*VLOOKUP(KitchenCarcassMaterial,SheetsData,8,0)),IF(ISERROR(FIND(""bins"",A106))=FALSE,IF(ISERROR(FIND(""veneer"",KitchenCarcassMaterial))=FALSE,VLOOKUP(""Base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600"",A106))=FALSE,IF(ISERR"&amp;"OR(FIND(""veneer"",KitchenCarcassMaterial))=FALSE,0.54*(VLOOKUP(LEFT(KitchenCarcassMaterial,FIND(""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1"&amp;"200"",A106))=FALSE,IF(ISERROR(FIND(""veneer"",KitchenCarcassMaterial))=FALSE,0.84*(VLOOKUP(LEFT(KitchenCarcassMaterial,FIND(""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600"",A106))=FALSE,IF(ISERROR(FIND(""veneer"",KitchenCarcassMaterial))=FALSE,1.44*(VLOOKUP(LEFT(KitchenCarcassMaterial,FIND(""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1200"",A106))=FALSE,IF(ISERROR(FIND(""veneer"",KitchenCarcassMaterial))=FALSE,2.7*(VLOOKUP(LEFT(KitchenCarcassMaterial,FIND(""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front"",A106))=FALSE,((B106/1000)*(C106/1000))*VLOOKUP(KitchenDoorMaterial,SheetsData,8,0),IF(AND(KitchenDrawerType=""Match carcass"",ISERROR(FIND(""drawer box"",A106))=FALSE),(((((B106/10"&amp;"00)*(C106/1000))+((B106/1000)*(D106/1000)))*2)*VLOOKUP(KitchenCarcassMaterial,SheetsData,8,0))+(((C106/1000)*(D106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box"",A106))=FALSE),(((((B106/1000)*(C106/1000))+((B106/1000)*(D106/1000)))*2)*(16/1000)*VLOOKUP(L"&amp;"EFT(KitchenCarcassMaterial,FIND("" "",KitchenCarcassMaterial))&amp;""(solid m3)"",SolidData,5,0))+(((C106/1000)*(D106/1000))*VLOOKUP(LEFT(KitchenCarcassMaterial,FIND(""("",KitchenCarcassMaterial)-1)&amp;IF(OR(ISERROR(FIND(""ply"",KitchenCarcassMaterial))=FALSE,IS"&amp;"ERROR(FIND(""H/F"",KitchenCarcassMaterial))=FALSE),""(9mm)"",""(10mm)""),SheetsData,8,0)),IF(ISERROR(FIND(""spacer"",A106))=FALSE,((D106/1000)*(C106/1000))*VLOOKUP(""Poplar ply (18mm)"",SheetsData,8,0),IF(ISERROR(FIND(""filler panel"",A106))=FALSE,((B106/"&amp;"1000)*(C106/1000))*VLOOKUP(KitchenDoorMaterial,SheetsData,8,0),IF(ISERROR(FIND(""shelf"",A106))=FALSE,((D106/1000)*(C106/1000))*VLOOKUP(KitchenCarcassMaterial,SheetsData,8,0),IF(ISERROR(FIND(""lost corner"",A106))=FALSE,VLOOKUP(LEFT(A106,FIND("" "",A106))"&amp;"&amp;""carcass ""&amp;VALUE(REGEXREPLACE(A106,""[^[:digit:]]"", """")),KitchensData,5,0)+((((B106/1000)*(C106/1000))+((B106/1000)*(60/1000)))*VLOOKUP(KitchenCarcassMaterial,SheetsData,8,0)),IF(ISERROR(FIND(""carcass"",A106))=FALSE,(((((B106/1000)*2)*(D106/1000))+"&amp;"(((C106/1000)*2)*(D106/1000)))*VLOOKUP(KitchenCarcassMaterial,SheetsData,8,0))+((B106/1000)*(C106/1000))*VLOOKUP(LEFT(KitchenCarcassMaterial,FIND(""("",KitchenCarcassMaterial)-1)&amp;IF(OR(ISERROR(FIND(""ply"",KitchenCarcassMaterial))=FALSE,ISERROR(FIND(""H/F"&amp;""",KitchenCarcassMaterial))=FALSE),""(9mm)"",""(10mm)""),SheetsData,8,0),IF(OR(ISERROR(FIND(""Plinth"",A106))=FALSE,ISERROR(FIND(""Cornice (flat)"",A106))=FALSE),((B106/1000)*(C106/1000))*VLOOKUP(""H/F (18mm)"",SheetsData,8,0),IF(ISERROR(FIND(""Cornice (s"&amp;"tacked)"",A106))=FALSE,((0.08*(C106/1000))*2)*VLOOKUP(""H/F (22mm)"",SheetsData,8,0),IF(ISERROR(FIND(""Base end panel"",A106))=FALSE,VLOOKUP(KitchenDoorMaterial,SheetsData,5,0)/3,IF(ISERROR(FIND(""Wall end panel"",A106))=FALSE,VLOOKUP(KitchenDoorMaterial,"&amp;"SheetsData,5,0)/9,IF(ISERROR(FIND(""Tower end panel"",A106))=FALSE,VLOOKUP(KitchenDoorMaterial,SheetsData,5,0),IF(ISERROR(FIND(""Fillers"",A106))=FALSE,(((0.06*(C106/1000))*2)*VLOOKUP(""H/F (18mm)"",SheetsData,8,0))+(((0.06*(C106/1000))*2)*VLOOKUP(""H/F ("&amp;"9mm)"",SheetsData,8,0)),IF(ISERROR(FIND(""corner post"",A106))=FALSE,(((B106/1000)*0.05)*2)*VLOOKUP(KitchenDoorMaterial,SheetsData,8,0),IF(ISERROR(FIND(""Pelmet"",A106))=FALSE,((((B106/1000)*(C106/1000))*2)*VLOOKUP(""H/F (18mm)"",SheetsData,8,0)),IF(ISERR"&amp;"OR(FIND(""door"",A106))=TRUE,""Check description"",IF(KitchenDoorStyle=""Flat"",((B106/1000)*(C106/1000))*VLOOKUP(KitchenDoorMaterial,SheetsData,8,0),IF(LEFT(KitchenDoorStyle,5)=""Panel"",(((((B106/1000)*2)*0.08)+((((C106/1000)-0.16)*2)*0.08))*VLOOKUP(""H"&amp;"/F (22mm)"",SheetsData,8,0))+(((B106/1000)-0.14)*((C106/1000)-0.14)*VLOOKUP(""H/F (9mm)"",SheetsData,8,0)),IF(KitchenDoorStyle=""In-frame flat"",((((((B106/1000)*0.019)*0.038)+((((C106-38)/1000)*0.038)*0.038))*2)*VLOOKUP(""Tulip (solid m3)"",SolidData,5,0"&amp;"))+(((B106-76)/1000)*((C106-38)/1000))*VLOOKUP(""H/F (22mm)"",SheetsData,8,0),IF(LEFT(KitchenDoorStyle,14)=""In-frame panel"",(((((((B106/1000)*0.019)*0.038)+((((C106-38)/1000)*0.038)*0.038))*2)*VLOOKUP(""Tulip (solid m3)"",SolidData,5,0))+(((((((B106-76)"&amp;"/1000)*2)*0.08)+(((((C106-198)/1000)*2)*0.08)))*VLOOKUP(""H/F (22mm)"",SheetsData,8,0))+(((B106-216)/1000)*((C106-178)/1000)*VLOOKUP(""H/F (9mm)"",SheetsData,8,0)))))))))))))))))))))))))))))))))"),49.03319000268745)</f>
        <v>49.03319</v>
      </c>
      <c r="F106" s="152">
        <f>IFERROR(__xludf.DUMMYFUNCTION("IF(OR(A106="""",AND(ISERROR(FIND(""drawer box"",A106))=FALSE,KitchenDrawerType=""Solid dovetail"")),"""",IF(ISERROR(FIND(""bins"",A106))=FALSE,VLOOKUP(""Base carcass 600"",KitchensData,6,0),IF(OR(ISERROR(FIND(""larder"",A106))=FALSE,ISERROR(FIND(""unit"","&amp;"A106))=FALSE),VLOOKUP(LEFT(A106,FIND("" "",A106))&amp;""carcass ""&amp;RIGHT(A106,LEN(A106)-len(regexextract(A106,"".* ""))),KitchensData,6,0),IF(ISERROR(FIND(""drawer front"",A106))=FALSE,IF(ISERROR(FIND(""veneer"",KitchenCarcassMaterial))=TRUE,0,(((B106+C106)/1"&amp;"000)*2)*VLOOKUP(""Edge banding (per M)"",SheetsData,5,0)),IF(ISERROR(FIND(""drawer box"",A106))=FALSE,IF(ISERROR(FIND(""veneer"",KitchenCarcassMaterial))=TRUE,0,(((C106+D106)/1000)*2)*VLOOKUP(""Edge banding (per M)"",SheetsData,5,0)),IF(ISERROR(FIND(""she"&amp;"lf"",A106))=FALSE,IF(ISERROR(FIND(""veneer"",KitchenCarcassMaterial))=TRUE,0,(C106/1000)*VLOOKUP(""Edge banding (per M)"",SheetsData,5,0)),IF(AND(ISERROR(FIND(""carcass"",A106))=FALSE,ISERROR(FIND(""shelf"",A106))=TRUE),IF(ISERROR(FIND(""veneer"",KitchenC"&amp;"arcassMaterial))=TRUE,0,((2*(B106+C106))/1000)*VLOOKUP(""Edge banding (per M)"",SheetsData,5,0)),IF(ISERROR(FIND(""door"",A106))=TRUE,"""",IF(ISERROR(FIND(""veneer"",KitchenDoorMaterial))=TRUE,"""",((2*(B106+C106))/1000)*VLOOKUP(""Edge banding (per M)"",S"&amp;"heetsData,5,0))))))))))"),0.0)</f>
        <v>0</v>
      </c>
      <c r="G106" s="153">
        <f>IF(A106="","",IF(ISERROR(FIND("bins",A106))=FALSE,VLOOKUP("Base carcass 600",KitchensData,7,0),IF(OR(ISERROR(FIND("larder",A106))=FALSE,ISERROR(FIND("fridge/freezer",A106))=FALSE,ISERROR(FIND("double oven",A106))=FALSE,ISERROR(FIND("single oven",A106))=FALSE),VLOOKUP(LEFT(A106,FIND(" ",A106))&amp;"carcass "&amp;RIGHT(A106,LEN(A106)-(LEN(A106)-3)),KitchensData,7,0),IF(AND(ISERROR(FIND("carcass",A106))=FALSE,ISERROR(FIND("shelf",A106))=TRUE),IF(OR(ISERROR(FIND("Base",A106))=FALSE,ISERROR(FIND("Tower",A106))=FALSE),IF(OR(ISERROR(FIND("1200",A106))=FALSE, ISERROR(FIND("lost corner",A106))=FALSE),6*VLOOKUP("Plinth foot (2 Parts 80mm)",FurnitureData,5,0),4*VLOOKUP("Plinth foot (2 Parts 80mm)",FurnitureData,5,0)),""),""))))</f>
        <v>3.8</v>
      </c>
      <c r="H106" s="115" t="str">
        <f>IF(OR(A106="",ISERROR(FIND("door",A106))=TRUE),"",IF(ISERROR(FIND("Wall",A106))=FALSE,VLOOKUP("Hinges &amp; plates (Hettich thick door)",FurnitureData,5,0)*2,IF(ISERROR(FIND("Base",A106))=FALSE,VLOOKUP("Hinges &amp; plates (Hettich thick door)",FurnitureData,5,0)*3,IF(ISERROR(FIND("Boiler",A106))=FALSE,VLOOKUP("Hinges &amp; plates (Hettich thick door)",FurnitureData,5,0)*4,IF(ISERROR(FIND("Tower",A106))=FALSE,VLOOKUP("Hinges &amp; plates (Hettich thick door)",FurnitureData,5,0)*5)))))</f>
        <v/>
      </c>
      <c r="I106" s="115" t="str">
        <f>IF(ISERROR(FIND("shelf",A106))=FALSE,(VLOOKUP("Shelf pegs",FurnitureData,5,0)/100)*4,"")</f>
        <v/>
      </c>
      <c r="J106" s="152" t="str">
        <f>IF(OR(ISERROR(FIND("fridge/freezer",A106))=FALSE,ISERROR(FIND("larder",A106))=FALSE,AND(ISERROR(FIND("Base",A106))=FALSE,ISERROR(FIND("bins",A106))=TRUE,ISERROR(FIND("no shelves",A106))=TRUE,OR(ISERROR(FIND("carcass",A106))=FALSE,ISERROR(FIND("unit",A106))=FALSE))),VLOOKUP("Deep shelf "&amp;C106,KitchensData,18,0),IF(AND(ISERROR(FIND("Wall",A106))=FALSE,ISERROR(FIND("carcass",A106))=FALSE),2*VLOOKUP("Shallow shelf "&amp;C106,KitchensData,18,0),IF(AND(ISERROR(FIND("Tower",A106))=FALSE,ISERROR(FIND("oven",A106))=FALSE),4*VLOOKUP("Deep shelf "&amp;C106,KitchensData,18,0),IF(AND(ISERROR(FIND("Tower",A106))=FALSE,ISERROR(FIND("carcass",A106))=FALSE),5*VLOOKUP("Deep shelf "&amp;C106,KitchensData,18,0),""))))</f>
        <v/>
      </c>
      <c r="K106" s="152" t="str">
        <f>IF(ISERROR(FIND("sink",A106))=FALSE,VLOOKUP("Sink liner - Aluminium "&amp;RIGHT(A106,LEN(A106)-22)&amp;"mm",ExceptionalData,5,0),IF(ISERROR(FIND("bins",A106))=FALSE,VLOOKUP("Drawer runners and clip set for bin unit (500) Dynapro",FurnitureData,5,0)+(2*VLOOKUP("Bin (42L Anthracite)",FurnitureData,5,0)),IF(ISERROR(FIND("larder",A106))=FALSE,VLOOKUP("Pull out larder unit 600mm",FurnitureData,5,0),IF(AND(ISERROR(FIND("drawer box",A106))=FALSE,ISERROR(FIND("internal",A106))=TRUE),VLOOKUP("Drawer runners and clip set (550) Dynapro",FurnitureData,5,0),IF(ISERROR(FIND("internal drawer box",A106))=FALSE,VLOOKUP("Drawer runners and clip set (450) Dynapro",FurnitureData,5,0),"")))))</f>
        <v/>
      </c>
      <c r="L106" s="152">
        <f t="shared" si="3"/>
        <v>52.83319</v>
      </c>
      <c r="M106" s="154">
        <f>IFERROR(__xludf.DUMMYFUNCTION("IF(A106="""","""",IF(OR(ISERROR(FIND(""larder"",A106))=FALSE,ISERROR(FIND(""unit"",A106))=FALSE),VLOOKUP(LEFT(A106,FIND("" "",A106))&amp;""carcass ""&amp;RIGHT(A106,LEN(A106)-len(regexextract(A106,"".* ""))),KitchensData,13,0),IF(ISERROR(FIND(""bins"",A106))=FALS"&amp;"E,0.95,IF(ISERROR(FIND(""Cutlery insert 600"",A106))=FALSE,1.3,IF(ISERROR(FIND(""Cutlery insert 1200"",A106))=FALSE,2,IF(ISERROR(FIND(""Pan/tray rack 600"",A106))=FALSE,3.25,IF(ISERROR(FIND(""Pan/tray rack 1200"",A106))=FALSE,5.9,IF(ISERROR(FIND(""split"""&amp;",A106))=FALSE,(((C106/1000)*0.022)*2)+VLOOKUP(SUBSTITUTE(A106,"" split"",""""),KitchensData,13,0),IF(AND(ISERROR(FIND(""drawer front"",A106))=FALSE,KitchenDoorStyle=""Flat""),(((B106/1000)*(C106/1000))*2)+((((B106+C106)/1000)*2)*0.022),IF(AND(ISERROR(FIND"&amp;"(""drawer front"",A106))=FALSE,LEFT(KitchenDoorStyle,5)=""Panel""),(((B106/1000)*(C106/1000))*2)+((((B106+C106)/1000)*2)*0.022)+((((C106/1000)-0.16)*0.013)*2)+((((D106/1000)-0.16)*0.013)*2),IF(AND(ISERROR(FIND(""drawer front"",A106))=FALSE,KitchenDoorStyl"&amp;"e=""In-frame flat""),((((B106-76)/1000)*((C106-38)/1000))*2)+(MID(KitchenDoorMaterial,FIND(""("",KitchenDoorMaterial)+1,2)/1000)*((((B106-76)+(C106-38))/1000)*2)+(((B106/1000)*0.032)*2)+((((B106-76)/1000)*0.032)*2)+(((B106/1000)*0.019)*4)+(((C106/1000)*0."&amp;"032)*2)+((((C106-38)/1000)*0.032)*2)+(((C106/1000)*0.038)*4),IF(AND(ISERROR(FIND(""drawer front"",A106))=FALSE,LEFT(KitchenDoorStyle,14)=""In-frame panel""),((((B106-76)/1000)*((C106-38)/1000))*2)+((MID(KitchenDoorMaterial,FIND(""("",KitchenDoorMaterial)+"&amp;"1,2)/1000)*((((B106-76)+(C106-38))/1000)*2))+((((B106-236)/1000)+((C106-198)/1000)*2)*0.013)+(((B106/1000)*0.032)*2)+((((B106-76)/1000)*0.032)*2)+(((B106/1000)*0.019)*4)+(((C106/1000)*0.032)*2)+((((C106-38)/1000)*0.032)*2)+(((C106/1000)*0.038)*4),IF(ISERR"&amp;"OR(FIND(""drawer box"",A106))=FALSE,((((B106/1000)*(D106/1000))+((B106/1000)*(C106/1000)))*4)+((((D106/1000)+(C106/1000))*0.016)*4)+(((C106/1000)*(D106/1000))*2),IF(OR(ISERROR(FIND(""shelf"",A106))=FALSE,ISERROR(FIND(""spacer"",A106))=FALSE,,ISERROR(FIND("&amp;"""filler panel"",A106))=FALSE),(((C106/1000)*(D106/1000))*2)+((((C106+D106)*2)/1000)*0.022),IF(ISERROR(FIND(""lost corner"",A106))=FALSE,(((B106/1000)*(C106/1000))*2)+((B106/1000)*(C106/1000))+((B106/1000)*((C106/2)/1000))+((((B106/1000)*0.025)+((C106/100"&amp;"0)*0.025))*2),IF(ISERROR(FIND(""carcass"",A106))=FALSE,(((C106/1000)*(D106/1000))*2)+(((B106/1000)*(D106/1000))*2)+((B106/1000)*(C106/1000))+((((B106/1000)*0.025)+((C106/1000)*0.025))*2),IF(AND(ISERROR(FIND(""door"",A106))=FALSE,KitchenDoorStyle=""Flat"")"&amp;",(((B106/1000)*(C106/1000))*2)+(MID(KitchenDoorMaterial,FIND(""("",KitchenDoorMaterial)+1,2)/1000)*(((B106+C106)/1000)*2),IF(AND(ISERROR(FIND(""door"",A106))=FALSE,LEFT(KitchenDoorStyle,5)=""Panel""),(((B106/1000)*(C106/1000))*2)+((MID(KitchenDoorMaterial"&amp;",FIND(""("",KitchenDoorMaterial)+1,2)/1000)*(((B106+C106)/1000)*2))+(((((B106-160)+(C106-160))*2)/1000)*(0.013)),IF(AND(ISERROR(FIND(""door"",A106))=FALSE,KitchenDoorStyle=""In-frame flat""),((((B106-76)/1000)*((C106-38)/1000))*2)+(MID(KitchenDoorMaterial"&amp;",FIND(""("",KitchenDoorMaterial)+1,2)/1000)*((((B106-76)+(C106-38))/1000)*2)+(((B106/1000)*0.032)*2)+((((B106-76)/1000)*0.032)*2)+(((B106/1000)*0.019)*4)+(((C106/1000)*0.032)*2)+((((C106-38)/1000)*0.032)*2)+(((C106/1000)*0.038)*4),IF(AND(ISERROR(FIND(""do"&amp;"or"",A106))=FALSE,LEFT(KitchenDoorStyle,14)=""In-frame panel""),((((B106-76)/1000)*((C106-38)/1000))*2)+((MID(KitchenDoorMaterial,FIND(""("",KitchenDoorMaterial)+1,2)/1000)*((((B106-76)+(C106-38))/1000)*2))+((((B106-236)/1000)+((C106-198)/1000)*2)*0.013)+"&amp;"(((B106/1000)*0.032)*2)+((((B106-76)/1000)*0.032)*2)+(((B106/1000)*0.019)*4)+(((C106/1000)*0.032)*2)+((((C106-38)/1000)*0.032)*2)+(((C106/1000)*0.038)*4),IF(ISERROR(FIND(""Plinth"",A106))=FALSE,((B106/1000)*(C106/1000))+(((C106/1000)*0.018)*2)+(((B106/100"&amp;"0)*0.018)*2),IF(ISERROR(FIND(""Cornice"",A106))=FALSE,(((C106/1000)*0.1)*2)+(((C106/1000)*0.044)*2)+(((B106/1000)*0.08)*2),IF(ISERROR(FIND(""Base end panel"",A106))=FALSE,((B106/1000)*(C106/1000))+(0.022*((B106/1000)+((C106/1000)*2)))+((B106/1000)*0.05),I"&amp;"F(ISERROR(FIND(""Wall end panel"",A106))=FALSE,((B106/1000)*(C106/1000))+(0.022*((B106/1000)+((C106/1000)*2)))+((B106/1000)*0.05),IF(ISERROR(FIND(""Tower end panel"",A106))=FALSE,((B106/1000)*(C106/1000))+(0.022*((B106/1000)+((C106/1000)*2)))+((B106/1000)"&amp;"*0.05),IF(ISERROR(FIND(""Fillers"",A106))=FALSE,((C106/1000)*0.06)+((C106/1000)*0.069)+((0.06*0.018)*2)+((0.06*0.009)*2)+((C106/1000)*0.009)+((C106/1000)*0.018),IF(ISERROR(FIND(""corner post"",A106))=FALSE,(((B106/1000*0.05)*2)+((B106/1000)*0.022)*2)+((B1"&amp;"06/1000)*0.072)+((B106/1000)*0.05)+((0.072*0.022)*2)+((0.05*0.022)*2),IF(ISERROR(FIND(""Pelmet"",A106))=FALSE,((C106/1000)*0.05)+((C106/1000)*0.068)+((0.05*0.018)*4)+(((C106/1000)*0.018))*2))))))))))))))))))))))))))))"),1.6149999999999998)</f>
        <v>1.615</v>
      </c>
      <c r="N106" s="152">
        <f>IF(M106="","",IF(AND(ISERROR(FIND("carcass",A106))=TRUE,ISERROR(FIND("unit",A106))=TRUE,ISERROR(FIND("insert",A106))=TRUE,ISERROR(FIND("rack",A106))=TRUE,ISERROR(FIND("box",A106))=TRUE,ISERROR(FIND("shelf",#REF!))=TRUE),VLOOKUP(KitchenDoorFinish,Finishing!$A$2:$K$10,9,0)*M106,VLOOKUP(KitchenCarcassFinish,Finishing!$A$2:$K$40,9,0)*M106))</f>
        <v>6.05625</v>
      </c>
      <c r="O106" s="155">
        <v>1.0</v>
      </c>
      <c r="P106" s="155">
        <v>1.0</v>
      </c>
      <c r="Q106" s="152">
        <f>IF(OR(O106="",P106=""),"",((O106*X106)*(VLOOKUP("Workshop",Labour!$A$3:$E$20,4,0)/8))+((P106*AE106)*(VLOOKUP("Finishing",Labour!$A$3:$E$20,4,0)/8)))</f>
        <v>71.75</v>
      </c>
      <c r="R106" s="152">
        <f t="shared" si="4"/>
        <v>130.63944</v>
      </c>
      <c r="S106" s="156">
        <f>IF(OR(O106="",P106=""),"",IF(OR(ISERROR(FIND("carcass",$A106))=FALSE,ISERROR(FIND("unit",$A106))=FALSE),VLOOKUP(KitchenCarcassMaterial,FixedListsCarcassMaterial,2,0),0))</f>
        <v>1</v>
      </c>
      <c r="T106" s="156">
        <f>IF(OR(O106="",P106=""),"",IF(ISERROR(FIND("door",$A106))=FALSE,VLOOKUP(KitchenDoorStyle,FixedListsDoorStyle,2,0),0))</f>
        <v>0</v>
      </c>
      <c r="U106" s="156">
        <f>IF(OR(O106="",P106=""),"",IF(ISERROR(FIND("door",$A106))=FALSE,VLOOKUP(KitchenDoorMaterial,FixedListsDoorMaterial,2,0),0))</f>
        <v>0</v>
      </c>
      <c r="V106" s="156">
        <f>IF(OR(O106="",P106=""),"",IF(ISERROR(FIND("drawer",$A106))=FALSE,VLOOKUP(KitchenDrawerType,FixedListsDrawerType,2,0),0))</f>
        <v>0</v>
      </c>
      <c r="W106" s="156">
        <f>IF(OR(O106="",P106=""),"",IF(OR(S106&gt;0, T106&gt;0,V106&gt;0),VLOOKUP(KitchenHandleType,FixedListsHandleType,2,FALSE)*IF(KitchenHandleType="Simple",0,IF(S106&gt;0,VLOOKUP(KitchenHandleType,FixedListsHandleType,4,FALSE),IF(OR(T106&gt;0,V106&gt;0),1-VLOOKUP(KitchenHandleType,FixedListsHandleType,4,FALSE),"Error"))),0))</f>
        <v>0</v>
      </c>
      <c r="X106" s="156">
        <f t="shared" si="5"/>
        <v>1</v>
      </c>
      <c r="Y106" s="156">
        <f>IF(OR(O106="",P106=""),"",IF(OR(ISERROR(FIND("carcass",$A106))=FALSE,ISERROR(FIND("unit",$A106))=FALSE),VLOOKUP(KitchenCarcassMaterial,FixedListsCarcassMaterial,3,0),0))</f>
        <v>1</v>
      </c>
      <c r="Z106" s="156">
        <f>IF(OR(O106="",P106=""),"",IF(ISERROR(FIND("door",$A106))=FALSE,VLOOKUP(KitchenDoorStyle,FixedListsDoorStyle,3,0),0))</f>
        <v>0</v>
      </c>
      <c r="AA106" s="156">
        <f>IF(OR(O106="",P106=""),"",IF(ISERROR(FIND("door",$A106))=FALSE,VLOOKUP(KitchenDoorMaterial,FixedListsDoorMaterial,3,0),0))</f>
        <v>0</v>
      </c>
      <c r="AB106" s="156">
        <f>IF(OR(O106="",P106=""),"",IF(ISERROR(FIND("drawer",$A106))=FALSE,VLOOKUP(KitchenDrawerType,FixedListsDrawerType,3,0),0))</f>
        <v>0</v>
      </c>
      <c r="AC106" s="156">
        <f>IF(OR(O106="",P106=""),"",IF(OR(Y106&gt;0,Z106&gt;0,AB106&gt;0),VLOOKUP(KitchenHandleType,FixedListsHandleType,3,FALSE),0))</f>
        <v>1</v>
      </c>
      <c r="AD106" s="156">
        <f>IF(OR(O106="",P106=""),"",IF(OR(ISERROR(FIND("carcass",$A106))=FALSE,ISERROR(FIND("unit",$A106))=FALSE),VLOOKUP(KitchenCarcassFinish,FixedListsFinishes,3,0),IF(OR(ISERROR(FIND("door",$A106))=FALSE,ISERROR(FIND("Plinth",$A106))=FALSE,ISERROR(FIND("Cornice",$A106))=FALSE,ISERROR(FIND("Fillers",$A106))=FALSE,ISERROR(FIND("Pelmet",$A106))=FALSE,ISERROR(FIND("panel",$A106))=FALSE,ISERROR(FIND("post",$A106))=FALSE),VLOOKUP(KitchenDoorFinish,FixedListsFinishes,3,0),IF(OR(ISERROR(FIND("drawer",$A106))=FALSE,ISERROR(FIND("insert",$A106))=FALSE,ISERROR(FIND("rck",$A106))=FALSE),VLOOKUP(KitchenCarcassFinish,FixedListsFinishes,3,0),0))))</f>
        <v>1</v>
      </c>
      <c r="AE106" s="156">
        <f t="shared" si="6"/>
        <v>1</v>
      </c>
      <c r="AF106" s="157" t="str">
        <f>IF(AND(KitchenHandleType="Channel",OR(ISERROR(FIND("arcass",$A106))=FALSE,ISERROR(FIND("unit",$A106))=FALSE)),IF(ISERROR(FIND("Tower",$A106))=TRUE,IF(KitchenHandleFinish="Match carcass",IF(ISERROR(FIND("Walnut",KitchenCarcassMaterial))=FALSE,(0.035*0.075*($C106/1000))*VLOOKUP("Walnut (solid m3)",SolidData,4,FALSE),IF(ISERROR(FIND("Oak",KitchenCarcassMaterial))=FALSE,(0.035*0.075*($C106/1000))*VLOOKUP("Oak (solid m3)",SolidData,4,FALSE),IF(ISERROR(FIND("ply",KitchenCarcassMaterial))=FALSE,(0.1*($C106/1000))*VLOOKUP("Birch ply (24mm)",SheetsData,7,FALSE),IF(ISERROR(FIND("H/F",KitchenCarcassMaterial))=FALSE,(0.1*($C106/1000))*VLOOKUP("H/F (22mm)",SheetsData,7,FALSE),"Carcass - not tower - new material")))),IF(KitchenHandleFinish="Match door",IF(ISERROR(FIND("Walnut",KitchenDoorMaterial))=FALSE,(0.035*0.075*($C106/1000))*VLOOKUP("Walnut (solid m3)",SolidData,4,FALSE),IF(ISERROR(FIND("Oak",KitchenDoorMaterial))=FALSE,(0.035*0.075*($C106/1000))*VLOOKUP("Oak (solid m3)",SolidData,4,FALSE),IF(ISERROR(FIND("ply",KitchenDoorMaterial))=FALSE,(0.1*($C106/1000))*VLOOKUP("Birch ply (24mm)",SheetsData,7,FALSE),IF(ISERROR(FIND("H/F",KitchenCarcassMaterial))=FALSE,(0.1*($C106/1000))*VLOOKUP("H/F (22mm)",SheetsData,7,FALSE),"Door - not tower - new material")))),"Channel - not tower - handle set to other")),IF(ISERROR(FIND("Tower",$A106))=FALSE,IF(KitchenHandleFinish="Match carcass",IF(ISERROR(FIND("Walnut",KitchenCarcassMaterial))=FALSE,(0.035*0.075*($B106/1000))*VLOOKUP("Walnut (solid m3)",SolidData,4,FALSE),IF(ISERROR(FIND("Oak",KitchenCarcassMaterial))=FALSE,(0.035*0.075*($B106/1000))*VLOOKUP("Oak (solid m3)",SolidData,4,FALSE),IF(ISERROR(FIND("ply",KitchenCarcassMaterial))=FALSE,(0.1*($B106/1000))*VLOOKUP("Birch ply (24mm)",SheetsData,7,FALSE),IF(ISERROR(FIND("H/F",KitchenCarcassMaterial))=FALSE,(0.1*($C106/1000))*VLOOKUP("H/F (22mm)",SheetsData,7,FALSE),"Carcass - tower - new material")))),IF(KitchenHandleFinish="Match door",IF(ISERROR(FIND("Walnut",KitchenDoorMaterial))=FALSE,(0.035*0.075*($B106/1000))*VLOOKUP("Walnut (solid m3)",SolidData,4,FALSE),IF(ISERROR(FIND("Oak",KitchenDoorMaterial))=FALSE,(0.035*0.075*($B106/1000))*VLOOKUP("Oak (solid m3)",SolidData,4,FALSE),IF(ISERROR(FIND("ply",KitchenDoorMaterial))=FALSE,(0.1*($B106/1000))*VLOOKUP("Birch ply (24mm)",SheetData,7,FALSE),IF(ISERROR(FIND("H/F",KitchenCarcassMaterial))=FALSE,(0.1*($C106/1000))*VLOOKUP("H/F (22mm)",SheetsData,7,FALSE),"Door - tower - new material")))),"Channel - tower - handle set to other")))),"")</f>
        <v/>
      </c>
    </row>
    <row r="107">
      <c r="A107" s="150" t="s">
        <v>215</v>
      </c>
      <c r="B107" s="115">
        <f t="shared" si="1"/>
        <v>80</v>
      </c>
      <c r="C107" s="115" t="str">
        <f>IFERROR(__xludf.DUMMYFUNCTION("IF(A107="""","""",IF(OR(RIGHT(A107,LEN(A107)-len(regexextract(A107,"".* "")))=""1200"",RIGHT(A107,LEN(A107)-len(regexextract(A107,"".* "")))=""600"",RIGHT(A107,LEN(A107)-len(regexextract(A107,"".* "")))=""400"",RIGHT(A107,LEN(A107)-len(regexextract(A107,"&amp;""".* "")))=""300"",RIGHT(A107,LEN(A107)-len(regexextract(A107,"".* "")))=""700"",RIGHT(A107,LEN(A107)-len(regexextract(A107,"".* "")))=""2400"",RIGHT(A107,LEN(A107)-len(regexextract(A107,"".* "")))=""650"",RIGHT(A107,LEN(A107)-len(regexextract(A107,"".* "&amp;""")))=""350"",RIGHT(A107,LEN(A107)-len(regexextract(A107,"".* "")))=""50""),RIGHT(A107,LEN(A107)-len(regexextract(A107,"".* ""))),IF(OR(ISERROR(FIND(""spacer"",A107))=FALSE,ISERROR(FIND(""filler panel"",A107))=FALSE),""1000"",""Unexpected size in descript"&amp;"ion"")))"),"2400")</f>
        <v>2400</v>
      </c>
      <c r="D107" s="151" t="str">
        <f t="shared" si="2"/>
        <v/>
      </c>
      <c r="E107" s="152">
        <f>IFERROR(__xludf.DUMMYFUNCTION("IF(OR(A107="""",AND(ISERROR(FIND(""drawer box"",A107))=FALSE,KitchenDrawerType="""")),"""",IF(OR(ISERROR(FIND(""larder"",A107))=FALSE,ISERROR(FIND(""fridge/freezer"",A107))=FALSE,ISERROR(FIND(""double oven"",A107))=FALSE,ISERROR(FIND(""single oven"",A107)"&amp;")=FALSE),VLOOKUP(LEFT(A107,FIND("" "",A107))&amp;""carcass ""&amp;RIGHT(A107,LEN(A107)-(LEN(A107)-3)),KitchensData,5,0),IF(ISERROR(FIND(""sink"",A107))=FALSE,VLOOKUP(LEFT(A107,FIND("" "",A107))&amp;""carcass ""&amp;VALUE(REGEXREPLACE(A107,""[^[:digit:]]"", """")),Kitchen"&amp;"sData,5,0)+(((C107/1000)*(300/1000))*VLOOKUP(KitchenCarcassMaterial,SheetsData,8,0)),IF(ISERROR(FIND(""bins"",A107))=FALSE,IF(ISERROR(FIND(""veneer"",KitchenCarcassMaterial))=FALSE,VLOOKUP(""Base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600"",A107))=FALSE,IF(ISERR"&amp;"OR(FIND(""veneer"",KitchenCarcassMaterial))=FALSE,0.54*(VLOOKUP(LEFT(KitchenCarcassMaterial,FIND(""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1"&amp;"200"",A107))=FALSE,IF(ISERROR(FIND(""veneer"",KitchenCarcassMaterial))=FALSE,0.84*(VLOOKUP(LEFT(KitchenCarcassMaterial,FIND(""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600"",A107))=FALSE,IF(ISERROR(FIND(""veneer"",KitchenCarcassMaterial))=FALSE,1.44*(VLOOKUP(LEFT(KitchenCarcassMaterial,FIND(""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1200"",A107))=FALSE,IF(ISERROR(FIND(""veneer"",KitchenCarcassMaterial))=FALSE,2.7*(VLOOKUP(LEFT(KitchenCarcassMaterial,FIND(""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front"",A107))=FALSE,((B107/1000)*(C107/1000))*VLOOKUP(KitchenDoorMaterial,SheetsData,8,0),IF(AND(KitchenDrawerType=""Match carcass"",ISERROR(FIND(""drawer box"",A107))=FALSE),(((((B107/10"&amp;"00)*(C107/1000))+((B107/1000)*(D107/1000)))*2)*VLOOKUP(KitchenCarcassMaterial,SheetsData,8,0))+(((C107/1000)*(D107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box"",A107))=FALSE),(((((B107/1000)*(C107/1000))+((B107/1000)*(D107/1000)))*2)*(16/1000)*VLOOKUP(L"&amp;"EFT(KitchenCarcassMaterial,FIND("" "",KitchenCarcassMaterial))&amp;""(solid m3)"",SolidData,5,0))+(((C107/1000)*(D107/1000))*VLOOKUP(LEFT(KitchenCarcassMaterial,FIND(""("",KitchenCarcassMaterial)-1)&amp;IF(OR(ISERROR(FIND(""ply"",KitchenCarcassMaterial))=FALSE,IS"&amp;"ERROR(FIND(""H/F"",KitchenCarcassMaterial))=FALSE),""(9mm)"",""(10mm)""),SheetsData,8,0)),IF(ISERROR(FIND(""spacer"",A107))=FALSE,((D107/1000)*(C107/1000))*VLOOKUP(""Poplar ply (18mm)"",SheetsData,8,0),IF(ISERROR(FIND(""filler panel"",A107))=FALSE,((B107/"&amp;"1000)*(C107/1000))*VLOOKUP(KitchenDoorMaterial,SheetsData,8,0),IF(ISERROR(FIND(""shelf"",A107))=FALSE,((D107/1000)*(C107/1000))*VLOOKUP(KitchenCarcassMaterial,SheetsData,8,0),IF(ISERROR(FIND(""lost corner"",A107))=FALSE,VLOOKUP(LEFT(A107,FIND("" "",A107))"&amp;"&amp;""carcass ""&amp;VALUE(REGEXREPLACE(A107,""[^[:digit:]]"", """")),KitchensData,5,0)+((((B107/1000)*(C107/1000))+((B107/1000)*(60/1000)))*VLOOKUP(KitchenCarcassMaterial,SheetsData,8,0)),IF(ISERROR(FIND(""carcass"",A107))=FALSE,(((((B107/1000)*2)*(D107/1000))+"&amp;"(((C107/1000)*2)*(D107/1000)))*VLOOKUP(KitchenCarcassMaterial,SheetsData,8,0))+((B107/1000)*(C107/1000))*VLOOKUP(LEFT(KitchenCarcassMaterial,FIND(""("",KitchenCarcassMaterial)-1)&amp;IF(OR(ISERROR(FIND(""ply"",KitchenCarcassMaterial))=FALSE,ISERROR(FIND(""H/F"&amp;""",KitchenCarcassMaterial))=FALSE),""(9mm)"",""(10mm)""),SheetsData,8,0),IF(OR(ISERROR(FIND(""Plinth"",A107))=FALSE,ISERROR(FIND(""Cornice (flat)"",A107))=FALSE),((B107/1000)*(C107/1000))*VLOOKUP(""H/F (18mm)"",SheetsData,8,0),IF(ISERROR(FIND(""Cornice (s"&amp;"tacked)"",A107))=FALSE,((0.08*(C107/1000))*2)*VLOOKUP(""H/F (22mm)"",SheetsData,8,0),IF(ISERROR(FIND(""Base end panel"",A107))=FALSE,VLOOKUP(KitchenDoorMaterial,SheetsData,5,0)/3,IF(ISERROR(FIND(""Wall end panel"",A107))=FALSE,VLOOKUP(KitchenDoorMaterial,"&amp;"SheetsData,5,0)/9,IF(ISERROR(FIND(""Tower end panel"",A107))=FALSE,VLOOKUP(KitchenDoorMaterial,SheetsData,5,0),IF(ISERROR(FIND(""Fillers"",A107))=FALSE,(((0.06*(C107/1000))*2)*VLOOKUP(""H/F (18mm)"",SheetsData,8,0))+(((0.06*(C107/1000))*2)*VLOOKUP(""H/F ("&amp;"9mm)"",SheetsData,8,0)),IF(ISERROR(FIND(""corner post"",A107))=FALSE,(((B107/1000)*0.05)*2)*VLOOKUP(KitchenDoorMaterial,SheetsData,8,0),IF(ISERROR(FIND(""Pelmet"",A107))=FALSE,((((B107/1000)*(C107/1000))*2)*VLOOKUP(""H/F (18mm)"",SheetsData,8,0)),IF(ISERR"&amp;"OR(FIND(""door"",A107))=TRUE,""Check description"",IF(KitchenDoorStyle=""Flat"",((B107/1000)*(C107/1000))*VLOOKUP(KitchenDoorMaterial,SheetsData,8,0),IF(LEFT(KitchenDoorStyle,5)=""Panel"",(((((B107/1000)*2)*0.08)+((((C107/1000)-0.16)*2)*0.08))*VLOOKUP(""H"&amp;"/F (22mm)"",SheetsData,8,0))+(((B107/1000)-0.14)*((C107/1000)-0.14)*VLOOKUP(""H/F (9mm)"",SheetsData,8,0)),IF(KitchenDoorStyle=""In-frame flat"",((((((B107/1000)*0.019)*0.038)+((((C107-38)/1000)*0.038)*0.038))*2)*VLOOKUP(""Tulip (solid m3)"",SolidData,5,0"&amp;"))+(((B107-76)/1000)*((C107-38)/1000))*VLOOKUP(""H/F (22mm)"",SheetsData,8,0),IF(LEFT(KitchenDoorStyle,14)=""In-frame panel"",(((((((B107/1000)*0.019)*0.038)+((((C107-38)/1000)*0.038)*0.038))*2)*VLOOKUP(""Tulip (solid m3)"",SolidData,5,0))+(((((((B107-76)"&amp;"/1000)*2)*0.08)+(((((C107-198)/1000)*2)*0.08)))*VLOOKUP(""H/F (22mm)"",SheetsData,8,0))+(((B107-216)/1000)*((C107-178)/1000)*VLOOKUP(""H/F (9mm)"",SheetsData,8,0)))))))))))))))))))))))))))))))))"),7.106154259607632)</f>
        <v>7.10615426</v>
      </c>
      <c r="F107" s="152" t="str">
        <f>IFERROR(__xludf.DUMMYFUNCTION("IF(OR(A107="""",AND(ISERROR(FIND(""drawer box"",A107))=FALSE,KitchenDrawerType=""Solid dovetail"")),"""",IF(ISERROR(FIND(""bins"",A107))=FALSE,VLOOKUP(""Base carcass 600"",KitchensData,6,0),IF(OR(ISERROR(FIND(""larder"",A107))=FALSE,ISERROR(FIND(""unit"","&amp;"A107))=FALSE),VLOOKUP(LEFT(A107,FIND("" "",A107))&amp;""carcass ""&amp;RIGHT(A107,LEN(A107)-len(regexextract(A107,"".* ""))),KitchensData,6,0),IF(ISERROR(FIND(""drawer front"",A107))=FALSE,IF(ISERROR(FIND(""veneer"",KitchenCarcassMaterial))=TRUE,0,(((B107+C107)/1"&amp;"000)*2)*VLOOKUP(""Edge banding (per M)"",SheetsData,5,0)),IF(ISERROR(FIND(""drawer box"",A107))=FALSE,IF(ISERROR(FIND(""veneer"",KitchenCarcassMaterial))=TRUE,0,(((C107+D107)/1000)*2)*VLOOKUP(""Edge banding (per M)"",SheetsData,5,0)),IF(ISERROR(FIND(""she"&amp;"lf"",A107))=FALSE,IF(ISERROR(FIND(""veneer"",KitchenCarcassMaterial))=TRUE,0,(C107/1000)*VLOOKUP(""Edge banding (per M)"",SheetsData,5,0)),IF(AND(ISERROR(FIND(""carcass"",A107))=FALSE,ISERROR(FIND(""shelf"",A107))=TRUE),IF(ISERROR(FIND(""veneer"",KitchenC"&amp;"arcassMaterial))=TRUE,0,((2*(B107+C107))/1000)*VLOOKUP(""Edge banding (per M)"",SheetsData,5,0)),IF(ISERROR(FIND(""door"",A107))=TRUE,"""",IF(ISERROR(FIND(""veneer"",KitchenDoorMaterial))=TRUE,"""",((2*(B107+C107))/1000)*VLOOKUP(""Edge banding (per M)"",S"&amp;"heetsData,5,0))))))))))"),"")</f>
        <v/>
      </c>
      <c r="G107" s="153" t="str">
        <f>IF(A107="","",IF(ISERROR(FIND("bins",A107))=FALSE,VLOOKUP("Base carcass 600",KitchensData,7,0),IF(OR(ISERROR(FIND("larder",A107))=FALSE,ISERROR(FIND("fridge/freezer",A107))=FALSE,ISERROR(FIND("double oven",A107))=FALSE,ISERROR(FIND("single oven",A107))=FALSE),VLOOKUP(LEFT(A107,FIND(" ",A107))&amp;"carcass "&amp;RIGHT(A107,LEN(A107)-(LEN(A107)-3)),KitchensData,7,0),IF(AND(ISERROR(FIND("carcass",A107))=FALSE,ISERROR(FIND("shelf",A107))=TRUE),IF(OR(ISERROR(FIND("Base",A107))=FALSE,ISERROR(FIND("Tower",A107))=FALSE),IF(OR(ISERROR(FIND("1200",A107))=FALSE, ISERROR(FIND("lost corner",A107))=FALSE),6*VLOOKUP("Plinth foot (2 Parts 80mm)",FurnitureData,5,0),4*VLOOKUP("Plinth foot (2 Parts 80mm)",FurnitureData,5,0)),""),""))))</f>
        <v/>
      </c>
      <c r="H107" s="115" t="str">
        <f>IF(OR(A107="",ISERROR(FIND("door",A107))=TRUE),"",IF(ISERROR(FIND("Wall",A107))=FALSE,VLOOKUP("Hinges &amp; plates (Hettich thick door)",FurnitureData,5,0)*2,IF(ISERROR(FIND("Base",A107))=FALSE,VLOOKUP("Hinges &amp; plates (Hettich thick door)",FurnitureData,5,0)*3,IF(ISERROR(FIND("Boiler",A107))=FALSE,VLOOKUP("Hinges &amp; plates (Hettich thick door)",FurnitureData,5,0)*4,IF(ISERROR(FIND("Tower",A107))=FALSE,VLOOKUP("Hinges &amp; plates (Hettich thick door)",FurnitureData,5,0)*5)))))</f>
        <v/>
      </c>
      <c r="I107" s="115" t="str">
        <f>IF(ISERROR(FIND("shelf",A107))=FALSE,(VLOOKUP("Shelf pegs",FurnitureData,5,0)/100)*4,"")</f>
        <v/>
      </c>
      <c r="J107" s="152" t="str">
        <f>IF(OR(ISERROR(FIND("fridge/freezer",A107))=FALSE,ISERROR(FIND("larder",A107))=FALSE,AND(ISERROR(FIND("Base",A107))=FALSE,ISERROR(FIND("bins",A107))=TRUE,ISERROR(FIND("no shelves",A107))=TRUE,OR(ISERROR(FIND("carcass",A107))=FALSE,ISERROR(FIND("unit",A107))=FALSE))),VLOOKUP("Deep shelf "&amp;C107,KitchensData,18,0),IF(AND(ISERROR(FIND("Wall",A107))=FALSE,ISERROR(FIND("carcass",A107))=FALSE),2*VLOOKUP("Shallow shelf "&amp;C107,KitchensData,18,0),IF(AND(ISERROR(FIND("Tower",A107))=FALSE,ISERROR(FIND("oven",A107))=FALSE),4*VLOOKUP("Deep shelf "&amp;C107,KitchensData,18,0),IF(AND(ISERROR(FIND("Tower",A107))=FALSE,ISERROR(FIND("carcass",A107))=FALSE),5*VLOOKUP("Deep shelf "&amp;C107,KitchensData,18,0),""))))</f>
        <v/>
      </c>
      <c r="K107" s="152" t="str">
        <f>IF(ISERROR(FIND("sink",A107))=FALSE,VLOOKUP("Sink liner - Aluminium "&amp;RIGHT(A107,LEN(A107)-22)&amp;"mm",ExceptionalData,5,0),IF(ISERROR(FIND("bins",A107))=FALSE,VLOOKUP("Drawer runners and clip set for bin unit (500) Dynapro",FurnitureData,5,0)+(2*VLOOKUP("Bin (42L Anthracite)",FurnitureData,5,0)),IF(ISERROR(FIND("larder",A107))=FALSE,VLOOKUP("Pull out larder unit 600mm",FurnitureData,5,0),IF(AND(ISERROR(FIND("drawer box",A107))=FALSE,ISERROR(FIND("internal",A107))=TRUE),VLOOKUP("Drawer runners and clip set (550) Dynapro",FurnitureData,5,0),IF(ISERROR(FIND("internal drawer box",A107))=FALSE,VLOOKUP("Drawer runners and clip set (450) Dynapro",FurnitureData,5,0),"")))))</f>
        <v/>
      </c>
      <c r="L107" s="152">
        <f t="shared" si="3"/>
        <v>7.10615426</v>
      </c>
      <c r="M107" s="154">
        <f>IFERROR(__xludf.DUMMYFUNCTION("IF(A107="""","""",IF(OR(ISERROR(FIND(""larder"",A107))=FALSE,ISERROR(FIND(""unit"",A107))=FALSE),VLOOKUP(LEFT(A107,FIND("" "",A107))&amp;""carcass ""&amp;RIGHT(A107,LEN(A107)-len(regexextract(A107,"".* ""))),KitchensData,13,0),IF(ISERROR(FIND(""bins"",A107))=FALS"&amp;"E,0.95,IF(ISERROR(FIND(""Cutlery insert 600"",A107))=FALSE,1.3,IF(ISERROR(FIND(""Cutlery insert 1200"",A107))=FALSE,2,IF(ISERROR(FIND(""Pan/tray rack 600"",A107))=FALSE,3.25,IF(ISERROR(FIND(""Pan/tray rack 1200"",A107))=FALSE,5.9,IF(ISERROR(FIND(""split"""&amp;",A107))=FALSE,(((C107/1000)*0.022)*2)+VLOOKUP(SUBSTITUTE(A107,"" split"",""""),KitchensData,13,0),IF(AND(ISERROR(FIND(""drawer front"",A107))=FALSE,KitchenDoorStyle=""Flat""),(((B107/1000)*(C107/1000))*2)+((((B107+C107)/1000)*2)*0.022),IF(AND(ISERROR(FIND"&amp;"(""drawer front"",A107))=FALSE,LEFT(KitchenDoorStyle,5)=""Panel""),(((B107/1000)*(C107/1000))*2)+((((B107+C107)/1000)*2)*0.022)+((((C107/1000)-0.16)*0.013)*2)+((((D107/1000)-0.16)*0.013)*2),IF(AND(ISERROR(FIND(""drawer front"",A107))=FALSE,KitchenDoorStyl"&amp;"e=""In-frame flat""),((((B107-76)/1000)*((C107-38)/1000))*2)+(MID(KitchenDoorMaterial,FIND(""("",KitchenDoorMaterial)+1,2)/1000)*((((B107-76)+(C107-38))/1000)*2)+(((B107/1000)*0.032)*2)+((((B107-76)/1000)*0.032)*2)+(((B107/1000)*0.019)*4)+(((C107/1000)*0."&amp;"032)*2)+((((C107-38)/1000)*0.032)*2)+(((C107/1000)*0.038)*4),IF(AND(ISERROR(FIND(""drawer front"",A107))=FALSE,LEFT(KitchenDoorStyle,14)=""In-frame panel""),((((B107-76)/1000)*((C107-38)/1000))*2)+((MID(KitchenDoorMaterial,FIND(""("",KitchenDoorMaterial)+"&amp;"1,2)/1000)*((((B107-76)+(C107-38))/1000)*2))+((((B107-236)/1000)+((C107-198)/1000)*2)*0.013)+(((B107/1000)*0.032)*2)+((((B107-76)/1000)*0.032)*2)+(((B107/1000)*0.019)*4)+(((C107/1000)*0.032)*2)+((((C107-38)/1000)*0.032)*2)+(((C107/1000)*0.038)*4),IF(ISERR"&amp;"OR(FIND(""drawer box"",A107))=FALSE,((((B107/1000)*(D107/1000))+((B107/1000)*(C107/1000)))*4)+((((D107/1000)+(C107/1000))*0.016)*4)+(((C107/1000)*(D107/1000))*2),IF(OR(ISERROR(FIND(""shelf"",A107))=FALSE,ISERROR(FIND(""spacer"",A107))=FALSE,,ISERROR(FIND("&amp;"""filler panel"",A107))=FALSE),(((C107/1000)*(D107/1000))*2)+((((C107+D107)*2)/1000)*0.022),IF(ISERROR(FIND(""lost corner"",A107))=FALSE,(((B107/1000)*(C107/1000))*2)+((B107/1000)*(C107/1000))+((B107/1000)*((C107/2)/1000))+((((B107/1000)*0.025)+((C107/100"&amp;"0)*0.025))*2),IF(ISERROR(FIND(""carcass"",A107))=FALSE,(((C107/1000)*(D107/1000))*2)+(((B107/1000)*(D107/1000))*2)+((B107/1000)*(C107/1000))+((((B107/1000)*0.025)+((C107/1000)*0.025))*2),IF(AND(ISERROR(FIND(""door"",A107))=FALSE,KitchenDoorStyle=""Flat"")"&amp;",(((B107/1000)*(C107/1000))*2)+(MID(KitchenDoorMaterial,FIND(""("",KitchenDoorMaterial)+1,2)/1000)*(((B107+C107)/1000)*2),IF(AND(ISERROR(FIND(""door"",A107))=FALSE,LEFT(KitchenDoorStyle,5)=""Panel""),(((B107/1000)*(C107/1000))*2)+((MID(KitchenDoorMaterial"&amp;",FIND(""("",KitchenDoorMaterial)+1,2)/1000)*(((B107+C107)/1000)*2))+(((((B107-160)+(C107-160))*2)/1000)*(0.013)),IF(AND(ISERROR(FIND(""door"",A107))=FALSE,KitchenDoorStyle=""In-frame flat""),((((B107-76)/1000)*((C107-38)/1000))*2)+(MID(KitchenDoorMaterial"&amp;",FIND(""("",KitchenDoorMaterial)+1,2)/1000)*((((B107-76)+(C107-38))/1000)*2)+(((B107/1000)*0.032)*2)+((((B107-76)/1000)*0.032)*2)+(((B107/1000)*0.019)*4)+(((C107/1000)*0.032)*2)+((((C107-38)/1000)*0.032)*2)+(((C107/1000)*0.038)*4),IF(AND(ISERROR(FIND(""do"&amp;"or"",A107))=FALSE,LEFT(KitchenDoorStyle,14)=""In-frame panel""),((((B107-76)/1000)*((C107-38)/1000))*2)+((MID(KitchenDoorMaterial,FIND(""("",KitchenDoorMaterial)+1,2)/1000)*((((B107-76)+(C107-38))/1000)*2))+((((B107-236)/1000)+((C107-198)/1000)*2)*0.013)+"&amp;"(((B107/1000)*0.032)*2)+((((B107-76)/1000)*0.032)*2)+(((B107/1000)*0.019)*4)+(((C107/1000)*0.032)*2)+((((C107-38)/1000)*0.032)*2)+(((C107/1000)*0.038)*4),IF(ISERROR(FIND(""Plinth"",A107))=FALSE,((B107/1000)*(C107/1000))+(((C107/1000)*0.018)*2)+(((B107/100"&amp;"0)*0.018)*2),IF(ISERROR(FIND(""Cornice"",A107))=FALSE,(((C107/1000)*0.1)*2)+(((C107/1000)*0.044)*2)+(((B107/1000)*0.08)*2),IF(ISERROR(FIND(""Base end panel"",A107))=FALSE,((B107/1000)*(C107/1000))+(0.022*((B107/1000)+((C107/1000)*2)))+((B107/1000)*0.05),I"&amp;"F(ISERROR(FIND(""Wall end panel"",A107))=FALSE,((B107/1000)*(C107/1000))+(0.022*((B107/1000)+((C107/1000)*2)))+((B107/1000)*0.05),IF(ISERROR(FIND(""Tower end panel"",A107))=FALSE,((B107/1000)*(C107/1000))+(0.022*((B107/1000)+((C107/1000)*2)))+((B107/1000)"&amp;"*0.05),IF(ISERROR(FIND(""Fillers"",A107))=FALSE,((C107/1000)*0.06)+((C107/1000)*0.069)+((0.06*0.018)*2)+((0.06*0.009)*2)+((C107/1000)*0.009)+((C107/1000)*0.018),IF(ISERROR(FIND(""corner post"",A107))=FALSE,(((B107/1000*0.05)*2)+((B107/1000)*0.022)*2)+((B1"&amp;"07/1000)*0.072)+((B107/1000)*0.05)+((0.072*0.022)*2)+((0.05*0.022)*2),IF(ISERROR(FIND(""Pelmet"",A107))=FALSE,((C107/1000)*0.05)+((C107/1000)*0.068)+((0.05*0.018)*4)+(((C107/1000)*0.018))*2))))))))))))))))))))))))))))"),0.37764000000000003)</f>
        <v>0.37764</v>
      </c>
      <c r="N107" s="152">
        <f>IF(M107="","",IF(AND(ISERROR(FIND("carcass",A107))=TRUE,ISERROR(FIND("unit",A107))=TRUE,ISERROR(FIND("insert",A107))=TRUE,ISERROR(FIND("rack",A107))=TRUE,ISERROR(FIND("box",A107))=TRUE,ISERROR(FIND("shelf",#REF!))=TRUE),VLOOKUP(KitchenDoorFinish,Finishing!$A$2:$K$10,9,0)*M107,VLOOKUP(KitchenCarcassFinish,Finishing!$A$2:$K$40,9,0)*M107))</f>
        <v>2.8323</v>
      </c>
      <c r="O107" s="159">
        <v>1.0</v>
      </c>
      <c r="P107" s="159">
        <v>1.0</v>
      </c>
      <c r="Q107" s="152">
        <f>IF(OR(O107="",P107=""),"",((O107*X107)*(VLOOKUP("Workshop",Labour!$A$3:$E$20,4,0)/8))+((P107*AE107)*(VLOOKUP("Finishing",Labour!$A$3:$E$20,4,0)/8)))</f>
        <v>99.75</v>
      </c>
      <c r="R107" s="152">
        <f t="shared" si="4"/>
        <v>109.6884543</v>
      </c>
      <c r="S107" s="156">
        <f>IF(OR(O107="",P107=""),"",IF(OR(ISERROR(FIND("carcass",$A107))=FALSE,ISERROR(FIND("unit",$A107))=FALSE),VLOOKUP(KitchenCarcassMaterial,FixedListsCarcassMaterial,2,0),0))</f>
        <v>0</v>
      </c>
      <c r="T107" s="156">
        <f>IF(OR(O107="",P107=""),"",IF(ISERROR(FIND("door",$A107))=FALSE,VLOOKUP(KitchenDoorStyle,FixedListsDoorStyle,2,0),0))</f>
        <v>0</v>
      </c>
      <c r="U107" s="156">
        <f>IF(OR(O107="",P107=""),"",IF(ISERROR(FIND("door",$A107))=FALSE,VLOOKUP(KitchenDoorMaterial,FixedListsDoorMaterial,2,0),0))</f>
        <v>0</v>
      </c>
      <c r="V107" s="156">
        <f>IF(OR(O107="",P107=""),"",IF(ISERROR(FIND("drawer",$A107))=FALSE,VLOOKUP(KitchenDrawerType,FixedListsDrawerType,2,0),0))</f>
        <v>0</v>
      </c>
      <c r="W107" s="156">
        <f>IF(OR(O107="",P107=""),"",IF(OR(S107&gt;0, T107&gt;0,V107&gt;0),VLOOKUP(KitchenHandleType,FixedListsHandleType,2,FALSE)*IF(KitchenHandleType="Simple",0,IF(S107&gt;0,VLOOKUP(KitchenHandleType,FixedListsHandleType,4,FALSE),IF(OR(T107&gt;0,V107&gt;0),1-VLOOKUP(KitchenHandleType,FixedListsHandleType,4,FALSE),"Error"))),0))</f>
        <v>0</v>
      </c>
      <c r="X107" s="156">
        <f t="shared" si="5"/>
        <v>1</v>
      </c>
      <c r="Y107" s="156">
        <f>IF(OR(O107="",P107=""),"",IF(OR(ISERROR(FIND("carcass",$A107))=FALSE,ISERROR(FIND("unit",$A107))=FALSE),VLOOKUP(KitchenCarcassMaterial,FixedListsCarcassMaterial,3,0),0))</f>
        <v>0</v>
      </c>
      <c r="Z107" s="156">
        <f>IF(OR(O107="",P107=""),"",IF(ISERROR(FIND("door",$A107))=FALSE,VLOOKUP(KitchenDoorStyle,FixedListsDoorStyle,3,0),0))</f>
        <v>0</v>
      </c>
      <c r="AA107" s="156">
        <f>IF(OR(O107="",P107=""),"",IF(ISERROR(FIND("door",$A107))=FALSE,VLOOKUP(KitchenDoorMaterial,FixedListsDoorMaterial,3,0),0))</f>
        <v>0</v>
      </c>
      <c r="AB107" s="156">
        <f>IF(OR(O107="",P107=""),"",IF(ISERROR(FIND("drawer",$A107))=FALSE,VLOOKUP(KitchenDrawerType,FixedListsDrawerType,3,0),0))</f>
        <v>0</v>
      </c>
      <c r="AC107" s="156">
        <f>IF(OR(O107="",P107=""),"",IF(OR(Y107&gt;0,Z107&gt;0,AB107&gt;0),VLOOKUP(KitchenHandleType,FixedListsHandleType,3,FALSE),0))</f>
        <v>0</v>
      </c>
      <c r="AD107" s="156">
        <f>IF(OR(O107="",P107=""),"",IF(OR(ISERROR(FIND("carcass",$A107))=FALSE,ISERROR(FIND("unit",$A107))=FALSE),VLOOKUP(KitchenCarcassFinish,FixedListsFinishes,3,0),IF(OR(ISERROR(FIND("door",$A107))=FALSE,ISERROR(FIND("Plinth",$A107))=FALSE,ISERROR(FIND("Cornice",$A107))=FALSE,ISERROR(FIND("Fillers",$A107))=FALSE,ISERROR(FIND("Pelmet",$A107))=FALSE,ISERROR(FIND("panel",$A107))=FALSE,ISERROR(FIND("post",$A107))=FALSE),VLOOKUP(KitchenDoorFinish,FixedListsFinishes,3,0),IF(OR(ISERROR(FIND("drawer",$A107))=FALSE,ISERROR(FIND("insert",$A107))=FALSE,ISERROR(FIND("rck",$A107))=FALSE),VLOOKUP(KitchenCarcassFinish,FixedListsFinishes,3,0),0))))</f>
        <v>2</v>
      </c>
      <c r="AE107" s="156">
        <f t="shared" si="6"/>
        <v>2</v>
      </c>
      <c r="AF107" s="157" t="str">
        <f>IF(AND(KitchenHandleType="Channel",OR(ISERROR(FIND("arcass",$A107))=FALSE,ISERROR(FIND("unit",$A107))=FALSE)),IF(ISERROR(FIND("Tower",$A107))=TRUE,IF(KitchenHandleFinish="Match carcass",IF(ISERROR(FIND("Walnut",KitchenCarcassMaterial))=FALSE,(0.035*0.075*($C107/1000))*VLOOKUP("Walnut (solid m3)",SolidData,4,FALSE),IF(ISERROR(FIND("Oak",KitchenCarcassMaterial))=FALSE,(0.035*0.075*($C107/1000))*VLOOKUP("Oak (solid m3)",SolidData,4,FALSE),IF(ISERROR(FIND("ply",KitchenCarcassMaterial))=FALSE,(0.1*($C107/1000))*VLOOKUP("Birch ply (24mm)",SheetsData,7,FALSE),IF(ISERROR(FIND("H/F",KitchenCarcassMaterial))=FALSE,(0.1*($C107/1000))*VLOOKUP("H/F (22mm)",SheetsData,7,FALSE),"Carcass - not tower - new material")))),IF(KitchenHandleFinish="Match door",IF(ISERROR(FIND("Walnut",KitchenDoorMaterial))=FALSE,(0.035*0.075*($C107/1000))*VLOOKUP("Walnut (solid m3)",SolidData,4,FALSE),IF(ISERROR(FIND("Oak",KitchenDoorMaterial))=FALSE,(0.035*0.075*($C107/1000))*VLOOKUP("Oak (solid m3)",SolidData,4,FALSE),IF(ISERROR(FIND("ply",KitchenDoorMaterial))=FALSE,(0.1*($C107/1000))*VLOOKUP("Birch ply (24mm)",SheetsData,7,FALSE),IF(ISERROR(FIND("H/F",KitchenCarcassMaterial))=FALSE,(0.1*($C107/1000))*VLOOKUP("H/F (22mm)",SheetsData,7,FALSE),"Door - not tower - new material")))),"Channel - not tower - handle set to other")),IF(ISERROR(FIND("Tower",$A107))=FALSE,IF(KitchenHandleFinish="Match carcass",IF(ISERROR(FIND("Walnut",KitchenCarcassMaterial))=FALSE,(0.035*0.075*($B107/1000))*VLOOKUP("Walnut (solid m3)",SolidData,4,FALSE),IF(ISERROR(FIND("Oak",KitchenCarcassMaterial))=FALSE,(0.035*0.075*($B107/1000))*VLOOKUP("Oak (solid m3)",SolidData,4,FALSE),IF(ISERROR(FIND("ply",KitchenCarcassMaterial))=FALSE,(0.1*($B107/1000))*VLOOKUP("Birch ply (24mm)",SheetsData,7,FALSE),IF(ISERROR(FIND("H/F",KitchenCarcassMaterial))=FALSE,(0.1*($C107/1000))*VLOOKUP("H/F (22mm)",SheetsData,7,FALSE),"Carcass - tower - new material")))),IF(KitchenHandleFinish="Match door",IF(ISERROR(FIND("Walnut",KitchenDoorMaterial))=FALSE,(0.035*0.075*($B107/1000))*VLOOKUP("Walnut (solid m3)",SolidData,4,FALSE),IF(ISERROR(FIND("Oak",KitchenDoorMaterial))=FALSE,(0.035*0.075*($B107/1000))*VLOOKUP("Oak (solid m3)",SolidData,4,FALSE),IF(ISERROR(FIND("ply",KitchenDoorMaterial))=FALSE,(0.1*($B107/1000))*VLOOKUP("Birch ply (24mm)",SheetData,7,FALSE),IF(ISERROR(FIND("H/F",KitchenCarcassMaterial))=FALSE,(0.1*($C107/1000))*VLOOKUP("H/F (22mm)",SheetsData,7,FALSE),"Door - tower - new material")))),"Channel - tower - handle set to other")))),"")</f>
        <v/>
      </c>
    </row>
    <row r="108">
      <c r="A108" s="150"/>
      <c r="B108" s="115" t="str">
        <f t="shared" si="1"/>
        <v/>
      </c>
      <c r="C108" s="115" t="str">
        <f>IFERROR(__xludf.DUMMYFUNCTION("IF(A108="""","""",IF(OR(RIGHT(A108,LEN(A108)-len(regexextract(A108,"".* "")))=""1200"",RIGHT(A108,LEN(A108)-len(regexextract(A108,"".* "")))=""600"",RIGHT(A108,LEN(A108)-len(regexextract(A108,"".* "")))=""400"",RIGHT(A108,LEN(A108)-len(regexextract(A108,"&amp;""".* "")))=""300"",RIGHT(A108,LEN(A108)-len(regexextract(A108,"".* "")))=""700"",RIGHT(A108,LEN(A108)-len(regexextract(A108,"".* "")))=""2400"",RIGHT(A108,LEN(A108)-len(regexextract(A108,"".* "")))=""650"",RIGHT(A108,LEN(A108)-len(regexextract(A108,"".* "&amp;""")))=""350"",RIGHT(A108,LEN(A108)-len(regexextract(A108,"".* "")))=""50""),RIGHT(A108,LEN(A108)-len(regexextract(A108,"".* ""))),IF(OR(ISERROR(FIND(""spacer"",A108))=FALSE,ISERROR(FIND(""filler panel"",A108))=FALSE),""1000"",""Unexpected size in descript"&amp;"ion"")))"),"")</f>
        <v/>
      </c>
      <c r="D108" s="151" t="str">
        <f t="shared" si="2"/>
        <v/>
      </c>
      <c r="E108" s="152" t="str">
        <f>IFERROR(__xludf.DUMMYFUNCTION("IF(OR(A108="""",AND(ISERROR(FIND(""drawer box"",A108))=FALSE,KitchenDrawerType="""")),"""",IF(OR(ISERROR(FIND(""larder"",A108))=FALSE,ISERROR(FIND(""fridge/freezer"",A108))=FALSE,ISERROR(FIND(""double oven"",A108))=FALSE,ISERROR(FIND(""single oven"",A108)"&amp;")=FALSE),VLOOKUP(LEFT(A108,FIND("" "",A108))&amp;""carcass ""&amp;RIGHT(A108,LEN(A108)-(LEN(A108)-3)),KitchensData,5,0),IF(ISERROR(FIND(""sink"",A108))=FALSE,VLOOKUP(LEFT(A108,FIND("" "",A108))&amp;""carcass ""&amp;VALUE(REGEXREPLACE(A108,""[^[:digit:]]"", """")),Kitchen"&amp;"sData,5,0)+(((C108/1000)*(300/1000))*VLOOKUP(KitchenCarcassMaterial,SheetsData,8,0)),IF(ISERROR(FIND(""bins"",A108))=FALSE,IF(ISERROR(FIND(""veneer"",KitchenCarcassMaterial))=FALSE,VLOOKUP(""Base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600"",A108))=FALSE,IF(ISERR"&amp;"OR(FIND(""veneer"",KitchenCarcassMaterial))=FALSE,0.54*(VLOOKUP(LEFT(KitchenCarcassMaterial,FIND(""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1"&amp;"200"",A108))=FALSE,IF(ISERROR(FIND(""veneer"",KitchenCarcassMaterial))=FALSE,0.84*(VLOOKUP(LEFT(KitchenCarcassMaterial,FIND(""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600"",A108))=FALSE,IF(ISERROR(FIND(""veneer"",KitchenCarcassMaterial))=FALSE,1.44*(VLOOKUP(LEFT(KitchenCarcassMaterial,FIND(""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1200"",A108))=FALSE,IF(ISERROR(FIND(""veneer"",KitchenCarcassMaterial))=FALSE,2.7*(VLOOKUP(LEFT(KitchenCarcassMaterial,FIND(""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front"",A108))=FALSE,((B108/1000)*(C108/1000))*VLOOKUP(KitchenDoorMaterial,SheetsData,8,0),IF(AND(KitchenDrawerType=""Match carcass"",ISERROR(FIND(""drawer box"",A108))=FALSE),(((((B108/10"&amp;"00)*(C108/1000))+((B108/1000)*(D108/1000)))*2)*VLOOKUP(KitchenCarcassMaterial,SheetsData,8,0))+(((C108/1000)*(D108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box"",A108))=FALSE),(((((B108/1000)*(C108/1000))+((B108/1000)*(D108/1000)))*2)*(16/1000)*VLOOKUP(L"&amp;"EFT(KitchenCarcassMaterial,FIND("" "",KitchenCarcassMaterial))&amp;""(solid m3)"",SolidData,5,0))+(((C108/1000)*(D108/1000))*VLOOKUP(LEFT(KitchenCarcassMaterial,FIND(""("",KitchenCarcassMaterial)-1)&amp;IF(OR(ISERROR(FIND(""ply"",KitchenCarcassMaterial))=FALSE,IS"&amp;"ERROR(FIND(""H/F"",KitchenCarcassMaterial))=FALSE),""(9mm)"",""(10mm)""),SheetsData,8,0)),IF(ISERROR(FIND(""spacer"",A108))=FALSE,((D108/1000)*(C108/1000))*VLOOKUP(""Poplar ply (18mm)"",SheetsData,8,0),IF(ISERROR(FIND(""filler panel"",A108))=FALSE,((B108/"&amp;"1000)*(C108/1000))*VLOOKUP(KitchenDoorMaterial,SheetsData,8,0),IF(ISERROR(FIND(""shelf"",A108))=FALSE,((D108/1000)*(C108/1000))*VLOOKUP(KitchenCarcassMaterial,SheetsData,8,0),IF(ISERROR(FIND(""lost corner"",A108))=FALSE,VLOOKUP(LEFT(A108,FIND("" "",A108))"&amp;"&amp;""carcass ""&amp;VALUE(REGEXREPLACE(A108,""[^[:digit:]]"", """")),KitchensData,5,0)+((((B108/1000)*(C108/1000))+((B108/1000)*(60/1000)))*VLOOKUP(KitchenCarcassMaterial,SheetsData,8,0)),IF(ISERROR(FIND(""carcass"",A108))=FALSE,(((((B108/1000)*2)*(D108/1000))+"&amp;"(((C108/1000)*2)*(D108/1000)))*VLOOKUP(KitchenCarcassMaterial,SheetsData,8,0))+((B108/1000)*(C108/1000))*VLOOKUP(LEFT(KitchenCarcassMaterial,FIND(""("",KitchenCarcassMaterial)-1)&amp;IF(OR(ISERROR(FIND(""ply"",KitchenCarcassMaterial))=FALSE,ISERROR(FIND(""H/F"&amp;""",KitchenCarcassMaterial))=FALSE),""(9mm)"",""(10mm)""),SheetsData,8,0),IF(OR(ISERROR(FIND(""Plinth"",A108))=FALSE,ISERROR(FIND(""Cornice (flat)"",A108))=FALSE),((B108/1000)*(C108/1000))*VLOOKUP(""H/F (18mm)"",SheetsData,8,0),IF(ISERROR(FIND(""Cornice (s"&amp;"tacked)"",A108))=FALSE,((0.08*(C108/1000))*2)*VLOOKUP(""H/F (22mm)"",SheetsData,8,0),IF(ISERROR(FIND(""Base end panel"",A108))=FALSE,VLOOKUP(KitchenDoorMaterial,SheetsData,5,0)/3,IF(ISERROR(FIND(""Wall end panel"",A108))=FALSE,VLOOKUP(KitchenDoorMaterial,"&amp;"SheetsData,5,0)/9,IF(ISERROR(FIND(""Tower end panel"",A108))=FALSE,VLOOKUP(KitchenDoorMaterial,SheetsData,5,0),IF(ISERROR(FIND(""Fillers"",A108))=FALSE,(((0.06*(C108/1000))*2)*VLOOKUP(""H/F (18mm)"",SheetsData,8,0))+(((0.06*(C108/1000))*2)*VLOOKUP(""H/F ("&amp;"9mm)"",SheetsData,8,0)),IF(ISERROR(FIND(""corner post"",A108))=FALSE,(((B108/1000)*0.05)*2)*VLOOKUP(KitchenDoorMaterial,SheetsData,8,0),IF(ISERROR(FIND(""Pelmet"",A108))=FALSE,((((B108/1000)*(C108/1000))*2)*VLOOKUP(""H/F (18mm)"",SheetsData,8,0)),IF(ISERR"&amp;"OR(FIND(""door"",A108))=TRUE,""Check description"",IF(KitchenDoorStyle=""Flat"",((B108/1000)*(C108/1000))*VLOOKUP(KitchenDoorMaterial,SheetsData,8,0),IF(LEFT(KitchenDoorStyle,5)=""Panel"",(((((B108/1000)*2)*0.08)+((((C108/1000)-0.16)*2)*0.08))*VLOOKUP(""H"&amp;"/F (22mm)"",SheetsData,8,0))+(((B108/1000)-0.14)*((C108/1000)-0.14)*VLOOKUP(""H/F (9mm)"",SheetsData,8,0)),IF(KitchenDoorStyle=""In-frame flat"",((((((B108/1000)*0.019)*0.038)+((((C108-38)/1000)*0.038)*0.038))*2)*VLOOKUP(""Tulip (solid m3)"",SolidData,5,0"&amp;"))+(((B108-76)/1000)*((C108-38)/1000))*VLOOKUP(""H/F (22mm)"",SheetsData,8,0),IF(LEFT(KitchenDoorStyle,14)=""In-frame panel"",(((((((B108/1000)*0.019)*0.038)+((((C108-38)/1000)*0.038)*0.038))*2)*VLOOKUP(""Tulip (solid m3)"",SolidData,5,0))+(((((((B108-76)"&amp;"/1000)*2)*0.08)+(((((C108-198)/1000)*2)*0.08)))*VLOOKUP(""H/F (22mm)"",SheetsData,8,0))+(((B108-216)/1000)*((C108-178)/1000)*VLOOKUP(""H/F (9mm)"",SheetsData,8,0)))))))))))))))))))))))))))))))))"),"")</f>
        <v/>
      </c>
      <c r="F108" s="152" t="str">
        <f>IFERROR(__xludf.DUMMYFUNCTION("IF(OR(A108="""",AND(ISERROR(FIND(""drawer box"",A108))=FALSE,KitchenDrawerType=""Solid dovetail"")),"""",IF(ISERROR(FIND(""bins"",A108))=FALSE,VLOOKUP(""Base carcass 600"",KitchensData,6,0),IF(OR(ISERROR(FIND(""larder"",A108))=FALSE,ISERROR(FIND(""unit"","&amp;"A108))=FALSE),VLOOKUP(LEFT(A108,FIND("" "",A108))&amp;""carcass ""&amp;RIGHT(A108,LEN(A108)-len(regexextract(A108,"".* ""))),KitchensData,6,0),IF(ISERROR(FIND(""drawer front"",A108))=FALSE,IF(ISERROR(FIND(""veneer"",KitchenCarcassMaterial))=TRUE,0,(((B108+C108)/1"&amp;"000)*2)*VLOOKUP(""Edge banding (per M)"",SheetsData,5,0)),IF(ISERROR(FIND(""drawer box"",A108))=FALSE,IF(ISERROR(FIND(""veneer"",KitchenCarcassMaterial))=TRUE,0,(((C108+D108)/1000)*2)*VLOOKUP(""Edge banding (per M)"",SheetsData,5,0)),IF(ISERROR(FIND(""she"&amp;"lf"",A108))=FALSE,IF(ISERROR(FIND(""veneer"",KitchenCarcassMaterial))=TRUE,0,(C108/1000)*VLOOKUP(""Edge banding (per M)"",SheetsData,5,0)),IF(AND(ISERROR(FIND(""carcass"",A108))=FALSE,ISERROR(FIND(""shelf"",A108))=TRUE),IF(ISERROR(FIND(""veneer"",KitchenC"&amp;"arcassMaterial))=TRUE,0,((2*(B108+C108))/1000)*VLOOKUP(""Edge banding (per M)"",SheetsData,5,0)),IF(ISERROR(FIND(""door"",A108))=TRUE,"""",IF(ISERROR(FIND(""veneer"",KitchenDoorMaterial))=TRUE,"""",((2*(B108+C108))/1000)*VLOOKUP(""Edge banding (per M)"",S"&amp;"heetsData,5,0))))))))))"),"")</f>
        <v/>
      </c>
      <c r="G108" s="153" t="str">
        <f>IF(A108="","",IF(ISERROR(FIND("bins",A108))=FALSE,VLOOKUP("Base carcass 600",KitchensData,7,0),IF(OR(ISERROR(FIND("larder",A108))=FALSE,ISERROR(FIND("fridge/freezer",A108))=FALSE,ISERROR(FIND("double oven",A108))=FALSE,ISERROR(FIND("single oven",A108))=FALSE),VLOOKUP(LEFT(A108,FIND(" ",A108))&amp;"carcass "&amp;RIGHT(A108,LEN(A108)-(LEN(A108)-3)),KitchensData,7,0),IF(AND(ISERROR(FIND("carcass",A108))=FALSE,ISERROR(FIND("shelf",A108))=TRUE),IF(OR(ISERROR(FIND("Base",A108))=FALSE,ISERROR(FIND("Tower",A108))=FALSE),IF(OR(ISERROR(FIND("1200",A108))=FALSE, ISERROR(FIND("lost corner",A108))=FALSE),6*VLOOKUP("Plinth foot (2 Parts 80mm)",FurnitureData,5,0),4*VLOOKUP("Plinth foot (2 Parts 80mm)",FurnitureData,5,0)),""),""))))</f>
        <v/>
      </c>
      <c r="H108" s="115" t="str">
        <f>IF(OR(A108="",ISERROR(FIND("door",A108))=TRUE),"",IF(ISERROR(FIND("Wall",A108))=FALSE,VLOOKUP("Hinges &amp; plates (Hettich thick door)",FurnitureData,5,0)*2,IF(ISERROR(FIND("Base",A108))=FALSE,VLOOKUP("Hinges &amp; plates (Hettich thick door)",FurnitureData,5,0)*3,IF(ISERROR(FIND("Boiler",A108))=FALSE,VLOOKUP("Hinges &amp; plates (Hettich thick door)",FurnitureData,5,0)*4,IF(ISERROR(FIND("Tower",A108))=FALSE,VLOOKUP("Hinges &amp; plates (Hettich thick door)",FurnitureData,5,0)*5)))))</f>
        <v/>
      </c>
      <c r="I108" s="115" t="str">
        <f>IF(ISERROR(FIND("shelf",A108))=FALSE,(VLOOKUP("Shelf pegs",FurnitureData,5,0)/100)*4,"")</f>
        <v/>
      </c>
      <c r="J108" s="152" t="str">
        <f>IF(OR(ISERROR(FIND("fridge/freezer",A108))=FALSE,ISERROR(FIND("larder",A108))=FALSE,AND(ISERROR(FIND("Base",A108))=FALSE,ISERROR(FIND("bins",A108))=TRUE,ISERROR(FIND("no shelves",A108))=TRUE,OR(ISERROR(FIND("carcass",A108))=FALSE,ISERROR(FIND("unit",A108))=FALSE))),VLOOKUP("Deep shelf "&amp;C108,KitchensData,18,0),IF(AND(ISERROR(FIND("Wall",A108))=FALSE,ISERROR(FIND("carcass",A108))=FALSE),2*VLOOKUP("Shallow shelf "&amp;C108,KitchensData,18,0),IF(AND(ISERROR(FIND("Tower",A108))=FALSE,ISERROR(FIND("oven",A108))=FALSE),4*VLOOKUP("Deep shelf "&amp;C108,KitchensData,18,0),IF(AND(ISERROR(FIND("Tower",A108))=FALSE,ISERROR(FIND("carcass",A108))=FALSE),5*VLOOKUP("Deep shelf "&amp;C108,KitchensData,18,0),""))))</f>
        <v/>
      </c>
      <c r="K108" s="152" t="str">
        <f>IF(ISERROR(FIND("sink",A108))=FALSE,VLOOKUP("Sink liner - Aluminium "&amp;RIGHT(A108,LEN(A108)-22)&amp;"mm",ExceptionalData,5,0),IF(ISERROR(FIND("bins",A108))=FALSE,VLOOKUP("Drawer runners and clip set for bin unit (500) Dynapro",FurnitureData,5,0)+(2*VLOOKUP("Bin (42L Anthracite)",FurnitureData,5,0)),IF(ISERROR(FIND("larder",A108))=FALSE,VLOOKUP("Pull out larder unit 600mm",FurnitureData,5,0),IF(AND(ISERROR(FIND("drawer box",A108))=FALSE,ISERROR(FIND("internal",A108))=TRUE),VLOOKUP("Drawer runners and clip set (550) Dynapro",FurnitureData,5,0),IF(ISERROR(FIND("internal drawer box",A108))=FALSE,VLOOKUP("Drawer runners and clip set (450) Dynapro",FurnitureData,5,0),"")))))</f>
        <v/>
      </c>
      <c r="L108" s="152" t="str">
        <f t="shared" si="3"/>
        <v/>
      </c>
      <c r="M108" s="154" t="str">
        <f>IFERROR(__xludf.DUMMYFUNCTION("IF(A108="""","""",IF(OR(ISERROR(FIND(""larder"",A108))=FALSE,ISERROR(FIND(""unit"",A108))=FALSE),VLOOKUP(LEFT(A108,FIND("" "",A108))&amp;""carcass ""&amp;RIGHT(A108,LEN(A108)-len(regexextract(A108,"".* ""))),KitchensData,13,0),IF(ISERROR(FIND(""bins"",A108))=FALS"&amp;"E,0.95,IF(ISERROR(FIND(""Cutlery insert 600"",A108))=FALSE,1.3,IF(ISERROR(FIND(""Cutlery insert 1200"",A108))=FALSE,2,IF(ISERROR(FIND(""Pan/tray rack 600"",A108))=FALSE,3.25,IF(ISERROR(FIND(""Pan/tray rack 1200"",A108))=FALSE,5.9,IF(ISERROR(FIND(""split"""&amp;",A108))=FALSE,(((C108/1000)*0.022)*2)+VLOOKUP(SUBSTITUTE(A108,"" split"",""""),KitchensData,13,0),IF(AND(ISERROR(FIND(""drawer front"",A108))=FALSE,KitchenDoorStyle=""Flat""),(((B108/1000)*(C108/1000))*2)+((((B108+C108)/1000)*2)*0.022),IF(AND(ISERROR(FIND"&amp;"(""drawer front"",A108))=FALSE,LEFT(KitchenDoorStyle,5)=""Panel""),(((B108/1000)*(C108/1000))*2)+((((B108+C108)/1000)*2)*0.022)+((((C108/1000)-0.16)*0.013)*2)+((((D108/1000)-0.16)*0.013)*2),IF(AND(ISERROR(FIND(""drawer front"",A108))=FALSE,KitchenDoorStyl"&amp;"e=""In-frame flat""),((((B108-76)/1000)*((C108-38)/1000))*2)+(MID(KitchenDoorMaterial,FIND(""("",KitchenDoorMaterial)+1,2)/1000)*((((B108-76)+(C108-38))/1000)*2)+(((B108/1000)*0.032)*2)+((((B108-76)/1000)*0.032)*2)+(((B108/1000)*0.019)*4)+(((C108/1000)*0."&amp;"032)*2)+((((C108-38)/1000)*0.032)*2)+(((C108/1000)*0.038)*4),IF(AND(ISERROR(FIND(""drawer front"",A108))=FALSE,LEFT(KitchenDoorStyle,14)=""In-frame panel""),((((B108-76)/1000)*((C108-38)/1000))*2)+((MID(KitchenDoorMaterial,FIND(""("",KitchenDoorMaterial)+"&amp;"1,2)/1000)*((((B108-76)+(C108-38))/1000)*2))+((((B108-236)/1000)+((C108-198)/1000)*2)*0.013)+(((B108/1000)*0.032)*2)+((((B108-76)/1000)*0.032)*2)+(((B108/1000)*0.019)*4)+(((C108/1000)*0.032)*2)+((((C108-38)/1000)*0.032)*2)+(((C108/1000)*0.038)*4),IF(ISERR"&amp;"OR(FIND(""drawer box"",A108))=FALSE,((((B108/1000)*(D108/1000))+((B108/1000)*(C108/1000)))*4)+((((D108/1000)+(C108/1000))*0.016)*4)+(((C108/1000)*(D108/1000))*2),IF(OR(ISERROR(FIND(""shelf"",A108))=FALSE,ISERROR(FIND(""spacer"",A108))=FALSE,,ISERROR(FIND("&amp;"""filler panel"",A108))=FALSE),(((C108/1000)*(D108/1000))*2)+((((C108+D108)*2)/1000)*0.022),IF(ISERROR(FIND(""lost corner"",A108))=FALSE,(((B108/1000)*(C108/1000))*2)+((B108/1000)*(C108/1000))+((B108/1000)*((C108/2)/1000))+((((B108/1000)*0.025)+((C108/100"&amp;"0)*0.025))*2),IF(ISERROR(FIND(""carcass"",A108))=FALSE,(((C108/1000)*(D108/1000))*2)+(((B108/1000)*(D108/1000))*2)+((B108/1000)*(C108/1000))+((((B108/1000)*0.025)+((C108/1000)*0.025))*2),IF(AND(ISERROR(FIND(""door"",A108))=FALSE,KitchenDoorStyle=""Flat"")"&amp;",(((B108/1000)*(C108/1000))*2)+(MID(KitchenDoorMaterial,FIND(""("",KitchenDoorMaterial)+1,2)/1000)*(((B108+C108)/1000)*2),IF(AND(ISERROR(FIND(""door"",A108))=FALSE,LEFT(KitchenDoorStyle,5)=""Panel""),(((B108/1000)*(C108/1000))*2)+((MID(KitchenDoorMaterial"&amp;",FIND(""("",KitchenDoorMaterial)+1,2)/1000)*(((B108+C108)/1000)*2))+(((((B108-160)+(C108-160))*2)/1000)*(0.013)),IF(AND(ISERROR(FIND(""door"",A108))=FALSE,KitchenDoorStyle=""In-frame flat""),((((B108-76)/1000)*((C108-38)/1000))*2)+(MID(KitchenDoorMaterial"&amp;",FIND(""("",KitchenDoorMaterial)+1,2)/1000)*((((B108-76)+(C108-38))/1000)*2)+(((B108/1000)*0.032)*2)+((((B108-76)/1000)*0.032)*2)+(((B108/1000)*0.019)*4)+(((C108/1000)*0.032)*2)+((((C108-38)/1000)*0.032)*2)+(((C108/1000)*0.038)*4),IF(AND(ISERROR(FIND(""do"&amp;"or"",A108))=FALSE,LEFT(KitchenDoorStyle,14)=""In-frame panel""),((((B108-76)/1000)*((C108-38)/1000))*2)+((MID(KitchenDoorMaterial,FIND(""("",KitchenDoorMaterial)+1,2)/1000)*((((B108-76)+(C108-38))/1000)*2))+((((B108-236)/1000)+((C108-198)/1000)*2)*0.013)+"&amp;"(((B108/1000)*0.032)*2)+((((B108-76)/1000)*0.032)*2)+(((B108/1000)*0.019)*4)+(((C108/1000)*0.032)*2)+((((C108-38)/1000)*0.032)*2)+(((C108/1000)*0.038)*4),IF(ISERROR(FIND(""Plinth"",A108))=FALSE,((B108/1000)*(C108/1000))+(((C108/1000)*0.018)*2)+(((B108/100"&amp;"0)*0.018)*2),IF(ISERROR(FIND(""Cornice"",A108))=FALSE,(((C108/1000)*0.1)*2)+(((C108/1000)*0.044)*2)+(((B108/1000)*0.08)*2),IF(ISERROR(FIND(""Base end panel"",A108))=FALSE,((B108/1000)*(C108/1000))+(0.022*((B108/1000)+((C108/1000)*2)))+((B108/1000)*0.05),I"&amp;"F(ISERROR(FIND(""Wall end panel"",A108))=FALSE,((B108/1000)*(C108/1000))+(0.022*((B108/1000)+((C108/1000)*2)))+((B108/1000)*0.05),IF(ISERROR(FIND(""Tower end panel"",A108))=FALSE,((B108/1000)*(C108/1000))+(0.022*((B108/1000)+((C108/1000)*2)))+((B108/1000)"&amp;"*0.05),IF(ISERROR(FIND(""Fillers"",A108))=FALSE,((C108/1000)*0.06)+((C108/1000)*0.069)+((0.06*0.018)*2)+((0.06*0.009)*2)+((C108/1000)*0.009)+((C108/1000)*0.018),IF(ISERROR(FIND(""corner post"",A108))=FALSE,(((B108/1000*0.05)*2)+((B108/1000)*0.022)*2)+((B1"&amp;"08/1000)*0.072)+((B108/1000)*0.05)+((0.072*0.022)*2)+((0.05*0.022)*2),IF(ISERROR(FIND(""Pelmet"",A108))=FALSE,((C108/1000)*0.05)+((C108/1000)*0.068)+((0.05*0.018)*4)+(((C108/1000)*0.018))*2))))))))))))))))))))))))))))"),"")</f>
        <v/>
      </c>
      <c r="N108" s="152" t="str">
        <f>IF(M108="","",IF(AND(ISERROR(FIND("carcass",A108))=TRUE,ISERROR(FIND("unit",A108))=TRUE,ISERROR(FIND("insert",A108))=TRUE,ISERROR(FIND("rack",A108))=TRUE,ISERROR(FIND("box",A108))=TRUE,ISERROR(FIND("shelf",#REF!))=TRUE),VLOOKUP(KitchenDoorFinish,Finishing!$A$2:$K$10,9,0)*M108,VLOOKUP(KitchenCarcassFinish,Finishing!$A$2:$K$40,9,0)*M108))</f>
        <v/>
      </c>
      <c r="O108" s="155"/>
      <c r="P108" s="155"/>
      <c r="Q108" s="152" t="str">
        <f>IF(OR(O108="",P108=""),"",((O108*X108)*(VLOOKUP("Workshop",Labour!$A$3:$E$20,4,0)/8))+((P108*AE108)*(VLOOKUP("Finishing",Labour!$A$3:$E$20,4,0)/8)))</f>
        <v/>
      </c>
      <c r="R108" s="152" t="str">
        <f t="shared" si="4"/>
        <v/>
      </c>
      <c r="S108" s="156" t="str">
        <f>IF(OR(O108="",P108=""),"",IF(OR(ISERROR(FIND("carcass",$A108))=FALSE,ISERROR(FIND("unit",$A108))=FALSE),VLOOKUP(KitchenCarcassMaterial,FixedListsCarcassMaterial,2,0),0))</f>
        <v/>
      </c>
      <c r="T108" s="156" t="str">
        <f>IF(OR(O108="",P108=""),"",IF(ISERROR(FIND("door",$A108))=FALSE,VLOOKUP(KitchenDoorStyle,FixedListsDoorStyle,2,0),0))</f>
        <v/>
      </c>
      <c r="U108" s="156" t="str">
        <f>IF(OR(O108="",P108=""),"",IF(ISERROR(FIND("door",$A108))=FALSE,VLOOKUP(KitchenDoorMaterial,FixedListsDoorMaterial,2,0),0))</f>
        <v/>
      </c>
      <c r="V108" s="156" t="str">
        <f>IF(OR(O108="",P108=""),"",IF(ISERROR(FIND("drawer",$A108))=FALSE,VLOOKUP(KitchenDrawerType,FixedListsDrawerType,2,0),0))</f>
        <v/>
      </c>
      <c r="W108" s="156" t="str">
        <f>IF(OR(O108="",P108=""),"",IF(OR(S108&gt;0, T108&gt;0,V108&gt;0),VLOOKUP(KitchenHandleType,FixedListsHandleType,2,FALSE)*IF(KitchenHandleType="Simple",0,IF(S108&gt;0,VLOOKUP(KitchenHandleType,FixedListsHandleType,4,FALSE),IF(OR(T108&gt;0,V108&gt;0),1-VLOOKUP(KitchenHandleType,FixedListsHandleType,4,FALSE),"Error"))),0))</f>
        <v/>
      </c>
      <c r="X108" s="156" t="str">
        <f t="shared" si="5"/>
        <v/>
      </c>
      <c r="Y108" s="156" t="str">
        <f>IF(OR(O108="",P108=""),"",IF(OR(ISERROR(FIND("carcass",$A108))=FALSE,ISERROR(FIND("unit",$A108))=FALSE),VLOOKUP(KitchenCarcassMaterial,FixedListsCarcassMaterial,3,0),0))</f>
        <v/>
      </c>
      <c r="Z108" s="156" t="str">
        <f>IF(OR(O108="",P108=""),"",IF(ISERROR(FIND("door",$A108))=FALSE,VLOOKUP(KitchenDoorStyle,FixedListsDoorStyle,3,0),0))</f>
        <v/>
      </c>
      <c r="AA108" s="156" t="str">
        <f>IF(OR(O108="",P108=""),"",IF(ISERROR(FIND("door",$A108))=FALSE,VLOOKUP(KitchenDoorMaterial,FixedListsDoorMaterial,3,0),0))</f>
        <v/>
      </c>
      <c r="AB108" s="156" t="str">
        <f>IF(OR(O108="",P108=""),"",IF(ISERROR(FIND("drawer",$A108))=FALSE,VLOOKUP(KitchenDrawerType,FixedListsDrawerType,3,0),0))</f>
        <v/>
      </c>
      <c r="AC108" s="156" t="str">
        <f>IF(OR(O108="",P108=""),"",IF(OR(Y108&gt;0,Z108&gt;0,AB108&gt;0),VLOOKUP(KitchenHandleType,FixedListsHandleType,3,FALSE),0))</f>
        <v/>
      </c>
      <c r="AD108" s="156" t="str">
        <f>IF(OR(O108="",P108=""),"",IF(OR(ISERROR(FIND("carcass",$A108))=FALSE,ISERROR(FIND("unit",$A108))=FALSE),VLOOKUP(KitchenCarcassFinish,FixedListsFinishes,3,0),IF(OR(ISERROR(FIND("door",$A108))=FALSE,ISERROR(FIND("Plinth",$A108))=FALSE,ISERROR(FIND("Cornice",$A108))=FALSE,ISERROR(FIND("Fillers",$A108))=FALSE,ISERROR(FIND("Pelmet",$A108))=FALSE,ISERROR(FIND("panel",$A108))=FALSE,ISERROR(FIND("post",$A108))=FALSE),VLOOKUP(KitchenDoorFinish,FixedListsFinishes,3,0),IF(OR(ISERROR(FIND("drawer",$A108))=FALSE,ISERROR(FIND("insert",$A108))=FALSE,ISERROR(FIND("rck",$A108))=FALSE),VLOOKUP(KitchenCarcassFinish,FixedListsFinishes,3,0),0))))</f>
        <v/>
      </c>
      <c r="AE108" s="156" t="str">
        <f t="shared" si="6"/>
        <v/>
      </c>
      <c r="AF108" s="157" t="str">
        <f>IF(AND(KitchenHandleType="Channel",OR(ISERROR(FIND("arcass",$A108))=FALSE,ISERROR(FIND("unit",$A108))=FALSE)),IF(ISERROR(FIND("Tower",$A108))=TRUE,IF(KitchenHandleFinish="Match carcass",IF(ISERROR(FIND("Walnut",KitchenCarcassMaterial))=FALSE,(0.035*0.075*($C108/1000))*VLOOKUP("Walnut (solid m3)",SolidData,4,FALSE),IF(ISERROR(FIND("Oak",KitchenCarcassMaterial))=FALSE,(0.035*0.075*($C108/1000))*VLOOKUP("Oak (solid m3)",SolidData,4,FALSE),IF(ISERROR(FIND("ply",KitchenCarcassMaterial))=FALSE,(0.1*($C108/1000))*VLOOKUP("Birch ply (24mm)",SheetsData,7,FALSE),IF(ISERROR(FIND("H/F",KitchenCarcassMaterial))=FALSE,(0.1*($C108/1000))*VLOOKUP("H/F (22mm)",SheetsData,7,FALSE),"Carcass - not tower - new material")))),IF(KitchenHandleFinish="Match door",IF(ISERROR(FIND("Walnut",KitchenDoorMaterial))=FALSE,(0.035*0.075*($C108/1000))*VLOOKUP("Walnut (solid m3)",SolidData,4,FALSE),IF(ISERROR(FIND("Oak",KitchenDoorMaterial))=FALSE,(0.035*0.075*($C108/1000))*VLOOKUP("Oak (solid m3)",SolidData,4,FALSE),IF(ISERROR(FIND("ply",KitchenDoorMaterial))=FALSE,(0.1*($C108/1000))*VLOOKUP("Birch ply (24mm)",SheetsData,7,FALSE),IF(ISERROR(FIND("H/F",KitchenCarcassMaterial))=FALSE,(0.1*($C108/1000))*VLOOKUP("H/F (22mm)",SheetsData,7,FALSE),"Door - not tower - new material")))),"Channel - not tower - handle set to other")),IF(ISERROR(FIND("Tower",$A108))=FALSE,IF(KitchenHandleFinish="Match carcass",IF(ISERROR(FIND("Walnut",KitchenCarcassMaterial))=FALSE,(0.035*0.075*($B108/1000))*VLOOKUP("Walnut (solid m3)",SolidData,4,FALSE),IF(ISERROR(FIND("Oak",KitchenCarcassMaterial))=FALSE,(0.035*0.075*($B108/1000))*VLOOKUP("Oak (solid m3)",SolidData,4,FALSE),IF(ISERROR(FIND("ply",KitchenCarcassMaterial))=FALSE,(0.1*($B108/1000))*VLOOKUP("Birch ply (24mm)",SheetsData,7,FALSE),IF(ISERROR(FIND("H/F",KitchenCarcassMaterial))=FALSE,(0.1*($C108/1000))*VLOOKUP("H/F (22mm)",SheetsData,7,FALSE),"Carcass - tower - new material")))),IF(KitchenHandleFinish="Match door",IF(ISERROR(FIND("Walnut",KitchenDoorMaterial))=FALSE,(0.035*0.075*($B108/1000))*VLOOKUP("Walnut (solid m3)",SolidData,4,FALSE),IF(ISERROR(FIND("Oak",KitchenDoorMaterial))=FALSE,(0.035*0.075*($B108/1000))*VLOOKUP("Oak (solid m3)",SolidData,4,FALSE),IF(ISERROR(FIND("ply",KitchenDoorMaterial))=FALSE,(0.1*($B108/1000))*VLOOKUP("Birch ply (24mm)",SheetData,7,FALSE),IF(ISERROR(FIND("H/F",KitchenCarcassMaterial))=FALSE,(0.1*($C108/1000))*VLOOKUP("H/F (22mm)",SheetsData,7,FALSE),"Door - tower - new material")))),"Channel - tower - handle set to other")))),"")</f>
        <v/>
      </c>
    </row>
    <row r="109">
      <c r="A109" s="150"/>
      <c r="B109" s="115" t="str">
        <f t="shared" si="1"/>
        <v/>
      </c>
      <c r="C109" s="115" t="str">
        <f>IFERROR(__xludf.DUMMYFUNCTION("IF(A109="""","""",IF(OR(RIGHT(A109,LEN(A109)-len(regexextract(A109,"".* "")))=""1200"",RIGHT(A109,LEN(A109)-len(regexextract(A109,"".* "")))=""600"",RIGHT(A109,LEN(A109)-len(regexextract(A109,"".* "")))=""400"",RIGHT(A109,LEN(A109)-len(regexextract(A109,"&amp;""".* "")))=""300"",RIGHT(A109,LEN(A109)-len(regexextract(A109,"".* "")))=""700"",RIGHT(A109,LEN(A109)-len(regexextract(A109,"".* "")))=""2400"",RIGHT(A109,LEN(A109)-len(regexextract(A109,"".* "")))=""650"",RIGHT(A109,LEN(A109)-len(regexextract(A109,"".* "&amp;""")))=""350"",RIGHT(A109,LEN(A109)-len(regexextract(A109,"".* "")))=""50""),RIGHT(A109,LEN(A109)-len(regexextract(A109,"".* ""))),IF(OR(ISERROR(FIND(""spacer"",A109))=FALSE,ISERROR(FIND(""filler panel"",A109))=FALSE),""1000"",""Unexpected size in descript"&amp;"ion"")))"),"")</f>
        <v/>
      </c>
      <c r="D109" s="151" t="str">
        <f t="shared" si="2"/>
        <v/>
      </c>
      <c r="E109" s="152" t="str">
        <f>IFERROR(__xludf.DUMMYFUNCTION("IF(OR(A109="""",AND(ISERROR(FIND(""drawer box"",A109))=FALSE,KitchenDrawerType="""")),"""",IF(OR(ISERROR(FIND(""larder"",A109))=FALSE,ISERROR(FIND(""fridge/freezer"",A109))=FALSE,ISERROR(FIND(""double oven"",A109))=FALSE,ISERROR(FIND(""single oven"",A109)"&amp;")=FALSE),VLOOKUP(LEFT(A109,FIND("" "",A109))&amp;""carcass ""&amp;RIGHT(A109,LEN(A109)-(LEN(A109)-3)),KitchensData,5,0),IF(ISERROR(FIND(""sink"",A109))=FALSE,VLOOKUP(LEFT(A109,FIND("" "",A109))&amp;""carcass ""&amp;VALUE(REGEXREPLACE(A109,""[^[:digit:]]"", """")),Kitchen"&amp;"sData,5,0)+(((C109/1000)*(300/1000))*VLOOKUP(KitchenCarcassMaterial,SheetsData,8,0)),IF(ISERROR(FIND(""bins"",A109))=FALSE,IF(ISERROR(FIND(""veneer"",KitchenCarcassMaterial))=FALSE,VLOOKUP(""Base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600"",A109))=FALSE,IF(ISERR"&amp;"OR(FIND(""veneer"",KitchenCarcassMaterial))=FALSE,0.54*(VLOOKUP(LEFT(KitchenCarcassMaterial,FIND(""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1"&amp;"200"",A109))=FALSE,IF(ISERROR(FIND(""veneer"",KitchenCarcassMaterial))=FALSE,0.84*(VLOOKUP(LEFT(KitchenCarcassMaterial,FIND(""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600"",A109))=FALSE,IF(ISERROR(FIND(""veneer"",KitchenCarcassMaterial))=FALSE,1.44*(VLOOKUP(LEFT(KitchenCarcassMaterial,FIND(""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1200"",A109))=FALSE,IF(ISERROR(FIND(""veneer"",KitchenCarcassMaterial))=FALSE,2.7*(VLOOKUP(LEFT(KitchenCarcassMaterial,FIND(""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front"",A109))=FALSE,((B109/1000)*(C109/1000))*VLOOKUP(KitchenDoorMaterial,SheetsData,8,0),IF(AND(KitchenDrawerType=""Match carcass"",ISERROR(FIND(""drawer box"",A109))=FALSE),(((((B109/10"&amp;"00)*(C109/1000))+((B109/1000)*(D109/1000)))*2)*VLOOKUP(KitchenCarcassMaterial,SheetsData,8,0))+(((C109/1000)*(D109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box"",A109))=FALSE),(((((B109/1000)*(C109/1000))+((B109/1000)*(D109/1000)))*2)*(16/1000)*VLOOKUP(L"&amp;"EFT(KitchenCarcassMaterial,FIND("" "",KitchenCarcassMaterial))&amp;""(solid m3)"",SolidData,5,0))+(((C109/1000)*(D109/1000))*VLOOKUP(LEFT(KitchenCarcassMaterial,FIND(""("",KitchenCarcassMaterial)-1)&amp;IF(OR(ISERROR(FIND(""ply"",KitchenCarcassMaterial))=FALSE,IS"&amp;"ERROR(FIND(""H/F"",KitchenCarcassMaterial))=FALSE),""(9mm)"",""(10mm)""),SheetsData,8,0)),IF(ISERROR(FIND(""spacer"",A109))=FALSE,((D109/1000)*(C109/1000))*VLOOKUP(""Poplar ply (18mm)"",SheetsData,8,0),IF(ISERROR(FIND(""filler panel"",A109))=FALSE,((B109/"&amp;"1000)*(C109/1000))*VLOOKUP(KitchenDoorMaterial,SheetsData,8,0),IF(ISERROR(FIND(""shelf"",A109))=FALSE,((D109/1000)*(C109/1000))*VLOOKUP(KitchenCarcassMaterial,SheetsData,8,0),IF(ISERROR(FIND(""lost corner"",A109))=FALSE,VLOOKUP(LEFT(A109,FIND("" "",A109))"&amp;"&amp;""carcass ""&amp;VALUE(REGEXREPLACE(A109,""[^[:digit:]]"", """")),KitchensData,5,0)+((((B109/1000)*(C109/1000))+((B109/1000)*(60/1000)))*VLOOKUP(KitchenCarcassMaterial,SheetsData,8,0)),IF(ISERROR(FIND(""carcass"",A109))=FALSE,(((((B109/1000)*2)*(D109/1000))+"&amp;"(((C109/1000)*2)*(D109/1000)))*VLOOKUP(KitchenCarcassMaterial,SheetsData,8,0))+((B109/1000)*(C109/1000))*VLOOKUP(LEFT(KitchenCarcassMaterial,FIND(""("",KitchenCarcassMaterial)-1)&amp;IF(OR(ISERROR(FIND(""ply"",KitchenCarcassMaterial))=FALSE,ISERROR(FIND(""H/F"&amp;""",KitchenCarcassMaterial))=FALSE),""(9mm)"",""(10mm)""),SheetsData,8,0),IF(OR(ISERROR(FIND(""Plinth"",A109))=FALSE,ISERROR(FIND(""Cornice (flat)"",A109))=FALSE),((B109/1000)*(C109/1000))*VLOOKUP(""H/F (18mm)"",SheetsData,8,0),IF(ISERROR(FIND(""Cornice (s"&amp;"tacked)"",A109))=FALSE,((0.08*(C109/1000))*2)*VLOOKUP(""H/F (22mm)"",SheetsData,8,0),IF(ISERROR(FIND(""Base end panel"",A109))=FALSE,VLOOKUP(KitchenDoorMaterial,SheetsData,5,0)/3,IF(ISERROR(FIND(""Wall end panel"",A109))=FALSE,VLOOKUP(KitchenDoorMaterial,"&amp;"SheetsData,5,0)/9,IF(ISERROR(FIND(""Tower end panel"",A109))=FALSE,VLOOKUP(KitchenDoorMaterial,SheetsData,5,0),IF(ISERROR(FIND(""Fillers"",A109))=FALSE,(((0.06*(C109/1000))*2)*VLOOKUP(""H/F (18mm)"",SheetsData,8,0))+(((0.06*(C109/1000))*2)*VLOOKUP(""H/F ("&amp;"9mm)"",SheetsData,8,0)),IF(ISERROR(FIND(""corner post"",A109))=FALSE,(((B109/1000)*0.05)*2)*VLOOKUP(KitchenDoorMaterial,SheetsData,8,0),IF(ISERROR(FIND(""Pelmet"",A109))=FALSE,((((B109/1000)*(C109/1000))*2)*VLOOKUP(""H/F (18mm)"",SheetsData,8,0)),IF(ISERR"&amp;"OR(FIND(""door"",A109))=TRUE,""Check description"",IF(KitchenDoorStyle=""Flat"",((B109/1000)*(C109/1000))*VLOOKUP(KitchenDoorMaterial,SheetsData,8,0),IF(LEFT(KitchenDoorStyle,5)=""Panel"",(((((B109/1000)*2)*0.08)+((((C109/1000)-0.16)*2)*0.08))*VLOOKUP(""H"&amp;"/F (22mm)"",SheetsData,8,0))+(((B109/1000)-0.14)*((C109/1000)-0.14)*VLOOKUP(""H/F (9mm)"",SheetsData,8,0)),IF(KitchenDoorStyle=""In-frame flat"",((((((B109/1000)*0.019)*0.038)+((((C109-38)/1000)*0.038)*0.038))*2)*VLOOKUP(""Tulip (solid m3)"",SolidData,5,0"&amp;"))+(((B109-76)/1000)*((C109-38)/1000))*VLOOKUP(""H/F (22mm)"",SheetsData,8,0),IF(LEFT(KitchenDoorStyle,14)=""In-frame panel"",(((((((B109/1000)*0.019)*0.038)+((((C109-38)/1000)*0.038)*0.038))*2)*VLOOKUP(""Tulip (solid m3)"",SolidData,5,0))+(((((((B109-76)"&amp;"/1000)*2)*0.08)+(((((C109-198)/1000)*2)*0.08)))*VLOOKUP(""H/F (22mm)"",SheetsData,8,0))+(((B109-216)/1000)*((C109-178)/1000)*VLOOKUP(""H/F (9mm)"",SheetsData,8,0)))))))))))))))))))))))))))))))))"),"")</f>
        <v/>
      </c>
      <c r="F109" s="152" t="str">
        <f>IFERROR(__xludf.DUMMYFUNCTION("IF(OR(A109="""",AND(ISERROR(FIND(""drawer box"",A109))=FALSE,KitchenDrawerType=""Solid dovetail"")),"""",IF(ISERROR(FIND(""bins"",A109))=FALSE,VLOOKUP(""Base carcass 600"",KitchensData,6,0),IF(OR(ISERROR(FIND(""larder"",A109))=FALSE,ISERROR(FIND(""unit"","&amp;"A109))=FALSE),VLOOKUP(LEFT(A109,FIND("" "",A109))&amp;""carcass ""&amp;RIGHT(A109,LEN(A109)-len(regexextract(A109,"".* ""))),KitchensData,6,0),IF(ISERROR(FIND(""drawer front"",A109))=FALSE,IF(ISERROR(FIND(""veneer"",KitchenCarcassMaterial))=TRUE,0,(((B109+C109)/1"&amp;"000)*2)*VLOOKUP(""Edge banding (per M)"",SheetsData,5,0)),IF(ISERROR(FIND(""drawer box"",A109))=FALSE,IF(ISERROR(FIND(""veneer"",KitchenCarcassMaterial))=TRUE,0,(((C109+D109)/1000)*2)*VLOOKUP(""Edge banding (per M)"",SheetsData,5,0)),IF(ISERROR(FIND(""she"&amp;"lf"",A109))=FALSE,IF(ISERROR(FIND(""veneer"",KitchenCarcassMaterial))=TRUE,0,(C109/1000)*VLOOKUP(""Edge banding (per M)"",SheetsData,5,0)),IF(AND(ISERROR(FIND(""carcass"",A109))=FALSE,ISERROR(FIND(""shelf"",A109))=TRUE),IF(ISERROR(FIND(""veneer"",KitchenC"&amp;"arcassMaterial))=TRUE,0,((2*(B109+C109))/1000)*VLOOKUP(""Edge banding (per M)"",SheetsData,5,0)),IF(ISERROR(FIND(""door"",A109))=TRUE,"""",IF(ISERROR(FIND(""veneer"",KitchenDoorMaterial))=TRUE,"""",((2*(B109+C109))/1000)*VLOOKUP(""Edge banding (per M)"",S"&amp;"heetsData,5,0))))))))))"),"")</f>
        <v/>
      </c>
      <c r="G109" s="153" t="str">
        <f>IF(A109="","",IF(ISERROR(FIND("bins",A109))=FALSE,VLOOKUP("Base carcass 600",KitchensData,7,0),IF(OR(ISERROR(FIND("larder",A109))=FALSE,ISERROR(FIND("fridge/freezer",A109))=FALSE,ISERROR(FIND("double oven",A109))=FALSE,ISERROR(FIND("single oven",A109))=FALSE),VLOOKUP(LEFT(A109,FIND(" ",A109))&amp;"carcass "&amp;RIGHT(A109,LEN(A109)-(LEN(A109)-3)),KitchensData,7,0),IF(AND(ISERROR(FIND("carcass",A109))=FALSE,ISERROR(FIND("shelf",A109))=TRUE),IF(OR(ISERROR(FIND("Base",A109))=FALSE,ISERROR(FIND("Tower",A109))=FALSE),IF(OR(ISERROR(FIND("1200",A109))=FALSE, ISERROR(FIND("lost corner",A109))=FALSE),6*VLOOKUP("Plinth foot (2 Parts 80mm)",FurnitureData,5,0),4*VLOOKUP("Plinth foot (2 Parts 80mm)",FurnitureData,5,0)),""),""))))</f>
        <v/>
      </c>
      <c r="H109" s="115" t="str">
        <f>IF(OR(A109="",ISERROR(FIND("door",A109))=TRUE),"",IF(ISERROR(FIND("Wall",A109))=FALSE,VLOOKUP("Hinges &amp; plates (Hettich thick door)",FurnitureData,5,0)*2,IF(ISERROR(FIND("Base",A109))=FALSE,VLOOKUP("Hinges &amp; plates (Hettich thick door)",FurnitureData,5,0)*3,IF(ISERROR(FIND("Boiler",A109))=FALSE,VLOOKUP("Hinges &amp; plates (Hettich thick door)",FurnitureData,5,0)*4,IF(ISERROR(FIND("Tower",A109))=FALSE,VLOOKUP("Hinges &amp; plates (Hettich thick door)",FurnitureData,5,0)*5)))))</f>
        <v/>
      </c>
      <c r="I109" s="115" t="str">
        <f>IF(ISERROR(FIND("shelf",A109))=FALSE,(VLOOKUP("Shelf pegs",FurnitureData,5,0)/100)*4,"")</f>
        <v/>
      </c>
      <c r="J109" s="152" t="str">
        <f>IF(OR(ISERROR(FIND("fridge/freezer",A109))=FALSE,ISERROR(FIND("larder",A109))=FALSE,AND(ISERROR(FIND("Base",A109))=FALSE,ISERROR(FIND("bins",A109))=TRUE,ISERROR(FIND("no shelves",A109))=TRUE,OR(ISERROR(FIND("carcass",A109))=FALSE,ISERROR(FIND("unit",A109))=FALSE))),VLOOKUP("Deep shelf "&amp;C109,KitchensData,18,0),IF(AND(ISERROR(FIND("Wall",A109))=FALSE,ISERROR(FIND("carcass",A109))=FALSE),2*VLOOKUP("Shallow shelf "&amp;C109,KitchensData,18,0),IF(AND(ISERROR(FIND("Tower",A109))=FALSE,ISERROR(FIND("oven",A109))=FALSE),4*VLOOKUP("Deep shelf "&amp;C109,KitchensData,18,0),IF(AND(ISERROR(FIND("Tower",A109))=FALSE,ISERROR(FIND("carcass",A109))=FALSE),5*VLOOKUP("Deep shelf "&amp;C109,KitchensData,18,0),""))))</f>
        <v/>
      </c>
      <c r="K109" s="152" t="str">
        <f>IF(ISERROR(FIND("sink",A109))=FALSE,VLOOKUP("Sink liner - Aluminium "&amp;RIGHT(A109,LEN(A109)-22)&amp;"mm",ExceptionalData,5,0),IF(ISERROR(FIND("bins",A109))=FALSE,VLOOKUP("Drawer runners and clip set for bin unit (500) Dynapro",FurnitureData,5,0)+(2*VLOOKUP("Bin (42L Anthracite)",FurnitureData,5,0)),IF(ISERROR(FIND("larder",A109))=FALSE,VLOOKUP("Pull out larder unit 600mm",FurnitureData,5,0),IF(AND(ISERROR(FIND("drawer box",A109))=FALSE,ISERROR(FIND("internal",A109))=TRUE),VLOOKUP("Drawer runners and clip set (550) Dynapro",FurnitureData,5,0),IF(ISERROR(FIND("internal drawer box",A109))=FALSE,VLOOKUP("Drawer runners and clip set (450) Dynapro",FurnitureData,5,0),"")))))</f>
        <v/>
      </c>
      <c r="L109" s="152" t="str">
        <f t="shared" si="3"/>
        <v/>
      </c>
      <c r="M109" s="154" t="str">
        <f>IFERROR(__xludf.DUMMYFUNCTION("IF(A109="""","""",IF(OR(ISERROR(FIND(""larder"",A109))=FALSE,ISERROR(FIND(""unit"",A109))=FALSE),VLOOKUP(LEFT(A109,FIND("" "",A109))&amp;""carcass ""&amp;RIGHT(A109,LEN(A109)-len(regexextract(A109,"".* ""))),KitchensData,13,0),IF(ISERROR(FIND(""bins"",A109))=FALS"&amp;"E,0.95,IF(ISERROR(FIND(""Cutlery insert 600"",A109))=FALSE,1.3,IF(ISERROR(FIND(""Cutlery insert 1200"",A109))=FALSE,2,IF(ISERROR(FIND(""Pan/tray rack 600"",A109))=FALSE,3.25,IF(ISERROR(FIND(""Pan/tray rack 1200"",A109))=FALSE,5.9,IF(ISERROR(FIND(""split"""&amp;",A109))=FALSE,(((C109/1000)*0.022)*2)+VLOOKUP(SUBSTITUTE(A109,"" split"",""""),KitchensData,13,0),IF(AND(ISERROR(FIND(""drawer front"",A109))=FALSE,KitchenDoorStyle=""Flat""),(((B109/1000)*(C109/1000))*2)+((((B109+C109)/1000)*2)*0.022),IF(AND(ISERROR(FIND"&amp;"(""drawer front"",A109))=FALSE,LEFT(KitchenDoorStyle,5)=""Panel""),(((B109/1000)*(C109/1000))*2)+((((B109+C109)/1000)*2)*0.022)+((((C109/1000)-0.16)*0.013)*2)+((((D109/1000)-0.16)*0.013)*2),IF(AND(ISERROR(FIND(""drawer front"",A109))=FALSE,KitchenDoorStyl"&amp;"e=""In-frame flat""),((((B109-76)/1000)*((C109-38)/1000))*2)+(MID(KitchenDoorMaterial,FIND(""("",KitchenDoorMaterial)+1,2)/1000)*((((B109-76)+(C109-38))/1000)*2)+(((B109/1000)*0.032)*2)+((((B109-76)/1000)*0.032)*2)+(((B109/1000)*0.019)*4)+(((C109/1000)*0."&amp;"032)*2)+((((C109-38)/1000)*0.032)*2)+(((C109/1000)*0.038)*4),IF(AND(ISERROR(FIND(""drawer front"",A109))=FALSE,LEFT(KitchenDoorStyle,14)=""In-frame panel""),((((B109-76)/1000)*((C109-38)/1000))*2)+((MID(KitchenDoorMaterial,FIND(""("",KitchenDoorMaterial)+"&amp;"1,2)/1000)*((((B109-76)+(C109-38))/1000)*2))+((((B109-236)/1000)+((C109-198)/1000)*2)*0.013)+(((B109/1000)*0.032)*2)+((((B109-76)/1000)*0.032)*2)+(((B109/1000)*0.019)*4)+(((C109/1000)*0.032)*2)+((((C109-38)/1000)*0.032)*2)+(((C109/1000)*0.038)*4),IF(ISERR"&amp;"OR(FIND(""drawer box"",A109))=FALSE,((((B109/1000)*(D109/1000))+((B109/1000)*(C109/1000)))*4)+((((D109/1000)+(C109/1000))*0.016)*4)+(((C109/1000)*(D109/1000))*2),IF(OR(ISERROR(FIND(""shelf"",A109))=FALSE,ISERROR(FIND(""spacer"",A109))=FALSE,,ISERROR(FIND("&amp;"""filler panel"",A109))=FALSE),(((C109/1000)*(D109/1000))*2)+((((C109+D109)*2)/1000)*0.022),IF(ISERROR(FIND(""lost corner"",A109))=FALSE,(((B109/1000)*(C109/1000))*2)+((B109/1000)*(C109/1000))+((B109/1000)*((C109/2)/1000))+((((B109/1000)*0.025)+((C109/100"&amp;"0)*0.025))*2),IF(ISERROR(FIND(""carcass"",A109))=FALSE,(((C109/1000)*(D109/1000))*2)+(((B109/1000)*(D109/1000))*2)+((B109/1000)*(C109/1000))+((((B109/1000)*0.025)+((C109/1000)*0.025))*2),IF(AND(ISERROR(FIND(""door"",A109))=FALSE,KitchenDoorStyle=""Flat"")"&amp;",(((B109/1000)*(C109/1000))*2)+(MID(KitchenDoorMaterial,FIND(""("",KitchenDoorMaterial)+1,2)/1000)*(((B109+C109)/1000)*2),IF(AND(ISERROR(FIND(""door"",A109))=FALSE,LEFT(KitchenDoorStyle,5)=""Panel""),(((B109/1000)*(C109/1000))*2)+((MID(KitchenDoorMaterial"&amp;",FIND(""("",KitchenDoorMaterial)+1,2)/1000)*(((B109+C109)/1000)*2))+(((((B109-160)+(C109-160))*2)/1000)*(0.013)),IF(AND(ISERROR(FIND(""door"",A109))=FALSE,KitchenDoorStyle=""In-frame flat""),((((B109-76)/1000)*((C109-38)/1000))*2)+(MID(KitchenDoorMaterial"&amp;",FIND(""("",KitchenDoorMaterial)+1,2)/1000)*((((B109-76)+(C109-38))/1000)*2)+(((B109/1000)*0.032)*2)+((((B109-76)/1000)*0.032)*2)+(((B109/1000)*0.019)*4)+(((C109/1000)*0.032)*2)+((((C109-38)/1000)*0.032)*2)+(((C109/1000)*0.038)*4),IF(AND(ISERROR(FIND(""do"&amp;"or"",A109))=FALSE,LEFT(KitchenDoorStyle,14)=""In-frame panel""),((((B109-76)/1000)*((C109-38)/1000))*2)+((MID(KitchenDoorMaterial,FIND(""("",KitchenDoorMaterial)+1,2)/1000)*((((B109-76)+(C109-38))/1000)*2))+((((B109-236)/1000)+((C109-198)/1000)*2)*0.013)+"&amp;"(((B109/1000)*0.032)*2)+((((B109-76)/1000)*0.032)*2)+(((B109/1000)*0.019)*4)+(((C109/1000)*0.032)*2)+((((C109-38)/1000)*0.032)*2)+(((C109/1000)*0.038)*4),IF(ISERROR(FIND(""Plinth"",A109))=FALSE,((B109/1000)*(C109/1000))+(((C109/1000)*0.018)*2)+(((B109/100"&amp;"0)*0.018)*2),IF(ISERROR(FIND(""Cornice"",A109))=FALSE,(((C109/1000)*0.1)*2)+(((C109/1000)*0.044)*2)+(((B109/1000)*0.08)*2),IF(ISERROR(FIND(""Base end panel"",A109))=FALSE,((B109/1000)*(C109/1000))+(0.022*((B109/1000)+((C109/1000)*2)))+((B109/1000)*0.05),I"&amp;"F(ISERROR(FIND(""Wall end panel"",A109))=FALSE,((B109/1000)*(C109/1000))+(0.022*((B109/1000)+((C109/1000)*2)))+((B109/1000)*0.05),IF(ISERROR(FIND(""Tower end panel"",A109))=FALSE,((B109/1000)*(C109/1000))+(0.022*((B109/1000)+((C109/1000)*2)))+((B109/1000)"&amp;"*0.05),IF(ISERROR(FIND(""Fillers"",A109))=FALSE,((C109/1000)*0.06)+((C109/1000)*0.069)+((0.06*0.018)*2)+((0.06*0.009)*2)+((C109/1000)*0.009)+((C109/1000)*0.018),IF(ISERROR(FIND(""corner post"",A109))=FALSE,(((B109/1000*0.05)*2)+((B109/1000)*0.022)*2)+((B1"&amp;"09/1000)*0.072)+((B109/1000)*0.05)+((0.072*0.022)*2)+((0.05*0.022)*2),IF(ISERROR(FIND(""Pelmet"",A109))=FALSE,((C109/1000)*0.05)+((C109/1000)*0.068)+((0.05*0.018)*4)+(((C109/1000)*0.018))*2))))))))))))))))))))))))))))"),"")</f>
        <v/>
      </c>
      <c r="N109" s="152" t="str">
        <f>IF(M109="","",IF(AND(ISERROR(FIND("carcass",A109))=TRUE,ISERROR(FIND("unit",A109))=TRUE,ISERROR(FIND("insert",A109))=TRUE,ISERROR(FIND("rack",A109))=TRUE,ISERROR(FIND("box",A109))=TRUE,ISERROR(FIND("shelf",#REF!))=TRUE),VLOOKUP(KitchenDoorFinish,Finishing!$A$2:$K$10,9,0)*M109,VLOOKUP(KitchenCarcassFinish,Finishing!$A$2:$K$40,9,0)*M109))</f>
        <v/>
      </c>
      <c r="O109" s="155"/>
      <c r="P109" s="155"/>
      <c r="Q109" s="152" t="str">
        <f>IF(OR(O109="",P109=""),"",((O109*X109)*(VLOOKUP("Workshop",Labour!$A$3:$E$20,4,0)/8))+((P109*AE109)*(VLOOKUP("Finishing",Labour!$A$3:$E$20,4,0)/8)))</f>
        <v/>
      </c>
      <c r="R109" s="152" t="str">
        <f t="shared" si="4"/>
        <v/>
      </c>
      <c r="S109" s="156" t="str">
        <f>IF(OR(O109="",P109=""),"",IF(OR(ISERROR(FIND("carcass",$A109))=FALSE,ISERROR(FIND("unit",$A109))=FALSE),VLOOKUP(KitchenCarcassMaterial,FixedListsCarcassMaterial,2,0),0))</f>
        <v/>
      </c>
      <c r="T109" s="156" t="str">
        <f>IF(OR(O109="",P109=""),"",IF(ISERROR(FIND("door",$A109))=FALSE,VLOOKUP(KitchenDoorStyle,FixedListsDoorStyle,2,0),0))</f>
        <v/>
      </c>
      <c r="U109" s="156" t="str">
        <f>IF(OR(O109="",P109=""),"",IF(ISERROR(FIND("door",$A109))=FALSE,VLOOKUP(KitchenDoorMaterial,FixedListsDoorMaterial,2,0),0))</f>
        <v/>
      </c>
      <c r="V109" s="156" t="str">
        <f>IF(OR(O109="",P109=""),"",IF(ISERROR(FIND("drawer",$A109))=FALSE,VLOOKUP(KitchenDrawerType,FixedListsDrawerType,2,0),0))</f>
        <v/>
      </c>
      <c r="W109" s="156" t="str">
        <f>IF(OR(O109="",P109=""),"",IF(OR(S109&gt;0, T109&gt;0,V109&gt;0),VLOOKUP(KitchenHandleType,FixedListsHandleType,2,FALSE)*IF(KitchenHandleType="Simple",0,IF(S109&gt;0,VLOOKUP(KitchenHandleType,FixedListsHandleType,4,FALSE),IF(OR(T109&gt;0,V109&gt;0),1-VLOOKUP(KitchenHandleType,FixedListsHandleType,4,FALSE),"Error"))),0))</f>
        <v/>
      </c>
      <c r="X109" s="156" t="str">
        <f t="shared" si="5"/>
        <v/>
      </c>
      <c r="Y109" s="156" t="str">
        <f>IF(OR(O109="",P109=""),"",IF(OR(ISERROR(FIND("carcass",$A109))=FALSE,ISERROR(FIND("unit",$A109))=FALSE),VLOOKUP(KitchenCarcassMaterial,FixedListsCarcassMaterial,3,0),0))</f>
        <v/>
      </c>
      <c r="Z109" s="156" t="str">
        <f>IF(OR(O109="",P109=""),"",IF(ISERROR(FIND("door",$A109))=FALSE,VLOOKUP(KitchenDoorStyle,FixedListsDoorStyle,3,0),0))</f>
        <v/>
      </c>
      <c r="AA109" s="156" t="str">
        <f>IF(OR(O109="",P109=""),"",IF(ISERROR(FIND("door",$A109))=FALSE,VLOOKUP(KitchenDoorMaterial,FixedListsDoorMaterial,3,0),0))</f>
        <v/>
      </c>
      <c r="AB109" s="156" t="str">
        <f>IF(OR(O109="",P109=""),"",IF(ISERROR(FIND("drawer",$A109))=FALSE,VLOOKUP(KitchenDrawerType,FixedListsDrawerType,3,0),0))</f>
        <v/>
      </c>
      <c r="AC109" s="156" t="str">
        <f>IF(OR(O109="",P109=""),"",IF(OR(Y109&gt;0,Z109&gt;0,AB109&gt;0),VLOOKUP(KitchenHandleType,FixedListsHandleType,3,FALSE),0))</f>
        <v/>
      </c>
      <c r="AD109" s="156" t="str">
        <f>IF(OR(O109="",P109=""),"",IF(OR(ISERROR(FIND("carcass",$A109))=FALSE,ISERROR(FIND("unit",$A109))=FALSE),VLOOKUP(KitchenCarcassFinish,FixedListsFinishes,3,0),IF(OR(ISERROR(FIND("door",$A109))=FALSE,ISERROR(FIND("Plinth",$A109))=FALSE,ISERROR(FIND("Cornice",$A109))=FALSE,ISERROR(FIND("Fillers",$A109))=FALSE,ISERROR(FIND("Pelmet",$A109))=FALSE,ISERROR(FIND("panel",$A109))=FALSE,ISERROR(FIND("post",$A109))=FALSE),VLOOKUP(KitchenDoorFinish,FixedListsFinishes,3,0),IF(OR(ISERROR(FIND("drawer",$A109))=FALSE,ISERROR(FIND("insert",$A109))=FALSE,ISERROR(FIND("rck",$A109))=FALSE),VLOOKUP(KitchenCarcassFinish,FixedListsFinishes,3,0),0))))</f>
        <v/>
      </c>
      <c r="AE109" s="156" t="str">
        <f t="shared" si="6"/>
        <v/>
      </c>
      <c r="AF109" s="157" t="str">
        <f>IF(AND(KitchenHandleType="Channel",OR(ISERROR(FIND("arcass",$A109))=FALSE,ISERROR(FIND("unit",$A109))=FALSE)),IF(ISERROR(FIND("Tower",$A109))=TRUE,IF(KitchenHandleFinish="Match carcass",IF(ISERROR(FIND("Walnut",KitchenCarcassMaterial))=FALSE,(0.035*0.075*($C109/1000))*VLOOKUP("Walnut (solid m3)",SolidData,4,FALSE),IF(ISERROR(FIND("Oak",KitchenCarcassMaterial))=FALSE,(0.035*0.075*($C109/1000))*VLOOKUP("Oak (solid m3)",SolidData,4,FALSE),IF(ISERROR(FIND("ply",KitchenCarcassMaterial))=FALSE,(0.1*($C109/1000))*VLOOKUP("Birch ply (24mm)",SheetsData,7,FALSE),IF(ISERROR(FIND("H/F",KitchenCarcassMaterial))=FALSE,(0.1*($C109/1000))*VLOOKUP("H/F (22mm)",SheetsData,7,FALSE),"Carcass - not tower - new material")))),IF(KitchenHandleFinish="Match door",IF(ISERROR(FIND("Walnut",KitchenDoorMaterial))=FALSE,(0.035*0.075*($C109/1000))*VLOOKUP("Walnut (solid m3)",SolidData,4,FALSE),IF(ISERROR(FIND("Oak",KitchenDoorMaterial))=FALSE,(0.035*0.075*($C109/1000))*VLOOKUP("Oak (solid m3)",SolidData,4,FALSE),IF(ISERROR(FIND("ply",KitchenDoorMaterial))=FALSE,(0.1*($C109/1000))*VLOOKUP("Birch ply (24mm)",SheetsData,7,FALSE),IF(ISERROR(FIND("H/F",KitchenCarcassMaterial))=FALSE,(0.1*($C109/1000))*VLOOKUP("H/F (22mm)",SheetsData,7,FALSE),"Door - not tower - new material")))),"Channel - not tower - handle set to other")),IF(ISERROR(FIND("Tower",$A109))=FALSE,IF(KitchenHandleFinish="Match carcass",IF(ISERROR(FIND("Walnut",KitchenCarcassMaterial))=FALSE,(0.035*0.075*($B109/1000))*VLOOKUP("Walnut (solid m3)",SolidData,4,FALSE),IF(ISERROR(FIND("Oak",KitchenCarcassMaterial))=FALSE,(0.035*0.075*($B109/1000))*VLOOKUP("Oak (solid m3)",SolidData,4,FALSE),IF(ISERROR(FIND("ply",KitchenCarcassMaterial))=FALSE,(0.1*($B109/1000))*VLOOKUP("Birch ply (24mm)",SheetsData,7,FALSE),IF(ISERROR(FIND("H/F",KitchenCarcassMaterial))=FALSE,(0.1*($C109/1000))*VLOOKUP("H/F (22mm)",SheetsData,7,FALSE),"Carcass - tower - new material")))),IF(KitchenHandleFinish="Match door",IF(ISERROR(FIND("Walnut",KitchenDoorMaterial))=FALSE,(0.035*0.075*($B109/1000))*VLOOKUP("Walnut (solid m3)",SolidData,4,FALSE),IF(ISERROR(FIND("Oak",KitchenDoorMaterial))=FALSE,(0.035*0.075*($B109/1000))*VLOOKUP("Oak (solid m3)",SolidData,4,FALSE),IF(ISERROR(FIND("ply",KitchenDoorMaterial))=FALSE,(0.1*($B109/1000))*VLOOKUP("Birch ply (24mm)",SheetData,7,FALSE),IF(ISERROR(FIND("H/F",KitchenCarcassMaterial))=FALSE,(0.1*($C109/1000))*VLOOKUP("H/F (22mm)",SheetsData,7,FALSE),"Door - tower - new material")))),"Channel - tower - handle set to other")))),"")</f>
        <v/>
      </c>
    </row>
    <row r="110">
      <c r="A110" s="150"/>
      <c r="B110" s="115" t="str">
        <f t="shared" si="1"/>
        <v/>
      </c>
      <c r="C110" s="115" t="str">
        <f>IFERROR(__xludf.DUMMYFUNCTION("IF(A110="""","""",IF(OR(RIGHT(A110,LEN(A110)-len(regexextract(A110,"".* "")))=""1200"",RIGHT(A110,LEN(A110)-len(regexextract(A110,"".* "")))=""600"",RIGHT(A110,LEN(A110)-len(regexextract(A110,"".* "")))=""400"",RIGHT(A110,LEN(A110)-len(regexextract(A110,"&amp;""".* "")))=""300"",RIGHT(A110,LEN(A110)-len(regexextract(A110,"".* "")))=""700"",RIGHT(A110,LEN(A110)-len(regexextract(A110,"".* "")))=""2400"",RIGHT(A110,LEN(A110)-len(regexextract(A110,"".* "")))=""650"",RIGHT(A110,LEN(A110)-len(regexextract(A110,"".* "&amp;""")))=""350"",RIGHT(A110,LEN(A110)-len(regexextract(A110,"".* "")))=""50""),RIGHT(A110,LEN(A110)-len(regexextract(A110,"".* ""))),IF(OR(ISERROR(FIND(""spacer"",A110))=FALSE,ISERROR(FIND(""filler panel"",A110))=FALSE),""1000"",""Unexpected size in descript"&amp;"ion"")))"),"")</f>
        <v/>
      </c>
      <c r="D110" s="151" t="str">
        <f t="shared" si="2"/>
        <v/>
      </c>
      <c r="E110" s="152" t="str">
        <f>IFERROR(__xludf.DUMMYFUNCTION("IF(OR(A110="""",AND(ISERROR(FIND(""drawer box"",A110))=FALSE,KitchenDrawerType="""")),"""",IF(OR(ISERROR(FIND(""larder"",A110))=FALSE,ISERROR(FIND(""fridge/freezer"",A110))=FALSE,ISERROR(FIND(""double oven"",A110))=FALSE,ISERROR(FIND(""single oven"",A110)"&amp;")=FALSE),VLOOKUP(LEFT(A110,FIND("" "",A110))&amp;""carcass ""&amp;RIGHT(A110,LEN(A110)-(LEN(A110)-3)),KitchensData,5,0),IF(ISERROR(FIND(""sink"",A110))=FALSE,VLOOKUP(LEFT(A110,FIND("" "",A110))&amp;""carcass ""&amp;VALUE(REGEXREPLACE(A110,""[^[:digit:]]"", """")),Kitchen"&amp;"sData,5,0)+(((C110/1000)*(300/1000))*VLOOKUP(KitchenCarcassMaterial,SheetsData,8,0)),IF(ISERROR(FIND(""bins"",A110))=FALSE,IF(ISERROR(FIND(""veneer"",KitchenCarcassMaterial))=FALSE,VLOOKUP(""Base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600"",A110))=FALSE,IF(ISERR"&amp;"OR(FIND(""veneer"",KitchenCarcassMaterial))=FALSE,0.54*(VLOOKUP(LEFT(KitchenCarcassMaterial,FIND(""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1"&amp;"200"",A110))=FALSE,IF(ISERROR(FIND(""veneer"",KitchenCarcassMaterial))=FALSE,0.84*(VLOOKUP(LEFT(KitchenCarcassMaterial,FIND(""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600"",A110))=FALSE,IF(ISERROR(FIND(""veneer"",KitchenCarcassMaterial))=FALSE,1.44*(VLOOKUP(LEFT(KitchenCarcassMaterial,FIND(""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1200"",A110))=FALSE,IF(ISERROR(FIND(""veneer"",KitchenCarcassMaterial))=FALSE,2.7*(VLOOKUP(LEFT(KitchenCarcassMaterial,FIND(""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front"",A110))=FALSE,((B110/1000)*(C110/1000))*VLOOKUP(KitchenDoorMaterial,SheetsData,8,0),IF(AND(KitchenDrawerType=""Match carcass"",ISERROR(FIND(""drawer box"",A110))=FALSE),(((((B110/10"&amp;"00)*(C110/1000))+((B110/1000)*(D110/1000)))*2)*VLOOKUP(KitchenCarcassMaterial,SheetsData,8,0))+(((C110/1000)*(D110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box"",A110))=FALSE),(((((B110/1000)*(C110/1000))+((B110/1000)*(D110/1000)))*2)*(16/1000)*VLOOKUP(L"&amp;"EFT(KitchenCarcassMaterial,FIND("" "",KitchenCarcassMaterial))&amp;""(solid m3)"",SolidData,5,0))+(((C110/1000)*(D110/1000))*VLOOKUP(LEFT(KitchenCarcassMaterial,FIND(""("",KitchenCarcassMaterial)-1)&amp;IF(OR(ISERROR(FIND(""ply"",KitchenCarcassMaterial))=FALSE,IS"&amp;"ERROR(FIND(""H/F"",KitchenCarcassMaterial))=FALSE),""(9mm)"",""(10mm)""),SheetsData,8,0)),IF(ISERROR(FIND(""spacer"",A110))=FALSE,((D110/1000)*(C110/1000))*VLOOKUP(""Poplar ply (18mm)"",SheetsData,8,0),IF(ISERROR(FIND(""filler panel"",A110))=FALSE,((B110/"&amp;"1000)*(C110/1000))*VLOOKUP(KitchenDoorMaterial,SheetsData,8,0),IF(ISERROR(FIND(""shelf"",A110))=FALSE,((D110/1000)*(C110/1000))*VLOOKUP(KitchenCarcassMaterial,SheetsData,8,0),IF(ISERROR(FIND(""lost corner"",A110))=FALSE,VLOOKUP(LEFT(A110,FIND("" "",A110))"&amp;"&amp;""carcass ""&amp;VALUE(REGEXREPLACE(A110,""[^[:digit:]]"", """")),KitchensData,5,0)+((((B110/1000)*(C110/1000))+((B110/1000)*(60/1000)))*VLOOKUP(KitchenCarcassMaterial,SheetsData,8,0)),IF(ISERROR(FIND(""carcass"",A110))=FALSE,(((((B110/1000)*2)*(D110/1000))+"&amp;"(((C110/1000)*2)*(D110/1000)))*VLOOKUP(KitchenCarcassMaterial,SheetsData,8,0))+((B110/1000)*(C110/1000))*VLOOKUP(LEFT(KitchenCarcassMaterial,FIND(""("",KitchenCarcassMaterial)-1)&amp;IF(OR(ISERROR(FIND(""ply"",KitchenCarcassMaterial))=FALSE,ISERROR(FIND(""H/F"&amp;""",KitchenCarcassMaterial))=FALSE),""(9mm)"",""(10mm)""),SheetsData,8,0),IF(OR(ISERROR(FIND(""Plinth"",A110))=FALSE,ISERROR(FIND(""Cornice (flat)"",A110))=FALSE),((B110/1000)*(C110/1000))*VLOOKUP(""H/F (18mm)"",SheetsData,8,0),IF(ISERROR(FIND(""Cornice (s"&amp;"tacked)"",A110))=FALSE,((0.08*(C110/1000))*2)*VLOOKUP(""H/F (22mm)"",SheetsData,8,0),IF(ISERROR(FIND(""Base end panel"",A110))=FALSE,VLOOKUP(KitchenDoorMaterial,SheetsData,5,0)/3,IF(ISERROR(FIND(""Wall end panel"",A110))=FALSE,VLOOKUP(KitchenDoorMaterial,"&amp;"SheetsData,5,0)/9,IF(ISERROR(FIND(""Tower end panel"",A110))=FALSE,VLOOKUP(KitchenDoorMaterial,SheetsData,5,0),IF(ISERROR(FIND(""Fillers"",A110))=FALSE,(((0.06*(C110/1000))*2)*VLOOKUP(""H/F (18mm)"",SheetsData,8,0))+(((0.06*(C110/1000))*2)*VLOOKUP(""H/F ("&amp;"9mm)"",SheetsData,8,0)),IF(ISERROR(FIND(""corner post"",A110))=FALSE,(((B110/1000)*0.05)*2)*VLOOKUP(KitchenDoorMaterial,SheetsData,8,0),IF(ISERROR(FIND(""Pelmet"",A110))=FALSE,((((B110/1000)*(C110/1000))*2)*VLOOKUP(""H/F (18mm)"",SheetsData,8,0)),IF(ISERR"&amp;"OR(FIND(""door"",A110))=TRUE,""Check description"",IF(KitchenDoorStyle=""Flat"",((B110/1000)*(C110/1000))*VLOOKUP(KitchenDoorMaterial,SheetsData,8,0),IF(LEFT(KitchenDoorStyle,5)=""Panel"",(((((B110/1000)*2)*0.08)+((((C110/1000)-0.16)*2)*0.08))*VLOOKUP(""H"&amp;"/F (22mm)"",SheetsData,8,0))+(((B110/1000)-0.14)*((C110/1000)-0.14)*VLOOKUP(""H/F (9mm)"",SheetsData,8,0)),IF(KitchenDoorStyle=""In-frame flat"",((((((B110/1000)*0.019)*0.038)+((((C110-38)/1000)*0.038)*0.038))*2)*VLOOKUP(""Tulip (solid m3)"",SolidData,5,0"&amp;"))+(((B110-76)/1000)*((C110-38)/1000))*VLOOKUP(""H/F (22mm)"",SheetsData,8,0),IF(LEFT(KitchenDoorStyle,14)=""In-frame panel"",(((((((B110/1000)*0.019)*0.038)+((((C110-38)/1000)*0.038)*0.038))*2)*VLOOKUP(""Tulip (solid m3)"",SolidData,5,0))+(((((((B110-76)"&amp;"/1000)*2)*0.08)+(((((C110-198)/1000)*2)*0.08)))*VLOOKUP(""H/F (22mm)"",SheetsData,8,0))+(((B110-216)/1000)*((C110-178)/1000)*VLOOKUP(""H/F (9mm)"",SheetsData,8,0)))))))))))))))))))))))))))))))))"),"")</f>
        <v/>
      </c>
      <c r="F110" s="152" t="str">
        <f>IFERROR(__xludf.DUMMYFUNCTION("IF(OR(A110="""",AND(ISERROR(FIND(""drawer box"",A110))=FALSE,KitchenDrawerType=""Solid dovetail"")),"""",IF(ISERROR(FIND(""bins"",A110))=FALSE,VLOOKUP(""Base carcass 600"",KitchensData,6,0),IF(OR(ISERROR(FIND(""larder"",A110))=FALSE,ISERROR(FIND(""unit"","&amp;"A110))=FALSE),VLOOKUP(LEFT(A110,FIND("" "",A110))&amp;""carcass ""&amp;RIGHT(A110,LEN(A110)-len(regexextract(A110,"".* ""))),KitchensData,6,0),IF(ISERROR(FIND(""drawer front"",A110))=FALSE,IF(ISERROR(FIND(""veneer"",KitchenCarcassMaterial))=TRUE,0,(((B110+C110)/1"&amp;"000)*2)*VLOOKUP(""Edge banding (per M)"",SheetsData,5,0)),IF(ISERROR(FIND(""drawer box"",A110))=FALSE,IF(ISERROR(FIND(""veneer"",KitchenCarcassMaterial))=TRUE,0,(((C110+D110)/1000)*2)*VLOOKUP(""Edge banding (per M)"",SheetsData,5,0)),IF(ISERROR(FIND(""she"&amp;"lf"",A110))=FALSE,IF(ISERROR(FIND(""veneer"",KitchenCarcassMaterial))=TRUE,0,(C110/1000)*VLOOKUP(""Edge banding (per M)"",SheetsData,5,0)),IF(AND(ISERROR(FIND(""carcass"",A110))=FALSE,ISERROR(FIND(""shelf"",A110))=TRUE),IF(ISERROR(FIND(""veneer"",KitchenC"&amp;"arcassMaterial))=TRUE,0,((2*(B110+C110))/1000)*VLOOKUP(""Edge banding (per M)"",SheetsData,5,0)),IF(ISERROR(FIND(""door"",A110))=TRUE,"""",IF(ISERROR(FIND(""veneer"",KitchenDoorMaterial))=TRUE,"""",((2*(B110+C110))/1000)*VLOOKUP(""Edge banding (per M)"",S"&amp;"heetsData,5,0))))))))))"),"")</f>
        <v/>
      </c>
      <c r="G110" s="153" t="str">
        <f>IF(A110="","",IF(ISERROR(FIND("bins",A110))=FALSE,VLOOKUP("Base carcass 600",KitchensData,7,0),IF(OR(ISERROR(FIND("larder",A110))=FALSE,ISERROR(FIND("fridge/freezer",A110))=FALSE,ISERROR(FIND("double oven",A110))=FALSE,ISERROR(FIND("single oven",A110))=FALSE),VLOOKUP(LEFT(A110,FIND(" ",A110))&amp;"carcass "&amp;RIGHT(A110,LEN(A110)-(LEN(A110)-3)),KitchensData,7,0),IF(AND(ISERROR(FIND("carcass",A110))=FALSE,ISERROR(FIND("shelf",A110))=TRUE),IF(OR(ISERROR(FIND("Base",A110))=FALSE,ISERROR(FIND("Tower",A110))=FALSE),IF(OR(ISERROR(FIND("1200",A110))=FALSE, ISERROR(FIND("lost corner",A110))=FALSE),6*VLOOKUP("Plinth foot (2 Parts 80mm)",FurnitureData,5,0),4*VLOOKUP("Plinth foot (2 Parts 80mm)",FurnitureData,5,0)),""),""))))</f>
        <v/>
      </c>
      <c r="H110" s="115" t="str">
        <f>IF(OR(A110="",ISERROR(FIND("door",A110))=TRUE),"",IF(ISERROR(FIND("Wall",A110))=FALSE,VLOOKUP("Hinges &amp; plates (Hettich thick door)",FurnitureData,5,0)*2,IF(ISERROR(FIND("Base",A110))=FALSE,VLOOKUP("Hinges &amp; plates (Hettich thick door)",FurnitureData,5,0)*3,IF(ISERROR(FIND("Boiler",A110))=FALSE,VLOOKUP("Hinges &amp; plates (Hettich thick door)",FurnitureData,5,0)*4,IF(ISERROR(FIND("Tower",A110))=FALSE,VLOOKUP("Hinges &amp; plates (Hettich thick door)",FurnitureData,5,0)*5)))))</f>
        <v/>
      </c>
      <c r="I110" s="115" t="str">
        <f>IF(ISERROR(FIND("shelf",A110))=FALSE,(VLOOKUP("Shelf pegs",FurnitureData,5,0)/100)*4,"")</f>
        <v/>
      </c>
      <c r="J110" s="152" t="str">
        <f>IF(OR(ISERROR(FIND("fridge/freezer",A110))=FALSE,ISERROR(FIND("larder",A110))=FALSE,AND(ISERROR(FIND("Base",A110))=FALSE,ISERROR(FIND("bins",A110))=TRUE,ISERROR(FIND("no shelves",A110))=TRUE,OR(ISERROR(FIND("carcass",A110))=FALSE,ISERROR(FIND("unit",A110))=FALSE))),VLOOKUP("Deep shelf "&amp;C110,KitchensData,18,0),IF(AND(ISERROR(FIND("Wall",A110))=FALSE,ISERROR(FIND("carcass",A110))=FALSE),2*VLOOKUP("Shallow shelf "&amp;C110,KitchensData,18,0),IF(AND(ISERROR(FIND("Tower",A110))=FALSE,ISERROR(FIND("oven",A110))=FALSE),4*VLOOKUP("Deep shelf "&amp;C110,KitchensData,18,0),IF(AND(ISERROR(FIND("Tower",A110))=FALSE,ISERROR(FIND("carcass",A110))=FALSE),5*VLOOKUP("Deep shelf "&amp;C110,KitchensData,18,0),""))))</f>
        <v/>
      </c>
      <c r="K110" s="152" t="str">
        <f>IF(ISERROR(FIND("sink",A110))=FALSE,VLOOKUP("Sink liner - Aluminium "&amp;RIGHT(A110,LEN(A110)-22)&amp;"mm",ExceptionalData,5,0),IF(ISERROR(FIND("bins",A110))=FALSE,VLOOKUP("Drawer runners and clip set for bin unit (500) Dynapro",FurnitureData,5,0)+(2*VLOOKUP("Bin (42L Anthracite)",FurnitureData,5,0)),IF(ISERROR(FIND("larder",A110))=FALSE,VLOOKUP("Pull out larder unit 600mm",FurnitureData,5,0),IF(AND(ISERROR(FIND("drawer box",A110))=FALSE,ISERROR(FIND("internal",A110))=TRUE),VLOOKUP("Drawer runners and clip set (550) Dynapro",FurnitureData,5,0),IF(ISERROR(FIND("internal drawer box",A110))=FALSE,VLOOKUP("Drawer runners and clip set (450) Dynapro",FurnitureData,5,0),"")))))</f>
        <v/>
      </c>
      <c r="L110" s="152" t="str">
        <f t="shared" si="3"/>
        <v/>
      </c>
      <c r="M110" s="154" t="str">
        <f>IFERROR(__xludf.DUMMYFUNCTION("IF(A110="""","""",IF(OR(ISERROR(FIND(""larder"",A110))=FALSE,ISERROR(FIND(""unit"",A110))=FALSE),VLOOKUP(LEFT(A110,FIND("" "",A110))&amp;""carcass ""&amp;RIGHT(A110,LEN(A110)-len(regexextract(A110,"".* ""))),KitchensData,13,0),IF(ISERROR(FIND(""bins"",A110))=FALS"&amp;"E,0.95,IF(ISERROR(FIND(""Cutlery insert 600"",A110))=FALSE,1.3,IF(ISERROR(FIND(""Cutlery insert 1200"",A110))=FALSE,2,IF(ISERROR(FIND(""Pan/tray rack 600"",A110))=FALSE,3.25,IF(ISERROR(FIND(""Pan/tray rack 1200"",A110))=FALSE,5.9,IF(ISERROR(FIND(""split"""&amp;",A110))=FALSE,(((C110/1000)*0.022)*2)+VLOOKUP(SUBSTITUTE(A110,"" split"",""""),KitchensData,13,0),IF(AND(ISERROR(FIND(""drawer front"",A110))=FALSE,KitchenDoorStyle=""Flat""),(((B110/1000)*(C110/1000))*2)+((((B110+C110)/1000)*2)*0.022),IF(AND(ISERROR(FIND"&amp;"(""drawer front"",A110))=FALSE,LEFT(KitchenDoorStyle,5)=""Panel""),(((B110/1000)*(C110/1000))*2)+((((B110+C110)/1000)*2)*0.022)+((((C110/1000)-0.16)*0.013)*2)+((((D110/1000)-0.16)*0.013)*2),IF(AND(ISERROR(FIND(""drawer front"",A110))=FALSE,KitchenDoorStyl"&amp;"e=""In-frame flat""),((((B110-76)/1000)*((C110-38)/1000))*2)+(MID(KitchenDoorMaterial,FIND(""("",KitchenDoorMaterial)+1,2)/1000)*((((B110-76)+(C110-38))/1000)*2)+(((B110/1000)*0.032)*2)+((((B110-76)/1000)*0.032)*2)+(((B110/1000)*0.019)*4)+(((C110/1000)*0."&amp;"032)*2)+((((C110-38)/1000)*0.032)*2)+(((C110/1000)*0.038)*4),IF(AND(ISERROR(FIND(""drawer front"",A110))=FALSE,LEFT(KitchenDoorStyle,14)=""In-frame panel""),((((B110-76)/1000)*((C110-38)/1000))*2)+((MID(KitchenDoorMaterial,FIND(""("",KitchenDoorMaterial)+"&amp;"1,2)/1000)*((((B110-76)+(C110-38))/1000)*2))+((((B110-236)/1000)+((C110-198)/1000)*2)*0.013)+(((B110/1000)*0.032)*2)+((((B110-76)/1000)*0.032)*2)+(((B110/1000)*0.019)*4)+(((C110/1000)*0.032)*2)+((((C110-38)/1000)*0.032)*2)+(((C110/1000)*0.038)*4),IF(ISERR"&amp;"OR(FIND(""drawer box"",A110))=FALSE,((((B110/1000)*(D110/1000))+((B110/1000)*(C110/1000)))*4)+((((D110/1000)+(C110/1000))*0.016)*4)+(((C110/1000)*(D110/1000))*2),IF(OR(ISERROR(FIND(""shelf"",A110))=FALSE,ISERROR(FIND(""spacer"",A110))=FALSE,,ISERROR(FIND("&amp;"""filler panel"",A110))=FALSE),(((C110/1000)*(D110/1000))*2)+((((C110+D110)*2)/1000)*0.022),IF(ISERROR(FIND(""lost corner"",A110))=FALSE,(((B110/1000)*(C110/1000))*2)+((B110/1000)*(C110/1000))+((B110/1000)*((C110/2)/1000))+((((B110/1000)*0.025)+((C110/100"&amp;"0)*0.025))*2),IF(ISERROR(FIND(""carcass"",A110))=FALSE,(((C110/1000)*(D110/1000))*2)+(((B110/1000)*(D110/1000))*2)+((B110/1000)*(C110/1000))+((((B110/1000)*0.025)+((C110/1000)*0.025))*2),IF(AND(ISERROR(FIND(""door"",A110))=FALSE,KitchenDoorStyle=""Flat"")"&amp;",(((B110/1000)*(C110/1000))*2)+(MID(KitchenDoorMaterial,FIND(""("",KitchenDoorMaterial)+1,2)/1000)*(((B110+C110)/1000)*2),IF(AND(ISERROR(FIND(""door"",A110))=FALSE,LEFT(KitchenDoorStyle,5)=""Panel""),(((B110/1000)*(C110/1000))*2)+((MID(KitchenDoorMaterial"&amp;",FIND(""("",KitchenDoorMaterial)+1,2)/1000)*(((B110+C110)/1000)*2))+(((((B110-160)+(C110-160))*2)/1000)*(0.013)),IF(AND(ISERROR(FIND(""door"",A110))=FALSE,KitchenDoorStyle=""In-frame flat""),((((B110-76)/1000)*((C110-38)/1000))*2)+(MID(KitchenDoorMaterial"&amp;",FIND(""("",KitchenDoorMaterial)+1,2)/1000)*((((B110-76)+(C110-38))/1000)*2)+(((B110/1000)*0.032)*2)+((((B110-76)/1000)*0.032)*2)+(((B110/1000)*0.019)*4)+(((C110/1000)*0.032)*2)+((((C110-38)/1000)*0.032)*2)+(((C110/1000)*0.038)*4),IF(AND(ISERROR(FIND(""do"&amp;"or"",A110))=FALSE,LEFT(KitchenDoorStyle,14)=""In-frame panel""),((((B110-76)/1000)*((C110-38)/1000))*2)+((MID(KitchenDoorMaterial,FIND(""("",KitchenDoorMaterial)+1,2)/1000)*((((B110-76)+(C110-38))/1000)*2))+((((B110-236)/1000)+((C110-198)/1000)*2)*0.013)+"&amp;"(((B110/1000)*0.032)*2)+((((B110-76)/1000)*0.032)*2)+(((B110/1000)*0.019)*4)+(((C110/1000)*0.032)*2)+((((C110-38)/1000)*0.032)*2)+(((C110/1000)*0.038)*4),IF(ISERROR(FIND(""Plinth"",A110))=FALSE,((B110/1000)*(C110/1000))+(((C110/1000)*0.018)*2)+(((B110/100"&amp;"0)*0.018)*2),IF(ISERROR(FIND(""Cornice"",A110))=FALSE,(((C110/1000)*0.1)*2)+(((C110/1000)*0.044)*2)+(((B110/1000)*0.08)*2),IF(ISERROR(FIND(""Base end panel"",A110))=FALSE,((B110/1000)*(C110/1000))+(0.022*((B110/1000)+((C110/1000)*2)))+((B110/1000)*0.05),I"&amp;"F(ISERROR(FIND(""Wall end panel"",A110))=FALSE,((B110/1000)*(C110/1000))+(0.022*((B110/1000)+((C110/1000)*2)))+((B110/1000)*0.05),IF(ISERROR(FIND(""Tower end panel"",A110))=FALSE,((B110/1000)*(C110/1000))+(0.022*((B110/1000)+((C110/1000)*2)))+((B110/1000)"&amp;"*0.05),IF(ISERROR(FIND(""Fillers"",A110))=FALSE,((C110/1000)*0.06)+((C110/1000)*0.069)+((0.06*0.018)*2)+((0.06*0.009)*2)+((C110/1000)*0.009)+((C110/1000)*0.018),IF(ISERROR(FIND(""corner post"",A110))=FALSE,(((B110/1000*0.05)*2)+((B110/1000)*0.022)*2)+((B1"&amp;"10/1000)*0.072)+((B110/1000)*0.05)+((0.072*0.022)*2)+((0.05*0.022)*2),IF(ISERROR(FIND(""Pelmet"",A110))=FALSE,((C110/1000)*0.05)+((C110/1000)*0.068)+((0.05*0.018)*4)+(((C110/1000)*0.018))*2))))))))))))))))))))))))))))"),"")</f>
        <v/>
      </c>
      <c r="N110" s="152" t="str">
        <f>IF(M110="","",IF(AND(ISERROR(FIND("carcass",A110))=TRUE,ISERROR(FIND("unit",A110))=TRUE,ISERROR(FIND("insert",A110))=TRUE,ISERROR(FIND("rack",A110))=TRUE,ISERROR(FIND("box",A110))=TRUE,ISERROR(FIND("shelf",#REF!))=TRUE),VLOOKUP(KitchenDoorFinish,Finishing!$A$2:$K$10,9,0)*M110,VLOOKUP(KitchenCarcassFinish,Finishing!$A$2:$K$40,9,0)*M110))</f>
        <v/>
      </c>
      <c r="O110" s="155"/>
      <c r="P110" s="155"/>
      <c r="Q110" s="152" t="str">
        <f>IF(OR(O110="",P110=""),"",((O110*X110)*(VLOOKUP("Workshop",Labour!$A$3:$E$20,4,0)/8))+((P110*AE110)*(VLOOKUP("Finishing",Labour!$A$3:$E$20,4,0)/8)))</f>
        <v/>
      </c>
      <c r="R110" s="152" t="str">
        <f t="shared" si="4"/>
        <v/>
      </c>
      <c r="S110" s="156" t="str">
        <f>IF(OR(O110="",P110=""),"",IF(OR(ISERROR(FIND("carcass",$A110))=FALSE,ISERROR(FIND("unit",$A110))=FALSE),VLOOKUP(KitchenCarcassMaterial,FixedListsCarcassMaterial,2,0),0))</f>
        <v/>
      </c>
      <c r="T110" s="156" t="str">
        <f>IF(OR(O110="",P110=""),"",IF(ISERROR(FIND("door",$A110))=FALSE,VLOOKUP(KitchenDoorStyle,FixedListsDoorStyle,2,0),0))</f>
        <v/>
      </c>
      <c r="U110" s="156" t="str">
        <f>IF(OR(O110="",P110=""),"",IF(ISERROR(FIND("door",$A110))=FALSE,VLOOKUP(KitchenDoorMaterial,FixedListsDoorMaterial,2,0),0))</f>
        <v/>
      </c>
      <c r="V110" s="156" t="str">
        <f>IF(OR(O110="",P110=""),"",IF(ISERROR(FIND("drawer",$A110))=FALSE,VLOOKUP(KitchenDrawerType,FixedListsDrawerType,2,0),0))</f>
        <v/>
      </c>
      <c r="W110" s="156" t="str">
        <f>IF(OR(O110="",P110=""),"",IF(OR(S110&gt;0, T110&gt;0,V110&gt;0),VLOOKUP(KitchenHandleType,FixedListsHandleType,2,FALSE)*IF(KitchenHandleType="Simple",0,IF(S110&gt;0,VLOOKUP(KitchenHandleType,FixedListsHandleType,4,FALSE),IF(OR(T110&gt;0,V110&gt;0),1-VLOOKUP(KitchenHandleType,FixedListsHandleType,4,FALSE),"Error"))),0))</f>
        <v/>
      </c>
      <c r="X110" s="156" t="str">
        <f t="shared" si="5"/>
        <v/>
      </c>
      <c r="Y110" s="156" t="str">
        <f>IF(OR(O110="",P110=""),"",IF(OR(ISERROR(FIND("carcass",$A110))=FALSE,ISERROR(FIND("unit",$A110))=FALSE),VLOOKUP(KitchenCarcassMaterial,FixedListsCarcassMaterial,3,0),0))</f>
        <v/>
      </c>
      <c r="Z110" s="156" t="str">
        <f>IF(OR(O110="",P110=""),"",IF(ISERROR(FIND("door",$A110))=FALSE,VLOOKUP(KitchenDoorStyle,FixedListsDoorStyle,3,0),0))</f>
        <v/>
      </c>
      <c r="AA110" s="156" t="str">
        <f>IF(OR(O110="",P110=""),"",IF(ISERROR(FIND("door",$A110))=FALSE,VLOOKUP(KitchenDoorMaterial,FixedListsDoorMaterial,3,0),0))</f>
        <v/>
      </c>
      <c r="AB110" s="156" t="str">
        <f>IF(OR(O110="",P110=""),"",IF(ISERROR(FIND("drawer",$A110))=FALSE,VLOOKUP(KitchenDrawerType,FixedListsDrawerType,3,0),0))</f>
        <v/>
      </c>
      <c r="AC110" s="156" t="str">
        <f>IF(OR(O110="",P110=""),"",IF(OR(Y110&gt;0,Z110&gt;0,AB110&gt;0),VLOOKUP(KitchenHandleType,FixedListsHandleType,3,FALSE),0))</f>
        <v/>
      </c>
      <c r="AD110" s="156" t="str">
        <f>IF(OR(O110="",P110=""),"",IF(OR(ISERROR(FIND("carcass",$A110))=FALSE,ISERROR(FIND("unit",$A110))=FALSE),VLOOKUP(KitchenCarcassFinish,FixedListsFinishes,3,0),IF(OR(ISERROR(FIND("door",$A110))=FALSE,ISERROR(FIND("Plinth",$A110))=FALSE,ISERROR(FIND("Cornice",$A110))=FALSE,ISERROR(FIND("Fillers",$A110))=FALSE,ISERROR(FIND("Pelmet",$A110))=FALSE,ISERROR(FIND("panel",$A110))=FALSE,ISERROR(FIND("post",$A110))=FALSE),VLOOKUP(KitchenDoorFinish,FixedListsFinishes,3,0),IF(OR(ISERROR(FIND("drawer",$A110))=FALSE,ISERROR(FIND("insert",$A110))=FALSE,ISERROR(FIND("rck",$A110))=FALSE),VLOOKUP(KitchenCarcassFinish,FixedListsFinishes,3,0),0))))</f>
        <v/>
      </c>
      <c r="AE110" s="156" t="str">
        <f t="shared" si="6"/>
        <v/>
      </c>
      <c r="AF110" s="157" t="str">
        <f>IF(AND(KitchenHandleType="Channel",OR(ISERROR(FIND("arcass",$A110))=FALSE,ISERROR(FIND("unit",$A110))=FALSE)),IF(ISERROR(FIND("Tower",$A110))=TRUE,IF(KitchenHandleFinish="Match carcass",IF(ISERROR(FIND("Walnut",KitchenCarcassMaterial))=FALSE,(0.035*0.075*($C110/1000))*VLOOKUP("Walnut (solid m3)",SolidData,4,FALSE),IF(ISERROR(FIND("Oak",KitchenCarcassMaterial))=FALSE,(0.035*0.075*($C110/1000))*VLOOKUP("Oak (solid m3)",SolidData,4,FALSE),IF(ISERROR(FIND("ply",KitchenCarcassMaterial))=FALSE,(0.1*($C110/1000))*VLOOKUP("Birch ply (24mm)",SheetsData,7,FALSE),IF(ISERROR(FIND("H/F",KitchenCarcassMaterial))=FALSE,(0.1*($C110/1000))*VLOOKUP("H/F (22mm)",SheetsData,7,FALSE),"Carcass - not tower - new material")))),IF(KitchenHandleFinish="Match door",IF(ISERROR(FIND("Walnut",KitchenDoorMaterial))=FALSE,(0.035*0.075*($C110/1000))*VLOOKUP("Walnut (solid m3)",SolidData,4,FALSE),IF(ISERROR(FIND("Oak",KitchenDoorMaterial))=FALSE,(0.035*0.075*($C110/1000))*VLOOKUP("Oak (solid m3)",SolidData,4,FALSE),IF(ISERROR(FIND("ply",KitchenDoorMaterial))=FALSE,(0.1*($C110/1000))*VLOOKUP("Birch ply (24mm)",SheetsData,7,FALSE),IF(ISERROR(FIND("H/F",KitchenCarcassMaterial))=FALSE,(0.1*($C110/1000))*VLOOKUP("H/F (22mm)",SheetsData,7,FALSE),"Door - not tower - new material")))),"Channel - not tower - handle set to other")),IF(ISERROR(FIND("Tower",$A110))=FALSE,IF(KitchenHandleFinish="Match carcass",IF(ISERROR(FIND("Walnut",KitchenCarcassMaterial))=FALSE,(0.035*0.075*($B110/1000))*VLOOKUP("Walnut (solid m3)",SolidData,4,FALSE),IF(ISERROR(FIND("Oak",KitchenCarcassMaterial))=FALSE,(0.035*0.075*($B110/1000))*VLOOKUP("Oak (solid m3)",SolidData,4,FALSE),IF(ISERROR(FIND("ply",KitchenCarcassMaterial))=FALSE,(0.1*($B110/1000))*VLOOKUP("Birch ply (24mm)",SheetsData,7,FALSE),IF(ISERROR(FIND("H/F",KitchenCarcassMaterial))=FALSE,(0.1*($C110/1000))*VLOOKUP("H/F (22mm)",SheetsData,7,FALSE),"Carcass - tower - new material")))),IF(KitchenHandleFinish="Match door",IF(ISERROR(FIND("Walnut",KitchenDoorMaterial))=FALSE,(0.035*0.075*($B110/1000))*VLOOKUP("Walnut (solid m3)",SolidData,4,FALSE),IF(ISERROR(FIND("Oak",KitchenDoorMaterial))=FALSE,(0.035*0.075*($B110/1000))*VLOOKUP("Oak (solid m3)",SolidData,4,FALSE),IF(ISERROR(FIND("ply",KitchenDoorMaterial))=FALSE,(0.1*($B110/1000))*VLOOKUP("Birch ply (24mm)",SheetData,7,FALSE),IF(ISERROR(FIND("H/F",KitchenCarcassMaterial))=FALSE,(0.1*($C110/1000))*VLOOKUP("H/F (22mm)",SheetsData,7,FALSE),"Door - tower - new material")))),"Channel - tower - handle set to other")))),"")</f>
        <v/>
      </c>
    </row>
    <row r="111">
      <c r="A111" s="150"/>
      <c r="B111" s="115" t="str">
        <f t="shared" si="1"/>
        <v/>
      </c>
      <c r="C111" s="115" t="str">
        <f>IFERROR(__xludf.DUMMYFUNCTION("IF(A111="""","""",IF(OR(RIGHT(A111,LEN(A111)-len(regexextract(A111,"".* "")))=""1200"",RIGHT(A111,LEN(A111)-len(regexextract(A111,"".* "")))=""600"",RIGHT(A111,LEN(A111)-len(regexextract(A111,"".* "")))=""400"",RIGHT(A111,LEN(A111)-len(regexextract(A111,"&amp;""".* "")))=""300"",RIGHT(A111,LEN(A111)-len(regexextract(A111,"".* "")))=""700"",RIGHT(A111,LEN(A111)-len(regexextract(A111,"".* "")))=""2400"",RIGHT(A111,LEN(A111)-len(regexextract(A111,"".* "")))=""650"",RIGHT(A111,LEN(A111)-len(regexextract(A111,"".* "&amp;""")))=""350"",RIGHT(A111,LEN(A111)-len(regexextract(A111,"".* "")))=""50""),RIGHT(A111,LEN(A111)-len(regexextract(A111,"".* ""))),IF(OR(ISERROR(FIND(""spacer"",A111))=FALSE,ISERROR(FIND(""filler panel"",A111))=FALSE),""1000"",""Unexpected size in descript"&amp;"ion"")))"),"")</f>
        <v/>
      </c>
      <c r="D111" s="151" t="str">
        <f t="shared" si="2"/>
        <v/>
      </c>
      <c r="E111" s="152" t="str">
        <f>IFERROR(__xludf.DUMMYFUNCTION("IF(OR(A111="""",AND(ISERROR(FIND(""drawer box"",A111))=FALSE,KitchenDrawerType="""")),"""",IF(OR(ISERROR(FIND(""larder"",A111))=FALSE,ISERROR(FIND(""fridge/freezer"",A111))=FALSE,ISERROR(FIND(""double oven"",A111))=FALSE,ISERROR(FIND(""single oven"",A111)"&amp;")=FALSE),VLOOKUP(LEFT(A111,FIND("" "",A111))&amp;""carcass ""&amp;RIGHT(A111,LEN(A111)-(LEN(A111)-3)),KitchensData,5,0),IF(ISERROR(FIND(""sink"",A111))=FALSE,VLOOKUP(LEFT(A111,FIND("" "",A111))&amp;""carcass ""&amp;VALUE(REGEXREPLACE(A111,""[^[:digit:]]"", """")),Kitchen"&amp;"sData,5,0)+(((C111/1000)*(300/1000))*VLOOKUP(KitchenCarcassMaterial,SheetsData,8,0)),IF(ISERROR(FIND(""bins"",A111))=FALSE,IF(ISERROR(FIND(""veneer"",KitchenCarcassMaterial))=FALSE,VLOOKUP(""Base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600"",A111))=FALSE,IF(ISERR"&amp;"OR(FIND(""veneer"",KitchenCarcassMaterial))=FALSE,0.54*(VLOOKUP(LEFT(KitchenCarcassMaterial,FIND(""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1"&amp;"200"",A111))=FALSE,IF(ISERROR(FIND(""veneer"",KitchenCarcassMaterial))=FALSE,0.84*(VLOOKUP(LEFT(KitchenCarcassMaterial,FIND(""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600"",A111))=FALSE,IF(ISERROR(FIND(""veneer"",KitchenCarcassMaterial))=FALSE,1.44*(VLOOKUP(LEFT(KitchenCarcassMaterial,FIND(""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1200"",A111))=FALSE,IF(ISERROR(FIND(""veneer"",KitchenCarcassMaterial))=FALSE,2.7*(VLOOKUP(LEFT(KitchenCarcassMaterial,FIND(""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front"",A111))=FALSE,((B111/1000)*(C111/1000))*VLOOKUP(KitchenDoorMaterial,SheetsData,8,0),IF(AND(KitchenDrawerType=""Match carcass"",ISERROR(FIND(""drawer box"",A111))=FALSE),(((((B111/10"&amp;"00)*(C111/1000))+((B111/1000)*(D111/1000)))*2)*VLOOKUP(KitchenCarcassMaterial,SheetsData,8,0))+(((C111/1000)*(D111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box"",A111))=FALSE),(((((B111/1000)*(C111/1000))+((B111/1000)*(D111/1000)))*2)*(16/1000)*VLOOKUP(L"&amp;"EFT(KitchenCarcassMaterial,FIND("" "",KitchenCarcassMaterial))&amp;""(solid m3)"",SolidData,5,0))+(((C111/1000)*(D111/1000))*VLOOKUP(LEFT(KitchenCarcassMaterial,FIND(""("",KitchenCarcassMaterial)-1)&amp;IF(OR(ISERROR(FIND(""ply"",KitchenCarcassMaterial))=FALSE,IS"&amp;"ERROR(FIND(""H/F"",KitchenCarcassMaterial))=FALSE),""(9mm)"",""(10mm)""),SheetsData,8,0)),IF(ISERROR(FIND(""spacer"",A111))=FALSE,((D111/1000)*(C111/1000))*VLOOKUP(""Poplar ply (18mm)"",SheetsData,8,0),IF(ISERROR(FIND(""filler panel"",A111))=FALSE,((B111/"&amp;"1000)*(C111/1000))*VLOOKUP(KitchenDoorMaterial,SheetsData,8,0),IF(ISERROR(FIND(""shelf"",A111))=FALSE,((D111/1000)*(C111/1000))*VLOOKUP(KitchenCarcassMaterial,SheetsData,8,0),IF(ISERROR(FIND(""lost corner"",A111))=FALSE,VLOOKUP(LEFT(A111,FIND("" "",A111))"&amp;"&amp;""carcass ""&amp;VALUE(REGEXREPLACE(A111,""[^[:digit:]]"", """")),KitchensData,5,0)+((((B111/1000)*(C111/1000))+((B111/1000)*(60/1000)))*VLOOKUP(KitchenCarcassMaterial,SheetsData,8,0)),IF(ISERROR(FIND(""carcass"",A111))=FALSE,(((((B111/1000)*2)*(D111/1000))+"&amp;"(((C111/1000)*2)*(D111/1000)))*VLOOKUP(KitchenCarcassMaterial,SheetsData,8,0))+((B111/1000)*(C111/1000))*VLOOKUP(LEFT(KitchenCarcassMaterial,FIND(""("",KitchenCarcassMaterial)-1)&amp;IF(OR(ISERROR(FIND(""ply"",KitchenCarcassMaterial))=FALSE,ISERROR(FIND(""H/F"&amp;""",KitchenCarcassMaterial))=FALSE),""(9mm)"",""(10mm)""),SheetsData,8,0),IF(OR(ISERROR(FIND(""Plinth"",A111))=FALSE,ISERROR(FIND(""Cornice (flat)"",A111))=FALSE),((B111/1000)*(C111/1000))*VLOOKUP(""H/F (18mm)"",SheetsData,8,0),IF(ISERROR(FIND(""Cornice (s"&amp;"tacked)"",A111))=FALSE,((0.08*(C111/1000))*2)*VLOOKUP(""H/F (22mm)"",SheetsData,8,0),IF(ISERROR(FIND(""Base end panel"",A111))=FALSE,VLOOKUP(KitchenDoorMaterial,SheetsData,5,0)/3,IF(ISERROR(FIND(""Wall end panel"",A111))=FALSE,VLOOKUP(KitchenDoorMaterial,"&amp;"SheetsData,5,0)/9,IF(ISERROR(FIND(""Tower end panel"",A111))=FALSE,VLOOKUP(KitchenDoorMaterial,SheetsData,5,0),IF(ISERROR(FIND(""Fillers"",A111))=FALSE,(((0.06*(C111/1000))*2)*VLOOKUP(""H/F (18mm)"",SheetsData,8,0))+(((0.06*(C111/1000))*2)*VLOOKUP(""H/F ("&amp;"9mm)"",SheetsData,8,0)),IF(ISERROR(FIND(""corner post"",A111))=FALSE,(((B111/1000)*0.05)*2)*VLOOKUP(KitchenDoorMaterial,SheetsData,8,0),IF(ISERROR(FIND(""Pelmet"",A111))=FALSE,((((B111/1000)*(C111/1000))*2)*VLOOKUP(""H/F (18mm)"",SheetsData,8,0)),IF(ISERR"&amp;"OR(FIND(""door"",A111))=TRUE,""Check description"",IF(KitchenDoorStyle=""Flat"",((B111/1000)*(C111/1000))*VLOOKUP(KitchenDoorMaterial,SheetsData,8,0),IF(LEFT(KitchenDoorStyle,5)=""Panel"",(((((B111/1000)*2)*0.08)+((((C111/1000)-0.16)*2)*0.08))*VLOOKUP(""H"&amp;"/F (22mm)"",SheetsData,8,0))+(((B111/1000)-0.14)*((C111/1000)-0.14)*VLOOKUP(""H/F (9mm)"",SheetsData,8,0)),IF(KitchenDoorStyle=""In-frame flat"",((((((B111/1000)*0.019)*0.038)+((((C111-38)/1000)*0.038)*0.038))*2)*VLOOKUP(""Tulip (solid m3)"",SolidData,5,0"&amp;"))+(((B111-76)/1000)*((C111-38)/1000))*VLOOKUP(""H/F (22mm)"",SheetsData,8,0),IF(LEFT(KitchenDoorStyle,14)=""In-frame panel"",(((((((B111/1000)*0.019)*0.038)+((((C111-38)/1000)*0.038)*0.038))*2)*VLOOKUP(""Tulip (solid m3)"",SolidData,5,0))+(((((((B111-76)"&amp;"/1000)*2)*0.08)+(((((C111-198)/1000)*2)*0.08)))*VLOOKUP(""H/F (22mm)"",SheetsData,8,0))+(((B111-216)/1000)*((C111-178)/1000)*VLOOKUP(""H/F (9mm)"",SheetsData,8,0)))))))))))))))))))))))))))))))))"),"")</f>
        <v/>
      </c>
      <c r="F111" s="152" t="str">
        <f>IFERROR(__xludf.DUMMYFUNCTION("IF(OR(A111="""",AND(ISERROR(FIND(""drawer box"",A111))=FALSE,KitchenDrawerType=""Solid dovetail"")),"""",IF(ISERROR(FIND(""bins"",A111))=FALSE,VLOOKUP(""Base carcass 600"",KitchensData,6,0),IF(OR(ISERROR(FIND(""larder"",A111))=FALSE,ISERROR(FIND(""unit"","&amp;"A111))=FALSE),VLOOKUP(LEFT(A111,FIND("" "",A111))&amp;""carcass ""&amp;RIGHT(A111,LEN(A111)-len(regexextract(A111,"".* ""))),KitchensData,6,0),IF(ISERROR(FIND(""drawer front"",A111))=FALSE,IF(ISERROR(FIND(""veneer"",KitchenCarcassMaterial))=TRUE,0,(((B111+C111)/1"&amp;"000)*2)*VLOOKUP(""Edge banding (per M)"",SheetsData,5,0)),IF(ISERROR(FIND(""drawer box"",A111))=FALSE,IF(ISERROR(FIND(""veneer"",KitchenCarcassMaterial))=TRUE,0,(((C111+D111)/1000)*2)*VLOOKUP(""Edge banding (per M)"",SheetsData,5,0)),IF(ISERROR(FIND(""she"&amp;"lf"",A111))=FALSE,IF(ISERROR(FIND(""veneer"",KitchenCarcassMaterial))=TRUE,0,(C111/1000)*VLOOKUP(""Edge banding (per M)"",SheetsData,5,0)),IF(AND(ISERROR(FIND(""carcass"",A111))=FALSE,ISERROR(FIND(""shelf"",A111))=TRUE),IF(ISERROR(FIND(""veneer"",KitchenC"&amp;"arcassMaterial))=TRUE,0,((2*(B111+C111))/1000)*VLOOKUP(""Edge banding (per M)"",SheetsData,5,0)),IF(ISERROR(FIND(""door"",A111))=TRUE,"""",IF(ISERROR(FIND(""veneer"",KitchenDoorMaterial))=TRUE,"""",((2*(B111+C111))/1000)*VLOOKUP(""Edge banding (per M)"",S"&amp;"heetsData,5,0))))))))))"),"")</f>
        <v/>
      </c>
      <c r="G111" s="153" t="str">
        <f>IF(A111="","",IF(ISERROR(FIND("bins",A111))=FALSE,VLOOKUP("Base carcass 600",KitchensData,7,0),IF(OR(ISERROR(FIND("larder",A111))=FALSE,ISERROR(FIND("fridge/freezer",A111))=FALSE,ISERROR(FIND("double oven",A111))=FALSE,ISERROR(FIND("single oven",A111))=FALSE),VLOOKUP(LEFT(A111,FIND(" ",A111))&amp;"carcass "&amp;RIGHT(A111,LEN(A111)-(LEN(A111)-3)),KitchensData,7,0),IF(AND(ISERROR(FIND("carcass",A111))=FALSE,ISERROR(FIND("shelf",A111))=TRUE),IF(OR(ISERROR(FIND("Base",A111))=FALSE,ISERROR(FIND("Tower",A111))=FALSE),IF(OR(ISERROR(FIND("1200",A111))=FALSE, ISERROR(FIND("lost corner",A111))=FALSE),6*VLOOKUP("Plinth foot (2 Parts 80mm)",FurnitureData,5,0),4*VLOOKUP("Plinth foot (2 Parts 80mm)",FurnitureData,5,0)),""),""))))</f>
        <v/>
      </c>
      <c r="H111" s="115" t="str">
        <f>IF(OR(A111="",ISERROR(FIND("door",A111))=TRUE),"",IF(ISERROR(FIND("Wall",A111))=FALSE,VLOOKUP("Hinges &amp; plates (Hettich thick door)",FurnitureData,5,0)*2,IF(ISERROR(FIND("Base",A111))=FALSE,VLOOKUP("Hinges &amp; plates (Hettich thick door)",FurnitureData,5,0)*3,IF(ISERROR(FIND("Boiler",A111))=FALSE,VLOOKUP("Hinges &amp; plates (Hettich thick door)",FurnitureData,5,0)*4,IF(ISERROR(FIND("Tower",A111))=FALSE,VLOOKUP("Hinges &amp; plates (Hettich thick door)",FurnitureData,5,0)*5)))))</f>
        <v/>
      </c>
      <c r="I111" s="115" t="str">
        <f>IF(ISERROR(FIND("shelf",A111))=FALSE,(VLOOKUP("Shelf pegs",FurnitureData,5,0)/100)*4,"")</f>
        <v/>
      </c>
      <c r="J111" s="152" t="str">
        <f>IF(OR(ISERROR(FIND("fridge/freezer",A111))=FALSE,ISERROR(FIND("larder",A111))=FALSE,AND(ISERROR(FIND("Base",A111))=FALSE,ISERROR(FIND("bins",A111))=TRUE,ISERROR(FIND("no shelves",A111))=TRUE,OR(ISERROR(FIND("carcass",A111))=FALSE,ISERROR(FIND("unit",A111))=FALSE))),VLOOKUP("Deep shelf "&amp;C111,KitchensData,18,0),IF(AND(ISERROR(FIND("Wall",A111))=FALSE,ISERROR(FIND("carcass",A111))=FALSE),2*VLOOKUP("Shallow shelf "&amp;C111,KitchensData,18,0),IF(AND(ISERROR(FIND("Tower",A111))=FALSE,ISERROR(FIND("oven",A111))=FALSE),4*VLOOKUP("Deep shelf "&amp;C111,KitchensData,18,0),IF(AND(ISERROR(FIND("Tower",A111))=FALSE,ISERROR(FIND("carcass",A111))=FALSE),5*VLOOKUP("Deep shelf "&amp;C111,KitchensData,18,0),""))))</f>
        <v/>
      </c>
      <c r="K111" s="152" t="str">
        <f>IF(ISERROR(FIND("sink",A111))=FALSE,VLOOKUP("Sink liner - Aluminium "&amp;RIGHT(A111,LEN(A111)-22)&amp;"mm",ExceptionalData,5,0),IF(ISERROR(FIND("bins",A111))=FALSE,VLOOKUP("Drawer runners and clip set for bin unit (500) Dynapro",FurnitureData,5,0)+(2*VLOOKUP("Bin (42L Anthracite)",FurnitureData,5,0)),IF(ISERROR(FIND("larder",A111))=FALSE,VLOOKUP("Pull out larder unit 600mm",FurnitureData,5,0),IF(AND(ISERROR(FIND("drawer box",A111))=FALSE,ISERROR(FIND("internal",A111))=TRUE),VLOOKUP("Drawer runners and clip set (550) Dynapro",FurnitureData,5,0),IF(ISERROR(FIND("internal drawer box",A111))=FALSE,VLOOKUP("Drawer runners and clip set (450) Dynapro",FurnitureData,5,0),"")))))</f>
        <v/>
      </c>
      <c r="L111" s="152" t="str">
        <f t="shared" si="3"/>
        <v/>
      </c>
      <c r="M111" s="154" t="str">
        <f>IFERROR(__xludf.DUMMYFUNCTION("IF(A111="""","""",IF(OR(ISERROR(FIND(""larder"",A111))=FALSE,ISERROR(FIND(""unit"",A111))=FALSE),VLOOKUP(LEFT(A111,FIND("" "",A111))&amp;""carcass ""&amp;RIGHT(A111,LEN(A111)-len(regexextract(A111,"".* ""))),KitchensData,13,0),IF(ISERROR(FIND(""bins"",A111))=FALS"&amp;"E,0.95,IF(ISERROR(FIND(""Cutlery insert 600"",A111))=FALSE,1.3,IF(ISERROR(FIND(""Cutlery insert 1200"",A111))=FALSE,2,IF(ISERROR(FIND(""Pan/tray rack 600"",A111))=FALSE,3.25,IF(ISERROR(FIND(""Pan/tray rack 1200"",A111))=FALSE,5.9,IF(ISERROR(FIND(""split"""&amp;",A111))=FALSE,(((C111/1000)*0.022)*2)+VLOOKUP(SUBSTITUTE(A111,"" split"",""""),KitchensData,13,0),IF(AND(ISERROR(FIND(""drawer front"",A111))=FALSE,KitchenDoorStyle=""Flat""),(((B111/1000)*(C111/1000))*2)+((((B111+C111)/1000)*2)*0.022),IF(AND(ISERROR(FIND"&amp;"(""drawer front"",A111))=FALSE,LEFT(KitchenDoorStyle,5)=""Panel""),(((B111/1000)*(C111/1000))*2)+((((B111+C111)/1000)*2)*0.022)+((((C111/1000)-0.16)*0.013)*2)+((((D111/1000)-0.16)*0.013)*2),IF(AND(ISERROR(FIND(""drawer front"",A111))=FALSE,KitchenDoorStyl"&amp;"e=""In-frame flat""),((((B111-76)/1000)*((C111-38)/1000))*2)+(MID(KitchenDoorMaterial,FIND(""("",KitchenDoorMaterial)+1,2)/1000)*((((B111-76)+(C111-38))/1000)*2)+(((B111/1000)*0.032)*2)+((((B111-76)/1000)*0.032)*2)+(((B111/1000)*0.019)*4)+(((C111/1000)*0."&amp;"032)*2)+((((C111-38)/1000)*0.032)*2)+(((C111/1000)*0.038)*4),IF(AND(ISERROR(FIND(""drawer front"",A111))=FALSE,LEFT(KitchenDoorStyle,14)=""In-frame panel""),((((B111-76)/1000)*((C111-38)/1000))*2)+((MID(KitchenDoorMaterial,FIND(""("",KitchenDoorMaterial)+"&amp;"1,2)/1000)*((((B111-76)+(C111-38))/1000)*2))+((((B111-236)/1000)+((C111-198)/1000)*2)*0.013)+(((B111/1000)*0.032)*2)+((((B111-76)/1000)*0.032)*2)+(((B111/1000)*0.019)*4)+(((C111/1000)*0.032)*2)+((((C111-38)/1000)*0.032)*2)+(((C111/1000)*0.038)*4),IF(ISERR"&amp;"OR(FIND(""drawer box"",A111))=FALSE,((((B111/1000)*(D111/1000))+((B111/1000)*(C111/1000)))*4)+((((D111/1000)+(C111/1000))*0.016)*4)+(((C111/1000)*(D111/1000))*2),IF(OR(ISERROR(FIND(""shelf"",A111))=FALSE,ISERROR(FIND(""spacer"",A111))=FALSE,,ISERROR(FIND("&amp;"""filler panel"",A111))=FALSE),(((C111/1000)*(D111/1000))*2)+((((C111+D111)*2)/1000)*0.022),IF(ISERROR(FIND(""lost corner"",A111))=FALSE,(((B111/1000)*(C111/1000))*2)+((B111/1000)*(C111/1000))+((B111/1000)*((C111/2)/1000))+((((B111/1000)*0.025)+((C111/100"&amp;"0)*0.025))*2),IF(ISERROR(FIND(""carcass"",A111))=FALSE,(((C111/1000)*(D111/1000))*2)+(((B111/1000)*(D111/1000))*2)+((B111/1000)*(C111/1000))+((((B111/1000)*0.025)+((C111/1000)*0.025))*2),IF(AND(ISERROR(FIND(""door"",A111))=FALSE,KitchenDoorStyle=""Flat"")"&amp;",(((B111/1000)*(C111/1000))*2)+(MID(KitchenDoorMaterial,FIND(""("",KitchenDoorMaterial)+1,2)/1000)*(((B111+C111)/1000)*2),IF(AND(ISERROR(FIND(""door"",A111))=FALSE,LEFT(KitchenDoorStyle,5)=""Panel""),(((B111/1000)*(C111/1000))*2)+((MID(KitchenDoorMaterial"&amp;",FIND(""("",KitchenDoorMaterial)+1,2)/1000)*(((B111+C111)/1000)*2))+(((((B111-160)+(C111-160))*2)/1000)*(0.013)),IF(AND(ISERROR(FIND(""door"",A111))=FALSE,KitchenDoorStyle=""In-frame flat""),((((B111-76)/1000)*((C111-38)/1000))*2)+(MID(KitchenDoorMaterial"&amp;",FIND(""("",KitchenDoorMaterial)+1,2)/1000)*((((B111-76)+(C111-38))/1000)*2)+(((B111/1000)*0.032)*2)+((((B111-76)/1000)*0.032)*2)+(((B111/1000)*0.019)*4)+(((C111/1000)*0.032)*2)+((((C111-38)/1000)*0.032)*2)+(((C111/1000)*0.038)*4),IF(AND(ISERROR(FIND(""do"&amp;"or"",A111))=FALSE,LEFT(KitchenDoorStyle,14)=""In-frame panel""),((((B111-76)/1000)*((C111-38)/1000))*2)+((MID(KitchenDoorMaterial,FIND(""("",KitchenDoorMaterial)+1,2)/1000)*((((B111-76)+(C111-38))/1000)*2))+((((B111-236)/1000)+((C111-198)/1000)*2)*0.013)+"&amp;"(((B111/1000)*0.032)*2)+((((B111-76)/1000)*0.032)*2)+(((B111/1000)*0.019)*4)+(((C111/1000)*0.032)*2)+((((C111-38)/1000)*0.032)*2)+(((C111/1000)*0.038)*4),IF(ISERROR(FIND(""Plinth"",A111))=FALSE,((B111/1000)*(C111/1000))+(((C111/1000)*0.018)*2)+(((B111/100"&amp;"0)*0.018)*2),IF(ISERROR(FIND(""Cornice"",A111))=FALSE,(((C111/1000)*0.1)*2)+(((C111/1000)*0.044)*2)+(((B111/1000)*0.08)*2),IF(ISERROR(FIND(""Base end panel"",A111))=FALSE,((B111/1000)*(C111/1000))+(0.022*((B111/1000)+((C111/1000)*2)))+((B111/1000)*0.05),I"&amp;"F(ISERROR(FIND(""Wall end panel"",A111))=FALSE,((B111/1000)*(C111/1000))+(0.022*((B111/1000)+((C111/1000)*2)))+((B111/1000)*0.05),IF(ISERROR(FIND(""Tower end panel"",A111))=FALSE,((B111/1000)*(C111/1000))+(0.022*((B111/1000)+((C111/1000)*2)))+((B111/1000)"&amp;"*0.05),IF(ISERROR(FIND(""Fillers"",A111))=FALSE,((C111/1000)*0.06)+((C111/1000)*0.069)+((0.06*0.018)*2)+((0.06*0.009)*2)+((C111/1000)*0.009)+((C111/1000)*0.018),IF(ISERROR(FIND(""corner post"",A111))=FALSE,(((B111/1000*0.05)*2)+((B111/1000)*0.022)*2)+((B1"&amp;"11/1000)*0.072)+((B111/1000)*0.05)+((0.072*0.022)*2)+((0.05*0.022)*2),IF(ISERROR(FIND(""Pelmet"",A111))=FALSE,((C111/1000)*0.05)+((C111/1000)*0.068)+((0.05*0.018)*4)+(((C111/1000)*0.018))*2))))))))))))))))))))))))))))"),"")</f>
        <v/>
      </c>
      <c r="N111" s="152" t="str">
        <f>IF(M111="","",IF(AND(ISERROR(FIND("carcass",A111))=TRUE,ISERROR(FIND("unit",A111))=TRUE,ISERROR(FIND("insert",A111))=TRUE,ISERROR(FIND("rack",A111))=TRUE,ISERROR(FIND("box",A111))=TRUE,ISERROR(FIND("shelf",#REF!))=TRUE),VLOOKUP(KitchenDoorFinish,Finishing!$A$2:$K$10,9,0)*M111,VLOOKUP(KitchenCarcassFinish,Finishing!$A$2:$K$40,9,0)*M111))</f>
        <v/>
      </c>
      <c r="O111" s="155"/>
      <c r="P111" s="155"/>
      <c r="Q111" s="152" t="str">
        <f>IF(OR(O111="",P111=""),"",((O111*X111)*(VLOOKUP("Workshop",Labour!$A$3:$E$20,4,0)/8))+((P111*AE111)*(VLOOKUP("Finishing",Labour!$A$3:$E$20,4,0)/8)))</f>
        <v/>
      </c>
      <c r="R111" s="152" t="str">
        <f t="shared" si="4"/>
        <v/>
      </c>
      <c r="S111" s="156" t="str">
        <f>IF(OR(O111="",P111=""),"",IF(OR(ISERROR(FIND("carcass",$A111))=FALSE,ISERROR(FIND("unit",$A111))=FALSE),VLOOKUP(KitchenCarcassMaterial,FixedListsCarcassMaterial,2,0),0))</f>
        <v/>
      </c>
      <c r="T111" s="156" t="str">
        <f>IF(OR(O111="",P111=""),"",IF(ISERROR(FIND("door",$A111))=FALSE,VLOOKUP(KitchenDoorStyle,FixedListsDoorStyle,2,0),0))</f>
        <v/>
      </c>
      <c r="U111" s="156" t="str">
        <f>IF(OR(O111="",P111=""),"",IF(ISERROR(FIND("door",$A111))=FALSE,VLOOKUP(KitchenDoorMaterial,FixedListsDoorMaterial,2,0),0))</f>
        <v/>
      </c>
      <c r="V111" s="156" t="str">
        <f>IF(OR(O111="",P111=""),"",IF(ISERROR(FIND("drawer",$A111))=FALSE,VLOOKUP(KitchenDrawerType,FixedListsDrawerType,2,0),0))</f>
        <v/>
      </c>
      <c r="W111" s="156" t="str">
        <f>IF(OR(O111="",P111=""),"",IF(OR(S111&gt;0, T111&gt;0,V111&gt;0),VLOOKUP(KitchenHandleType,FixedListsHandleType,2,FALSE)*IF(KitchenHandleType="Simple",0,IF(S111&gt;0,VLOOKUP(KitchenHandleType,FixedListsHandleType,4,FALSE),IF(OR(T111&gt;0,V111&gt;0),1-VLOOKUP(KitchenHandleType,FixedListsHandleType,4,FALSE),"Error"))),0))</f>
        <v/>
      </c>
      <c r="X111" s="156" t="str">
        <f t="shared" si="5"/>
        <v/>
      </c>
      <c r="Y111" s="156" t="str">
        <f>IF(OR(O111="",P111=""),"",IF(OR(ISERROR(FIND("carcass",$A111))=FALSE,ISERROR(FIND("unit",$A111))=FALSE),VLOOKUP(KitchenCarcassMaterial,FixedListsCarcassMaterial,3,0),0))</f>
        <v/>
      </c>
      <c r="Z111" s="156" t="str">
        <f>IF(OR(O111="",P111=""),"",IF(ISERROR(FIND("door",$A111))=FALSE,VLOOKUP(KitchenDoorStyle,FixedListsDoorStyle,3,0),0))</f>
        <v/>
      </c>
      <c r="AA111" s="156" t="str">
        <f>IF(OR(O111="",P111=""),"",IF(ISERROR(FIND("door",$A111))=FALSE,VLOOKUP(KitchenDoorMaterial,FixedListsDoorMaterial,3,0),0))</f>
        <v/>
      </c>
      <c r="AB111" s="156" t="str">
        <f>IF(OR(O111="",P111=""),"",IF(ISERROR(FIND("drawer",$A111))=FALSE,VLOOKUP(KitchenDrawerType,FixedListsDrawerType,3,0),0))</f>
        <v/>
      </c>
      <c r="AC111" s="156" t="str">
        <f>IF(OR(O111="",P111=""),"",IF(OR(Y111&gt;0,Z111&gt;0,AB111&gt;0),VLOOKUP(KitchenHandleType,FixedListsHandleType,3,FALSE),0))</f>
        <v/>
      </c>
      <c r="AD111" s="156" t="str">
        <f>IF(OR(O111="",P111=""),"",IF(OR(ISERROR(FIND("carcass",$A111))=FALSE,ISERROR(FIND("unit",$A111))=FALSE),VLOOKUP(KitchenCarcassFinish,FixedListsFinishes,3,0),IF(OR(ISERROR(FIND("door",$A111))=FALSE,ISERROR(FIND("Plinth",$A111))=FALSE,ISERROR(FIND("Cornice",$A111))=FALSE,ISERROR(FIND("Fillers",$A111))=FALSE,ISERROR(FIND("Pelmet",$A111))=FALSE,ISERROR(FIND("panel",$A111))=FALSE,ISERROR(FIND("post",$A111))=FALSE),VLOOKUP(KitchenDoorFinish,FixedListsFinishes,3,0),IF(OR(ISERROR(FIND("drawer",$A111))=FALSE,ISERROR(FIND("insert",$A111))=FALSE,ISERROR(FIND("rck",$A111))=FALSE),VLOOKUP(KitchenCarcassFinish,FixedListsFinishes,3,0),0))))</f>
        <v/>
      </c>
      <c r="AE111" s="156" t="str">
        <f t="shared" si="6"/>
        <v/>
      </c>
      <c r="AF111" s="157" t="str">
        <f>IF(AND(KitchenHandleType="Channel",OR(ISERROR(FIND("arcass",$A111))=FALSE,ISERROR(FIND("unit",$A111))=FALSE)),IF(ISERROR(FIND("Tower",$A111))=TRUE,IF(KitchenHandleFinish="Match carcass",IF(ISERROR(FIND("Walnut",KitchenCarcassMaterial))=FALSE,(0.035*0.075*($C111/1000))*VLOOKUP("Walnut (solid m3)",SolidData,4,FALSE),IF(ISERROR(FIND("Oak",KitchenCarcassMaterial))=FALSE,(0.035*0.075*($C111/1000))*VLOOKUP("Oak (solid m3)",SolidData,4,FALSE),IF(ISERROR(FIND("ply",KitchenCarcassMaterial))=FALSE,(0.1*($C111/1000))*VLOOKUP("Birch ply (24mm)",SheetsData,7,FALSE),IF(ISERROR(FIND("H/F",KitchenCarcassMaterial))=FALSE,(0.1*($C111/1000))*VLOOKUP("H/F (22mm)",SheetsData,7,FALSE),"Carcass - not tower - new material")))),IF(KitchenHandleFinish="Match door",IF(ISERROR(FIND("Walnut",KitchenDoorMaterial))=FALSE,(0.035*0.075*($C111/1000))*VLOOKUP("Walnut (solid m3)",SolidData,4,FALSE),IF(ISERROR(FIND("Oak",KitchenDoorMaterial))=FALSE,(0.035*0.075*($C111/1000))*VLOOKUP("Oak (solid m3)",SolidData,4,FALSE),IF(ISERROR(FIND("ply",KitchenDoorMaterial))=FALSE,(0.1*($C111/1000))*VLOOKUP("Birch ply (24mm)",SheetsData,7,FALSE),IF(ISERROR(FIND("H/F",KitchenCarcassMaterial))=FALSE,(0.1*($C111/1000))*VLOOKUP("H/F (22mm)",SheetsData,7,FALSE),"Door - not tower - new material")))),"Channel - not tower - handle set to other")),IF(ISERROR(FIND("Tower",$A111))=FALSE,IF(KitchenHandleFinish="Match carcass",IF(ISERROR(FIND("Walnut",KitchenCarcassMaterial))=FALSE,(0.035*0.075*($B111/1000))*VLOOKUP("Walnut (solid m3)",SolidData,4,FALSE),IF(ISERROR(FIND("Oak",KitchenCarcassMaterial))=FALSE,(0.035*0.075*($B111/1000))*VLOOKUP("Oak (solid m3)",SolidData,4,FALSE),IF(ISERROR(FIND("ply",KitchenCarcassMaterial))=FALSE,(0.1*($B111/1000))*VLOOKUP("Birch ply (24mm)",SheetsData,7,FALSE),IF(ISERROR(FIND("H/F",KitchenCarcassMaterial))=FALSE,(0.1*($C111/1000))*VLOOKUP("H/F (22mm)",SheetsData,7,FALSE),"Carcass - tower - new material")))),IF(KitchenHandleFinish="Match door",IF(ISERROR(FIND("Walnut",KitchenDoorMaterial))=FALSE,(0.035*0.075*($B111/1000))*VLOOKUP("Walnut (solid m3)",SolidData,4,FALSE),IF(ISERROR(FIND("Oak",KitchenDoorMaterial))=FALSE,(0.035*0.075*($B111/1000))*VLOOKUP("Oak (solid m3)",SolidData,4,FALSE),IF(ISERROR(FIND("ply",KitchenDoorMaterial))=FALSE,(0.1*($B111/1000))*VLOOKUP("Birch ply (24mm)",SheetData,7,FALSE),IF(ISERROR(FIND("H/F",KitchenCarcassMaterial))=FALSE,(0.1*($C111/1000))*VLOOKUP("H/F (22mm)",SheetsData,7,FALSE),"Door - tower - new material")))),"Channel - tower - handle set to other")))),"")</f>
        <v/>
      </c>
    </row>
    <row r="112">
      <c r="A112" s="150"/>
      <c r="B112" s="115" t="str">
        <f t="shared" si="1"/>
        <v/>
      </c>
      <c r="C112" s="115" t="str">
        <f>IFERROR(__xludf.DUMMYFUNCTION("IF(A112="""","""",IF(OR(RIGHT(A112,LEN(A112)-len(regexextract(A112,"".* "")))=""1200"",RIGHT(A112,LEN(A112)-len(regexextract(A112,"".* "")))=""600"",RIGHT(A112,LEN(A112)-len(regexextract(A112,"".* "")))=""400"",RIGHT(A112,LEN(A112)-len(regexextract(A112,"&amp;""".* "")))=""300"",RIGHT(A112,LEN(A112)-len(regexextract(A112,"".* "")))=""700"",RIGHT(A112,LEN(A112)-len(regexextract(A112,"".* "")))=""2400"",RIGHT(A112,LEN(A112)-len(regexextract(A112,"".* "")))=""650"",RIGHT(A112,LEN(A112)-len(regexextract(A112,"".* "&amp;""")))=""350"",RIGHT(A112,LEN(A112)-len(regexextract(A112,"".* "")))=""50""),RIGHT(A112,LEN(A112)-len(regexextract(A112,"".* ""))),IF(OR(ISERROR(FIND(""spacer"",A112))=FALSE,ISERROR(FIND(""filler panel"",A112))=FALSE),""1000"",""Unexpected size in descript"&amp;"ion"")))"),"")</f>
        <v/>
      </c>
      <c r="D112" s="151" t="str">
        <f t="shared" si="2"/>
        <v/>
      </c>
      <c r="E112" s="152" t="str">
        <f>IFERROR(__xludf.DUMMYFUNCTION("IF(OR(A112="""",AND(ISERROR(FIND(""drawer box"",A112))=FALSE,KitchenDrawerType="""")),"""",IF(OR(ISERROR(FIND(""larder"",A112))=FALSE,ISERROR(FIND(""fridge/freezer"",A112))=FALSE,ISERROR(FIND(""double oven"",A112))=FALSE,ISERROR(FIND(""single oven"",A112)"&amp;")=FALSE),VLOOKUP(LEFT(A112,FIND("" "",A112))&amp;""carcass ""&amp;RIGHT(A112,LEN(A112)-(LEN(A112)-3)),KitchensData,5,0),IF(ISERROR(FIND(""sink"",A112))=FALSE,VLOOKUP(LEFT(A112,FIND("" "",A112))&amp;""carcass ""&amp;VALUE(REGEXREPLACE(A112,""[^[:digit:]]"", """")),Kitchen"&amp;"sData,5,0)+(((C112/1000)*(300/1000))*VLOOKUP(KitchenCarcassMaterial,SheetsData,8,0)),IF(ISERROR(FIND(""bins"",A112))=FALSE,IF(ISERROR(FIND(""veneer"",KitchenCarcassMaterial))=FALSE,VLOOKUP(""Base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600"",A112))=FALSE,IF(ISERR"&amp;"OR(FIND(""veneer"",KitchenCarcassMaterial))=FALSE,0.54*(VLOOKUP(LEFT(KitchenCarcassMaterial,FIND(""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1"&amp;"200"",A112))=FALSE,IF(ISERROR(FIND(""veneer"",KitchenCarcassMaterial))=FALSE,0.84*(VLOOKUP(LEFT(KitchenCarcassMaterial,FIND(""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600"",A112))=FALSE,IF(ISERROR(FIND(""veneer"",KitchenCarcassMaterial))=FALSE,1.44*(VLOOKUP(LEFT(KitchenCarcassMaterial,FIND(""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1200"",A112))=FALSE,IF(ISERROR(FIND(""veneer"",KitchenCarcassMaterial))=FALSE,2.7*(VLOOKUP(LEFT(KitchenCarcassMaterial,FIND(""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front"",A112))=FALSE,((B112/1000)*(C112/1000))*VLOOKUP(KitchenDoorMaterial,SheetsData,8,0),IF(AND(KitchenDrawerType=""Match carcass"",ISERROR(FIND(""drawer box"",A112))=FALSE),(((((B112/10"&amp;"00)*(C112/1000))+((B112/1000)*(D112/1000)))*2)*VLOOKUP(KitchenCarcassMaterial,SheetsData,8,0))+(((C112/1000)*(D112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box"",A112))=FALSE),(((((B112/1000)*(C112/1000))+((B112/1000)*(D112/1000)))*2)*(16/1000)*VLOOKUP(L"&amp;"EFT(KitchenCarcassMaterial,FIND("" "",KitchenCarcassMaterial))&amp;""(solid m3)"",SolidData,5,0))+(((C112/1000)*(D112/1000))*VLOOKUP(LEFT(KitchenCarcassMaterial,FIND(""("",KitchenCarcassMaterial)-1)&amp;IF(OR(ISERROR(FIND(""ply"",KitchenCarcassMaterial))=FALSE,IS"&amp;"ERROR(FIND(""H/F"",KitchenCarcassMaterial))=FALSE),""(9mm)"",""(10mm)""),SheetsData,8,0)),IF(ISERROR(FIND(""spacer"",A112))=FALSE,((D112/1000)*(C112/1000))*VLOOKUP(""Poplar ply (18mm)"",SheetsData,8,0),IF(ISERROR(FIND(""filler panel"",A112))=FALSE,((B112/"&amp;"1000)*(C112/1000))*VLOOKUP(KitchenDoorMaterial,SheetsData,8,0),IF(ISERROR(FIND(""shelf"",A112))=FALSE,((D112/1000)*(C112/1000))*VLOOKUP(KitchenCarcassMaterial,SheetsData,8,0),IF(ISERROR(FIND(""lost corner"",A112))=FALSE,VLOOKUP(LEFT(A112,FIND("" "",A112))"&amp;"&amp;""carcass ""&amp;VALUE(REGEXREPLACE(A112,""[^[:digit:]]"", """")),KitchensData,5,0)+((((B112/1000)*(C112/1000))+((B112/1000)*(60/1000)))*VLOOKUP(KitchenCarcassMaterial,SheetsData,8,0)),IF(ISERROR(FIND(""carcass"",A112))=FALSE,(((((B112/1000)*2)*(D112/1000))+"&amp;"(((C112/1000)*2)*(D112/1000)))*VLOOKUP(KitchenCarcassMaterial,SheetsData,8,0))+((B112/1000)*(C112/1000))*VLOOKUP(LEFT(KitchenCarcassMaterial,FIND(""("",KitchenCarcassMaterial)-1)&amp;IF(OR(ISERROR(FIND(""ply"",KitchenCarcassMaterial))=FALSE,ISERROR(FIND(""H/F"&amp;""",KitchenCarcassMaterial))=FALSE),""(9mm)"",""(10mm)""),SheetsData,8,0),IF(OR(ISERROR(FIND(""Plinth"",A112))=FALSE,ISERROR(FIND(""Cornice (flat)"",A112))=FALSE),((B112/1000)*(C112/1000))*VLOOKUP(""H/F (18mm)"",SheetsData,8,0),IF(ISERROR(FIND(""Cornice (s"&amp;"tacked)"",A112))=FALSE,((0.08*(C112/1000))*2)*VLOOKUP(""H/F (22mm)"",SheetsData,8,0),IF(ISERROR(FIND(""Base end panel"",A112))=FALSE,VLOOKUP(KitchenDoorMaterial,SheetsData,5,0)/3,IF(ISERROR(FIND(""Wall end panel"",A112))=FALSE,VLOOKUP(KitchenDoorMaterial,"&amp;"SheetsData,5,0)/9,IF(ISERROR(FIND(""Tower end panel"",A112))=FALSE,VLOOKUP(KitchenDoorMaterial,SheetsData,5,0),IF(ISERROR(FIND(""Fillers"",A112))=FALSE,(((0.06*(C112/1000))*2)*VLOOKUP(""H/F (18mm)"",SheetsData,8,0))+(((0.06*(C112/1000))*2)*VLOOKUP(""H/F ("&amp;"9mm)"",SheetsData,8,0)),IF(ISERROR(FIND(""corner post"",A112))=FALSE,(((B112/1000)*0.05)*2)*VLOOKUP(KitchenDoorMaterial,SheetsData,8,0),IF(ISERROR(FIND(""Pelmet"",A112))=FALSE,((((B112/1000)*(C112/1000))*2)*VLOOKUP(""H/F (18mm)"",SheetsData,8,0)),IF(ISERR"&amp;"OR(FIND(""door"",A112))=TRUE,""Check description"",IF(KitchenDoorStyle=""Flat"",((B112/1000)*(C112/1000))*VLOOKUP(KitchenDoorMaterial,SheetsData,8,0),IF(LEFT(KitchenDoorStyle,5)=""Panel"",(((((B112/1000)*2)*0.08)+((((C112/1000)-0.16)*2)*0.08))*VLOOKUP(""H"&amp;"/F (22mm)"",SheetsData,8,0))+(((B112/1000)-0.14)*((C112/1000)-0.14)*VLOOKUP(""H/F (9mm)"",SheetsData,8,0)),IF(KitchenDoorStyle=""In-frame flat"",((((((B112/1000)*0.019)*0.038)+((((C112-38)/1000)*0.038)*0.038))*2)*VLOOKUP(""Tulip (solid m3)"",SolidData,5,0"&amp;"))+(((B112-76)/1000)*((C112-38)/1000))*VLOOKUP(""H/F (22mm)"",SheetsData,8,0),IF(LEFT(KitchenDoorStyle,14)=""In-frame panel"",(((((((B112/1000)*0.019)*0.038)+((((C112-38)/1000)*0.038)*0.038))*2)*VLOOKUP(""Tulip (solid m3)"",SolidData,5,0))+(((((((B112-76)"&amp;"/1000)*2)*0.08)+(((((C112-198)/1000)*2)*0.08)))*VLOOKUP(""H/F (22mm)"",SheetsData,8,0))+(((B112-216)/1000)*((C112-178)/1000)*VLOOKUP(""H/F (9mm)"",SheetsData,8,0)))))))))))))))))))))))))))))))))"),"")</f>
        <v/>
      </c>
      <c r="F112" s="152" t="str">
        <f>IFERROR(__xludf.DUMMYFUNCTION("IF(OR(A112="""",AND(ISERROR(FIND(""drawer box"",A112))=FALSE,KitchenDrawerType=""Solid dovetail"")),"""",IF(ISERROR(FIND(""bins"",A112))=FALSE,VLOOKUP(""Base carcass 600"",KitchensData,6,0),IF(OR(ISERROR(FIND(""larder"",A112))=FALSE,ISERROR(FIND(""unit"","&amp;"A112))=FALSE),VLOOKUP(LEFT(A112,FIND("" "",A112))&amp;""carcass ""&amp;RIGHT(A112,LEN(A112)-len(regexextract(A112,"".* ""))),KitchensData,6,0),IF(ISERROR(FIND(""drawer front"",A112))=FALSE,IF(ISERROR(FIND(""veneer"",KitchenCarcassMaterial))=TRUE,0,(((B112+C112)/1"&amp;"000)*2)*VLOOKUP(""Edge banding (per M)"",SheetsData,5,0)),IF(ISERROR(FIND(""drawer box"",A112))=FALSE,IF(ISERROR(FIND(""veneer"",KitchenCarcassMaterial))=TRUE,0,(((C112+D112)/1000)*2)*VLOOKUP(""Edge banding (per M)"",SheetsData,5,0)),IF(ISERROR(FIND(""she"&amp;"lf"",A112))=FALSE,IF(ISERROR(FIND(""veneer"",KitchenCarcassMaterial))=TRUE,0,(C112/1000)*VLOOKUP(""Edge banding (per M)"",SheetsData,5,0)),IF(AND(ISERROR(FIND(""carcass"",A112))=FALSE,ISERROR(FIND(""shelf"",A112))=TRUE),IF(ISERROR(FIND(""veneer"",KitchenC"&amp;"arcassMaterial))=TRUE,0,((2*(B112+C112))/1000)*VLOOKUP(""Edge banding (per M)"",SheetsData,5,0)),IF(ISERROR(FIND(""door"",A112))=TRUE,"""",IF(ISERROR(FIND(""veneer"",KitchenDoorMaterial))=TRUE,"""",((2*(B112+C112))/1000)*VLOOKUP(""Edge banding (per M)"",S"&amp;"heetsData,5,0))))))))))"),"")</f>
        <v/>
      </c>
      <c r="G112" s="153" t="str">
        <f>IF(A112="","",IF(ISERROR(FIND("bins",A112))=FALSE,VLOOKUP("Base carcass 600",KitchensData,7,0),IF(OR(ISERROR(FIND("larder",A112))=FALSE,ISERROR(FIND("fridge/freezer",A112))=FALSE,ISERROR(FIND("double oven",A112))=FALSE,ISERROR(FIND("single oven",A112))=FALSE),VLOOKUP(LEFT(A112,FIND(" ",A112))&amp;"carcass "&amp;RIGHT(A112,LEN(A112)-(LEN(A112)-3)),KitchensData,7,0),IF(AND(ISERROR(FIND("carcass",A112))=FALSE,ISERROR(FIND("shelf",A112))=TRUE),IF(OR(ISERROR(FIND("Base",A112))=FALSE,ISERROR(FIND("Tower",A112))=FALSE),IF(OR(ISERROR(FIND("1200",A112))=FALSE, ISERROR(FIND("lost corner",A112))=FALSE),6*VLOOKUP("Plinth foot (2 Parts 80mm)",FurnitureData,5,0),4*VLOOKUP("Plinth foot (2 Parts 80mm)",FurnitureData,5,0)),""),""))))</f>
        <v/>
      </c>
      <c r="H112" s="115" t="str">
        <f>IF(OR(A112="",ISERROR(FIND("door",A112))=TRUE),"",IF(ISERROR(FIND("Wall",A112))=FALSE,VLOOKUP("Hinges &amp; plates (Hettich thick door)",FurnitureData,5,0)*2,IF(ISERROR(FIND("Base",A112))=FALSE,VLOOKUP("Hinges &amp; plates (Hettich thick door)",FurnitureData,5,0)*3,IF(ISERROR(FIND("Boiler",A112))=FALSE,VLOOKUP("Hinges &amp; plates (Hettich thick door)",FurnitureData,5,0)*4,IF(ISERROR(FIND("Tower",A112))=FALSE,VLOOKUP("Hinges &amp; plates (Hettich thick door)",FurnitureData,5,0)*5)))))</f>
        <v/>
      </c>
      <c r="I112" s="115" t="str">
        <f>IF(ISERROR(FIND("shelf",A112))=FALSE,(VLOOKUP("Shelf pegs",FurnitureData,5,0)/100)*4,"")</f>
        <v/>
      </c>
      <c r="J112" s="152" t="str">
        <f>IF(OR(ISERROR(FIND("fridge/freezer",A112))=FALSE,ISERROR(FIND("larder",A112))=FALSE,AND(ISERROR(FIND("Base",A112))=FALSE,ISERROR(FIND("bins",A112))=TRUE,ISERROR(FIND("no shelves",A112))=TRUE,OR(ISERROR(FIND("carcass",A112))=FALSE,ISERROR(FIND("unit",A112))=FALSE))),VLOOKUP("Deep shelf "&amp;C112,KitchensData,18,0),IF(AND(ISERROR(FIND("Wall",A112))=FALSE,ISERROR(FIND("carcass",A112))=FALSE),2*VLOOKUP("Shallow shelf "&amp;C112,KitchensData,18,0),IF(AND(ISERROR(FIND("Tower",A112))=FALSE,ISERROR(FIND("oven",A112))=FALSE),4*VLOOKUP("Deep shelf "&amp;C112,KitchensData,18,0),IF(AND(ISERROR(FIND("Tower",A112))=FALSE,ISERROR(FIND("carcass",A112))=FALSE),5*VLOOKUP("Deep shelf "&amp;C112,KitchensData,18,0),""))))</f>
        <v/>
      </c>
      <c r="K112" s="152" t="str">
        <f>IF(ISERROR(FIND("sink",A112))=FALSE,VLOOKUP("Sink liner - Aluminium "&amp;RIGHT(A112,LEN(A112)-22)&amp;"mm",ExceptionalData,5,0),IF(ISERROR(FIND("bins",A112))=FALSE,VLOOKUP("Drawer runners and clip set for bin unit (500) Dynapro",FurnitureData,5,0)+(2*VLOOKUP("Bin (42L Anthracite)",FurnitureData,5,0)),IF(ISERROR(FIND("larder",A112))=FALSE,VLOOKUP("Pull out larder unit 600mm",FurnitureData,5,0),IF(AND(ISERROR(FIND("drawer box",A112))=FALSE,ISERROR(FIND("internal",A112))=TRUE),VLOOKUP("Drawer runners and clip set (550) Dynapro",FurnitureData,5,0),IF(ISERROR(FIND("internal drawer box",A112))=FALSE,VLOOKUP("Drawer runners and clip set (450) Dynapro",FurnitureData,5,0),"")))))</f>
        <v/>
      </c>
      <c r="L112" s="152" t="str">
        <f t="shared" si="3"/>
        <v/>
      </c>
      <c r="M112" s="154" t="str">
        <f>IFERROR(__xludf.DUMMYFUNCTION("IF(A112="""","""",IF(OR(ISERROR(FIND(""larder"",A112))=FALSE,ISERROR(FIND(""unit"",A112))=FALSE),VLOOKUP(LEFT(A112,FIND("" "",A112))&amp;""carcass ""&amp;RIGHT(A112,LEN(A112)-len(regexextract(A112,"".* ""))),KitchensData,13,0),IF(ISERROR(FIND(""bins"",A112))=FALS"&amp;"E,0.95,IF(ISERROR(FIND(""Cutlery insert 600"",A112))=FALSE,1.3,IF(ISERROR(FIND(""Cutlery insert 1200"",A112))=FALSE,2,IF(ISERROR(FIND(""Pan/tray rack 600"",A112))=FALSE,3.25,IF(ISERROR(FIND(""Pan/tray rack 1200"",A112))=FALSE,5.9,IF(ISERROR(FIND(""split"""&amp;",A112))=FALSE,(((C112/1000)*0.022)*2)+VLOOKUP(SUBSTITUTE(A112,"" split"",""""),KitchensData,13,0),IF(AND(ISERROR(FIND(""drawer front"",A112))=FALSE,KitchenDoorStyle=""Flat""),(((B112/1000)*(C112/1000))*2)+((((B112+C112)/1000)*2)*0.022),IF(AND(ISERROR(FIND"&amp;"(""drawer front"",A112))=FALSE,LEFT(KitchenDoorStyle,5)=""Panel""),(((B112/1000)*(C112/1000))*2)+((((B112+C112)/1000)*2)*0.022)+((((C112/1000)-0.16)*0.013)*2)+((((D112/1000)-0.16)*0.013)*2),IF(AND(ISERROR(FIND(""drawer front"",A112))=FALSE,KitchenDoorStyl"&amp;"e=""In-frame flat""),((((B112-76)/1000)*((C112-38)/1000))*2)+(MID(KitchenDoorMaterial,FIND(""("",KitchenDoorMaterial)+1,2)/1000)*((((B112-76)+(C112-38))/1000)*2)+(((B112/1000)*0.032)*2)+((((B112-76)/1000)*0.032)*2)+(((B112/1000)*0.019)*4)+(((C112/1000)*0."&amp;"032)*2)+((((C112-38)/1000)*0.032)*2)+(((C112/1000)*0.038)*4),IF(AND(ISERROR(FIND(""drawer front"",A112))=FALSE,LEFT(KitchenDoorStyle,14)=""In-frame panel""),((((B112-76)/1000)*((C112-38)/1000))*2)+((MID(KitchenDoorMaterial,FIND(""("",KitchenDoorMaterial)+"&amp;"1,2)/1000)*((((B112-76)+(C112-38))/1000)*2))+((((B112-236)/1000)+((C112-198)/1000)*2)*0.013)+(((B112/1000)*0.032)*2)+((((B112-76)/1000)*0.032)*2)+(((B112/1000)*0.019)*4)+(((C112/1000)*0.032)*2)+((((C112-38)/1000)*0.032)*2)+(((C112/1000)*0.038)*4),IF(ISERR"&amp;"OR(FIND(""drawer box"",A112))=FALSE,((((B112/1000)*(D112/1000))+((B112/1000)*(C112/1000)))*4)+((((D112/1000)+(C112/1000))*0.016)*4)+(((C112/1000)*(D112/1000))*2),IF(OR(ISERROR(FIND(""shelf"",A112))=FALSE,ISERROR(FIND(""spacer"",A112))=FALSE,,ISERROR(FIND("&amp;"""filler panel"",A112))=FALSE),(((C112/1000)*(D112/1000))*2)+((((C112+D112)*2)/1000)*0.022),IF(ISERROR(FIND(""lost corner"",A112))=FALSE,(((B112/1000)*(C112/1000))*2)+((B112/1000)*(C112/1000))+((B112/1000)*((C112/2)/1000))+((((B112/1000)*0.025)+((C112/100"&amp;"0)*0.025))*2),IF(ISERROR(FIND(""carcass"",A112))=FALSE,(((C112/1000)*(D112/1000))*2)+(((B112/1000)*(D112/1000))*2)+((B112/1000)*(C112/1000))+((((B112/1000)*0.025)+((C112/1000)*0.025))*2),IF(AND(ISERROR(FIND(""door"",A112))=FALSE,KitchenDoorStyle=""Flat"")"&amp;",(((B112/1000)*(C112/1000))*2)+(MID(KitchenDoorMaterial,FIND(""("",KitchenDoorMaterial)+1,2)/1000)*(((B112+C112)/1000)*2),IF(AND(ISERROR(FIND(""door"",A112))=FALSE,LEFT(KitchenDoorStyle,5)=""Panel""),(((B112/1000)*(C112/1000))*2)+((MID(KitchenDoorMaterial"&amp;",FIND(""("",KitchenDoorMaterial)+1,2)/1000)*(((B112+C112)/1000)*2))+(((((B112-160)+(C112-160))*2)/1000)*(0.013)),IF(AND(ISERROR(FIND(""door"",A112))=FALSE,KitchenDoorStyle=""In-frame flat""),((((B112-76)/1000)*((C112-38)/1000))*2)+(MID(KitchenDoorMaterial"&amp;",FIND(""("",KitchenDoorMaterial)+1,2)/1000)*((((B112-76)+(C112-38))/1000)*2)+(((B112/1000)*0.032)*2)+((((B112-76)/1000)*0.032)*2)+(((B112/1000)*0.019)*4)+(((C112/1000)*0.032)*2)+((((C112-38)/1000)*0.032)*2)+(((C112/1000)*0.038)*4),IF(AND(ISERROR(FIND(""do"&amp;"or"",A112))=FALSE,LEFT(KitchenDoorStyle,14)=""In-frame panel""),((((B112-76)/1000)*((C112-38)/1000))*2)+((MID(KitchenDoorMaterial,FIND(""("",KitchenDoorMaterial)+1,2)/1000)*((((B112-76)+(C112-38))/1000)*2))+((((B112-236)/1000)+((C112-198)/1000)*2)*0.013)+"&amp;"(((B112/1000)*0.032)*2)+((((B112-76)/1000)*0.032)*2)+(((B112/1000)*0.019)*4)+(((C112/1000)*0.032)*2)+((((C112-38)/1000)*0.032)*2)+(((C112/1000)*0.038)*4),IF(ISERROR(FIND(""Plinth"",A112))=FALSE,((B112/1000)*(C112/1000))+(((C112/1000)*0.018)*2)+(((B112/100"&amp;"0)*0.018)*2),IF(ISERROR(FIND(""Cornice"",A112))=FALSE,(((C112/1000)*0.1)*2)+(((C112/1000)*0.044)*2)+(((B112/1000)*0.08)*2),IF(ISERROR(FIND(""Base end panel"",A112))=FALSE,((B112/1000)*(C112/1000))+(0.022*((B112/1000)+((C112/1000)*2)))+((B112/1000)*0.05),I"&amp;"F(ISERROR(FIND(""Wall end panel"",A112))=FALSE,((B112/1000)*(C112/1000))+(0.022*((B112/1000)+((C112/1000)*2)))+((B112/1000)*0.05),IF(ISERROR(FIND(""Tower end panel"",A112))=FALSE,((B112/1000)*(C112/1000))+(0.022*((B112/1000)+((C112/1000)*2)))+((B112/1000)"&amp;"*0.05),IF(ISERROR(FIND(""Fillers"",A112))=FALSE,((C112/1000)*0.06)+((C112/1000)*0.069)+((0.06*0.018)*2)+((0.06*0.009)*2)+((C112/1000)*0.009)+((C112/1000)*0.018),IF(ISERROR(FIND(""corner post"",A112))=FALSE,(((B112/1000*0.05)*2)+((B112/1000)*0.022)*2)+((B1"&amp;"12/1000)*0.072)+((B112/1000)*0.05)+((0.072*0.022)*2)+((0.05*0.022)*2),IF(ISERROR(FIND(""Pelmet"",A112))=FALSE,((C112/1000)*0.05)+((C112/1000)*0.068)+((0.05*0.018)*4)+(((C112/1000)*0.018))*2))))))))))))))))))))))))))))"),"")</f>
        <v/>
      </c>
      <c r="N112" s="152" t="str">
        <f>IF(M112="","",IF(AND(ISERROR(FIND("carcass",A112))=TRUE,ISERROR(FIND("unit",A112))=TRUE,ISERROR(FIND("insert",A112))=TRUE,ISERROR(FIND("rack",A112))=TRUE,ISERROR(FIND("box",A112))=TRUE,ISERROR(FIND("shelf",#REF!))=TRUE),VLOOKUP(KitchenDoorFinish,Finishing!$A$2:$K$10,9,0)*M112,VLOOKUP(KitchenCarcassFinish,Finishing!$A$2:$K$40,9,0)*M112))</f>
        <v/>
      </c>
      <c r="O112" s="155"/>
      <c r="P112" s="155"/>
      <c r="Q112" s="152" t="str">
        <f>IF(OR(O112="",P112=""),"",((O112*X112)*(VLOOKUP("Workshop",Labour!$A$3:$E$20,4,0)/8))+((P112*AE112)*(VLOOKUP("Finishing",Labour!$A$3:$E$20,4,0)/8)))</f>
        <v/>
      </c>
      <c r="R112" s="152" t="str">
        <f t="shared" si="4"/>
        <v/>
      </c>
      <c r="S112" s="156" t="str">
        <f>IF(OR(O112="",P112=""),"",IF(OR(ISERROR(FIND("carcass",$A112))=FALSE,ISERROR(FIND("unit",$A112))=FALSE),VLOOKUP(KitchenCarcassMaterial,FixedListsCarcassMaterial,2,0),0))</f>
        <v/>
      </c>
      <c r="T112" s="156" t="str">
        <f>IF(OR(O112="",P112=""),"",IF(ISERROR(FIND("door",$A112))=FALSE,VLOOKUP(KitchenDoorStyle,FixedListsDoorStyle,2,0),0))</f>
        <v/>
      </c>
      <c r="U112" s="156" t="str">
        <f>IF(OR(O112="",P112=""),"",IF(ISERROR(FIND("door",$A112))=FALSE,VLOOKUP(KitchenDoorMaterial,FixedListsDoorMaterial,2,0),0))</f>
        <v/>
      </c>
      <c r="V112" s="156" t="str">
        <f>IF(OR(O112="",P112=""),"",IF(ISERROR(FIND("drawer",$A112))=FALSE,VLOOKUP(KitchenDrawerType,FixedListsDrawerType,2,0),0))</f>
        <v/>
      </c>
      <c r="W112" s="156" t="str">
        <f>IF(OR(O112="",P112=""),"",IF(OR(S112&gt;0, T112&gt;0,V112&gt;0),VLOOKUP(KitchenHandleType,FixedListsHandleType,2,FALSE)*IF(KitchenHandleType="Simple",0,IF(S112&gt;0,VLOOKUP(KitchenHandleType,FixedListsHandleType,4,FALSE),IF(OR(T112&gt;0,V112&gt;0),1-VLOOKUP(KitchenHandleType,FixedListsHandleType,4,FALSE),"Error"))),0))</f>
        <v/>
      </c>
      <c r="X112" s="156" t="str">
        <f t="shared" si="5"/>
        <v/>
      </c>
      <c r="Y112" s="156" t="str">
        <f>IF(OR(O112="",P112=""),"",IF(OR(ISERROR(FIND("carcass",$A112))=FALSE,ISERROR(FIND("unit",$A112))=FALSE),VLOOKUP(KitchenCarcassMaterial,FixedListsCarcassMaterial,3,0),0))</f>
        <v/>
      </c>
      <c r="Z112" s="156" t="str">
        <f>IF(OR(O112="",P112=""),"",IF(ISERROR(FIND("door",$A112))=FALSE,VLOOKUP(KitchenDoorStyle,FixedListsDoorStyle,3,0),0))</f>
        <v/>
      </c>
      <c r="AA112" s="156" t="str">
        <f>IF(OR(O112="",P112=""),"",IF(ISERROR(FIND("door",$A112))=FALSE,VLOOKUP(KitchenDoorMaterial,FixedListsDoorMaterial,3,0),0))</f>
        <v/>
      </c>
      <c r="AB112" s="156" t="str">
        <f>IF(OR(O112="",P112=""),"",IF(ISERROR(FIND("drawer",$A112))=FALSE,VLOOKUP(KitchenDrawerType,FixedListsDrawerType,3,0),0))</f>
        <v/>
      </c>
      <c r="AC112" s="156" t="str">
        <f>IF(OR(O112="",P112=""),"",IF(OR(Y112&gt;0,Z112&gt;0,AB112&gt;0),VLOOKUP(KitchenHandleType,FixedListsHandleType,3,FALSE),0))</f>
        <v/>
      </c>
      <c r="AD112" s="156" t="str">
        <f>IF(OR(O112="",P112=""),"",IF(OR(ISERROR(FIND("carcass",$A112))=FALSE,ISERROR(FIND("unit",$A112))=FALSE),VLOOKUP(KitchenCarcassFinish,FixedListsFinishes,3,0),IF(OR(ISERROR(FIND("door",$A112))=FALSE,ISERROR(FIND("Plinth",$A112))=FALSE,ISERROR(FIND("Cornice",$A112))=FALSE,ISERROR(FIND("Fillers",$A112))=FALSE,ISERROR(FIND("Pelmet",$A112))=FALSE,ISERROR(FIND("panel",$A112))=FALSE,ISERROR(FIND("post",$A112))=FALSE),VLOOKUP(KitchenDoorFinish,FixedListsFinishes,3,0),IF(OR(ISERROR(FIND("drawer",$A112))=FALSE,ISERROR(FIND("insert",$A112))=FALSE,ISERROR(FIND("rck",$A112))=FALSE),VLOOKUP(KitchenCarcassFinish,FixedListsFinishes,3,0),0))))</f>
        <v/>
      </c>
      <c r="AE112" s="156" t="str">
        <f t="shared" si="6"/>
        <v/>
      </c>
      <c r="AF112" s="157" t="str">
        <f>IF(AND(KitchenHandleType="Channel",OR(ISERROR(FIND("arcass",$A112))=FALSE,ISERROR(FIND("unit",$A112))=FALSE)),IF(ISERROR(FIND("Tower",$A112))=TRUE,IF(KitchenHandleFinish="Match carcass",IF(ISERROR(FIND("Walnut",KitchenCarcassMaterial))=FALSE,(0.035*0.075*($C112/1000))*VLOOKUP("Walnut (solid m3)",SolidData,4,FALSE),IF(ISERROR(FIND("Oak",KitchenCarcassMaterial))=FALSE,(0.035*0.075*($C112/1000))*VLOOKUP("Oak (solid m3)",SolidData,4,FALSE),IF(ISERROR(FIND("ply",KitchenCarcassMaterial))=FALSE,(0.1*($C112/1000))*VLOOKUP("Birch ply (24mm)",SheetsData,7,FALSE),IF(ISERROR(FIND("H/F",KitchenCarcassMaterial))=FALSE,(0.1*($C112/1000))*VLOOKUP("H/F (22mm)",SheetsData,7,FALSE),"Carcass - not tower - new material")))),IF(KitchenHandleFinish="Match door",IF(ISERROR(FIND("Walnut",KitchenDoorMaterial))=FALSE,(0.035*0.075*($C112/1000))*VLOOKUP("Walnut (solid m3)",SolidData,4,FALSE),IF(ISERROR(FIND("Oak",KitchenDoorMaterial))=FALSE,(0.035*0.075*($C112/1000))*VLOOKUP("Oak (solid m3)",SolidData,4,FALSE),IF(ISERROR(FIND("ply",KitchenDoorMaterial))=FALSE,(0.1*($C112/1000))*VLOOKUP("Birch ply (24mm)",SheetsData,7,FALSE),IF(ISERROR(FIND("H/F",KitchenCarcassMaterial))=FALSE,(0.1*($C112/1000))*VLOOKUP("H/F (22mm)",SheetsData,7,FALSE),"Door - not tower - new material")))),"Channel - not tower - handle set to other")),IF(ISERROR(FIND("Tower",$A112))=FALSE,IF(KitchenHandleFinish="Match carcass",IF(ISERROR(FIND("Walnut",KitchenCarcassMaterial))=FALSE,(0.035*0.075*($B112/1000))*VLOOKUP("Walnut (solid m3)",SolidData,4,FALSE),IF(ISERROR(FIND("Oak",KitchenCarcassMaterial))=FALSE,(0.035*0.075*($B112/1000))*VLOOKUP("Oak (solid m3)",SolidData,4,FALSE),IF(ISERROR(FIND("ply",KitchenCarcassMaterial))=FALSE,(0.1*($B112/1000))*VLOOKUP("Birch ply (24mm)",SheetsData,7,FALSE),IF(ISERROR(FIND("H/F",KitchenCarcassMaterial))=FALSE,(0.1*($C112/1000))*VLOOKUP("H/F (22mm)",SheetsData,7,FALSE),"Carcass - tower - new material")))),IF(KitchenHandleFinish="Match door",IF(ISERROR(FIND("Walnut",KitchenDoorMaterial))=FALSE,(0.035*0.075*($B112/1000))*VLOOKUP("Walnut (solid m3)",SolidData,4,FALSE),IF(ISERROR(FIND("Oak",KitchenDoorMaterial))=FALSE,(0.035*0.075*($B112/1000))*VLOOKUP("Oak (solid m3)",SolidData,4,FALSE),IF(ISERROR(FIND("ply",KitchenDoorMaterial))=FALSE,(0.1*($B112/1000))*VLOOKUP("Birch ply (24mm)",SheetData,7,FALSE),IF(ISERROR(FIND("H/F",KitchenCarcassMaterial))=FALSE,(0.1*($C112/1000))*VLOOKUP("H/F (22mm)",SheetsData,7,FALSE),"Door - tower - new material")))),"Channel - tower - handle set to other")))),"")</f>
        <v/>
      </c>
    </row>
    <row r="113">
      <c r="A113" s="150"/>
      <c r="B113" s="115" t="str">
        <f t="shared" si="1"/>
        <v/>
      </c>
      <c r="C113" s="115" t="str">
        <f>IFERROR(__xludf.DUMMYFUNCTION("IF(A113="""","""",IF(OR(RIGHT(A113,LEN(A113)-len(regexextract(A113,"".* "")))=""1200"",RIGHT(A113,LEN(A113)-len(regexextract(A113,"".* "")))=""600"",RIGHT(A113,LEN(A113)-len(regexextract(A113,"".* "")))=""400"",RIGHT(A113,LEN(A113)-len(regexextract(A113,"&amp;""".* "")))=""300"",RIGHT(A113,LEN(A113)-len(regexextract(A113,"".* "")))=""700"",RIGHT(A113,LEN(A113)-len(regexextract(A113,"".* "")))=""2400"",RIGHT(A113,LEN(A113)-len(regexextract(A113,"".* "")))=""650"",RIGHT(A113,LEN(A113)-len(regexextract(A113,"".* "&amp;""")))=""350"",RIGHT(A113,LEN(A113)-len(regexextract(A113,"".* "")))=""50""),RIGHT(A113,LEN(A113)-len(regexextract(A113,"".* ""))),IF(OR(ISERROR(FIND(""spacer"",A113))=FALSE,ISERROR(FIND(""filler panel"",A113))=FALSE),""1000"",""Unexpected size in descript"&amp;"ion"")))"),"")</f>
        <v/>
      </c>
      <c r="D113" s="151" t="str">
        <f t="shared" si="2"/>
        <v/>
      </c>
      <c r="E113" s="152" t="str">
        <f>IFERROR(__xludf.DUMMYFUNCTION("IF(OR(A113="""",AND(ISERROR(FIND(""drawer box"",A113))=FALSE,KitchenDrawerType="""")),"""",IF(OR(ISERROR(FIND(""larder"",A113))=FALSE,ISERROR(FIND(""fridge/freezer"",A113))=FALSE,ISERROR(FIND(""double oven"",A113))=FALSE,ISERROR(FIND(""single oven"",A113)"&amp;")=FALSE),VLOOKUP(LEFT(A113,FIND("" "",A113))&amp;""carcass ""&amp;RIGHT(A113,LEN(A113)-(LEN(A113)-3)),KitchensData,5,0),IF(ISERROR(FIND(""sink"",A113))=FALSE,VLOOKUP(LEFT(A113,FIND("" "",A113))&amp;""carcass ""&amp;VALUE(REGEXREPLACE(A113,""[^[:digit:]]"", """")),Kitchen"&amp;"sData,5,0)+(((C113/1000)*(300/1000))*VLOOKUP(KitchenCarcassMaterial,SheetsData,8,0)),IF(ISERROR(FIND(""bins"",A113))=FALSE,IF(ISERROR(FIND(""veneer"",KitchenCarcassMaterial))=FALSE,VLOOKUP(""Base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600"",A113))=FALSE,IF(ISERR"&amp;"OR(FIND(""veneer"",KitchenCarcassMaterial))=FALSE,0.54*(VLOOKUP(LEFT(KitchenCarcassMaterial,FIND(""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1"&amp;"200"",A113))=FALSE,IF(ISERROR(FIND(""veneer"",KitchenCarcassMaterial))=FALSE,0.84*(VLOOKUP(LEFT(KitchenCarcassMaterial,FIND(""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600"",A113))=FALSE,IF(ISERROR(FIND(""veneer"",KitchenCarcassMaterial))=FALSE,1.44*(VLOOKUP(LEFT(KitchenCarcassMaterial,FIND(""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1200"",A113))=FALSE,IF(ISERROR(FIND(""veneer"",KitchenCarcassMaterial))=FALSE,2.7*(VLOOKUP(LEFT(KitchenCarcassMaterial,FIND(""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front"",A113))=FALSE,((B113/1000)*(C113/1000))*VLOOKUP(KitchenDoorMaterial,SheetsData,8,0),IF(AND(KitchenDrawerType=""Match carcass"",ISERROR(FIND(""drawer box"",A113))=FALSE),(((((B113/10"&amp;"00)*(C113/1000))+((B113/1000)*(D113/1000)))*2)*VLOOKUP(KitchenCarcassMaterial,SheetsData,8,0))+(((C113/1000)*(D113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box"",A113))=FALSE),(((((B113/1000)*(C113/1000))+((B113/1000)*(D113/1000)))*2)*(16/1000)*VLOOKUP(L"&amp;"EFT(KitchenCarcassMaterial,FIND("" "",KitchenCarcassMaterial))&amp;""(solid m3)"",SolidData,5,0))+(((C113/1000)*(D113/1000))*VLOOKUP(LEFT(KitchenCarcassMaterial,FIND(""("",KitchenCarcassMaterial)-1)&amp;IF(OR(ISERROR(FIND(""ply"",KitchenCarcassMaterial))=FALSE,IS"&amp;"ERROR(FIND(""H/F"",KitchenCarcassMaterial))=FALSE),""(9mm)"",""(10mm)""),SheetsData,8,0)),IF(ISERROR(FIND(""spacer"",A113))=FALSE,((D113/1000)*(C113/1000))*VLOOKUP(""Poplar ply (18mm)"",SheetsData,8,0),IF(ISERROR(FIND(""filler panel"",A113))=FALSE,((B113/"&amp;"1000)*(C113/1000))*VLOOKUP(KitchenDoorMaterial,SheetsData,8,0),IF(ISERROR(FIND(""shelf"",A113))=FALSE,((D113/1000)*(C113/1000))*VLOOKUP(KitchenCarcassMaterial,SheetsData,8,0),IF(ISERROR(FIND(""lost corner"",A113))=FALSE,VLOOKUP(LEFT(A113,FIND("" "",A113))"&amp;"&amp;""carcass ""&amp;VALUE(REGEXREPLACE(A113,""[^[:digit:]]"", """")),KitchensData,5,0)+((((B113/1000)*(C113/1000))+((B113/1000)*(60/1000)))*VLOOKUP(KitchenCarcassMaterial,SheetsData,8,0)),IF(ISERROR(FIND(""carcass"",A113))=FALSE,(((((B113/1000)*2)*(D113/1000))+"&amp;"(((C113/1000)*2)*(D113/1000)))*VLOOKUP(KitchenCarcassMaterial,SheetsData,8,0))+((B113/1000)*(C113/1000))*VLOOKUP(LEFT(KitchenCarcassMaterial,FIND(""("",KitchenCarcassMaterial)-1)&amp;IF(OR(ISERROR(FIND(""ply"",KitchenCarcassMaterial))=FALSE,ISERROR(FIND(""H/F"&amp;""",KitchenCarcassMaterial))=FALSE),""(9mm)"",""(10mm)""),SheetsData,8,0),IF(OR(ISERROR(FIND(""Plinth"",A113))=FALSE,ISERROR(FIND(""Cornice (flat)"",A113))=FALSE),((B113/1000)*(C113/1000))*VLOOKUP(""H/F (18mm)"",SheetsData,8,0),IF(ISERROR(FIND(""Cornice (s"&amp;"tacked)"",A113))=FALSE,((0.08*(C113/1000))*2)*VLOOKUP(""H/F (22mm)"",SheetsData,8,0),IF(ISERROR(FIND(""Base end panel"",A113))=FALSE,VLOOKUP(KitchenDoorMaterial,SheetsData,5,0)/3,IF(ISERROR(FIND(""Wall end panel"",A113))=FALSE,VLOOKUP(KitchenDoorMaterial,"&amp;"SheetsData,5,0)/9,IF(ISERROR(FIND(""Tower end panel"",A113))=FALSE,VLOOKUP(KitchenDoorMaterial,SheetsData,5,0),IF(ISERROR(FIND(""Fillers"",A113))=FALSE,(((0.06*(C113/1000))*2)*VLOOKUP(""H/F (18mm)"",SheetsData,8,0))+(((0.06*(C113/1000))*2)*VLOOKUP(""H/F ("&amp;"9mm)"",SheetsData,8,0)),IF(ISERROR(FIND(""corner post"",A113))=FALSE,(((B113/1000)*0.05)*2)*VLOOKUP(KitchenDoorMaterial,SheetsData,8,0),IF(ISERROR(FIND(""Pelmet"",A113))=FALSE,((((B113/1000)*(C113/1000))*2)*VLOOKUP(""H/F (18mm)"",SheetsData,8,0)),IF(ISERR"&amp;"OR(FIND(""door"",A113))=TRUE,""Check description"",IF(KitchenDoorStyle=""Flat"",((B113/1000)*(C113/1000))*VLOOKUP(KitchenDoorMaterial,SheetsData,8,0),IF(LEFT(KitchenDoorStyle,5)=""Panel"",(((((B113/1000)*2)*0.08)+((((C113/1000)-0.16)*2)*0.08))*VLOOKUP(""H"&amp;"/F (22mm)"",SheetsData,8,0))+(((B113/1000)-0.14)*((C113/1000)-0.14)*VLOOKUP(""H/F (9mm)"",SheetsData,8,0)),IF(KitchenDoorStyle=""In-frame flat"",((((((B113/1000)*0.019)*0.038)+((((C113-38)/1000)*0.038)*0.038))*2)*VLOOKUP(""Tulip (solid m3)"",SolidData,5,0"&amp;"))+(((B113-76)/1000)*((C113-38)/1000))*VLOOKUP(""H/F (22mm)"",SheetsData,8,0),IF(LEFT(KitchenDoorStyle,14)=""In-frame panel"",(((((((B113/1000)*0.019)*0.038)+((((C113-38)/1000)*0.038)*0.038))*2)*VLOOKUP(""Tulip (solid m3)"",SolidData,5,0))+(((((((B113-76)"&amp;"/1000)*2)*0.08)+(((((C113-198)/1000)*2)*0.08)))*VLOOKUP(""H/F (22mm)"",SheetsData,8,0))+(((B113-216)/1000)*((C113-178)/1000)*VLOOKUP(""H/F (9mm)"",SheetsData,8,0)))))))))))))))))))))))))))))))))"),"")</f>
        <v/>
      </c>
      <c r="F113" s="152" t="str">
        <f>IFERROR(__xludf.DUMMYFUNCTION("IF(OR(A113="""",AND(ISERROR(FIND(""drawer box"",A113))=FALSE,KitchenDrawerType=""Solid dovetail"")),"""",IF(ISERROR(FIND(""bins"",A113))=FALSE,VLOOKUP(""Base carcass 600"",KitchensData,6,0),IF(OR(ISERROR(FIND(""larder"",A113))=FALSE,ISERROR(FIND(""unit"","&amp;"A113))=FALSE),VLOOKUP(LEFT(A113,FIND("" "",A113))&amp;""carcass ""&amp;RIGHT(A113,LEN(A113)-len(regexextract(A113,"".* ""))),KitchensData,6,0),IF(ISERROR(FIND(""drawer front"",A113))=FALSE,IF(ISERROR(FIND(""veneer"",KitchenCarcassMaterial))=TRUE,0,(((B113+C113)/1"&amp;"000)*2)*VLOOKUP(""Edge banding (per M)"",SheetsData,5,0)),IF(ISERROR(FIND(""drawer box"",A113))=FALSE,IF(ISERROR(FIND(""veneer"",KitchenCarcassMaterial))=TRUE,0,(((C113+D113)/1000)*2)*VLOOKUP(""Edge banding (per M)"",SheetsData,5,0)),IF(ISERROR(FIND(""she"&amp;"lf"",A113))=FALSE,IF(ISERROR(FIND(""veneer"",KitchenCarcassMaterial))=TRUE,0,(C113/1000)*VLOOKUP(""Edge banding (per M)"",SheetsData,5,0)),IF(AND(ISERROR(FIND(""carcass"",A113))=FALSE,ISERROR(FIND(""shelf"",A113))=TRUE),IF(ISERROR(FIND(""veneer"",KitchenC"&amp;"arcassMaterial))=TRUE,0,((2*(B113+C113))/1000)*VLOOKUP(""Edge banding (per M)"",SheetsData,5,0)),IF(ISERROR(FIND(""door"",A113))=TRUE,"""",IF(ISERROR(FIND(""veneer"",KitchenDoorMaterial))=TRUE,"""",((2*(B113+C113))/1000)*VLOOKUP(""Edge banding (per M)"",S"&amp;"heetsData,5,0))))))))))"),"")</f>
        <v/>
      </c>
      <c r="G113" s="153" t="str">
        <f>IF(A113="","",IF(ISERROR(FIND("bins",A113))=FALSE,VLOOKUP("Base carcass 600",KitchensData,7,0),IF(OR(ISERROR(FIND("larder",A113))=FALSE,ISERROR(FIND("fridge/freezer",A113))=FALSE,ISERROR(FIND("double oven",A113))=FALSE,ISERROR(FIND("single oven",A113))=FALSE),VLOOKUP(LEFT(A113,FIND(" ",A113))&amp;"carcass "&amp;RIGHT(A113,LEN(A113)-(LEN(A113)-3)),KitchensData,7,0),IF(AND(ISERROR(FIND("carcass",A113))=FALSE,ISERROR(FIND("shelf",A113))=TRUE),IF(OR(ISERROR(FIND("Base",A113))=FALSE,ISERROR(FIND("Tower",A113))=FALSE),IF(OR(ISERROR(FIND("1200",A113))=FALSE, ISERROR(FIND("lost corner",A113))=FALSE),6*VLOOKUP("Plinth foot (2 Parts 80mm)",FurnitureData,5,0),4*VLOOKUP("Plinth foot (2 Parts 80mm)",FurnitureData,5,0)),""),""))))</f>
        <v/>
      </c>
      <c r="H113" s="115" t="str">
        <f>IF(OR(A113="",ISERROR(FIND("door",A113))=TRUE),"",IF(ISERROR(FIND("Wall",A113))=FALSE,VLOOKUP("Hinges &amp; plates (Hettich thick door)",FurnitureData,5,0)*2,IF(ISERROR(FIND("Base",A113))=FALSE,VLOOKUP("Hinges &amp; plates (Hettich thick door)",FurnitureData,5,0)*3,IF(ISERROR(FIND("Boiler",A113))=FALSE,VLOOKUP("Hinges &amp; plates (Hettich thick door)",FurnitureData,5,0)*4,IF(ISERROR(FIND("Tower",A113))=FALSE,VLOOKUP("Hinges &amp; plates (Hettich thick door)",FurnitureData,5,0)*5)))))</f>
        <v/>
      </c>
      <c r="I113" s="115" t="str">
        <f>IF(ISERROR(FIND("shelf",A113))=FALSE,(VLOOKUP("Shelf pegs",FurnitureData,5,0)/100)*4,"")</f>
        <v/>
      </c>
      <c r="J113" s="152" t="str">
        <f>IF(OR(ISERROR(FIND("fridge/freezer",A113))=FALSE,ISERROR(FIND("larder",A113))=FALSE,AND(ISERROR(FIND("Base",A113))=FALSE,ISERROR(FIND("bins",A113))=TRUE,ISERROR(FIND("no shelves",A113))=TRUE,OR(ISERROR(FIND("carcass",A113))=FALSE,ISERROR(FIND("unit",A113))=FALSE))),VLOOKUP("Deep shelf "&amp;C113,KitchensData,18,0),IF(AND(ISERROR(FIND("Wall",A113))=FALSE,ISERROR(FIND("carcass",A113))=FALSE),2*VLOOKUP("Shallow shelf "&amp;C113,KitchensData,18,0),IF(AND(ISERROR(FIND("Tower",A113))=FALSE,ISERROR(FIND("oven",A113))=FALSE),4*VLOOKUP("Deep shelf "&amp;C113,KitchensData,18,0),IF(AND(ISERROR(FIND("Tower",A113))=FALSE,ISERROR(FIND("carcass",A113))=FALSE),5*VLOOKUP("Deep shelf "&amp;C113,KitchensData,18,0),""))))</f>
        <v/>
      </c>
      <c r="K113" s="152" t="str">
        <f>IF(ISERROR(FIND("sink",A113))=FALSE,VLOOKUP("Sink liner - Aluminium "&amp;RIGHT(A113,LEN(A113)-22)&amp;"mm",ExceptionalData,5,0),IF(ISERROR(FIND("bins",A113))=FALSE,VLOOKUP("Drawer runners and clip set for bin unit (500) Dynapro",FurnitureData,5,0)+(2*VLOOKUP("Bin (42L Anthracite)",FurnitureData,5,0)),IF(ISERROR(FIND("larder",A113))=FALSE,VLOOKUP("Pull out larder unit 600mm",FurnitureData,5,0),IF(AND(ISERROR(FIND("drawer box",A113))=FALSE,ISERROR(FIND("internal",A113))=TRUE),VLOOKUP("Drawer runners and clip set (550) Dynapro",FurnitureData,5,0),IF(ISERROR(FIND("internal drawer box",A113))=FALSE,VLOOKUP("Drawer runners and clip set (450) Dynapro",FurnitureData,5,0),"")))))</f>
        <v/>
      </c>
      <c r="L113" s="152" t="str">
        <f t="shared" si="3"/>
        <v/>
      </c>
      <c r="M113" s="154" t="str">
        <f>IFERROR(__xludf.DUMMYFUNCTION("IF(A113="""","""",IF(OR(ISERROR(FIND(""larder"",A113))=FALSE,ISERROR(FIND(""unit"",A113))=FALSE),VLOOKUP(LEFT(A113,FIND("" "",A113))&amp;""carcass ""&amp;RIGHT(A113,LEN(A113)-len(regexextract(A113,"".* ""))),KitchensData,13,0),IF(ISERROR(FIND(""bins"",A113))=FALS"&amp;"E,0.95,IF(ISERROR(FIND(""Cutlery insert 600"",A113))=FALSE,1.3,IF(ISERROR(FIND(""Cutlery insert 1200"",A113))=FALSE,2,IF(ISERROR(FIND(""Pan/tray rack 600"",A113))=FALSE,3.25,IF(ISERROR(FIND(""Pan/tray rack 1200"",A113))=FALSE,5.9,IF(ISERROR(FIND(""split"""&amp;",A113))=FALSE,(((C113/1000)*0.022)*2)+VLOOKUP(SUBSTITUTE(A113,"" split"",""""),KitchensData,13,0),IF(AND(ISERROR(FIND(""drawer front"",A113))=FALSE,KitchenDoorStyle=""Flat""),(((B113/1000)*(C113/1000))*2)+((((B113+C113)/1000)*2)*0.022),IF(AND(ISERROR(FIND"&amp;"(""drawer front"",A113))=FALSE,LEFT(KitchenDoorStyle,5)=""Panel""),(((B113/1000)*(C113/1000))*2)+((((B113+C113)/1000)*2)*0.022)+((((C113/1000)-0.16)*0.013)*2)+((((D113/1000)-0.16)*0.013)*2),IF(AND(ISERROR(FIND(""drawer front"",A113))=FALSE,KitchenDoorStyl"&amp;"e=""In-frame flat""),((((B113-76)/1000)*((C113-38)/1000))*2)+(MID(KitchenDoorMaterial,FIND(""("",KitchenDoorMaterial)+1,2)/1000)*((((B113-76)+(C113-38))/1000)*2)+(((B113/1000)*0.032)*2)+((((B113-76)/1000)*0.032)*2)+(((B113/1000)*0.019)*4)+(((C113/1000)*0."&amp;"032)*2)+((((C113-38)/1000)*0.032)*2)+(((C113/1000)*0.038)*4),IF(AND(ISERROR(FIND(""drawer front"",A113))=FALSE,LEFT(KitchenDoorStyle,14)=""In-frame panel""),((((B113-76)/1000)*((C113-38)/1000))*2)+((MID(KitchenDoorMaterial,FIND(""("",KitchenDoorMaterial)+"&amp;"1,2)/1000)*((((B113-76)+(C113-38))/1000)*2))+((((B113-236)/1000)+((C113-198)/1000)*2)*0.013)+(((B113/1000)*0.032)*2)+((((B113-76)/1000)*0.032)*2)+(((B113/1000)*0.019)*4)+(((C113/1000)*0.032)*2)+((((C113-38)/1000)*0.032)*2)+(((C113/1000)*0.038)*4),IF(ISERR"&amp;"OR(FIND(""drawer box"",A113))=FALSE,((((B113/1000)*(D113/1000))+((B113/1000)*(C113/1000)))*4)+((((D113/1000)+(C113/1000))*0.016)*4)+(((C113/1000)*(D113/1000))*2),IF(OR(ISERROR(FIND(""shelf"",A113))=FALSE,ISERROR(FIND(""spacer"",A113))=FALSE,,ISERROR(FIND("&amp;"""filler panel"",A113))=FALSE),(((C113/1000)*(D113/1000))*2)+((((C113+D113)*2)/1000)*0.022),IF(ISERROR(FIND(""lost corner"",A113))=FALSE,(((B113/1000)*(C113/1000))*2)+((B113/1000)*(C113/1000))+((B113/1000)*((C113/2)/1000))+((((B113/1000)*0.025)+((C113/100"&amp;"0)*0.025))*2),IF(ISERROR(FIND(""carcass"",A113))=FALSE,(((C113/1000)*(D113/1000))*2)+(((B113/1000)*(D113/1000))*2)+((B113/1000)*(C113/1000))+((((B113/1000)*0.025)+((C113/1000)*0.025))*2),IF(AND(ISERROR(FIND(""door"",A113))=FALSE,KitchenDoorStyle=""Flat"")"&amp;",(((B113/1000)*(C113/1000))*2)+(MID(KitchenDoorMaterial,FIND(""("",KitchenDoorMaterial)+1,2)/1000)*(((B113+C113)/1000)*2),IF(AND(ISERROR(FIND(""door"",A113))=FALSE,LEFT(KitchenDoorStyle,5)=""Panel""),(((B113/1000)*(C113/1000))*2)+((MID(KitchenDoorMaterial"&amp;",FIND(""("",KitchenDoorMaterial)+1,2)/1000)*(((B113+C113)/1000)*2))+(((((B113-160)+(C113-160))*2)/1000)*(0.013)),IF(AND(ISERROR(FIND(""door"",A113))=FALSE,KitchenDoorStyle=""In-frame flat""),((((B113-76)/1000)*((C113-38)/1000))*2)+(MID(KitchenDoorMaterial"&amp;",FIND(""("",KitchenDoorMaterial)+1,2)/1000)*((((B113-76)+(C113-38))/1000)*2)+(((B113/1000)*0.032)*2)+((((B113-76)/1000)*0.032)*2)+(((B113/1000)*0.019)*4)+(((C113/1000)*0.032)*2)+((((C113-38)/1000)*0.032)*2)+(((C113/1000)*0.038)*4),IF(AND(ISERROR(FIND(""do"&amp;"or"",A113))=FALSE,LEFT(KitchenDoorStyle,14)=""In-frame panel""),((((B113-76)/1000)*((C113-38)/1000))*2)+((MID(KitchenDoorMaterial,FIND(""("",KitchenDoorMaterial)+1,2)/1000)*((((B113-76)+(C113-38))/1000)*2))+((((B113-236)/1000)+((C113-198)/1000)*2)*0.013)+"&amp;"(((B113/1000)*0.032)*2)+((((B113-76)/1000)*0.032)*2)+(((B113/1000)*0.019)*4)+(((C113/1000)*0.032)*2)+((((C113-38)/1000)*0.032)*2)+(((C113/1000)*0.038)*4),IF(ISERROR(FIND(""Plinth"",A113))=FALSE,((B113/1000)*(C113/1000))+(((C113/1000)*0.018)*2)+(((B113/100"&amp;"0)*0.018)*2),IF(ISERROR(FIND(""Cornice"",A113))=FALSE,(((C113/1000)*0.1)*2)+(((C113/1000)*0.044)*2)+(((B113/1000)*0.08)*2),IF(ISERROR(FIND(""Base end panel"",A113))=FALSE,((B113/1000)*(C113/1000))+(0.022*((B113/1000)+((C113/1000)*2)))+((B113/1000)*0.05),I"&amp;"F(ISERROR(FIND(""Wall end panel"",A113))=FALSE,((B113/1000)*(C113/1000))+(0.022*((B113/1000)+((C113/1000)*2)))+((B113/1000)*0.05),IF(ISERROR(FIND(""Tower end panel"",A113))=FALSE,((B113/1000)*(C113/1000))+(0.022*((B113/1000)+((C113/1000)*2)))+((B113/1000)"&amp;"*0.05),IF(ISERROR(FIND(""Fillers"",A113))=FALSE,((C113/1000)*0.06)+((C113/1000)*0.069)+((0.06*0.018)*2)+((0.06*0.009)*2)+((C113/1000)*0.009)+((C113/1000)*0.018),IF(ISERROR(FIND(""corner post"",A113))=FALSE,(((B113/1000*0.05)*2)+((B113/1000)*0.022)*2)+((B1"&amp;"13/1000)*0.072)+((B113/1000)*0.05)+((0.072*0.022)*2)+((0.05*0.022)*2),IF(ISERROR(FIND(""Pelmet"",A113))=FALSE,((C113/1000)*0.05)+((C113/1000)*0.068)+((0.05*0.018)*4)+(((C113/1000)*0.018))*2))))))))))))))))))))))))))))"),"")</f>
        <v/>
      </c>
      <c r="N113" s="152" t="str">
        <f>IF(M113="","",IF(AND(ISERROR(FIND("carcass",A113))=TRUE,ISERROR(FIND("unit",A113))=TRUE,ISERROR(FIND("insert",A113))=TRUE,ISERROR(FIND("rack",A113))=TRUE,ISERROR(FIND("box",A113))=TRUE,ISERROR(FIND("shelf",#REF!))=TRUE),VLOOKUP(KitchenDoorFinish,Finishing!$A$2:$K$10,9,0)*M113,VLOOKUP(KitchenCarcassFinish,Finishing!$A$2:$K$40,9,0)*M113))</f>
        <v/>
      </c>
      <c r="O113" s="155"/>
      <c r="P113" s="155"/>
      <c r="Q113" s="152" t="str">
        <f>IF(OR(O113="",P113=""),"",((O113*X113)*(VLOOKUP("Workshop",Labour!$A$3:$E$20,4,0)/8))+((P113*AE113)*(VLOOKUP("Finishing",Labour!$A$3:$E$20,4,0)/8)))</f>
        <v/>
      </c>
      <c r="R113" s="152" t="str">
        <f t="shared" si="4"/>
        <v/>
      </c>
      <c r="S113" s="156" t="str">
        <f>IF(OR(O113="",P113=""),"",IF(OR(ISERROR(FIND("carcass",$A113))=FALSE,ISERROR(FIND("unit",$A113))=FALSE),VLOOKUP(KitchenCarcassMaterial,FixedListsCarcassMaterial,2,0),0))</f>
        <v/>
      </c>
      <c r="T113" s="156" t="str">
        <f>IF(OR(O113="",P113=""),"",IF(ISERROR(FIND("door",$A113))=FALSE,VLOOKUP(KitchenDoorStyle,FixedListsDoorStyle,2,0),0))</f>
        <v/>
      </c>
      <c r="U113" s="156" t="str">
        <f>IF(OR(O113="",P113=""),"",IF(ISERROR(FIND("door",$A113))=FALSE,VLOOKUP(KitchenDoorMaterial,FixedListsDoorMaterial,2,0),0))</f>
        <v/>
      </c>
      <c r="V113" s="156" t="str">
        <f>IF(OR(O113="",P113=""),"",IF(ISERROR(FIND("drawer",$A113))=FALSE,VLOOKUP(KitchenDrawerType,FixedListsDrawerType,2,0),0))</f>
        <v/>
      </c>
      <c r="W113" s="156" t="str">
        <f>IF(OR(O113="",P113=""),"",IF(OR(S113&gt;0, T113&gt;0,V113&gt;0),VLOOKUP(KitchenHandleType,FixedListsHandleType,2,FALSE)*IF(KitchenHandleType="Simple",0,IF(S113&gt;0,VLOOKUP(KitchenHandleType,FixedListsHandleType,4,FALSE),IF(OR(T113&gt;0,V113&gt;0),1-VLOOKUP(KitchenHandleType,FixedListsHandleType,4,FALSE),"Error"))),0))</f>
        <v/>
      </c>
      <c r="X113" s="156" t="str">
        <f t="shared" si="5"/>
        <v/>
      </c>
      <c r="Y113" s="156" t="str">
        <f>IF(OR(O113="",P113=""),"",IF(OR(ISERROR(FIND("carcass",$A113))=FALSE,ISERROR(FIND("unit",$A113))=FALSE),VLOOKUP(KitchenCarcassMaterial,FixedListsCarcassMaterial,3,0),0))</f>
        <v/>
      </c>
      <c r="Z113" s="156" t="str">
        <f>IF(OR(O113="",P113=""),"",IF(ISERROR(FIND("door",$A113))=FALSE,VLOOKUP(KitchenDoorStyle,FixedListsDoorStyle,3,0),0))</f>
        <v/>
      </c>
      <c r="AA113" s="156" t="str">
        <f>IF(OR(O113="",P113=""),"",IF(ISERROR(FIND("door",$A113))=FALSE,VLOOKUP(KitchenDoorMaterial,FixedListsDoorMaterial,3,0),0))</f>
        <v/>
      </c>
      <c r="AB113" s="156" t="str">
        <f>IF(OR(O113="",P113=""),"",IF(ISERROR(FIND("drawer",$A113))=FALSE,VLOOKUP(KitchenDrawerType,FixedListsDrawerType,3,0),0))</f>
        <v/>
      </c>
      <c r="AC113" s="156" t="str">
        <f>IF(OR(O113="",P113=""),"",IF(OR(Y113&gt;0,Z113&gt;0,AB113&gt;0),VLOOKUP(KitchenHandleType,FixedListsHandleType,3,FALSE),0))</f>
        <v/>
      </c>
      <c r="AD113" s="156" t="str">
        <f>IF(OR(O113="",P113=""),"",IF(OR(ISERROR(FIND("carcass",$A113))=FALSE,ISERROR(FIND("unit",$A113))=FALSE),VLOOKUP(KitchenCarcassFinish,FixedListsFinishes,3,0),IF(OR(ISERROR(FIND("door",$A113))=FALSE,ISERROR(FIND("Plinth",$A113))=FALSE,ISERROR(FIND("Cornice",$A113))=FALSE,ISERROR(FIND("Fillers",$A113))=FALSE,ISERROR(FIND("Pelmet",$A113))=FALSE,ISERROR(FIND("panel",$A113))=FALSE,ISERROR(FIND("post",$A113))=FALSE),VLOOKUP(KitchenDoorFinish,FixedListsFinishes,3,0),IF(OR(ISERROR(FIND("drawer",$A113))=FALSE,ISERROR(FIND("insert",$A113))=FALSE,ISERROR(FIND("rck",$A113))=FALSE),VLOOKUP(KitchenCarcassFinish,FixedListsFinishes,3,0),0))))</f>
        <v/>
      </c>
      <c r="AE113" s="156" t="str">
        <f t="shared" si="6"/>
        <v/>
      </c>
      <c r="AF113" s="157" t="str">
        <f>IF(AND(KitchenHandleType="Channel",OR(ISERROR(FIND("arcass",$A113))=FALSE,ISERROR(FIND("unit",$A113))=FALSE)),IF(ISERROR(FIND("Tower",$A113))=TRUE,IF(KitchenHandleFinish="Match carcass",IF(ISERROR(FIND("Walnut",KitchenCarcassMaterial))=FALSE,(0.035*0.075*($C113/1000))*VLOOKUP("Walnut (solid m3)",SolidData,4,FALSE),IF(ISERROR(FIND("Oak",KitchenCarcassMaterial))=FALSE,(0.035*0.075*($C113/1000))*VLOOKUP("Oak (solid m3)",SolidData,4,FALSE),IF(ISERROR(FIND("ply",KitchenCarcassMaterial))=FALSE,(0.1*($C113/1000))*VLOOKUP("Birch ply (24mm)",SheetsData,7,FALSE),IF(ISERROR(FIND("H/F",KitchenCarcassMaterial))=FALSE,(0.1*($C113/1000))*VLOOKUP("H/F (22mm)",SheetsData,7,FALSE),"Carcass - not tower - new material")))),IF(KitchenHandleFinish="Match door",IF(ISERROR(FIND("Walnut",KitchenDoorMaterial))=FALSE,(0.035*0.075*($C113/1000))*VLOOKUP("Walnut (solid m3)",SolidData,4,FALSE),IF(ISERROR(FIND("Oak",KitchenDoorMaterial))=FALSE,(0.035*0.075*($C113/1000))*VLOOKUP("Oak (solid m3)",SolidData,4,FALSE),IF(ISERROR(FIND("ply",KitchenDoorMaterial))=FALSE,(0.1*($C113/1000))*VLOOKUP("Birch ply (24mm)",SheetsData,7,FALSE),IF(ISERROR(FIND("H/F",KitchenCarcassMaterial))=FALSE,(0.1*($C113/1000))*VLOOKUP("H/F (22mm)",SheetsData,7,FALSE),"Door - not tower - new material")))),"Channel - not tower - handle set to other")),IF(ISERROR(FIND("Tower",$A113))=FALSE,IF(KitchenHandleFinish="Match carcass",IF(ISERROR(FIND("Walnut",KitchenCarcassMaterial))=FALSE,(0.035*0.075*($B113/1000))*VLOOKUP("Walnut (solid m3)",SolidData,4,FALSE),IF(ISERROR(FIND("Oak",KitchenCarcassMaterial))=FALSE,(0.035*0.075*($B113/1000))*VLOOKUP("Oak (solid m3)",SolidData,4,FALSE),IF(ISERROR(FIND("ply",KitchenCarcassMaterial))=FALSE,(0.1*($B113/1000))*VLOOKUP("Birch ply (24mm)",SheetsData,7,FALSE),IF(ISERROR(FIND("H/F",KitchenCarcassMaterial))=FALSE,(0.1*($C113/1000))*VLOOKUP("H/F (22mm)",SheetsData,7,FALSE),"Carcass - tower - new material")))),IF(KitchenHandleFinish="Match door",IF(ISERROR(FIND("Walnut",KitchenDoorMaterial))=FALSE,(0.035*0.075*($B113/1000))*VLOOKUP("Walnut (solid m3)",SolidData,4,FALSE),IF(ISERROR(FIND("Oak",KitchenDoorMaterial))=FALSE,(0.035*0.075*($B113/1000))*VLOOKUP("Oak (solid m3)",SolidData,4,FALSE),IF(ISERROR(FIND("ply",KitchenDoorMaterial))=FALSE,(0.1*($B113/1000))*VLOOKUP("Birch ply (24mm)",SheetData,7,FALSE),IF(ISERROR(FIND("H/F",KitchenCarcassMaterial))=FALSE,(0.1*($C113/1000))*VLOOKUP("H/F (22mm)",SheetsData,7,FALSE),"Door - tower - new material")))),"Channel - tower - handle set to other")))),"")</f>
        <v/>
      </c>
    </row>
    <row r="114">
      <c r="A114" s="150"/>
      <c r="B114" s="115" t="str">
        <f t="shared" si="1"/>
        <v/>
      </c>
      <c r="C114" s="115" t="str">
        <f>IFERROR(__xludf.DUMMYFUNCTION("IF(A114="""","""",IF(OR(RIGHT(A114,LEN(A114)-len(regexextract(A114,"".* "")))=""1200"",RIGHT(A114,LEN(A114)-len(regexextract(A114,"".* "")))=""600"",RIGHT(A114,LEN(A114)-len(regexextract(A114,"".* "")))=""400"",RIGHT(A114,LEN(A114)-len(regexextract(A114,"&amp;""".* "")))=""300"",RIGHT(A114,LEN(A114)-len(regexextract(A114,"".* "")))=""700"",RIGHT(A114,LEN(A114)-len(regexextract(A114,"".* "")))=""2400"",RIGHT(A114,LEN(A114)-len(regexextract(A114,"".* "")))=""650"",RIGHT(A114,LEN(A114)-len(regexextract(A114,"".* "&amp;""")))=""350"",RIGHT(A114,LEN(A114)-len(regexextract(A114,"".* "")))=""50""),RIGHT(A114,LEN(A114)-len(regexextract(A114,"".* ""))),IF(OR(ISERROR(FIND(""spacer"",A114))=FALSE,ISERROR(FIND(""filler panel"",A114))=FALSE),""1000"",""Unexpected size in descript"&amp;"ion"")))"),"")</f>
        <v/>
      </c>
      <c r="D114" s="151" t="str">
        <f t="shared" si="2"/>
        <v/>
      </c>
      <c r="E114" s="152" t="str">
        <f>IFERROR(__xludf.DUMMYFUNCTION("IF(OR(A114="""",AND(ISERROR(FIND(""drawer box"",A114))=FALSE,KitchenDrawerType="""")),"""",IF(OR(ISERROR(FIND(""larder"",A114))=FALSE,ISERROR(FIND(""fridge/freezer"",A114))=FALSE,ISERROR(FIND(""double oven"",A114))=FALSE,ISERROR(FIND(""single oven"",A114)"&amp;")=FALSE),VLOOKUP(LEFT(A114,FIND("" "",A114))&amp;""carcass ""&amp;RIGHT(A114,LEN(A114)-(LEN(A114)-3)),KitchensData,5,0),IF(ISERROR(FIND(""sink"",A114))=FALSE,VLOOKUP(LEFT(A114,FIND("" "",A114))&amp;""carcass ""&amp;VALUE(REGEXREPLACE(A114,""[^[:digit:]]"", """")),Kitchen"&amp;"sData,5,0)+(((C114/1000)*(300/1000))*VLOOKUP(KitchenCarcassMaterial,SheetsData,8,0)),IF(ISERROR(FIND(""bins"",A114))=FALSE,IF(ISERROR(FIND(""veneer"",KitchenCarcassMaterial))=FALSE,VLOOKUP(""Base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600"",A114))=FALSE,IF(ISERR"&amp;"OR(FIND(""veneer"",KitchenCarcassMaterial))=FALSE,0.54*(VLOOKUP(LEFT(KitchenCarcassMaterial,FIND(""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1"&amp;"200"",A114))=FALSE,IF(ISERROR(FIND(""veneer"",KitchenCarcassMaterial))=FALSE,0.84*(VLOOKUP(LEFT(KitchenCarcassMaterial,FIND(""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600"",A114))=FALSE,IF(ISERROR(FIND(""veneer"",KitchenCarcassMaterial))=FALSE,1.44*(VLOOKUP(LEFT(KitchenCarcassMaterial,FIND(""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1200"",A114))=FALSE,IF(ISERROR(FIND(""veneer"",KitchenCarcassMaterial))=FALSE,2.7*(VLOOKUP(LEFT(KitchenCarcassMaterial,FIND(""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front"",A114))=FALSE,((B114/1000)*(C114/1000))*VLOOKUP(KitchenDoorMaterial,SheetsData,8,0),IF(AND(KitchenDrawerType=""Match carcass"",ISERROR(FIND(""drawer box"",A114))=FALSE),(((((B114/10"&amp;"00)*(C114/1000))+((B114/1000)*(D114/1000)))*2)*VLOOKUP(KitchenCarcassMaterial,SheetsData,8,0))+(((C114/1000)*(D114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box"",A114))=FALSE),(((((B114/1000)*(C114/1000))+((B114/1000)*(D114/1000)))*2)*(16/1000)*VLOOKUP(L"&amp;"EFT(KitchenCarcassMaterial,FIND("" "",KitchenCarcassMaterial))&amp;""(solid m3)"",SolidData,5,0))+(((C114/1000)*(D114/1000))*VLOOKUP(LEFT(KitchenCarcassMaterial,FIND(""("",KitchenCarcassMaterial)-1)&amp;IF(OR(ISERROR(FIND(""ply"",KitchenCarcassMaterial))=FALSE,IS"&amp;"ERROR(FIND(""H/F"",KitchenCarcassMaterial))=FALSE),""(9mm)"",""(10mm)""),SheetsData,8,0)),IF(ISERROR(FIND(""spacer"",A114))=FALSE,((D114/1000)*(C114/1000))*VLOOKUP(""Poplar ply (18mm)"",SheetsData,8,0),IF(ISERROR(FIND(""filler panel"",A114))=FALSE,((B114/"&amp;"1000)*(C114/1000))*VLOOKUP(KitchenDoorMaterial,SheetsData,8,0),IF(ISERROR(FIND(""shelf"",A114))=FALSE,((D114/1000)*(C114/1000))*VLOOKUP(KitchenCarcassMaterial,SheetsData,8,0),IF(ISERROR(FIND(""lost corner"",A114))=FALSE,VLOOKUP(LEFT(A114,FIND("" "",A114))"&amp;"&amp;""carcass ""&amp;VALUE(REGEXREPLACE(A114,""[^[:digit:]]"", """")),KitchensData,5,0)+((((B114/1000)*(C114/1000))+((B114/1000)*(60/1000)))*VLOOKUP(KitchenCarcassMaterial,SheetsData,8,0)),IF(ISERROR(FIND(""carcass"",A114))=FALSE,(((((B114/1000)*2)*(D114/1000))+"&amp;"(((C114/1000)*2)*(D114/1000)))*VLOOKUP(KitchenCarcassMaterial,SheetsData,8,0))+((B114/1000)*(C114/1000))*VLOOKUP(LEFT(KitchenCarcassMaterial,FIND(""("",KitchenCarcassMaterial)-1)&amp;IF(OR(ISERROR(FIND(""ply"",KitchenCarcassMaterial))=FALSE,ISERROR(FIND(""H/F"&amp;""",KitchenCarcassMaterial))=FALSE),""(9mm)"",""(10mm)""),SheetsData,8,0),IF(OR(ISERROR(FIND(""Plinth"",A114))=FALSE,ISERROR(FIND(""Cornice (flat)"",A114))=FALSE),((B114/1000)*(C114/1000))*VLOOKUP(""H/F (18mm)"",SheetsData,8,0),IF(ISERROR(FIND(""Cornice (s"&amp;"tacked)"",A114))=FALSE,((0.08*(C114/1000))*2)*VLOOKUP(""H/F (22mm)"",SheetsData,8,0),IF(ISERROR(FIND(""Base end panel"",A114))=FALSE,VLOOKUP(KitchenDoorMaterial,SheetsData,5,0)/3,IF(ISERROR(FIND(""Wall end panel"",A114))=FALSE,VLOOKUP(KitchenDoorMaterial,"&amp;"SheetsData,5,0)/9,IF(ISERROR(FIND(""Tower end panel"",A114))=FALSE,VLOOKUP(KitchenDoorMaterial,SheetsData,5,0),IF(ISERROR(FIND(""Fillers"",A114))=FALSE,(((0.06*(C114/1000))*2)*VLOOKUP(""H/F (18mm)"",SheetsData,8,0))+(((0.06*(C114/1000))*2)*VLOOKUP(""H/F ("&amp;"9mm)"",SheetsData,8,0)),IF(ISERROR(FIND(""corner post"",A114))=FALSE,(((B114/1000)*0.05)*2)*VLOOKUP(KitchenDoorMaterial,SheetsData,8,0),IF(ISERROR(FIND(""Pelmet"",A114))=FALSE,((((B114/1000)*(C114/1000))*2)*VLOOKUP(""H/F (18mm)"",SheetsData,8,0)),IF(ISERR"&amp;"OR(FIND(""door"",A114))=TRUE,""Check description"",IF(KitchenDoorStyle=""Flat"",((B114/1000)*(C114/1000))*VLOOKUP(KitchenDoorMaterial,SheetsData,8,0),IF(LEFT(KitchenDoorStyle,5)=""Panel"",(((((B114/1000)*2)*0.08)+((((C114/1000)-0.16)*2)*0.08))*VLOOKUP(""H"&amp;"/F (22mm)"",SheetsData,8,0))+(((B114/1000)-0.14)*((C114/1000)-0.14)*VLOOKUP(""H/F (9mm)"",SheetsData,8,0)),IF(KitchenDoorStyle=""In-frame flat"",((((((B114/1000)*0.019)*0.038)+((((C114-38)/1000)*0.038)*0.038))*2)*VLOOKUP(""Tulip (solid m3)"",SolidData,5,0"&amp;"))+(((B114-76)/1000)*((C114-38)/1000))*VLOOKUP(""H/F (22mm)"",SheetsData,8,0),IF(LEFT(KitchenDoorStyle,14)=""In-frame panel"",(((((((B114/1000)*0.019)*0.038)+((((C114-38)/1000)*0.038)*0.038))*2)*VLOOKUP(""Tulip (solid m3)"",SolidData,5,0))+(((((((B114-76)"&amp;"/1000)*2)*0.08)+(((((C114-198)/1000)*2)*0.08)))*VLOOKUP(""H/F (22mm)"",SheetsData,8,0))+(((B114-216)/1000)*((C114-178)/1000)*VLOOKUP(""H/F (9mm)"",SheetsData,8,0)))))))))))))))))))))))))))))))))"),"")</f>
        <v/>
      </c>
      <c r="F114" s="152" t="str">
        <f>IFERROR(__xludf.DUMMYFUNCTION("IF(OR(A114="""",AND(ISERROR(FIND(""drawer box"",A114))=FALSE,KitchenDrawerType=""Solid dovetail"")),"""",IF(ISERROR(FIND(""bins"",A114))=FALSE,VLOOKUP(""Base carcass 600"",KitchensData,6,0),IF(OR(ISERROR(FIND(""larder"",A114))=FALSE,ISERROR(FIND(""unit"","&amp;"A114))=FALSE),VLOOKUP(LEFT(A114,FIND("" "",A114))&amp;""carcass ""&amp;RIGHT(A114,LEN(A114)-len(regexextract(A114,"".* ""))),KitchensData,6,0),IF(ISERROR(FIND(""drawer front"",A114))=FALSE,IF(ISERROR(FIND(""veneer"",KitchenCarcassMaterial))=TRUE,0,(((B114+C114)/1"&amp;"000)*2)*VLOOKUP(""Edge banding (per M)"",SheetsData,5,0)),IF(ISERROR(FIND(""drawer box"",A114))=FALSE,IF(ISERROR(FIND(""veneer"",KitchenCarcassMaterial))=TRUE,0,(((C114+D114)/1000)*2)*VLOOKUP(""Edge banding (per M)"",SheetsData,5,0)),IF(ISERROR(FIND(""she"&amp;"lf"",A114))=FALSE,IF(ISERROR(FIND(""veneer"",KitchenCarcassMaterial))=TRUE,0,(C114/1000)*VLOOKUP(""Edge banding (per M)"",SheetsData,5,0)),IF(AND(ISERROR(FIND(""carcass"",A114))=FALSE,ISERROR(FIND(""shelf"",A114))=TRUE),IF(ISERROR(FIND(""veneer"",KitchenC"&amp;"arcassMaterial))=TRUE,0,((2*(B114+C114))/1000)*VLOOKUP(""Edge banding (per M)"",SheetsData,5,0)),IF(ISERROR(FIND(""door"",A114))=TRUE,"""",IF(ISERROR(FIND(""veneer"",KitchenDoorMaterial))=TRUE,"""",((2*(B114+C114))/1000)*VLOOKUP(""Edge banding (per M)"",S"&amp;"heetsData,5,0))))))))))"),"")</f>
        <v/>
      </c>
      <c r="G114" s="153" t="str">
        <f>IF(A114="","",IF(ISERROR(FIND("bins",A114))=FALSE,VLOOKUP("Base carcass 600",KitchensData,7,0),IF(OR(ISERROR(FIND("larder",A114))=FALSE,ISERROR(FIND("fridge/freezer",A114))=FALSE,ISERROR(FIND("double oven",A114))=FALSE,ISERROR(FIND("single oven",A114))=FALSE),VLOOKUP(LEFT(A114,FIND(" ",A114))&amp;"carcass "&amp;RIGHT(A114,LEN(A114)-(LEN(A114)-3)),KitchensData,7,0),IF(AND(ISERROR(FIND("carcass",A114))=FALSE,ISERROR(FIND("shelf",A114))=TRUE),IF(OR(ISERROR(FIND("Base",A114))=FALSE,ISERROR(FIND("Tower",A114))=FALSE),IF(OR(ISERROR(FIND("1200",A114))=FALSE, ISERROR(FIND("lost corner",A114))=FALSE),6*VLOOKUP("Plinth foot (2 Parts 80mm)",FurnitureData,5,0),4*VLOOKUP("Plinth foot (2 Parts 80mm)",FurnitureData,5,0)),""),""))))</f>
        <v/>
      </c>
      <c r="H114" s="115" t="str">
        <f>IF(OR(A114="",ISERROR(FIND("door",A114))=TRUE),"",IF(ISERROR(FIND("Wall",A114))=FALSE,VLOOKUP("Hinges &amp; plates (Hettich thick door)",FurnitureData,5,0)*2,IF(ISERROR(FIND("Base",A114))=FALSE,VLOOKUP("Hinges &amp; plates (Hettich thick door)",FurnitureData,5,0)*3,IF(ISERROR(FIND("Boiler",A114))=FALSE,VLOOKUP("Hinges &amp; plates (Hettich thick door)",FurnitureData,5,0)*4,IF(ISERROR(FIND("Tower",A114))=FALSE,VLOOKUP("Hinges &amp; plates (Hettich thick door)",FurnitureData,5,0)*5)))))</f>
        <v/>
      </c>
      <c r="I114" s="115" t="str">
        <f>IF(ISERROR(FIND("shelf",A114))=FALSE,(VLOOKUP("Shelf pegs",FurnitureData,5,0)/100)*4,"")</f>
        <v/>
      </c>
      <c r="J114" s="152" t="str">
        <f>IF(OR(ISERROR(FIND("fridge/freezer",A114))=FALSE,ISERROR(FIND("larder",A114))=FALSE,AND(ISERROR(FIND("Base",A114))=FALSE,ISERROR(FIND("bins",A114))=TRUE,ISERROR(FIND("no shelves",A114))=TRUE,OR(ISERROR(FIND("carcass",A114))=FALSE,ISERROR(FIND("unit",A114))=FALSE))),VLOOKUP("Deep shelf "&amp;C114,KitchensData,18,0),IF(AND(ISERROR(FIND("Wall",A114))=FALSE,ISERROR(FIND("carcass",A114))=FALSE),2*VLOOKUP("Shallow shelf "&amp;C114,KitchensData,18,0),IF(AND(ISERROR(FIND("Tower",A114))=FALSE,ISERROR(FIND("oven",A114))=FALSE),4*VLOOKUP("Deep shelf "&amp;C114,KitchensData,18,0),IF(AND(ISERROR(FIND("Tower",A114))=FALSE,ISERROR(FIND("carcass",A114))=FALSE),5*VLOOKUP("Deep shelf "&amp;C114,KitchensData,18,0),""))))</f>
        <v/>
      </c>
      <c r="K114" s="152" t="str">
        <f>IF(ISERROR(FIND("sink",A114))=FALSE,VLOOKUP("Sink liner - Aluminium "&amp;RIGHT(A114,LEN(A114)-22)&amp;"mm",ExceptionalData,5,0),IF(ISERROR(FIND("bins",A114))=FALSE,VLOOKUP("Drawer runners and clip set for bin unit (500) Dynapro",FurnitureData,5,0)+(2*VLOOKUP("Bin (42L Anthracite)",FurnitureData,5,0)),IF(ISERROR(FIND("larder",A114))=FALSE,VLOOKUP("Pull out larder unit 600mm",FurnitureData,5,0),IF(AND(ISERROR(FIND("drawer box",A114))=FALSE,ISERROR(FIND("internal",A114))=TRUE),VLOOKUP("Drawer runners and clip set (550) Dynapro",FurnitureData,5,0),IF(ISERROR(FIND("internal drawer box",A114))=FALSE,VLOOKUP("Drawer runners and clip set (450) Dynapro",FurnitureData,5,0),"")))))</f>
        <v/>
      </c>
      <c r="L114" s="152" t="str">
        <f t="shared" si="3"/>
        <v/>
      </c>
      <c r="M114" s="154" t="str">
        <f>IFERROR(__xludf.DUMMYFUNCTION("IF(A114="""","""",IF(OR(ISERROR(FIND(""larder"",A114))=FALSE,ISERROR(FIND(""unit"",A114))=FALSE),VLOOKUP(LEFT(A114,FIND("" "",A114))&amp;""carcass ""&amp;RIGHT(A114,LEN(A114)-len(regexextract(A114,"".* ""))),KitchensData,13,0),IF(ISERROR(FIND(""bins"",A114))=FALS"&amp;"E,0.95,IF(ISERROR(FIND(""Cutlery insert 600"",A114))=FALSE,1.3,IF(ISERROR(FIND(""Cutlery insert 1200"",A114))=FALSE,2,IF(ISERROR(FIND(""Pan/tray rack 600"",A114))=FALSE,3.25,IF(ISERROR(FIND(""Pan/tray rack 1200"",A114))=FALSE,5.9,IF(ISERROR(FIND(""split"""&amp;",A114))=FALSE,(((C114/1000)*0.022)*2)+VLOOKUP(SUBSTITUTE(A114,"" split"",""""),KitchensData,13,0),IF(AND(ISERROR(FIND(""drawer front"",A114))=FALSE,KitchenDoorStyle=""Flat""),(((B114/1000)*(C114/1000))*2)+((((B114+C114)/1000)*2)*0.022),IF(AND(ISERROR(FIND"&amp;"(""drawer front"",A114))=FALSE,LEFT(KitchenDoorStyle,5)=""Panel""),(((B114/1000)*(C114/1000))*2)+((((B114+C114)/1000)*2)*0.022)+((((C114/1000)-0.16)*0.013)*2)+((((D114/1000)-0.16)*0.013)*2),IF(AND(ISERROR(FIND(""drawer front"",A114))=FALSE,KitchenDoorStyl"&amp;"e=""In-frame flat""),((((B114-76)/1000)*((C114-38)/1000))*2)+(MID(KitchenDoorMaterial,FIND(""("",KitchenDoorMaterial)+1,2)/1000)*((((B114-76)+(C114-38))/1000)*2)+(((B114/1000)*0.032)*2)+((((B114-76)/1000)*0.032)*2)+(((B114/1000)*0.019)*4)+(((C114/1000)*0."&amp;"032)*2)+((((C114-38)/1000)*0.032)*2)+(((C114/1000)*0.038)*4),IF(AND(ISERROR(FIND(""drawer front"",A114))=FALSE,LEFT(KitchenDoorStyle,14)=""In-frame panel""),((((B114-76)/1000)*((C114-38)/1000))*2)+((MID(KitchenDoorMaterial,FIND(""("",KitchenDoorMaterial)+"&amp;"1,2)/1000)*((((B114-76)+(C114-38))/1000)*2))+((((B114-236)/1000)+((C114-198)/1000)*2)*0.013)+(((B114/1000)*0.032)*2)+((((B114-76)/1000)*0.032)*2)+(((B114/1000)*0.019)*4)+(((C114/1000)*0.032)*2)+((((C114-38)/1000)*0.032)*2)+(((C114/1000)*0.038)*4),IF(ISERR"&amp;"OR(FIND(""drawer box"",A114))=FALSE,((((B114/1000)*(D114/1000))+((B114/1000)*(C114/1000)))*4)+((((D114/1000)+(C114/1000))*0.016)*4)+(((C114/1000)*(D114/1000))*2),IF(OR(ISERROR(FIND(""shelf"",A114))=FALSE,ISERROR(FIND(""spacer"",A114))=FALSE,,ISERROR(FIND("&amp;"""filler panel"",A114))=FALSE),(((C114/1000)*(D114/1000))*2)+((((C114+D114)*2)/1000)*0.022),IF(ISERROR(FIND(""lost corner"",A114))=FALSE,(((B114/1000)*(C114/1000))*2)+((B114/1000)*(C114/1000))+((B114/1000)*((C114/2)/1000))+((((B114/1000)*0.025)+((C114/100"&amp;"0)*0.025))*2),IF(ISERROR(FIND(""carcass"",A114))=FALSE,(((C114/1000)*(D114/1000))*2)+(((B114/1000)*(D114/1000))*2)+((B114/1000)*(C114/1000))+((((B114/1000)*0.025)+((C114/1000)*0.025))*2),IF(AND(ISERROR(FIND(""door"",A114))=FALSE,KitchenDoorStyle=""Flat"")"&amp;",(((B114/1000)*(C114/1000))*2)+(MID(KitchenDoorMaterial,FIND(""("",KitchenDoorMaterial)+1,2)/1000)*(((B114+C114)/1000)*2),IF(AND(ISERROR(FIND(""door"",A114))=FALSE,LEFT(KitchenDoorStyle,5)=""Panel""),(((B114/1000)*(C114/1000))*2)+((MID(KitchenDoorMaterial"&amp;",FIND(""("",KitchenDoorMaterial)+1,2)/1000)*(((B114+C114)/1000)*2))+(((((B114-160)+(C114-160))*2)/1000)*(0.013)),IF(AND(ISERROR(FIND(""door"",A114))=FALSE,KitchenDoorStyle=""In-frame flat""),((((B114-76)/1000)*((C114-38)/1000))*2)+(MID(KitchenDoorMaterial"&amp;",FIND(""("",KitchenDoorMaterial)+1,2)/1000)*((((B114-76)+(C114-38))/1000)*2)+(((B114/1000)*0.032)*2)+((((B114-76)/1000)*0.032)*2)+(((B114/1000)*0.019)*4)+(((C114/1000)*0.032)*2)+((((C114-38)/1000)*0.032)*2)+(((C114/1000)*0.038)*4),IF(AND(ISERROR(FIND(""do"&amp;"or"",A114))=FALSE,LEFT(KitchenDoorStyle,14)=""In-frame panel""),((((B114-76)/1000)*((C114-38)/1000))*2)+((MID(KitchenDoorMaterial,FIND(""("",KitchenDoorMaterial)+1,2)/1000)*((((B114-76)+(C114-38))/1000)*2))+((((B114-236)/1000)+((C114-198)/1000)*2)*0.013)+"&amp;"(((B114/1000)*0.032)*2)+((((B114-76)/1000)*0.032)*2)+(((B114/1000)*0.019)*4)+(((C114/1000)*0.032)*2)+((((C114-38)/1000)*0.032)*2)+(((C114/1000)*0.038)*4),IF(ISERROR(FIND(""Plinth"",A114))=FALSE,((B114/1000)*(C114/1000))+(((C114/1000)*0.018)*2)+(((B114/100"&amp;"0)*0.018)*2),IF(ISERROR(FIND(""Cornice"",A114))=FALSE,(((C114/1000)*0.1)*2)+(((C114/1000)*0.044)*2)+(((B114/1000)*0.08)*2),IF(ISERROR(FIND(""Base end panel"",A114))=FALSE,((B114/1000)*(C114/1000))+(0.022*((B114/1000)+((C114/1000)*2)))+((B114/1000)*0.05),I"&amp;"F(ISERROR(FIND(""Wall end panel"",A114))=FALSE,((B114/1000)*(C114/1000))+(0.022*((B114/1000)+((C114/1000)*2)))+((B114/1000)*0.05),IF(ISERROR(FIND(""Tower end panel"",A114))=FALSE,((B114/1000)*(C114/1000))+(0.022*((B114/1000)+((C114/1000)*2)))+((B114/1000)"&amp;"*0.05),IF(ISERROR(FIND(""Fillers"",A114))=FALSE,((C114/1000)*0.06)+((C114/1000)*0.069)+((0.06*0.018)*2)+((0.06*0.009)*2)+((C114/1000)*0.009)+((C114/1000)*0.018),IF(ISERROR(FIND(""corner post"",A114))=FALSE,(((B114/1000*0.05)*2)+((B114/1000)*0.022)*2)+((B1"&amp;"14/1000)*0.072)+((B114/1000)*0.05)+((0.072*0.022)*2)+((0.05*0.022)*2),IF(ISERROR(FIND(""Pelmet"",A114))=FALSE,((C114/1000)*0.05)+((C114/1000)*0.068)+((0.05*0.018)*4)+(((C114/1000)*0.018))*2))))))))))))))))))))))))))))"),"")</f>
        <v/>
      </c>
      <c r="N114" s="152" t="str">
        <f>IF(M114="","",IF(AND(ISERROR(FIND("carcass",A114))=TRUE,ISERROR(FIND("unit",A114))=TRUE,ISERROR(FIND("insert",A114))=TRUE,ISERROR(FIND("rack",A114))=TRUE,ISERROR(FIND("box",A114))=TRUE,ISERROR(FIND("shelf",#REF!))=TRUE),VLOOKUP(KitchenDoorFinish,Finishing!$A$2:$K$10,9,0)*M114,VLOOKUP(KitchenCarcassFinish,Finishing!$A$2:$K$40,9,0)*M114))</f>
        <v/>
      </c>
      <c r="O114" s="155"/>
      <c r="P114" s="155"/>
      <c r="Q114" s="152" t="str">
        <f>IF(OR(O114="",P114=""),"",((O114*X114)*(VLOOKUP("Workshop",Labour!$A$3:$E$20,4,0)/8))+((P114*AE114)*(VLOOKUP("Finishing",Labour!$A$3:$E$20,4,0)/8)))</f>
        <v/>
      </c>
      <c r="R114" s="152" t="str">
        <f t="shared" si="4"/>
        <v/>
      </c>
      <c r="S114" s="156" t="str">
        <f>IF(OR(O114="",P114=""),"",IF(OR(ISERROR(FIND("carcass",$A114))=FALSE,ISERROR(FIND("unit",$A114))=FALSE),VLOOKUP(KitchenCarcassMaterial,FixedListsCarcassMaterial,2,0),0))</f>
        <v/>
      </c>
      <c r="T114" s="156" t="str">
        <f>IF(OR(O114="",P114=""),"",IF(ISERROR(FIND("door",$A114))=FALSE,VLOOKUP(KitchenDoorStyle,FixedListsDoorStyle,2,0),0))</f>
        <v/>
      </c>
      <c r="U114" s="156" t="str">
        <f>IF(OR(O114="",P114=""),"",IF(ISERROR(FIND("door",$A114))=FALSE,VLOOKUP(KitchenDoorMaterial,FixedListsDoorMaterial,2,0),0))</f>
        <v/>
      </c>
      <c r="V114" s="156" t="str">
        <f>IF(OR(O114="",P114=""),"",IF(ISERROR(FIND("drawer",$A114))=FALSE,VLOOKUP(KitchenDrawerType,FixedListsDrawerType,2,0),0))</f>
        <v/>
      </c>
      <c r="W114" s="156" t="str">
        <f>IF(OR(O114="",P114=""),"",IF(OR(S114&gt;0, T114&gt;0,V114&gt;0),VLOOKUP(KitchenHandleType,FixedListsHandleType,2,FALSE)*IF(KitchenHandleType="Simple",0,IF(S114&gt;0,VLOOKUP(KitchenHandleType,FixedListsHandleType,4,FALSE),IF(OR(T114&gt;0,V114&gt;0),1-VLOOKUP(KitchenHandleType,FixedListsHandleType,4,FALSE),"Error"))),0))</f>
        <v/>
      </c>
      <c r="X114" s="156" t="str">
        <f t="shared" si="5"/>
        <v/>
      </c>
      <c r="Y114" s="156" t="str">
        <f>IF(OR(O114="",P114=""),"",IF(OR(ISERROR(FIND("carcass",$A114))=FALSE,ISERROR(FIND("unit",$A114))=FALSE),VLOOKUP(KitchenCarcassMaterial,FixedListsCarcassMaterial,3,0),0))</f>
        <v/>
      </c>
      <c r="Z114" s="156" t="str">
        <f>IF(OR(O114="",P114=""),"",IF(ISERROR(FIND("door",$A114))=FALSE,VLOOKUP(KitchenDoorStyle,FixedListsDoorStyle,3,0),0))</f>
        <v/>
      </c>
      <c r="AA114" s="156" t="str">
        <f>IF(OR(O114="",P114=""),"",IF(ISERROR(FIND("door",$A114))=FALSE,VLOOKUP(KitchenDoorMaterial,FixedListsDoorMaterial,3,0),0))</f>
        <v/>
      </c>
      <c r="AB114" s="156" t="str">
        <f>IF(OR(O114="",P114=""),"",IF(ISERROR(FIND("drawer",$A114))=FALSE,VLOOKUP(KitchenDrawerType,FixedListsDrawerType,3,0),0))</f>
        <v/>
      </c>
      <c r="AC114" s="156" t="str">
        <f>IF(OR(O114="",P114=""),"",IF(OR(Y114&gt;0,Z114&gt;0,AB114&gt;0),VLOOKUP(KitchenHandleType,FixedListsHandleType,3,FALSE),0))</f>
        <v/>
      </c>
      <c r="AD114" s="156" t="str">
        <f>IF(OR(O114="",P114=""),"",IF(OR(ISERROR(FIND("carcass",$A114))=FALSE,ISERROR(FIND("unit",$A114))=FALSE),VLOOKUP(KitchenCarcassFinish,FixedListsFinishes,3,0),IF(OR(ISERROR(FIND("door",$A114))=FALSE,ISERROR(FIND("Plinth",$A114))=FALSE,ISERROR(FIND("Cornice",$A114))=FALSE,ISERROR(FIND("Fillers",$A114))=FALSE,ISERROR(FIND("Pelmet",$A114))=FALSE,ISERROR(FIND("panel",$A114))=FALSE,ISERROR(FIND("post",$A114))=FALSE),VLOOKUP(KitchenDoorFinish,FixedListsFinishes,3,0),IF(OR(ISERROR(FIND("drawer",$A114))=FALSE,ISERROR(FIND("insert",$A114))=FALSE,ISERROR(FIND("rck",$A114))=FALSE),VLOOKUP(KitchenCarcassFinish,FixedListsFinishes,3,0),0))))</f>
        <v/>
      </c>
      <c r="AE114" s="156" t="str">
        <f t="shared" si="6"/>
        <v/>
      </c>
      <c r="AF114" s="157" t="str">
        <f>IF(AND(KitchenHandleType="Channel",OR(ISERROR(FIND("arcass",$A114))=FALSE,ISERROR(FIND("unit",$A114))=FALSE)),IF(ISERROR(FIND("Tower",$A114))=TRUE,IF(KitchenHandleFinish="Match carcass",IF(ISERROR(FIND("Walnut",KitchenCarcassMaterial))=FALSE,(0.035*0.075*($C114/1000))*VLOOKUP("Walnut (solid m3)",SolidData,4,FALSE),IF(ISERROR(FIND("Oak",KitchenCarcassMaterial))=FALSE,(0.035*0.075*($C114/1000))*VLOOKUP("Oak (solid m3)",SolidData,4,FALSE),IF(ISERROR(FIND("ply",KitchenCarcassMaterial))=FALSE,(0.1*($C114/1000))*VLOOKUP("Birch ply (24mm)",SheetsData,7,FALSE),IF(ISERROR(FIND("H/F",KitchenCarcassMaterial))=FALSE,(0.1*($C114/1000))*VLOOKUP("H/F (22mm)",SheetsData,7,FALSE),"Carcass - not tower - new material")))),IF(KitchenHandleFinish="Match door",IF(ISERROR(FIND("Walnut",KitchenDoorMaterial))=FALSE,(0.035*0.075*($C114/1000))*VLOOKUP("Walnut (solid m3)",SolidData,4,FALSE),IF(ISERROR(FIND("Oak",KitchenDoorMaterial))=FALSE,(0.035*0.075*($C114/1000))*VLOOKUP("Oak (solid m3)",SolidData,4,FALSE),IF(ISERROR(FIND("ply",KitchenDoorMaterial))=FALSE,(0.1*($C114/1000))*VLOOKUP("Birch ply (24mm)",SheetsData,7,FALSE),IF(ISERROR(FIND("H/F",KitchenCarcassMaterial))=FALSE,(0.1*($C114/1000))*VLOOKUP("H/F (22mm)",SheetsData,7,FALSE),"Door - not tower - new material")))),"Channel - not tower - handle set to other")),IF(ISERROR(FIND("Tower",$A114))=FALSE,IF(KitchenHandleFinish="Match carcass",IF(ISERROR(FIND("Walnut",KitchenCarcassMaterial))=FALSE,(0.035*0.075*($B114/1000))*VLOOKUP("Walnut (solid m3)",SolidData,4,FALSE),IF(ISERROR(FIND("Oak",KitchenCarcassMaterial))=FALSE,(0.035*0.075*($B114/1000))*VLOOKUP("Oak (solid m3)",SolidData,4,FALSE),IF(ISERROR(FIND("ply",KitchenCarcassMaterial))=FALSE,(0.1*($B114/1000))*VLOOKUP("Birch ply (24mm)",SheetsData,7,FALSE),IF(ISERROR(FIND("H/F",KitchenCarcassMaterial))=FALSE,(0.1*($C114/1000))*VLOOKUP("H/F (22mm)",SheetsData,7,FALSE),"Carcass - tower - new material")))),IF(KitchenHandleFinish="Match door",IF(ISERROR(FIND("Walnut",KitchenDoorMaterial))=FALSE,(0.035*0.075*($B114/1000))*VLOOKUP("Walnut (solid m3)",SolidData,4,FALSE),IF(ISERROR(FIND("Oak",KitchenDoorMaterial))=FALSE,(0.035*0.075*($B114/1000))*VLOOKUP("Oak (solid m3)",SolidData,4,FALSE),IF(ISERROR(FIND("ply",KitchenDoorMaterial))=FALSE,(0.1*($B114/1000))*VLOOKUP("Birch ply (24mm)",SheetData,7,FALSE),IF(ISERROR(FIND("H/F",KitchenCarcassMaterial))=FALSE,(0.1*($C114/1000))*VLOOKUP("H/F (22mm)",SheetsData,7,FALSE),"Door - tower - new material")))),"Channel - tower - handle set to other")))),"")</f>
        <v/>
      </c>
    </row>
    <row r="115">
      <c r="A115" s="150"/>
      <c r="B115" s="115" t="str">
        <f t="shared" si="1"/>
        <v/>
      </c>
      <c r="C115" s="115" t="str">
        <f>IFERROR(__xludf.DUMMYFUNCTION("IF(A115="""","""",IF(OR(RIGHT(A115,LEN(A115)-len(regexextract(A115,"".* "")))=""1200"",RIGHT(A115,LEN(A115)-len(regexextract(A115,"".* "")))=""600"",RIGHT(A115,LEN(A115)-len(regexextract(A115,"".* "")))=""400"",RIGHT(A115,LEN(A115)-len(regexextract(A115,"&amp;""".* "")))=""300"",RIGHT(A115,LEN(A115)-len(regexextract(A115,"".* "")))=""700"",RIGHT(A115,LEN(A115)-len(regexextract(A115,"".* "")))=""2400"",RIGHT(A115,LEN(A115)-len(regexextract(A115,"".* "")))=""650"",RIGHT(A115,LEN(A115)-len(regexextract(A115,"".* "&amp;""")))=""350"",RIGHT(A115,LEN(A115)-len(regexextract(A115,"".* "")))=""50""),RIGHT(A115,LEN(A115)-len(regexextract(A115,"".* ""))),IF(OR(ISERROR(FIND(""spacer"",A115))=FALSE,ISERROR(FIND(""filler panel"",A115))=FALSE),""1000"",""Unexpected size in descript"&amp;"ion"")))"),"")</f>
        <v/>
      </c>
      <c r="D115" s="151" t="str">
        <f t="shared" si="2"/>
        <v/>
      </c>
      <c r="E115" s="152" t="str">
        <f>IFERROR(__xludf.DUMMYFUNCTION("IF(OR(A115="""",AND(ISERROR(FIND(""drawer box"",A115))=FALSE,KitchenDrawerType="""")),"""",IF(OR(ISERROR(FIND(""larder"",A115))=FALSE,ISERROR(FIND(""fridge/freezer"",A115))=FALSE,ISERROR(FIND(""double oven"",A115))=FALSE,ISERROR(FIND(""single oven"",A115)"&amp;")=FALSE),VLOOKUP(LEFT(A115,FIND("" "",A115))&amp;""carcass ""&amp;RIGHT(A115,LEN(A115)-(LEN(A115)-3)),KitchensData,5,0),IF(ISERROR(FIND(""sink"",A115))=FALSE,VLOOKUP(LEFT(A115,FIND("" "",A115))&amp;""carcass ""&amp;VALUE(REGEXREPLACE(A115,""[^[:digit:]]"", """")),Kitchen"&amp;"sData,5,0)+(((C115/1000)*(300/1000))*VLOOKUP(KitchenCarcassMaterial,SheetsData,8,0)),IF(ISERROR(FIND(""bins"",A115))=FALSE,IF(ISERROR(FIND(""veneer"",KitchenCarcassMaterial))=FALSE,VLOOKUP(""Base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600"",A115))=FALSE,IF(ISERR"&amp;"OR(FIND(""veneer"",KitchenCarcassMaterial))=FALSE,0.54*(VLOOKUP(LEFT(KitchenCarcassMaterial,FIND(""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1"&amp;"200"",A115))=FALSE,IF(ISERROR(FIND(""veneer"",KitchenCarcassMaterial))=FALSE,0.84*(VLOOKUP(LEFT(KitchenCarcassMaterial,FIND(""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600"",A115))=FALSE,IF(ISERROR(FIND(""veneer"",KitchenCarcassMaterial))=FALSE,1.44*(VLOOKUP(LEFT(KitchenCarcassMaterial,FIND(""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1200"",A115))=FALSE,IF(ISERROR(FIND(""veneer"",KitchenCarcassMaterial))=FALSE,2.7*(VLOOKUP(LEFT(KitchenCarcassMaterial,FIND(""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front"",A115))=FALSE,((B115/1000)*(C115/1000))*VLOOKUP(KitchenDoorMaterial,SheetsData,8,0),IF(AND(KitchenDrawerType=""Match carcass"",ISERROR(FIND(""drawer box"",A115))=FALSE),(((((B115/10"&amp;"00)*(C115/1000))+((B115/1000)*(D115/1000)))*2)*VLOOKUP(KitchenCarcassMaterial,SheetsData,8,0))+(((C115/1000)*(D115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box"",A115))=FALSE),(((((B115/1000)*(C115/1000))+((B115/1000)*(D115/1000)))*2)*(16/1000)*VLOOKUP(L"&amp;"EFT(KitchenCarcassMaterial,FIND("" "",KitchenCarcassMaterial))&amp;""(solid m3)"",SolidData,5,0))+(((C115/1000)*(D115/1000))*VLOOKUP(LEFT(KitchenCarcassMaterial,FIND(""("",KitchenCarcassMaterial)-1)&amp;IF(OR(ISERROR(FIND(""ply"",KitchenCarcassMaterial))=FALSE,IS"&amp;"ERROR(FIND(""H/F"",KitchenCarcassMaterial))=FALSE),""(9mm)"",""(10mm)""),SheetsData,8,0)),IF(ISERROR(FIND(""spacer"",A115))=FALSE,((D115/1000)*(C115/1000))*VLOOKUP(""Poplar ply (18mm)"",SheetsData,8,0),IF(ISERROR(FIND(""filler panel"",A115))=FALSE,((B115/"&amp;"1000)*(C115/1000))*VLOOKUP(KitchenDoorMaterial,SheetsData,8,0),IF(ISERROR(FIND(""shelf"",A115))=FALSE,((D115/1000)*(C115/1000))*VLOOKUP(KitchenCarcassMaterial,SheetsData,8,0),IF(ISERROR(FIND(""lost corner"",A115))=FALSE,VLOOKUP(LEFT(A115,FIND("" "",A115))"&amp;"&amp;""carcass ""&amp;VALUE(REGEXREPLACE(A115,""[^[:digit:]]"", """")),KitchensData,5,0)+((((B115/1000)*(C115/1000))+((B115/1000)*(60/1000)))*VLOOKUP(KitchenCarcassMaterial,SheetsData,8,0)),IF(ISERROR(FIND(""carcass"",A115))=FALSE,(((((B115/1000)*2)*(D115/1000))+"&amp;"(((C115/1000)*2)*(D115/1000)))*VLOOKUP(KitchenCarcassMaterial,SheetsData,8,0))+((B115/1000)*(C115/1000))*VLOOKUP(LEFT(KitchenCarcassMaterial,FIND(""("",KitchenCarcassMaterial)-1)&amp;IF(OR(ISERROR(FIND(""ply"",KitchenCarcassMaterial))=FALSE,ISERROR(FIND(""H/F"&amp;""",KitchenCarcassMaterial))=FALSE),""(9mm)"",""(10mm)""),SheetsData,8,0),IF(OR(ISERROR(FIND(""Plinth"",A115))=FALSE,ISERROR(FIND(""Cornice (flat)"",A115))=FALSE),((B115/1000)*(C115/1000))*VLOOKUP(""H/F (18mm)"",SheetsData,8,0),IF(ISERROR(FIND(""Cornice (s"&amp;"tacked)"",A115))=FALSE,((0.08*(C115/1000))*2)*VLOOKUP(""H/F (22mm)"",SheetsData,8,0),IF(ISERROR(FIND(""Base end panel"",A115))=FALSE,VLOOKUP(KitchenDoorMaterial,SheetsData,5,0)/3,IF(ISERROR(FIND(""Wall end panel"",A115))=FALSE,VLOOKUP(KitchenDoorMaterial,"&amp;"SheetsData,5,0)/9,IF(ISERROR(FIND(""Tower end panel"",A115))=FALSE,VLOOKUP(KitchenDoorMaterial,SheetsData,5,0),IF(ISERROR(FIND(""Fillers"",A115))=FALSE,(((0.06*(C115/1000))*2)*VLOOKUP(""H/F (18mm)"",SheetsData,8,0))+(((0.06*(C115/1000))*2)*VLOOKUP(""H/F ("&amp;"9mm)"",SheetsData,8,0)),IF(ISERROR(FIND(""corner post"",A115))=FALSE,(((B115/1000)*0.05)*2)*VLOOKUP(KitchenDoorMaterial,SheetsData,8,0),IF(ISERROR(FIND(""Pelmet"",A115))=FALSE,((((B115/1000)*(C115/1000))*2)*VLOOKUP(""H/F (18mm)"",SheetsData,8,0)),IF(ISERR"&amp;"OR(FIND(""door"",A115))=TRUE,""Check description"",IF(KitchenDoorStyle=""Flat"",((B115/1000)*(C115/1000))*VLOOKUP(KitchenDoorMaterial,SheetsData,8,0),IF(LEFT(KitchenDoorStyle,5)=""Panel"",(((((B115/1000)*2)*0.08)+((((C115/1000)-0.16)*2)*0.08))*VLOOKUP(""H"&amp;"/F (22mm)"",SheetsData,8,0))+(((B115/1000)-0.14)*((C115/1000)-0.14)*VLOOKUP(""H/F (9mm)"",SheetsData,8,0)),IF(KitchenDoorStyle=""In-frame flat"",((((((B115/1000)*0.019)*0.038)+((((C115-38)/1000)*0.038)*0.038))*2)*VLOOKUP(""Tulip (solid m3)"",SolidData,5,0"&amp;"))+(((B115-76)/1000)*((C115-38)/1000))*VLOOKUP(""H/F (22mm)"",SheetsData,8,0),IF(LEFT(KitchenDoorStyle,14)=""In-frame panel"",(((((((B115/1000)*0.019)*0.038)+((((C115-38)/1000)*0.038)*0.038))*2)*VLOOKUP(""Tulip (solid m3)"",SolidData,5,0))+(((((((B115-76)"&amp;"/1000)*2)*0.08)+(((((C115-198)/1000)*2)*0.08)))*VLOOKUP(""H/F (22mm)"",SheetsData,8,0))+(((B115-216)/1000)*((C115-178)/1000)*VLOOKUP(""H/F (9mm)"",SheetsData,8,0)))))))))))))))))))))))))))))))))"),"")</f>
        <v/>
      </c>
      <c r="F115" s="152" t="str">
        <f>IFERROR(__xludf.DUMMYFUNCTION("IF(OR(A115="""",AND(ISERROR(FIND(""drawer box"",A115))=FALSE,KitchenDrawerType=""Solid dovetail"")),"""",IF(ISERROR(FIND(""bins"",A115))=FALSE,VLOOKUP(""Base carcass 600"",KitchensData,6,0),IF(OR(ISERROR(FIND(""larder"",A115))=FALSE,ISERROR(FIND(""unit"","&amp;"A115))=FALSE),VLOOKUP(LEFT(A115,FIND("" "",A115))&amp;""carcass ""&amp;RIGHT(A115,LEN(A115)-len(regexextract(A115,"".* ""))),KitchensData,6,0),IF(ISERROR(FIND(""drawer front"",A115))=FALSE,IF(ISERROR(FIND(""veneer"",KitchenCarcassMaterial))=TRUE,0,(((B115+C115)/1"&amp;"000)*2)*VLOOKUP(""Edge banding (per M)"",SheetsData,5,0)),IF(ISERROR(FIND(""drawer box"",A115))=FALSE,IF(ISERROR(FIND(""veneer"",KitchenCarcassMaterial))=TRUE,0,(((C115+D115)/1000)*2)*VLOOKUP(""Edge banding (per M)"",SheetsData,5,0)),IF(ISERROR(FIND(""she"&amp;"lf"",A115))=FALSE,IF(ISERROR(FIND(""veneer"",KitchenCarcassMaterial))=TRUE,0,(C115/1000)*VLOOKUP(""Edge banding (per M)"",SheetsData,5,0)),IF(AND(ISERROR(FIND(""carcass"",A115))=FALSE,ISERROR(FIND(""shelf"",A115))=TRUE),IF(ISERROR(FIND(""veneer"",KitchenC"&amp;"arcassMaterial))=TRUE,0,((2*(B115+C115))/1000)*VLOOKUP(""Edge banding (per M)"",SheetsData,5,0)),IF(ISERROR(FIND(""door"",A115))=TRUE,"""",IF(ISERROR(FIND(""veneer"",KitchenDoorMaterial))=TRUE,"""",((2*(B115+C115))/1000)*VLOOKUP(""Edge banding (per M)"",S"&amp;"heetsData,5,0))))))))))"),"")</f>
        <v/>
      </c>
      <c r="G115" s="153" t="str">
        <f>IF(A115="","",IF(ISERROR(FIND("bins",A115))=FALSE,VLOOKUP("Base carcass 600",KitchensData,7,0),IF(OR(ISERROR(FIND("larder",A115))=FALSE,ISERROR(FIND("fridge/freezer",A115))=FALSE,ISERROR(FIND("double oven",A115))=FALSE,ISERROR(FIND("single oven",A115))=FALSE),VLOOKUP(LEFT(A115,FIND(" ",A115))&amp;"carcass "&amp;RIGHT(A115,LEN(A115)-(LEN(A115)-3)),KitchensData,7,0),IF(AND(ISERROR(FIND("carcass",A115))=FALSE,ISERROR(FIND("shelf",A115))=TRUE),IF(OR(ISERROR(FIND("Base",A115))=FALSE,ISERROR(FIND("Tower",A115))=FALSE),IF(OR(ISERROR(FIND("1200",A115))=FALSE, ISERROR(FIND("lost corner",A115))=FALSE),6*VLOOKUP("Plinth foot (2 Parts 80mm)",FurnitureData,5,0),4*VLOOKUP("Plinth foot (2 Parts 80mm)",FurnitureData,5,0)),""),""))))</f>
        <v/>
      </c>
      <c r="H115" s="115" t="str">
        <f>IF(OR(A115="",ISERROR(FIND("door",A115))=TRUE),"",IF(ISERROR(FIND("Wall",A115))=FALSE,VLOOKUP("Hinges &amp; plates (Hettich thick door)",FurnitureData,5,0)*2,IF(ISERROR(FIND("Base",A115))=FALSE,VLOOKUP("Hinges &amp; plates (Hettich thick door)",FurnitureData,5,0)*3,IF(ISERROR(FIND("Boiler",A115))=FALSE,VLOOKUP("Hinges &amp; plates (Hettich thick door)",FurnitureData,5,0)*4,IF(ISERROR(FIND("Tower",A115))=FALSE,VLOOKUP("Hinges &amp; plates (Hettich thick door)",FurnitureData,5,0)*5)))))</f>
        <v/>
      </c>
      <c r="I115" s="115" t="str">
        <f>IF(ISERROR(FIND("shelf",A115))=FALSE,(VLOOKUP("Shelf pegs",FurnitureData,5,0)/100)*4,"")</f>
        <v/>
      </c>
      <c r="J115" s="152" t="str">
        <f>IF(OR(ISERROR(FIND("fridge/freezer",A115))=FALSE,ISERROR(FIND("larder",A115))=FALSE,AND(ISERROR(FIND("Base",A115))=FALSE,ISERROR(FIND("bins",A115))=TRUE,ISERROR(FIND("no shelves",A115))=TRUE,OR(ISERROR(FIND("carcass",A115))=FALSE,ISERROR(FIND("unit",A115))=FALSE))),VLOOKUP("Deep shelf "&amp;C115,KitchensData,18,0),IF(AND(ISERROR(FIND("Wall",A115))=FALSE,ISERROR(FIND("carcass",A115))=FALSE),2*VLOOKUP("Shallow shelf "&amp;C115,KitchensData,18,0),IF(AND(ISERROR(FIND("Tower",A115))=FALSE,ISERROR(FIND("oven",A115))=FALSE),4*VLOOKUP("Deep shelf "&amp;C115,KitchensData,18,0),IF(AND(ISERROR(FIND("Tower",A115))=FALSE,ISERROR(FIND("carcass",A115))=FALSE),5*VLOOKUP("Deep shelf "&amp;C115,KitchensData,18,0),""))))</f>
        <v/>
      </c>
      <c r="K115" s="152" t="str">
        <f>IF(ISERROR(FIND("sink",A115))=FALSE,VLOOKUP("Sink liner - Aluminium "&amp;RIGHT(A115,LEN(A115)-22)&amp;"mm",ExceptionalData,5,0),IF(ISERROR(FIND("bins",A115))=FALSE,VLOOKUP("Drawer runners and clip set for bin unit (500) Dynapro",FurnitureData,5,0)+(2*VLOOKUP("Bin (42L Anthracite)",FurnitureData,5,0)),IF(ISERROR(FIND("larder",A115))=FALSE,VLOOKUP("Pull out larder unit 600mm",FurnitureData,5,0),IF(AND(ISERROR(FIND("drawer box",A115))=FALSE,ISERROR(FIND("internal",A115))=TRUE),VLOOKUP("Drawer runners and clip set (550) Dynapro",FurnitureData,5,0),IF(ISERROR(FIND("internal drawer box",A115))=FALSE,VLOOKUP("Drawer runners and clip set (450) Dynapro",FurnitureData,5,0),"")))))</f>
        <v/>
      </c>
      <c r="L115" s="152" t="str">
        <f t="shared" si="3"/>
        <v/>
      </c>
      <c r="M115" s="154" t="str">
        <f>IFERROR(__xludf.DUMMYFUNCTION("IF(A115="""","""",IF(OR(ISERROR(FIND(""larder"",A115))=FALSE,ISERROR(FIND(""unit"",A115))=FALSE),VLOOKUP(LEFT(A115,FIND("" "",A115))&amp;""carcass ""&amp;RIGHT(A115,LEN(A115)-len(regexextract(A115,"".* ""))),KitchensData,13,0),IF(ISERROR(FIND(""bins"",A115))=FALS"&amp;"E,0.95,IF(ISERROR(FIND(""Cutlery insert 600"",A115))=FALSE,1.3,IF(ISERROR(FIND(""Cutlery insert 1200"",A115))=FALSE,2,IF(ISERROR(FIND(""Pan/tray rack 600"",A115))=FALSE,3.25,IF(ISERROR(FIND(""Pan/tray rack 1200"",A115))=FALSE,5.9,IF(ISERROR(FIND(""split"""&amp;",A115))=FALSE,(((C115/1000)*0.022)*2)+VLOOKUP(SUBSTITUTE(A115,"" split"",""""),KitchensData,13,0),IF(AND(ISERROR(FIND(""drawer front"",A115))=FALSE,KitchenDoorStyle=""Flat""),(((B115/1000)*(C115/1000))*2)+((((B115+C115)/1000)*2)*0.022),IF(AND(ISERROR(FIND"&amp;"(""drawer front"",A115))=FALSE,LEFT(KitchenDoorStyle,5)=""Panel""),(((B115/1000)*(C115/1000))*2)+((((B115+C115)/1000)*2)*0.022)+((((C115/1000)-0.16)*0.013)*2)+((((D115/1000)-0.16)*0.013)*2),IF(AND(ISERROR(FIND(""drawer front"",A115))=FALSE,KitchenDoorStyl"&amp;"e=""In-frame flat""),((((B115-76)/1000)*((C115-38)/1000))*2)+(MID(KitchenDoorMaterial,FIND(""("",KitchenDoorMaterial)+1,2)/1000)*((((B115-76)+(C115-38))/1000)*2)+(((B115/1000)*0.032)*2)+((((B115-76)/1000)*0.032)*2)+(((B115/1000)*0.019)*4)+(((C115/1000)*0."&amp;"032)*2)+((((C115-38)/1000)*0.032)*2)+(((C115/1000)*0.038)*4),IF(AND(ISERROR(FIND(""drawer front"",A115))=FALSE,LEFT(KitchenDoorStyle,14)=""In-frame panel""),((((B115-76)/1000)*((C115-38)/1000))*2)+((MID(KitchenDoorMaterial,FIND(""("",KitchenDoorMaterial)+"&amp;"1,2)/1000)*((((B115-76)+(C115-38))/1000)*2))+((((B115-236)/1000)+((C115-198)/1000)*2)*0.013)+(((B115/1000)*0.032)*2)+((((B115-76)/1000)*0.032)*2)+(((B115/1000)*0.019)*4)+(((C115/1000)*0.032)*2)+((((C115-38)/1000)*0.032)*2)+(((C115/1000)*0.038)*4),IF(ISERR"&amp;"OR(FIND(""drawer box"",A115))=FALSE,((((B115/1000)*(D115/1000))+((B115/1000)*(C115/1000)))*4)+((((D115/1000)+(C115/1000))*0.016)*4)+(((C115/1000)*(D115/1000))*2),IF(OR(ISERROR(FIND(""shelf"",A115))=FALSE,ISERROR(FIND(""spacer"",A115))=FALSE,,ISERROR(FIND("&amp;"""filler panel"",A115))=FALSE),(((C115/1000)*(D115/1000))*2)+((((C115+D115)*2)/1000)*0.022),IF(ISERROR(FIND(""lost corner"",A115))=FALSE,(((B115/1000)*(C115/1000))*2)+((B115/1000)*(C115/1000))+((B115/1000)*((C115/2)/1000))+((((B115/1000)*0.025)+((C115/100"&amp;"0)*0.025))*2),IF(ISERROR(FIND(""carcass"",A115))=FALSE,(((C115/1000)*(D115/1000))*2)+(((B115/1000)*(D115/1000))*2)+((B115/1000)*(C115/1000))+((((B115/1000)*0.025)+((C115/1000)*0.025))*2),IF(AND(ISERROR(FIND(""door"",A115))=FALSE,KitchenDoorStyle=""Flat"")"&amp;",(((B115/1000)*(C115/1000))*2)+(MID(KitchenDoorMaterial,FIND(""("",KitchenDoorMaterial)+1,2)/1000)*(((B115+C115)/1000)*2),IF(AND(ISERROR(FIND(""door"",A115))=FALSE,LEFT(KitchenDoorStyle,5)=""Panel""),(((B115/1000)*(C115/1000))*2)+((MID(KitchenDoorMaterial"&amp;",FIND(""("",KitchenDoorMaterial)+1,2)/1000)*(((B115+C115)/1000)*2))+(((((B115-160)+(C115-160))*2)/1000)*(0.013)),IF(AND(ISERROR(FIND(""door"",A115))=FALSE,KitchenDoorStyle=""In-frame flat""),((((B115-76)/1000)*((C115-38)/1000))*2)+(MID(KitchenDoorMaterial"&amp;",FIND(""("",KitchenDoorMaterial)+1,2)/1000)*((((B115-76)+(C115-38))/1000)*2)+(((B115/1000)*0.032)*2)+((((B115-76)/1000)*0.032)*2)+(((B115/1000)*0.019)*4)+(((C115/1000)*0.032)*2)+((((C115-38)/1000)*0.032)*2)+(((C115/1000)*0.038)*4),IF(AND(ISERROR(FIND(""do"&amp;"or"",A115))=FALSE,LEFT(KitchenDoorStyle,14)=""In-frame panel""),((((B115-76)/1000)*((C115-38)/1000))*2)+((MID(KitchenDoorMaterial,FIND(""("",KitchenDoorMaterial)+1,2)/1000)*((((B115-76)+(C115-38))/1000)*2))+((((B115-236)/1000)+((C115-198)/1000)*2)*0.013)+"&amp;"(((B115/1000)*0.032)*2)+((((B115-76)/1000)*0.032)*2)+(((B115/1000)*0.019)*4)+(((C115/1000)*0.032)*2)+((((C115-38)/1000)*0.032)*2)+(((C115/1000)*0.038)*4),IF(ISERROR(FIND(""Plinth"",A115))=FALSE,((B115/1000)*(C115/1000))+(((C115/1000)*0.018)*2)+(((B115/100"&amp;"0)*0.018)*2),IF(ISERROR(FIND(""Cornice"",A115))=FALSE,(((C115/1000)*0.1)*2)+(((C115/1000)*0.044)*2)+(((B115/1000)*0.08)*2),IF(ISERROR(FIND(""Base end panel"",A115))=FALSE,((B115/1000)*(C115/1000))+(0.022*((B115/1000)+((C115/1000)*2)))+((B115/1000)*0.05),I"&amp;"F(ISERROR(FIND(""Wall end panel"",A115))=FALSE,((B115/1000)*(C115/1000))+(0.022*((B115/1000)+((C115/1000)*2)))+((B115/1000)*0.05),IF(ISERROR(FIND(""Tower end panel"",A115))=FALSE,((B115/1000)*(C115/1000))+(0.022*((B115/1000)+((C115/1000)*2)))+((B115/1000)"&amp;"*0.05),IF(ISERROR(FIND(""Fillers"",A115))=FALSE,((C115/1000)*0.06)+((C115/1000)*0.069)+((0.06*0.018)*2)+((0.06*0.009)*2)+((C115/1000)*0.009)+((C115/1000)*0.018),IF(ISERROR(FIND(""corner post"",A115))=FALSE,(((B115/1000*0.05)*2)+((B115/1000)*0.022)*2)+((B1"&amp;"15/1000)*0.072)+((B115/1000)*0.05)+((0.072*0.022)*2)+((0.05*0.022)*2),IF(ISERROR(FIND(""Pelmet"",A115))=FALSE,((C115/1000)*0.05)+((C115/1000)*0.068)+((0.05*0.018)*4)+(((C115/1000)*0.018))*2))))))))))))))))))))))))))))"),"")</f>
        <v/>
      </c>
      <c r="N115" s="152" t="str">
        <f>IF(M115="","",IF(AND(ISERROR(FIND("carcass",A115))=TRUE,ISERROR(FIND("unit",A115))=TRUE,ISERROR(FIND("insert",A115))=TRUE,ISERROR(FIND("rack",A115))=TRUE,ISERROR(FIND("box",A115))=TRUE,ISERROR(FIND("shelf",#REF!))=TRUE),VLOOKUP(KitchenDoorFinish,Finishing!$A$2:$K$10,9,0)*M115,VLOOKUP(KitchenCarcassFinish,Finishing!$A$2:$K$40,9,0)*M115))</f>
        <v/>
      </c>
      <c r="O115" s="155"/>
      <c r="P115" s="155"/>
      <c r="Q115" s="152" t="str">
        <f>IF(OR(O115="",P115=""),"",((O115*X115)*(VLOOKUP("Workshop",Labour!$A$3:$E$20,4,0)/8))+((P115*AE115)*(VLOOKUP("Finishing",Labour!$A$3:$E$20,4,0)/8)))</f>
        <v/>
      </c>
      <c r="R115" s="152" t="str">
        <f t="shared" si="4"/>
        <v/>
      </c>
      <c r="S115" s="156" t="str">
        <f>IF(OR(O115="",P115=""),"",IF(OR(ISERROR(FIND("carcass",$A115))=FALSE,ISERROR(FIND("unit",$A115))=FALSE),VLOOKUP(KitchenCarcassMaterial,FixedListsCarcassMaterial,2,0),0))</f>
        <v/>
      </c>
      <c r="T115" s="156" t="str">
        <f>IF(OR(O115="",P115=""),"",IF(ISERROR(FIND("door",$A115))=FALSE,VLOOKUP(KitchenDoorStyle,FixedListsDoorStyle,2,0),0))</f>
        <v/>
      </c>
      <c r="U115" s="156" t="str">
        <f>IF(OR(O115="",P115=""),"",IF(ISERROR(FIND("door",$A115))=FALSE,VLOOKUP(KitchenDoorMaterial,FixedListsDoorMaterial,2,0),0))</f>
        <v/>
      </c>
      <c r="V115" s="156" t="str">
        <f>IF(OR(O115="",P115=""),"",IF(ISERROR(FIND("drawer",$A115))=FALSE,VLOOKUP(KitchenDrawerType,FixedListsDrawerType,2,0),0))</f>
        <v/>
      </c>
      <c r="W115" s="156" t="str">
        <f>IF(OR(O115="",P115=""),"",IF(OR(S115&gt;0, T115&gt;0,V115&gt;0),VLOOKUP(KitchenHandleType,FixedListsHandleType,2,FALSE)*IF(KitchenHandleType="Simple",0,IF(S115&gt;0,VLOOKUP(KitchenHandleType,FixedListsHandleType,4,FALSE),IF(OR(T115&gt;0,V115&gt;0),1-VLOOKUP(KitchenHandleType,FixedListsHandleType,4,FALSE),"Error"))),0))</f>
        <v/>
      </c>
      <c r="X115" s="156" t="str">
        <f t="shared" si="5"/>
        <v/>
      </c>
      <c r="Y115" s="156" t="str">
        <f>IF(OR(O115="",P115=""),"",IF(OR(ISERROR(FIND("carcass",$A115))=FALSE,ISERROR(FIND("unit",$A115))=FALSE),VLOOKUP(KitchenCarcassMaterial,FixedListsCarcassMaterial,3,0),0))</f>
        <v/>
      </c>
      <c r="Z115" s="156" t="str">
        <f>IF(OR(O115="",P115=""),"",IF(ISERROR(FIND("door",$A115))=FALSE,VLOOKUP(KitchenDoorStyle,FixedListsDoorStyle,3,0),0))</f>
        <v/>
      </c>
      <c r="AA115" s="156" t="str">
        <f>IF(OR(O115="",P115=""),"",IF(ISERROR(FIND("door",$A115))=FALSE,VLOOKUP(KitchenDoorMaterial,FixedListsDoorMaterial,3,0),0))</f>
        <v/>
      </c>
      <c r="AB115" s="156" t="str">
        <f>IF(OR(O115="",P115=""),"",IF(ISERROR(FIND("drawer",$A115))=FALSE,VLOOKUP(KitchenDrawerType,FixedListsDrawerType,3,0),0))</f>
        <v/>
      </c>
      <c r="AC115" s="156" t="str">
        <f>IF(OR(O115="",P115=""),"",IF(OR(Y115&gt;0,Z115&gt;0,AB115&gt;0),VLOOKUP(KitchenHandleType,FixedListsHandleType,3,FALSE),0))</f>
        <v/>
      </c>
      <c r="AD115" s="156" t="str">
        <f>IF(OR(O115="",P115=""),"",IF(OR(ISERROR(FIND("carcass",$A115))=FALSE,ISERROR(FIND("unit",$A115))=FALSE),VLOOKUP(KitchenCarcassFinish,FixedListsFinishes,3,0),IF(OR(ISERROR(FIND("door",$A115))=FALSE,ISERROR(FIND("Plinth",$A115))=FALSE,ISERROR(FIND("Cornice",$A115))=FALSE,ISERROR(FIND("Fillers",$A115))=FALSE,ISERROR(FIND("Pelmet",$A115))=FALSE,ISERROR(FIND("panel",$A115))=FALSE,ISERROR(FIND("post",$A115))=FALSE),VLOOKUP(KitchenDoorFinish,FixedListsFinishes,3,0),IF(OR(ISERROR(FIND("drawer",$A115))=FALSE,ISERROR(FIND("insert",$A115))=FALSE,ISERROR(FIND("rck",$A115))=FALSE),VLOOKUP(KitchenCarcassFinish,FixedListsFinishes,3,0),0))))</f>
        <v/>
      </c>
      <c r="AE115" s="156" t="str">
        <f t="shared" si="6"/>
        <v/>
      </c>
      <c r="AF115" s="157" t="str">
        <f>IF(AND(KitchenHandleType="Channel",OR(ISERROR(FIND("arcass",$A115))=FALSE,ISERROR(FIND("unit",$A115))=FALSE)),IF(ISERROR(FIND("Tower",$A115))=TRUE,IF(KitchenHandleFinish="Match carcass",IF(ISERROR(FIND("Walnut",KitchenCarcassMaterial))=FALSE,(0.035*0.075*($C115/1000))*VLOOKUP("Walnut (solid m3)",SolidData,4,FALSE),IF(ISERROR(FIND("Oak",KitchenCarcassMaterial))=FALSE,(0.035*0.075*($C115/1000))*VLOOKUP("Oak (solid m3)",SolidData,4,FALSE),IF(ISERROR(FIND("ply",KitchenCarcassMaterial))=FALSE,(0.1*($C115/1000))*VLOOKUP("Birch ply (24mm)",SheetsData,7,FALSE),IF(ISERROR(FIND("H/F",KitchenCarcassMaterial))=FALSE,(0.1*($C115/1000))*VLOOKUP("H/F (22mm)",SheetsData,7,FALSE),"Carcass - not tower - new material")))),IF(KitchenHandleFinish="Match door",IF(ISERROR(FIND("Walnut",KitchenDoorMaterial))=FALSE,(0.035*0.075*($C115/1000))*VLOOKUP("Walnut (solid m3)",SolidData,4,FALSE),IF(ISERROR(FIND("Oak",KitchenDoorMaterial))=FALSE,(0.035*0.075*($C115/1000))*VLOOKUP("Oak (solid m3)",SolidData,4,FALSE),IF(ISERROR(FIND("ply",KitchenDoorMaterial))=FALSE,(0.1*($C115/1000))*VLOOKUP("Birch ply (24mm)",SheetsData,7,FALSE),IF(ISERROR(FIND("H/F",KitchenCarcassMaterial))=FALSE,(0.1*($C115/1000))*VLOOKUP("H/F (22mm)",SheetsData,7,FALSE),"Door - not tower - new material")))),"Channel - not tower - handle set to other")),IF(ISERROR(FIND("Tower",$A115))=FALSE,IF(KitchenHandleFinish="Match carcass",IF(ISERROR(FIND("Walnut",KitchenCarcassMaterial))=FALSE,(0.035*0.075*($B115/1000))*VLOOKUP("Walnut (solid m3)",SolidData,4,FALSE),IF(ISERROR(FIND("Oak",KitchenCarcassMaterial))=FALSE,(0.035*0.075*($B115/1000))*VLOOKUP("Oak (solid m3)",SolidData,4,FALSE),IF(ISERROR(FIND("ply",KitchenCarcassMaterial))=FALSE,(0.1*($B115/1000))*VLOOKUP("Birch ply (24mm)",SheetsData,7,FALSE),IF(ISERROR(FIND("H/F",KitchenCarcassMaterial))=FALSE,(0.1*($C115/1000))*VLOOKUP("H/F (22mm)",SheetsData,7,FALSE),"Carcass - tower - new material")))),IF(KitchenHandleFinish="Match door",IF(ISERROR(FIND("Walnut",KitchenDoorMaterial))=FALSE,(0.035*0.075*($B115/1000))*VLOOKUP("Walnut (solid m3)",SolidData,4,FALSE),IF(ISERROR(FIND("Oak",KitchenDoorMaterial))=FALSE,(0.035*0.075*($B115/1000))*VLOOKUP("Oak (solid m3)",SolidData,4,FALSE),IF(ISERROR(FIND("ply",KitchenDoorMaterial))=FALSE,(0.1*($B115/1000))*VLOOKUP("Birch ply (24mm)",SheetData,7,FALSE),IF(ISERROR(FIND("H/F",KitchenCarcassMaterial))=FALSE,(0.1*($C115/1000))*VLOOKUP("H/F (22mm)",SheetsData,7,FALSE),"Door - tower - new material")))),"Channel - tower - handle set to other")))),"")</f>
        <v/>
      </c>
    </row>
    <row r="116">
      <c r="A116" s="150"/>
      <c r="B116" s="115" t="str">
        <f t="shared" si="1"/>
        <v/>
      </c>
      <c r="C116" s="115" t="str">
        <f>IFERROR(__xludf.DUMMYFUNCTION("IF(A116="""","""",IF(OR(RIGHT(A116,LEN(A116)-len(regexextract(A116,"".* "")))=""1200"",RIGHT(A116,LEN(A116)-len(regexextract(A116,"".* "")))=""600"",RIGHT(A116,LEN(A116)-len(regexextract(A116,"".* "")))=""400"",RIGHT(A116,LEN(A116)-len(regexextract(A116,"&amp;""".* "")))=""300"",RIGHT(A116,LEN(A116)-len(regexextract(A116,"".* "")))=""700"",RIGHT(A116,LEN(A116)-len(regexextract(A116,"".* "")))=""2400"",RIGHT(A116,LEN(A116)-len(regexextract(A116,"".* "")))=""650"",RIGHT(A116,LEN(A116)-len(regexextract(A116,"".* "&amp;""")))=""350"",RIGHT(A116,LEN(A116)-len(regexextract(A116,"".* "")))=""50""),RIGHT(A116,LEN(A116)-len(regexextract(A116,"".* ""))),IF(OR(ISERROR(FIND(""spacer"",A116))=FALSE,ISERROR(FIND(""filler panel"",A116))=FALSE),""1000"",""Unexpected size in descript"&amp;"ion"")))"),"")</f>
        <v/>
      </c>
      <c r="D116" s="151" t="str">
        <f t="shared" si="2"/>
        <v/>
      </c>
      <c r="E116" s="152" t="str">
        <f>IFERROR(__xludf.DUMMYFUNCTION("IF(OR(A116="""",AND(ISERROR(FIND(""drawer box"",A116))=FALSE,KitchenDrawerType="""")),"""",IF(OR(ISERROR(FIND(""larder"",A116))=FALSE,ISERROR(FIND(""fridge/freezer"",A116))=FALSE,ISERROR(FIND(""double oven"",A116))=FALSE,ISERROR(FIND(""single oven"",A116)"&amp;")=FALSE),VLOOKUP(LEFT(A116,FIND("" "",A116))&amp;""carcass ""&amp;RIGHT(A116,LEN(A116)-(LEN(A116)-3)),KitchensData,5,0),IF(ISERROR(FIND(""sink"",A116))=FALSE,VLOOKUP(LEFT(A116,FIND("" "",A116))&amp;""carcass ""&amp;VALUE(REGEXREPLACE(A116,""[^[:digit:]]"", """")),Kitchen"&amp;"sData,5,0)+(((C116/1000)*(300/1000))*VLOOKUP(KitchenCarcassMaterial,SheetsData,8,0)),IF(ISERROR(FIND(""bins"",A116))=FALSE,IF(ISERROR(FIND(""veneer"",KitchenCarcassMaterial))=FALSE,VLOOKUP(""Base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600"",A116))=FALSE,IF(ISERR"&amp;"OR(FIND(""veneer"",KitchenCarcassMaterial))=FALSE,0.54*(VLOOKUP(LEFT(KitchenCarcassMaterial,FIND(""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1"&amp;"200"",A116))=FALSE,IF(ISERROR(FIND(""veneer"",KitchenCarcassMaterial))=FALSE,0.84*(VLOOKUP(LEFT(KitchenCarcassMaterial,FIND(""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600"",A116))=FALSE,IF(ISERROR(FIND(""veneer"",KitchenCarcassMaterial))=FALSE,1.44*(VLOOKUP(LEFT(KitchenCarcassMaterial,FIND(""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1200"",A116))=FALSE,IF(ISERROR(FIND(""veneer"",KitchenCarcassMaterial))=FALSE,2.7*(VLOOKUP(LEFT(KitchenCarcassMaterial,FIND(""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front"",A116))=FALSE,((B116/1000)*(C116/1000))*VLOOKUP(KitchenDoorMaterial,SheetsData,8,0),IF(AND(KitchenDrawerType=""Match carcass"",ISERROR(FIND(""drawer box"",A116))=FALSE),(((((B116/10"&amp;"00)*(C116/1000))+((B116/1000)*(D116/1000)))*2)*VLOOKUP(KitchenCarcassMaterial,SheetsData,8,0))+(((C116/1000)*(D116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box"",A116))=FALSE),(((((B116/1000)*(C116/1000))+((B116/1000)*(D116/1000)))*2)*(16/1000)*VLOOKUP(L"&amp;"EFT(KitchenCarcassMaterial,FIND("" "",KitchenCarcassMaterial))&amp;""(solid m3)"",SolidData,5,0))+(((C116/1000)*(D116/1000))*VLOOKUP(LEFT(KitchenCarcassMaterial,FIND(""("",KitchenCarcassMaterial)-1)&amp;IF(OR(ISERROR(FIND(""ply"",KitchenCarcassMaterial))=FALSE,IS"&amp;"ERROR(FIND(""H/F"",KitchenCarcassMaterial))=FALSE),""(9mm)"",""(10mm)""),SheetsData,8,0)),IF(ISERROR(FIND(""spacer"",A116))=FALSE,((D116/1000)*(C116/1000))*VLOOKUP(""Poplar ply (18mm)"",SheetsData,8,0),IF(ISERROR(FIND(""filler panel"",A116))=FALSE,((B116/"&amp;"1000)*(C116/1000))*VLOOKUP(KitchenDoorMaterial,SheetsData,8,0),IF(ISERROR(FIND(""shelf"",A116))=FALSE,((D116/1000)*(C116/1000))*VLOOKUP(KitchenCarcassMaterial,SheetsData,8,0),IF(ISERROR(FIND(""lost corner"",A116))=FALSE,VLOOKUP(LEFT(A116,FIND("" "",A116))"&amp;"&amp;""carcass ""&amp;VALUE(REGEXREPLACE(A116,""[^[:digit:]]"", """")),KitchensData,5,0)+((((B116/1000)*(C116/1000))+((B116/1000)*(60/1000)))*VLOOKUP(KitchenCarcassMaterial,SheetsData,8,0)),IF(ISERROR(FIND(""carcass"",A116))=FALSE,(((((B116/1000)*2)*(D116/1000))+"&amp;"(((C116/1000)*2)*(D116/1000)))*VLOOKUP(KitchenCarcassMaterial,SheetsData,8,0))+((B116/1000)*(C116/1000))*VLOOKUP(LEFT(KitchenCarcassMaterial,FIND(""("",KitchenCarcassMaterial)-1)&amp;IF(OR(ISERROR(FIND(""ply"",KitchenCarcassMaterial))=FALSE,ISERROR(FIND(""H/F"&amp;""",KitchenCarcassMaterial))=FALSE),""(9mm)"",""(10mm)""),SheetsData,8,0),IF(OR(ISERROR(FIND(""Plinth"",A116))=FALSE,ISERROR(FIND(""Cornice (flat)"",A116))=FALSE),((B116/1000)*(C116/1000))*VLOOKUP(""H/F (18mm)"",SheetsData,8,0),IF(ISERROR(FIND(""Cornice (s"&amp;"tacked)"",A116))=FALSE,((0.08*(C116/1000))*2)*VLOOKUP(""H/F (22mm)"",SheetsData,8,0),IF(ISERROR(FIND(""Base end panel"",A116))=FALSE,VLOOKUP(KitchenDoorMaterial,SheetsData,5,0)/3,IF(ISERROR(FIND(""Wall end panel"",A116))=FALSE,VLOOKUP(KitchenDoorMaterial,"&amp;"SheetsData,5,0)/9,IF(ISERROR(FIND(""Tower end panel"",A116))=FALSE,VLOOKUP(KitchenDoorMaterial,SheetsData,5,0),IF(ISERROR(FIND(""Fillers"",A116))=FALSE,(((0.06*(C116/1000))*2)*VLOOKUP(""H/F (18mm)"",SheetsData,8,0))+(((0.06*(C116/1000))*2)*VLOOKUP(""H/F ("&amp;"9mm)"",SheetsData,8,0)),IF(ISERROR(FIND(""corner post"",A116))=FALSE,(((B116/1000)*0.05)*2)*VLOOKUP(KitchenDoorMaterial,SheetsData,8,0),IF(ISERROR(FIND(""Pelmet"",A116))=FALSE,((((B116/1000)*(C116/1000))*2)*VLOOKUP(""H/F (18mm)"",SheetsData,8,0)),IF(ISERR"&amp;"OR(FIND(""door"",A116))=TRUE,""Check description"",IF(KitchenDoorStyle=""Flat"",((B116/1000)*(C116/1000))*VLOOKUP(KitchenDoorMaterial,SheetsData,8,0),IF(LEFT(KitchenDoorStyle,5)=""Panel"",(((((B116/1000)*2)*0.08)+((((C116/1000)-0.16)*2)*0.08))*VLOOKUP(""H"&amp;"/F (22mm)"",SheetsData,8,0))+(((B116/1000)-0.14)*((C116/1000)-0.14)*VLOOKUP(""H/F (9mm)"",SheetsData,8,0)),IF(KitchenDoorStyle=""In-frame flat"",((((((B116/1000)*0.019)*0.038)+((((C116-38)/1000)*0.038)*0.038))*2)*VLOOKUP(""Tulip (solid m3)"",SolidData,5,0"&amp;"))+(((B116-76)/1000)*((C116-38)/1000))*VLOOKUP(""H/F (22mm)"",SheetsData,8,0),IF(LEFT(KitchenDoorStyle,14)=""In-frame panel"",(((((((B116/1000)*0.019)*0.038)+((((C116-38)/1000)*0.038)*0.038))*2)*VLOOKUP(""Tulip (solid m3)"",SolidData,5,0))+(((((((B116-76)"&amp;"/1000)*2)*0.08)+(((((C116-198)/1000)*2)*0.08)))*VLOOKUP(""H/F (22mm)"",SheetsData,8,0))+(((B116-216)/1000)*((C116-178)/1000)*VLOOKUP(""H/F (9mm)"",SheetsData,8,0)))))))))))))))))))))))))))))))))"),"")</f>
        <v/>
      </c>
      <c r="F116" s="152" t="str">
        <f>IFERROR(__xludf.DUMMYFUNCTION("IF(OR(A116="""",AND(ISERROR(FIND(""drawer box"",A116))=FALSE,KitchenDrawerType=""Solid dovetail"")),"""",IF(ISERROR(FIND(""bins"",A116))=FALSE,VLOOKUP(""Base carcass 600"",KitchensData,6,0),IF(OR(ISERROR(FIND(""larder"",A116))=FALSE,ISERROR(FIND(""unit"","&amp;"A116))=FALSE),VLOOKUP(LEFT(A116,FIND("" "",A116))&amp;""carcass ""&amp;RIGHT(A116,LEN(A116)-len(regexextract(A116,"".* ""))),KitchensData,6,0),IF(ISERROR(FIND(""drawer front"",A116))=FALSE,IF(ISERROR(FIND(""veneer"",KitchenCarcassMaterial))=TRUE,0,(((B116+C116)/1"&amp;"000)*2)*VLOOKUP(""Edge banding (per M)"",SheetsData,5,0)),IF(ISERROR(FIND(""drawer box"",A116))=FALSE,IF(ISERROR(FIND(""veneer"",KitchenCarcassMaterial))=TRUE,0,(((C116+D116)/1000)*2)*VLOOKUP(""Edge banding (per M)"",SheetsData,5,0)),IF(ISERROR(FIND(""she"&amp;"lf"",A116))=FALSE,IF(ISERROR(FIND(""veneer"",KitchenCarcassMaterial))=TRUE,0,(C116/1000)*VLOOKUP(""Edge banding (per M)"",SheetsData,5,0)),IF(AND(ISERROR(FIND(""carcass"",A116))=FALSE,ISERROR(FIND(""shelf"",A116))=TRUE),IF(ISERROR(FIND(""veneer"",KitchenC"&amp;"arcassMaterial))=TRUE,0,((2*(B116+C116))/1000)*VLOOKUP(""Edge banding (per M)"",SheetsData,5,0)),IF(ISERROR(FIND(""door"",A116))=TRUE,"""",IF(ISERROR(FIND(""veneer"",KitchenDoorMaterial))=TRUE,"""",((2*(B116+C116))/1000)*VLOOKUP(""Edge banding (per M)"",S"&amp;"heetsData,5,0))))))))))"),"")</f>
        <v/>
      </c>
      <c r="G116" s="153" t="str">
        <f>IF(A116="","",IF(ISERROR(FIND("bins",A116))=FALSE,VLOOKUP("Base carcass 600",KitchensData,7,0),IF(OR(ISERROR(FIND("larder",A116))=FALSE,ISERROR(FIND("fridge/freezer",A116))=FALSE,ISERROR(FIND("double oven",A116))=FALSE,ISERROR(FIND("single oven",A116))=FALSE),VLOOKUP(LEFT(A116,FIND(" ",A116))&amp;"carcass "&amp;RIGHT(A116,LEN(A116)-(LEN(A116)-3)),KitchensData,7,0),IF(AND(ISERROR(FIND("carcass",A116))=FALSE,ISERROR(FIND("shelf",A116))=TRUE),IF(OR(ISERROR(FIND("Base",A116))=FALSE,ISERROR(FIND("Tower",A116))=FALSE),IF(OR(ISERROR(FIND("1200",A116))=FALSE, ISERROR(FIND("lost corner",A116))=FALSE),6*VLOOKUP("Plinth foot (2 Parts 80mm)",FurnitureData,5,0),4*VLOOKUP("Plinth foot (2 Parts 80mm)",FurnitureData,5,0)),""),""))))</f>
        <v/>
      </c>
      <c r="H116" s="115" t="str">
        <f>IF(OR(A116="",ISERROR(FIND("door",A116))=TRUE),"",IF(ISERROR(FIND("Wall",A116))=FALSE,VLOOKUP("Hinges &amp; plates (Hettich thick door)",FurnitureData,5,0)*2,IF(ISERROR(FIND("Base",A116))=FALSE,VLOOKUP("Hinges &amp; plates (Hettich thick door)",FurnitureData,5,0)*3,IF(ISERROR(FIND("Boiler",A116))=FALSE,VLOOKUP("Hinges &amp; plates (Hettich thick door)",FurnitureData,5,0)*4,IF(ISERROR(FIND("Tower",A116))=FALSE,VLOOKUP("Hinges &amp; plates (Hettich thick door)",FurnitureData,5,0)*5)))))</f>
        <v/>
      </c>
      <c r="I116" s="115" t="str">
        <f>IF(ISERROR(FIND("shelf",A116))=FALSE,(VLOOKUP("Shelf pegs",FurnitureData,5,0)/100)*4,"")</f>
        <v/>
      </c>
      <c r="J116" s="152" t="str">
        <f>IF(OR(ISERROR(FIND("fridge/freezer",A116))=FALSE,ISERROR(FIND("larder",A116))=FALSE,AND(ISERROR(FIND("Base",A116))=FALSE,ISERROR(FIND("bins",A116))=TRUE,ISERROR(FIND("no shelves",A116))=TRUE,OR(ISERROR(FIND("carcass",A116))=FALSE,ISERROR(FIND("unit",A116))=FALSE))),VLOOKUP("Deep shelf "&amp;C116,KitchensData,18,0),IF(AND(ISERROR(FIND("Wall",A116))=FALSE,ISERROR(FIND("carcass",A116))=FALSE),2*VLOOKUP("Shallow shelf "&amp;C116,KitchensData,18,0),IF(AND(ISERROR(FIND("Tower",A116))=FALSE,ISERROR(FIND("oven",A116))=FALSE),4*VLOOKUP("Deep shelf "&amp;C116,KitchensData,18,0),IF(AND(ISERROR(FIND("Tower",A116))=FALSE,ISERROR(FIND("carcass",A116))=FALSE),5*VLOOKUP("Deep shelf "&amp;C116,KitchensData,18,0),""))))</f>
        <v/>
      </c>
      <c r="K116" s="152" t="str">
        <f>IF(ISERROR(FIND("sink",A116))=FALSE,VLOOKUP("Sink liner - Aluminium "&amp;RIGHT(A116,LEN(A116)-22)&amp;"mm",ExceptionalData,5,0),IF(ISERROR(FIND("bins",A116))=FALSE,VLOOKUP("Drawer runners and clip set for bin unit (500) Dynapro",FurnitureData,5,0)+(2*VLOOKUP("Bin (42L Anthracite)",FurnitureData,5,0)),IF(ISERROR(FIND("larder",A116))=FALSE,VLOOKUP("Pull out larder unit 600mm",FurnitureData,5,0),IF(AND(ISERROR(FIND("drawer box",A116))=FALSE,ISERROR(FIND("internal",A116))=TRUE),VLOOKUP("Drawer runners and clip set (550) Dynapro",FurnitureData,5,0),IF(ISERROR(FIND("internal drawer box",A116))=FALSE,VLOOKUP("Drawer runners and clip set (450) Dynapro",FurnitureData,5,0),"")))))</f>
        <v/>
      </c>
      <c r="L116" s="152" t="str">
        <f t="shared" si="3"/>
        <v/>
      </c>
      <c r="M116" s="154" t="str">
        <f>IFERROR(__xludf.DUMMYFUNCTION("IF(A116="""","""",IF(OR(ISERROR(FIND(""larder"",A116))=FALSE,ISERROR(FIND(""unit"",A116))=FALSE),VLOOKUP(LEFT(A116,FIND("" "",A116))&amp;""carcass ""&amp;RIGHT(A116,LEN(A116)-len(regexextract(A116,"".* ""))),KitchensData,13,0),IF(ISERROR(FIND(""bins"",A116))=FALS"&amp;"E,0.95,IF(ISERROR(FIND(""Cutlery insert 600"",A116))=FALSE,1.3,IF(ISERROR(FIND(""Cutlery insert 1200"",A116))=FALSE,2,IF(ISERROR(FIND(""Pan/tray rack 600"",A116))=FALSE,3.25,IF(ISERROR(FIND(""Pan/tray rack 1200"",A116))=FALSE,5.9,IF(ISERROR(FIND(""split"""&amp;",A116))=FALSE,(((C116/1000)*0.022)*2)+VLOOKUP(SUBSTITUTE(A116,"" split"",""""),KitchensData,13,0),IF(AND(ISERROR(FIND(""drawer front"",A116))=FALSE,KitchenDoorStyle=""Flat""),(((B116/1000)*(C116/1000))*2)+((((B116+C116)/1000)*2)*0.022),IF(AND(ISERROR(FIND"&amp;"(""drawer front"",A116))=FALSE,LEFT(KitchenDoorStyle,5)=""Panel""),(((B116/1000)*(C116/1000))*2)+((((B116+C116)/1000)*2)*0.022)+((((C116/1000)-0.16)*0.013)*2)+((((D116/1000)-0.16)*0.013)*2),IF(AND(ISERROR(FIND(""drawer front"",A116))=FALSE,KitchenDoorStyl"&amp;"e=""In-frame flat""),((((B116-76)/1000)*((C116-38)/1000))*2)+(MID(KitchenDoorMaterial,FIND(""("",KitchenDoorMaterial)+1,2)/1000)*((((B116-76)+(C116-38))/1000)*2)+(((B116/1000)*0.032)*2)+((((B116-76)/1000)*0.032)*2)+(((B116/1000)*0.019)*4)+(((C116/1000)*0."&amp;"032)*2)+((((C116-38)/1000)*0.032)*2)+(((C116/1000)*0.038)*4),IF(AND(ISERROR(FIND(""drawer front"",A116))=FALSE,LEFT(KitchenDoorStyle,14)=""In-frame panel""),((((B116-76)/1000)*((C116-38)/1000))*2)+((MID(KitchenDoorMaterial,FIND(""("",KitchenDoorMaterial)+"&amp;"1,2)/1000)*((((B116-76)+(C116-38))/1000)*2))+((((B116-236)/1000)+((C116-198)/1000)*2)*0.013)+(((B116/1000)*0.032)*2)+((((B116-76)/1000)*0.032)*2)+(((B116/1000)*0.019)*4)+(((C116/1000)*0.032)*2)+((((C116-38)/1000)*0.032)*2)+(((C116/1000)*0.038)*4),IF(ISERR"&amp;"OR(FIND(""drawer box"",A116))=FALSE,((((B116/1000)*(D116/1000))+((B116/1000)*(C116/1000)))*4)+((((D116/1000)+(C116/1000))*0.016)*4)+(((C116/1000)*(D116/1000))*2),IF(OR(ISERROR(FIND(""shelf"",A116))=FALSE,ISERROR(FIND(""spacer"",A116))=FALSE,,ISERROR(FIND("&amp;"""filler panel"",A116))=FALSE),(((C116/1000)*(D116/1000))*2)+((((C116+D116)*2)/1000)*0.022),IF(ISERROR(FIND(""lost corner"",A116))=FALSE,(((B116/1000)*(C116/1000))*2)+((B116/1000)*(C116/1000))+((B116/1000)*((C116/2)/1000))+((((B116/1000)*0.025)+((C116/100"&amp;"0)*0.025))*2),IF(ISERROR(FIND(""carcass"",A116))=FALSE,(((C116/1000)*(D116/1000))*2)+(((B116/1000)*(D116/1000))*2)+((B116/1000)*(C116/1000))+((((B116/1000)*0.025)+((C116/1000)*0.025))*2),IF(AND(ISERROR(FIND(""door"",A116))=FALSE,KitchenDoorStyle=""Flat"")"&amp;",(((B116/1000)*(C116/1000))*2)+(MID(KitchenDoorMaterial,FIND(""("",KitchenDoorMaterial)+1,2)/1000)*(((B116+C116)/1000)*2),IF(AND(ISERROR(FIND(""door"",A116))=FALSE,LEFT(KitchenDoorStyle,5)=""Panel""),(((B116/1000)*(C116/1000))*2)+((MID(KitchenDoorMaterial"&amp;",FIND(""("",KitchenDoorMaterial)+1,2)/1000)*(((B116+C116)/1000)*2))+(((((B116-160)+(C116-160))*2)/1000)*(0.013)),IF(AND(ISERROR(FIND(""door"",A116))=FALSE,KitchenDoorStyle=""In-frame flat""),((((B116-76)/1000)*((C116-38)/1000))*2)+(MID(KitchenDoorMaterial"&amp;",FIND(""("",KitchenDoorMaterial)+1,2)/1000)*((((B116-76)+(C116-38))/1000)*2)+(((B116/1000)*0.032)*2)+((((B116-76)/1000)*0.032)*2)+(((B116/1000)*0.019)*4)+(((C116/1000)*0.032)*2)+((((C116-38)/1000)*0.032)*2)+(((C116/1000)*0.038)*4),IF(AND(ISERROR(FIND(""do"&amp;"or"",A116))=FALSE,LEFT(KitchenDoorStyle,14)=""In-frame panel""),((((B116-76)/1000)*((C116-38)/1000))*2)+((MID(KitchenDoorMaterial,FIND(""("",KitchenDoorMaterial)+1,2)/1000)*((((B116-76)+(C116-38))/1000)*2))+((((B116-236)/1000)+((C116-198)/1000)*2)*0.013)+"&amp;"(((B116/1000)*0.032)*2)+((((B116-76)/1000)*0.032)*2)+(((B116/1000)*0.019)*4)+(((C116/1000)*0.032)*2)+((((C116-38)/1000)*0.032)*2)+(((C116/1000)*0.038)*4),IF(ISERROR(FIND(""Plinth"",A116))=FALSE,((B116/1000)*(C116/1000))+(((C116/1000)*0.018)*2)+(((B116/100"&amp;"0)*0.018)*2),IF(ISERROR(FIND(""Cornice"",A116))=FALSE,(((C116/1000)*0.1)*2)+(((C116/1000)*0.044)*2)+(((B116/1000)*0.08)*2),IF(ISERROR(FIND(""Base end panel"",A116))=FALSE,((B116/1000)*(C116/1000))+(0.022*((B116/1000)+((C116/1000)*2)))+((B116/1000)*0.05),I"&amp;"F(ISERROR(FIND(""Wall end panel"",A116))=FALSE,((B116/1000)*(C116/1000))+(0.022*((B116/1000)+((C116/1000)*2)))+((B116/1000)*0.05),IF(ISERROR(FIND(""Tower end panel"",A116))=FALSE,((B116/1000)*(C116/1000))+(0.022*((B116/1000)+((C116/1000)*2)))+((B116/1000)"&amp;"*0.05),IF(ISERROR(FIND(""Fillers"",A116))=FALSE,((C116/1000)*0.06)+((C116/1000)*0.069)+((0.06*0.018)*2)+((0.06*0.009)*2)+((C116/1000)*0.009)+((C116/1000)*0.018),IF(ISERROR(FIND(""corner post"",A116))=FALSE,(((B116/1000*0.05)*2)+((B116/1000)*0.022)*2)+((B1"&amp;"16/1000)*0.072)+((B116/1000)*0.05)+((0.072*0.022)*2)+((0.05*0.022)*2),IF(ISERROR(FIND(""Pelmet"",A116))=FALSE,((C116/1000)*0.05)+((C116/1000)*0.068)+((0.05*0.018)*4)+(((C116/1000)*0.018))*2))))))))))))))))))))))))))))"),"")</f>
        <v/>
      </c>
      <c r="N116" s="152" t="str">
        <f>IF(M116="","",IF(AND(ISERROR(FIND("carcass",A116))=TRUE,ISERROR(FIND("unit",A116))=TRUE,ISERROR(FIND("insert",A116))=TRUE,ISERROR(FIND("rack",A116))=TRUE,ISERROR(FIND("box",A116))=TRUE,ISERROR(FIND("shelf",#REF!))=TRUE),VLOOKUP(KitchenDoorFinish,Finishing!$A$2:$K$10,9,0)*M116,VLOOKUP(KitchenCarcassFinish,Finishing!$A$2:$K$40,9,0)*M116))</f>
        <v/>
      </c>
      <c r="O116" s="155"/>
      <c r="P116" s="155"/>
      <c r="Q116" s="152" t="str">
        <f>IF(OR(O116="",P116=""),"",((O116*X116)*(VLOOKUP("Workshop",Labour!$A$3:$E$20,4,0)/8))+((P116*AE116)*(VLOOKUP("Finishing",Labour!$A$3:$E$20,4,0)/8)))</f>
        <v/>
      </c>
      <c r="R116" s="152" t="str">
        <f t="shared" si="4"/>
        <v/>
      </c>
      <c r="S116" s="156" t="str">
        <f>IF(OR(O116="",P116=""),"",IF(OR(ISERROR(FIND("carcass",$A116))=FALSE,ISERROR(FIND("unit",$A116))=FALSE),VLOOKUP(KitchenCarcassMaterial,FixedListsCarcassMaterial,2,0),0))</f>
        <v/>
      </c>
      <c r="T116" s="156" t="str">
        <f>IF(OR(O116="",P116=""),"",IF(ISERROR(FIND("door",$A116))=FALSE,VLOOKUP(KitchenDoorStyle,FixedListsDoorStyle,2,0),0))</f>
        <v/>
      </c>
      <c r="U116" s="156" t="str">
        <f>IF(OR(O116="",P116=""),"",IF(ISERROR(FIND("door",$A116))=FALSE,VLOOKUP(KitchenDoorMaterial,FixedListsDoorMaterial,2,0),0))</f>
        <v/>
      </c>
      <c r="V116" s="156" t="str">
        <f>IF(OR(O116="",P116=""),"",IF(ISERROR(FIND("drawer",$A116))=FALSE,VLOOKUP(KitchenDrawerType,FixedListsDrawerType,2,0),0))</f>
        <v/>
      </c>
      <c r="W116" s="156" t="str">
        <f>IF(OR(O116="",P116=""),"",IF(OR(S116&gt;0, T116&gt;0,V116&gt;0),VLOOKUP(KitchenHandleType,FixedListsHandleType,2,FALSE)*IF(KitchenHandleType="Simple",0,IF(S116&gt;0,VLOOKUP(KitchenHandleType,FixedListsHandleType,4,FALSE),IF(OR(T116&gt;0,V116&gt;0),1-VLOOKUP(KitchenHandleType,FixedListsHandleType,4,FALSE),"Error"))),0))</f>
        <v/>
      </c>
      <c r="X116" s="156" t="str">
        <f t="shared" si="5"/>
        <v/>
      </c>
      <c r="Y116" s="156" t="str">
        <f>IF(OR(O116="",P116=""),"",IF(OR(ISERROR(FIND("carcass",$A116))=FALSE,ISERROR(FIND("unit",$A116))=FALSE),VLOOKUP(KitchenCarcassMaterial,FixedListsCarcassMaterial,3,0),0))</f>
        <v/>
      </c>
      <c r="Z116" s="156" t="str">
        <f>IF(OR(O116="",P116=""),"",IF(ISERROR(FIND("door",$A116))=FALSE,VLOOKUP(KitchenDoorStyle,FixedListsDoorStyle,3,0),0))</f>
        <v/>
      </c>
      <c r="AA116" s="156" t="str">
        <f>IF(OR(O116="",P116=""),"",IF(ISERROR(FIND("door",$A116))=FALSE,VLOOKUP(KitchenDoorMaterial,FixedListsDoorMaterial,3,0),0))</f>
        <v/>
      </c>
      <c r="AB116" s="156" t="str">
        <f>IF(OR(O116="",P116=""),"",IF(ISERROR(FIND("drawer",$A116))=FALSE,VLOOKUP(KitchenDrawerType,FixedListsDrawerType,3,0),0))</f>
        <v/>
      </c>
      <c r="AC116" s="156" t="str">
        <f>IF(OR(O116="",P116=""),"",IF(OR(Y116&gt;0,Z116&gt;0,AB116&gt;0),VLOOKUP(KitchenHandleType,FixedListsHandleType,3,FALSE),0))</f>
        <v/>
      </c>
      <c r="AD116" s="156" t="str">
        <f>IF(OR(O116="",P116=""),"",IF(OR(ISERROR(FIND("carcass",$A116))=FALSE,ISERROR(FIND("unit",$A116))=FALSE),VLOOKUP(KitchenCarcassFinish,FixedListsFinishes,3,0),IF(OR(ISERROR(FIND("door",$A116))=FALSE,ISERROR(FIND("Plinth",$A116))=FALSE,ISERROR(FIND("Cornice",$A116))=FALSE,ISERROR(FIND("Fillers",$A116))=FALSE,ISERROR(FIND("Pelmet",$A116))=FALSE,ISERROR(FIND("panel",$A116))=FALSE,ISERROR(FIND("post",$A116))=FALSE),VLOOKUP(KitchenDoorFinish,FixedListsFinishes,3,0),IF(OR(ISERROR(FIND("drawer",$A116))=FALSE,ISERROR(FIND("insert",$A116))=FALSE,ISERROR(FIND("rck",$A116))=FALSE),VLOOKUP(KitchenCarcassFinish,FixedListsFinishes,3,0),0))))</f>
        <v/>
      </c>
      <c r="AE116" s="156" t="str">
        <f t="shared" si="6"/>
        <v/>
      </c>
      <c r="AF116" s="157" t="str">
        <f>IF(AND(KitchenHandleType="Channel",OR(ISERROR(FIND("arcass",$A116))=FALSE,ISERROR(FIND("unit",$A116))=FALSE)),IF(ISERROR(FIND("Tower",$A116))=TRUE,IF(KitchenHandleFinish="Match carcass",IF(ISERROR(FIND("Walnut",KitchenCarcassMaterial))=FALSE,(0.035*0.075*($C116/1000))*VLOOKUP("Walnut (solid m3)",SolidData,4,FALSE),IF(ISERROR(FIND("Oak",KitchenCarcassMaterial))=FALSE,(0.035*0.075*($C116/1000))*VLOOKUP("Oak (solid m3)",SolidData,4,FALSE),IF(ISERROR(FIND("ply",KitchenCarcassMaterial))=FALSE,(0.1*($C116/1000))*VLOOKUP("Birch ply (24mm)",SheetsData,7,FALSE),IF(ISERROR(FIND("H/F",KitchenCarcassMaterial))=FALSE,(0.1*($C116/1000))*VLOOKUP("H/F (22mm)",SheetsData,7,FALSE),"Carcass - not tower - new material")))),IF(KitchenHandleFinish="Match door",IF(ISERROR(FIND("Walnut",KitchenDoorMaterial))=FALSE,(0.035*0.075*($C116/1000))*VLOOKUP("Walnut (solid m3)",SolidData,4,FALSE),IF(ISERROR(FIND("Oak",KitchenDoorMaterial))=FALSE,(0.035*0.075*($C116/1000))*VLOOKUP("Oak (solid m3)",SolidData,4,FALSE),IF(ISERROR(FIND("ply",KitchenDoorMaterial))=FALSE,(0.1*($C116/1000))*VLOOKUP("Birch ply (24mm)",SheetsData,7,FALSE),IF(ISERROR(FIND("H/F",KitchenCarcassMaterial))=FALSE,(0.1*($C116/1000))*VLOOKUP("H/F (22mm)",SheetsData,7,FALSE),"Door - not tower - new material")))),"Channel - not tower - handle set to other")),IF(ISERROR(FIND("Tower",$A116))=FALSE,IF(KitchenHandleFinish="Match carcass",IF(ISERROR(FIND("Walnut",KitchenCarcassMaterial))=FALSE,(0.035*0.075*($B116/1000))*VLOOKUP("Walnut (solid m3)",SolidData,4,FALSE),IF(ISERROR(FIND("Oak",KitchenCarcassMaterial))=FALSE,(0.035*0.075*($B116/1000))*VLOOKUP("Oak (solid m3)",SolidData,4,FALSE),IF(ISERROR(FIND("ply",KitchenCarcassMaterial))=FALSE,(0.1*($B116/1000))*VLOOKUP("Birch ply (24mm)",SheetsData,7,FALSE),IF(ISERROR(FIND("H/F",KitchenCarcassMaterial))=FALSE,(0.1*($C116/1000))*VLOOKUP("H/F (22mm)",SheetsData,7,FALSE),"Carcass - tower - new material")))),IF(KitchenHandleFinish="Match door",IF(ISERROR(FIND("Walnut",KitchenDoorMaterial))=FALSE,(0.035*0.075*($B116/1000))*VLOOKUP("Walnut (solid m3)",SolidData,4,FALSE),IF(ISERROR(FIND("Oak",KitchenDoorMaterial))=FALSE,(0.035*0.075*($B116/1000))*VLOOKUP("Oak (solid m3)",SolidData,4,FALSE),IF(ISERROR(FIND("ply",KitchenDoorMaterial))=FALSE,(0.1*($B116/1000))*VLOOKUP("Birch ply (24mm)",SheetData,7,FALSE),IF(ISERROR(FIND("H/F",KitchenCarcassMaterial))=FALSE,(0.1*($C116/1000))*VLOOKUP("H/F (22mm)",SheetsData,7,FALSE),"Door - tower - new material")))),"Channel - tower - handle set to other")))),"")</f>
        <v/>
      </c>
    </row>
    <row r="117">
      <c r="A117" s="150"/>
      <c r="B117" s="115" t="str">
        <f t="shared" si="1"/>
        <v/>
      </c>
      <c r="C117" s="115" t="str">
        <f>IFERROR(__xludf.DUMMYFUNCTION("IF(A117="""","""",IF(OR(RIGHT(A117,LEN(A117)-len(regexextract(A117,"".* "")))=""1200"",RIGHT(A117,LEN(A117)-len(regexextract(A117,"".* "")))=""600"",RIGHT(A117,LEN(A117)-len(regexextract(A117,"".* "")))=""400"",RIGHT(A117,LEN(A117)-len(regexextract(A117,"&amp;""".* "")))=""300"",RIGHT(A117,LEN(A117)-len(regexextract(A117,"".* "")))=""700"",RIGHT(A117,LEN(A117)-len(regexextract(A117,"".* "")))=""2400"",RIGHT(A117,LEN(A117)-len(regexextract(A117,"".* "")))=""650"",RIGHT(A117,LEN(A117)-len(regexextract(A117,"".* "&amp;""")))=""350"",RIGHT(A117,LEN(A117)-len(regexextract(A117,"".* "")))=""50""),RIGHT(A117,LEN(A117)-len(regexextract(A117,"".* ""))),IF(OR(ISERROR(FIND(""spacer"",A117))=FALSE,ISERROR(FIND(""filler panel"",A117))=FALSE),""1000"",""Unexpected size in descript"&amp;"ion"")))"),"")</f>
        <v/>
      </c>
      <c r="D117" s="151" t="str">
        <f t="shared" si="2"/>
        <v/>
      </c>
      <c r="E117" s="152" t="str">
        <f>IFERROR(__xludf.DUMMYFUNCTION("IF(OR(A117="""",AND(ISERROR(FIND(""drawer box"",A117))=FALSE,KitchenDrawerType="""")),"""",IF(OR(ISERROR(FIND(""larder"",A117))=FALSE,ISERROR(FIND(""fridge/freezer"",A117))=FALSE,ISERROR(FIND(""double oven"",A117))=FALSE,ISERROR(FIND(""single oven"",A117)"&amp;")=FALSE),VLOOKUP(LEFT(A117,FIND("" "",A117))&amp;""carcass ""&amp;RIGHT(A117,LEN(A117)-(LEN(A117)-3)),KitchensData,5,0),IF(ISERROR(FIND(""sink"",A117))=FALSE,VLOOKUP(LEFT(A117,FIND("" "",A117))&amp;""carcass ""&amp;VALUE(REGEXREPLACE(A117,""[^[:digit:]]"", """")),Kitchen"&amp;"sData,5,0)+(((C117/1000)*(300/1000))*VLOOKUP(KitchenCarcassMaterial,SheetsData,8,0)),IF(ISERROR(FIND(""bins"",A117))=FALSE,IF(ISERROR(FIND(""veneer"",KitchenCarcassMaterial))=FALSE,VLOOKUP(""Base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600"",A117))=FALSE,IF(ISERR"&amp;"OR(FIND(""veneer"",KitchenCarcassMaterial))=FALSE,0.54*(VLOOKUP(LEFT(KitchenCarcassMaterial,FIND(""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1"&amp;"200"",A117))=FALSE,IF(ISERROR(FIND(""veneer"",KitchenCarcassMaterial))=FALSE,0.84*(VLOOKUP(LEFT(KitchenCarcassMaterial,FIND(""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600"",A117))=FALSE,IF(ISERROR(FIND(""veneer"",KitchenCarcassMaterial))=FALSE,1.44*(VLOOKUP(LEFT(KitchenCarcassMaterial,FIND(""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1200"",A117))=FALSE,IF(ISERROR(FIND(""veneer"",KitchenCarcassMaterial))=FALSE,2.7*(VLOOKUP(LEFT(KitchenCarcassMaterial,FIND(""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front"",A117))=FALSE,((B117/1000)*(C117/1000))*VLOOKUP(KitchenDoorMaterial,SheetsData,8,0),IF(AND(KitchenDrawerType=""Match carcass"",ISERROR(FIND(""drawer box"",A117))=FALSE),(((((B117/10"&amp;"00)*(C117/1000))+((B117/1000)*(D117/1000)))*2)*VLOOKUP(KitchenCarcassMaterial,SheetsData,8,0))+(((C117/1000)*(D117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box"",A117))=FALSE),(((((B117/1000)*(C117/1000))+((B117/1000)*(D117/1000)))*2)*(16/1000)*VLOOKUP(L"&amp;"EFT(KitchenCarcassMaterial,FIND("" "",KitchenCarcassMaterial))&amp;""(solid m3)"",SolidData,5,0))+(((C117/1000)*(D117/1000))*VLOOKUP(LEFT(KitchenCarcassMaterial,FIND(""("",KitchenCarcassMaterial)-1)&amp;IF(OR(ISERROR(FIND(""ply"",KitchenCarcassMaterial))=FALSE,IS"&amp;"ERROR(FIND(""H/F"",KitchenCarcassMaterial))=FALSE),""(9mm)"",""(10mm)""),SheetsData,8,0)),IF(ISERROR(FIND(""spacer"",A117))=FALSE,((D117/1000)*(C117/1000))*VLOOKUP(""Poplar ply (18mm)"",SheetsData,8,0),IF(ISERROR(FIND(""filler panel"",A117))=FALSE,((B117/"&amp;"1000)*(C117/1000))*VLOOKUP(KitchenDoorMaterial,SheetsData,8,0),IF(ISERROR(FIND(""shelf"",A117))=FALSE,((D117/1000)*(C117/1000))*VLOOKUP(KitchenCarcassMaterial,SheetsData,8,0),IF(ISERROR(FIND(""lost corner"",A117))=FALSE,VLOOKUP(LEFT(A117,FIND("" "",A117))"&amp;"&amp;""carcass ""&amp;VALUE(REGEXREPLACE(A117,""[^[:digit:]]"", """")),KitchensData,5,0)+((((B117/1000)*(C117/1000))+((B117/1000)*(60/1000)))*VLOOKUP(KitchenCarcassMaterial,SheetsData,8,0)),IF(ISERROR(FIND(""carcass"",A117))=FALSE,(((((B117/1000)*2)*(D117/1000))+"&amp;"(((C117/1000)*2)*(D117/1000)))*VLOOKUP(KitchenCarcassMaterial,SheetsData,8,0))+((B117/1000)*(C117/1000))*VLOOKUP(LEFT(KitchenCarcassMaterial,FIND(""("",KitchenCarcassMaterial)-1)&amp;IF(OR(ISERROR(FIND(""ply"",KitchenCarcassMaterial))=FALSE,ISERROR(FIND(""H/F"&amp;""",KitchenCarcassMaterial))=FALSE),""(9mm)"",""(10mm)""),SheetsData,8,0),IF(OR(ISERROR(FIND(""Plinth"",A117))=FALSE,ISERROR(FIND(""Cornice (flat)"",A117))=FALSE),((B117/1000)*(C117/1000))*VLOOKUP(""H/F (18mm)"",SheetsData,8,0),IF(ISERROR(FIND(""Cornice (s"&amp;"tacked)"",A117))=FALSE,((0.08*(C117/1000))*2)*VLOOKUP(""H/F (22mm)"",SheetsData,8,0),IF(ISERROR(FIND(""Base end panel"",A117))=FALSE,VLOOKUP(KitchenDoorMaterial,SheetsData,5,0)/3,IF(ISERROR(FIND(""Wall end panel"",A117))=FALSE,VLOOKUP(KitchenDoorMaterial,"&amp;"SheetsData,5,0)/9,IF(ISERROR(FIND(""Tower end panel"",A117))=FALSE,VLOOKUP(KitchenDoorMaterial,SheetsData,5,0),IF(ISERROR(FIND(""Fillers"",A117))=FALSE,(((0.06*(C117/1000))*2)*VLOOKUP(""H/F (18mm)"",SheetsData,8,0))+(((0.06*(C117/1000))*2)*VLOOKUP(""H/F ("&amp;"9mm)"",SheetsData,8,0)),IF(ISERROR(FIND(""corner post"",A117))=FALSE,(((B117/1000)*0.05)*2)*VLOOKUP(KitchenDoorMaterial,SheetsData,8,0),IF(ISERROR(FIND(""Pelmet"",A117))=FALSE,((((B117/1000)*(C117/1000))*2)*VLOOKUP(""H/F (18mm)"",SheetsData,8,0)),IF(ISERR"&amp;"OR(FIND(""door"",A117))=TRUE,""Check description"",IF(KitchenDoorStyle=""Flat"",((B117/1000)*(C117/1000))*VLOOKUP(KitchenDoorMaterial,SheetsData,8,0),IF(LEFT(KitchenDoorStyle,5)=""Panel"",(((((B117/1000)*2)*0.08)+((((C117/1000)-0.16)*2)*0.08))*VLOOKUP(""H"&amp;"/F (22mm)"",SheetsData,8,0))+(((B117/1000)-0.14)*((C117/1000)-0.14)*VLOOKUP(""H/F (9mm)"",SheetsData,8,0)),IF(KitchenDoorStyle=""In-frame flat"",((((((B117/1000)*0.019)*0.038)+((((C117-38)/1000)*0.038)*0.038))*2)*VLOOKUP(""Tulip (solid m3)"",SolidData,5,0"&amp;"))+(((B117-76)/1000)*((C117-38)/1000))*VLOOKUP(""H/F (22mm)"",SheetsData,8,0),IF(LEFT(KitchenDoorStyle,14)=""In-frame panel"",(((((((B117/1000)*0.019)*0.038)+((((C117-38)/1000)*0.038)*0.038))*2)*VLOOKUP(""Tulip (solid m3)"",SolidData,5,0))+(((((((B117-76)"&amp;"/1000)*2)*0.08)+(((((C117-198)/1000)*2)*0.08)))*VLOOKUP(""H/F (22mm)"",SheetsData,8,0))+(((B117-216)/1000)*((C117-178)/1000)*VLOOKUP(""H/F (9mm)"",SheetsData,8,0)))))))))))))))))))))))))))))))))"),"")</f>
        <v/>
      </c>
      <c r="F117" s="152" t="str">
        <f>IFERROR(__xludf.DUMMYFUNCTION("IF(OR(A117="""",AND(ISERROR(FIND(""drawer box"",A117))=FALSE,KitchenDrawerType=""Solid dovetail"")),"""",IF(ISERROR(FIND(""bins"",A117))=FALSE,VLOOKUP(""Base carcass 600"",KitchensData,6,0),IF(OR(ISERROR(FIND(""larder"",A117))=FALSE,ISERROR(FIND(""unit"","&amp;"A117))=FALSE),VLOOKUP(LEFT(A117,FIND("" "",A117))&amp;""carcass ""&amp;RIGHT(A117,LEN(A117)-len(regexextract(A117,"".* ""))),KitchensData,6,0),IF(ISERROR(FIND(""drawer front"",A117))=FALSE,IF(ISERROR(FIND(""veneer"",KitchenCarcassMaterial))=TRUE,0,(((B117+C117)/1"&amp;"000)*2)*VLOOKUP(""Edge banding (per M)"",SheetsData,5,0)),IF(ISERROR(FIND(""drawer box"",A117))=FALSE,IF(ISERROR(FIND(""veneer"",KitchenCarcassMaterial))=TRUE,0,(((C117+D117)/1000)*2)*VLOOKUP(""Edge banding (per M)"",SheetsData,5,0)),IF(ISERROR(FIND(""she"&amp;"lf"",A117))=FALSE,IF(ISERROR(FIND(""veneer"",KitchenCarcassMaterial))=TRUE,0,(C117/1000)*VLOOKUP(""Edge banding (per M)"",SheetsData,5,0)),IF(AND(ISERROR(FIND(""carcass"",A117))=FALSE,ISERROR(FIND(""shelf"",A117))=TRUE),IF(ISERROR(FIND(""veneer"",KitchenC"&amp;"arcassMaterial))=TRUE,0,((2*(B117+C117))/1000)*VLOOKUP(""Edge banding (per M)"",SheetsData,5,0)),IF(ISERROR(FIND(""door"",A117))=TRUE,"""",IF(ISERROR(FIND(""veneer"",KitchenDoorMaterial))=TRUE,"""",((2*(B117+C117))/1000)*VLOOKUP(""Edge banding (per M)"",S"&amp;"heetsData,5,0))))))))))"),"")</f>
        <v/>
      </c>
      <c r="G117" s="153" t="str">
        <f>IF(A117="","",IF(ISERROR(FIND("bins",A117))=FALSE,VLOOKUP("Base carcass 600",KitchensData,7,0),IF(OR(ISERROR(FIND("larder",A117))=FALSE,ISERROR(FIND("fridge/freezer",A117))=FALSE,ISERROR(FIND("double oven",A117))=FALSE,ISERROR(FIND("single oven",A117))=FALSE),VLOOKUP(LEFT(A117,FIND(" ",A117))&amp;"carcass "&amp;RIGHT(A117,LEN(A117)-(LEN(A117)-3)),KitchensData,7,0),IF(AND(ISERROR(FIND("carcass",A117))=FALSE,ISERROR(FIND("shelf",A117))=TRUE),IF(OR(ISERROR(FIND("Base",A117))=FALSE,ISERROR(FIND("Tower",A117))=FALSE),IF(OR(ISERROR(FIND("1200",A117))=FALSE, ISERROR(FIND("lost corner",A117))=FALSE),6*VLOOKUP("Plinth foot (2 Parts 80mm)",FurnitureData,5,0),4*VLOOKUP("Plinth foot (2 Parts 80mm)",FurnitureData,5,0)),""),""))))</f>
        <v/>
      </c>
      <c r="H117" s="115" t="str">
        <f>IF(OR(A117="",ISERROR(FIND("door",A117))=TRUE),"",IF(ISERROR(FIND("Wall",A117))=FALSE,VLOOKUP("Hinges &amp; plates (Hettich thick door)",FurnitureData,5,0)*2,IF(ISERROR(FIND("Base",A117))=FALSE,VLOOKUP("Hinges &amp; plates (Hettich thick door)",FurnitureData,5,0)*3,IF(ISERROR(FIND("Boiler",A117))=FALSE,VLOOKUP("Hinges &amp; plates (Hettich thick door)",FurnitureData,5,0)*4,IF(ISERROR(FIND("Tower",A117))=FALSE,VLOOKUP("Hinges &amp; plates (Hettich thick door)",FurnitureData,5,0)*5)))))</f>
        <v/>
      </c>
      <c r="I117" s="115" t="str">
        <f>IF(ISERROR(FIND("shelf",A117))=FALSE,(VLOOKUP("Shelf pegs",FurnitureData,5,0)/100)*4,"")</f>
        <v/>
      </c>
      <c r="J117" s="152" t="str">
        <f>IF(OR(ISERROR(FIND("fridge/freezer",A117))=FALSE,ISERROR(FIND("larder",A117))=FALSE,AND(ISERROR(FIND("Base",A117))=FALSE,ISERROR(FIND("bins",A117))=TRUE,ISERROR(FIND("no shelves",A117))=TRUE,OR(ISERROR(FIND("carcass",A117))=FALSE,ISERROR(FIND("unit",A117))=FALSE))),VLOOKUP("Deep shelf "&amp;C117,KitchensData,18,0),IF(AND(ISERROR(FIND("Wall",A117))=FALSE,ISERROR(FIND("carcass",A117))=FALSE),2*VLOOKUP("Shallow shelf "&amp;C117,KitchensData,18,0),IF(AND(ISERROR(FIND("Tower",A117))=FALSE,ISERROR(FIND("oven",A117))=FALSE),4*VLOOKUP("Deep shelf "&amp;C117,KitchensData,18,0),IF(AND(ISERROR(FIND("Tower",A117))=FALSE,ISERROR(FIND("carcass",A117))=FALSE),5*VLOOKUP("Deep shelf "&amp;C117,KitchensData,18,0),""))))</f>
        <v/>
      </c>
      <c r="K117" s="152" t="str">
        <f>IF(ISERROR(FIND("sink",A117))=FALSE,VLOOKUP("Sink liner - Aluminium "&amp;RIGHT(A117,LEN(A117)-22)&amp;"mm",ExceptionalData,5,0),IF(ISERROR(FIND("bins",A117))=FALSE,VLOOKUP("Drawer runners and clip set for bin unit (500) Dynapro",FurnitureData,5,0)+(2*VLOOKUP("Bin (42L Anthracite)",FurnitureData,5,0)),IF(ISERROR(FIND("larder",A117))=FALSE,VLOOKUP("Pull out larder unit 600mm",FurnitureData,5,0),IF(AND(ISERROR(FIND("drawer box",A117))=FALSE,ISERROR(FIND("internal",A117))=TRUE),VLOOKUP("Drawer runners and clip set (550) Dynapro",FurnitureData,5,0),IF(ISERROR(FIND("internal drawer box",A117))=FALSE,VLOOKUP("Drawer runners and clip set (450) Dynapro",FurnitureData,5,0),"")))))</f>
        <v/>
      </c>
      <c r="L117" s="152" t="str">
        <f t="shared" si="3"/>
        <v/>
      </c>
      <c r="M117" s="154" t="str">
        <f>IFERROR(__xludf.DUMMYFUNCTION("IF(A117="""","""",IF(OR(ISERROR(FIND(""larder"",A117))=FALSE,ISERROR(FIND(""unit"",A117))=FALSE),VLOOKUP(LEFT(A117,FIND("" "",A117))&amp;""carcass ""&amp;RIGHT(A117,LEN(A117)-len(regexextract(A117,"".* ""))),KitchensData,13,0),IF(ISERROR(FIND(""bins"",A117))=FALS"&amp;"E,0.95,IF(ISERROR(FIND(""Cutlery insert 600"",A117))=FALSE,1.3,IF(ISERROR(FIND(""Cutlery insert 1200"",A117))=FALSE,2,IF(ISERROR(FIND(""Pan/tray rack 600"",A117))=FALSE,3.25,IF(ISERROR(FIND(""Pan/tray rack 1200"",A117))=FALSE,5.9,IF(ISERROR(FIND(""split"""&amp;",A117))=FALSE,(((C117/1000)*0.022)*2)+VLOOKUP(SUBSTITUTE(A117,"" split"",""""),KitchensData,13,0),IF(AND(ISERROR(FIND(""drawer front"",A117))=FALSE,KitchenDoorStyle=""Flat""),(((B117/1000)*(C117/1000))*2)+((((B117+C117)/1000)*2)*0.022),IF(AND(ISERROR(FIND"&amp;"(""drawer front"",A117))=FALSE,LEFT(KitchenDoorStyle,5)=""Panel""),(((B117/1000)*(C117/1000))*2)+((((B117+C117)/1000)*2)*0.022)+((((C117/1000)-0.16)*0.013)*2)+((((D117/1000)-0.16)*0.013)*2),IF(AND(ISERROR(FIND(""drawer front"",A117))=FALSE,KitchenDoorStyl"&amp;"e=""In-frame flat""),((((B117-76)/1000)*((C117-38)/1000))*2)+(MID(KitchenDoorMaterial,FIND(""("",KitchenDoorMaterial)+1,2)/1000)*((((B117-76)+(C117-38))/1000)*2)+(((B117/1000)*0.032)*2)+((((B117-76)/1000)*0.032)*2)+(((B117/1000)*0.019)*4)+(((C117/1000)*0."&amp;"032)*2)+((((C117-38)/1000)*0.032)*2)+(((C117/1000)*0.038)*4),IF(AND(ISERROR(FIND(""drawer front"",A117))=FALSE,LEFT(KitchenDoorStyle,14)=""In-frame panel""),((((B117-76)/1000)*((C117-38)/1000))*2)+((MID(KitchenDoorMaterial,FIND(""("",KitchenDoorMaterial)+"&amp;"1,2)/1000)*((((B117-76)+(C117-38))/1000)*2))+((((B117-236)/1000)+((C117-198)/1000)*2)*0.013)+(((B117/1000)*0.032)*2)+((((B117-76)/1000)*0.032)*2)+(((B117/1000)*0.019)*4)+(((C117/1000)*0.032)*2)+((((C117-38)/1000)*0.032)*2)+(((C117/1000)*0.038)*4),IF(ISERR"&amp;"OR(FIND(""drawer box"",A117))=FALSE,((((B117/1000)*(D117/1000))+((B117/1000)*(C117/1000)))*4)+((((D117/1000)+(C117/1000))*0.016)*4)+(((C117/1000)*(D117/1000))*2),IF(OR(ISERROR(FIND(""shelf"",A117))=FALSE,ISERROR(FIND(""spacer"",A117))=FALSE,,ISERROR(FIND("&amp;"""filler panel"",A117))=FALSE),(((C117/1000)*(D117/1000))*2)+((((C117+D117)*2)/1000)*0.022),IF(ISERROR(FIND(""lost corner"",A117))=FALSE,(((B117/1000)*(C117/1000))*2)+((B117/1000)*(C117/1000))+((B117/1000)*((C117/2)/1000))+((((B117/1000)*0.025)+((C117/100"&amp;"0)*0.025))*2),IF(ISERROR(FIND(""carcass"",A117))=FALSE,(((C117/1000)*(D117/1000))*2)+(((B117/1000)*(D117/1000))*2)+((B117/1000)*(C117/1000))+((((B117/1000)*0.025)+((C117/1000)*0.025))*2),IF(AND(ISERROR(FIND(""door"",A117))=FALSE,KitchenDoorStyle=""Flat"")"&amp;",(((B117/1000)*(C117/1000))*2)+(MID(KitchenDoorMaterial,FIND(""("",KitchenDoorMaterial)+1,2)/1000)*(((B117+C117)/1000)*2),IF(AND(ISERROR(FIND(""door"",A117))=FALSE,LEFT(KitchenDoorStyle,5)=""Panel""),(((B117/1000)*(C117/1000))*2)+((MID(KitchenDoorMaterial"&amp;",FIND(""("",KitchenDoorMaterial)+1,2)/1000)*(((B117+C117)/1000)*2))+(((((B117-160)+(C117-160))*2)/1000)*(0.013)),IF(AND(ISERROR(FIND(""door"",A117))=FALSE,KitchenDoorStyle=""In-frame flat""),((((B117-76)/1000)*((C117-38)/1000))*2)+(MID(KitchenDoorMaterial"&amp;",FIND(""("",KitchenDoorMaterial)+1,2)/1000)*((((B117-76)+(C117-38))/1000)*2)+(((B117/1000)*0.032)*2)+((((B117-76)/1000)*0.032)*2)+(((B117/1000)*0.019)*4)+(((C117/1000)*0.032)*2)+((((C117-38)/1000)*0.032)*2)+(((C117/1000)*0.038)*4),IF(AND(ISERROR(FIND(""do"&amp;"or"",A117))=FALSE,LEFT(KitchenDoorStyle,14)=""In-frame panel""),((((B117-76)/1000)*((C117-38)/1000))*2)+((MID(KitchenDoorMaterial,FIND(""("",KitchenDoorMaterial)+1,2)/1000)*((((B117-76)+(C117-38))/1000)*2))+((((B117-236)/1000)+((C117-198)/1000)*2)*0.013)+"&amp;"(((B117/1000)*0.032)*2)+((((B117-76)/1000)*0.032)*2)+(((B117/1000)*0.019)*4)+(((C117/1000)*0.032)*2)+((((C117-38)/1000)*0.032)*2)+(((C117/1000)*0.038)*4),IF(ISERROR(FIND(""Plinth"",A117))=FALSE,((B117/1000)*(C117/1000))+(((C117/1000)*0.018)*2)+(((B117/100"&amp;"0)*0.018)*2),IF(ISERROR(FIND(""Cornice"",A117))=FALSE,(((C117/1000)*0.1)*2)+(((C117/1000)*0.044)*2)+(((B117/1000)*0.08)*2),IF(ISERROR(FIND(""Base end panel"",A117))=FALSE,((B117/1000)*(C117/1000))+(0.022*((B117/1000)+((C117/1000)*2)))+((B117/1000)*0.05),I"&amp;"F(ISERROR(FIND(""Wall end panel"",A117))=FALSE,((B117/1000)*(C117/1000))+(0.022*((B117/1000)+((C117/1000)*2)))+((B117/1000)*0.05),IF(ISERROR(FIND(""Tower end panel"",A117))=FALSE,((B117/1000)*(C117/1000))+(0.022*((B117/1000)+((C117/1000)*2)))+((B117/1000)"&amp;"*0.05),IF(ISERROR(FIND(""Fillers"",A117))=FALSE,((C117/1000)*0.06)+((C117/1000)*0.069)+((0.06*0.018)*2)+((0.06*0.009)*2)+((C117/1000)*0.009)+((C117/1000)*0.018),IF(ISERROR(FIND(""corner post"",A117))=FALSE,(((B117/1000*0.05)*2)+((B117/1000)*0.022)*2)+((B1"&amp;"17/1000)*0.072)+((B117/1000)*0.05)+((0.072*0.022)*2)+((0.05*0.022)*2),IF(ISERROR(FIND(""Pelmet"",A117))=FALSE,((C117/1000)*0.05)+((C117/1000)*0.068)+((0.05*0.018)*4)+(((C117/1000)*0.018))*2))))))))))))))))))))))))))))"),"")</f>
        <v/>
      </c>
      <c r="N117" s="152" t="str">
        <f>IF(M117="","",IF(AND(ISERROR(FIND("carcass",A117))=TRUE,ISERROR(FIND("unit",A117))=TRUE,ISERROR(FIND("insert",A117))=TRUE,ISERROR(FIND("rack",A117))=TRUE,ISERROR(FIND("box",A117))=TRUE,ISERROR(FIND("shelf",#REF!))=TRUE),VLOOKUP(KitchenDoorFinish,Finishing!$A$2:$K$10,9,0)*M117,VLOOKUP(KitchenCarcassFinish,Finishing!$A$2:$K$40,9,0)*M117))</f>
        <v/>
      </c>
      <c r="O117" s="155"/>
      <c r="P117" s="155"/>
      <c r="Q117" s="152" t="str">
        <f>IF(OR(O117="",P117=""),"",((O117*X117)*(VLOOKUP("Workshop",Labour!$A$3:$E$20,4,0)/8))+((P117*AE117)*(VLOOKUP("Finishing",Labour!$A$3:$E$20,4,0)/8)))</f>
        <v/>
      </c>
      <c r="R117" s="152" t="str">
        <f t="shared" si="4"/>
        <v/>
      </c>
      <c r="S117" s="156" t="str">
        <f>IF(OR(O117="",P117=""),"",IF(OR(ISERROR(FIND("carcass",$A117))=FALSE,ISERROR(FIND("unit",$A117))=FALSE),VLOOKUP(KitchenCarcassMaterial,FixedListsCarcassMaterial,2,0),0))</f>
        <v/>
      </c>
      <c r="T117" s="156" t="str">
        <f>IF(OR(O117="",P117=""),"",IF(ISERROR(FIND("door",$A117))=FALSE,VLOOKUP(KitchenDoorStyle,FixedListsDoorStyle,2,0),0))</f>
        <v/>
      </c>
      <c r="U117" s="156" t="str">
        <f>IF(OR(O117="",P117=""),"",IF(ISERROR(FIND("door",$A117))=FALSE,VLOOKUP(KitchenDoorMaterial,FixedListsDoorMaterial,2,0),0))</f>
        <v/>
      </c>
      <c r="V117" s="156" t="str">
        <f>IF(OR(O117="",P117=""),"",IF(ISERROR(FIND("drawer",$A117))=FALSE,VLOOKUP(KitchenDrawerType,FixedListsDrawerType,2,0),0))</f>
        <v/>
      </c>
      <c r="W117" s="156" t="str">
        <f>IF(OR(O117="",P117=""),"",IF(OR(S117&gt;0, T117&gt;0,V117&gt;0),VLOOKUP(KitchenHandleType,FixedListsHandleType,2,FALSE)*IF(KitchenHandleType="Simple",0,IF(S117&gt;0,VLOOKUP(KitchenHandleType,FixedListsHandleType,4,FALSE),IF(OR(T117&gt;0,V117&gt;0),1-VLOOKUP(KitchenHandleType,FixedListsHandleType,4,FALSE),"Error"))),0))</f>
        <v/>
      </c>
      <c r="X117" s="156" t="str">
        <f t="shared" si="5"/>
        <v/>
      </c>
      <c r="Y117" s="156" t="str">
        <f>IF(OR(O117="",P117=""),"",IF(OR(ISERROR(FIND("carcass",$A117))=FALSE,ISERROR(FIND("unit",$A117))=FALSE),VLOOKUP(KitchenCarcassMaterial,FixedListsCarcassMaterial,3,0),0))</f>
        <v/>
      </c>
      <c r="Z117" s="156" t="str">
        <f>IF(OR(O117="",P117=""),"",IF(ISERROR(FIND("door",$A117))=FALSE,VLOOKUP(KitchenDoorStyle,FixedListsDoorStyle,3,0),0))</f>
        <v/>
      </c>
      <c r="AA117" s="156" t="str">
        <f>IF(OR(O117="",P117=""),"",IF(ISERROR(FIND("door",$A117))=FALSE,VLOOKUP(KitchenDoorMaterial,FixedListsDoorMaterial,3,0),0))</f>
        <v/>
      </c>
      <c r="AB117" s="156" t="str">
        <f>IF(OR(O117="",P117=""),"",IF(ISERROR(FIND("drawer",$A117))=FALSE,VLOOKUP(KitchenDrawerType,FixedListsDrawerType,3,0),0))</f>
        <v/>
      </c>
      <c r="AC117" s="156" t="str">
        <f>IF(OR(O117="",P117=""),"",IF(OR(Y117&gt;0,Z117&gt;0,AB117&gt;0),VLOOKUP(KitchenHandleType,FixedListsHandleType,3,FALSE),0))</f>
        <v/>
      </c>
      <c r="AD117" s="156" t="str">
        <f>IF(OR(O117="",P117=""),"",IF(OR(ISERROR(FIND("carcass",$A117))=FALSE,ISERROR(FIND("unit",$A117))=FALSE),VLOOKUP(KitchenCarcassFinish,FixedListsFinishes,3,0),IF(OR(ISERROR(FIND("door",$A117))=FALSE,ISERROR(FIND("Plinth",$A117))=FALSE,ISERROR(FIND("Cornice",$A117))=FALSE,ISERROR(FIND("Fillers",$A117))=FALSE,ISERROR(FIND("Pelmet",$A117))=FALSE,ISERROR(FIND("panel",$A117))=FALSE,ISERROR(FIND("post",$A117))=FALSE),VLOOKUP(KitchenDoorFinish,FixedListsFinishes,3,0),IF(OR(ISERROR(FIND("drawer",$A117))=FALSE,ISERROR(FIND("insert",$A117))=FALSE,ISERROR(FIND("rck",$A117))=FALSE),VLOOKUP(KitchenCarcassFinish,FixedListsFinishes,3,0),0))))</f>
        <v/>
      </c>
      <c r="AE117" s="156" t="str">
        <f t="shared" si="6"/>
        <v/>
      </c>
      <c r="AF117" s="157" t="str">
        <f>IF(AND(KitchenHandleType="Channel",OR(ISERROR(FIND("arcass",$A117))=FALSE,ISERROR(FIND("unit",$A117))=FALSE)),IF(ISERROR(FIND("Tower",$A117))=TRUE,IF(KitchenHandleFinish="Match carcass",IF(ISERROR(FIND("Walnut",KitchenCarcassMaterial))=FALSE,(0.035*0.075*($C117/1000))*VLOOKUP("Walnut (solid m3)",SolidData,4,FALSE),IF(ISERROR(FIND("Oak",KitchenCarcassMaterial))=FALSE,(0.035*0.075*($C117/1000))*VLOOKUP("Oak (solid m3)",SolidData,4,FALSE),IF(ISERROR(FIND("ply",KitchenCarcassMaterial))=FALSE,(0.1*($C117/1000))*VLOOKUP("Birch ply (24mm)",SheetsData,7,FALSE),IF(ISERROR(FIND("H/F",KitchenCarcassMaterial))=FALSE,(0.1*($C117/1000))*VLOOKUP("H/F (22mm)",SheetsData,7,FALSE),"Carcass - not tower - new material")))),IF(KitchenHandleFinish="Match door",IF(ISERROR(FIND("Walnut",KitchenDoorMaterial))=FALSE,(0.035*0.075*($C117/1000))*VLOOKUP("Walnut (solid m3)",SolidData,4,FALSE),IF(ISERROR(FIND("Oak",KitchenDoorMaterial))=FALSE,(0.035*0.075*($C117/1000))*VLOOKUP("Oak (solid m3)",SolidData,4,FALSE),IF(ISERROR(FIND("ply",KitchenDoorMaterial))=FALSE,(0.1*($C117/1000))*VLOOKUP("Birch ply (24mm)",SheetsData,7,FALSE),IF(ISERROR(FIND("H/F",KitchenCarcassMaterial))=FALSE,(0.1*($C117/1000))*VLOOKUP("H/F (22mm)",SheetsData,7,FALSE),"Door - not tower - new material")))),"Channel - not tower - handle set to other")),IF(ISERROR(FIND("Tower",$A117))=FALSE,IF(KitchenHandleFinish="Match carcass",IF(ISERROR(FIND("Walnut",KitchenCarcassMaterial))=FALSE,(0.035*0.075*($B117/1000))*VLOOKUP("Walnut (solid m3)",SolidData,4,FALSE),IF(ISERROR(FIND("Oak",KitchenCarcassMaterial))=FALSE,(0.035*0.075*($B117/1000))*VLOOKUP("Oak (solid m3)",SolidData,4,FALSE),IF(ISERROR(FIND("ply",KitchenCarcassMaterial))=FALSE,(0.1*($B117/1000))*VLOOKUP("Birch ply (24mm)",SheetsData,7,FALSE),IF(ISERROR(FIND("H/F",KitchenCarcassMaterial))=FALSE,(0.1*($C117/1000))*VLOOKUP("H/F (22mm)",SheetsData,7,FALSE),"Carcass - tower - new material")))),IF(KitchenHandleFinish="Match door",IF(ISERROR(FIND("Walnut",KitchenDoorMaterial))=FALSE,(0.035*0.075*($B117/1000))*VLOOKUP("Walnut (solid m3)",SolidData,4,FALSE),IF(ISERROR(FIND("Oak",KitchenDoorMaterial))=FALSE,(0.035*0.075*($B117/1000))*VLOOKUP("Oak (solid m3)",SolidData,4,FALSE),IF(ISERROR(FIND("ply",KitchenDoorMaterial))=FALSE,(0.1*($B117/1000))*VLOOKUP("Birch ply (24mm)",SheetData,7,FALSE),IF(ISERROR(FIND("H/F",KitchenCarcassMaterial))=FALSE,(0.1*($C117/1000))*VLOOKUP("H/F (22mm)",SheetsData,7,FALSE),"Door - tower - new material")))),"Channel - tower - handle set to other")))),"")</f>
        <v/>
      </c>
    </row>
    <row r="118">
      <c r="A118" s="150"/>
      <c r="B118" s="115" t="str">
        <f t="shared" si="1"/>
        <v/>
      </c>
      <c r="C118" s="115" t="str">
        <f>IFERROR(__xludf.DUMMYFUNCTION("IF(A118="""","""",IF(OR(RIGHT(A118,LEN(A118)-len(regexextract(A118,"".* "")))=""1200"",RIGHT(A118,LEN(A118)-len(regexextract(A118,"".* "")))=""600"",RIGHT(A118,LEN(A118)-len(regexextract(A118,"".* "")))=""400"",RIGHT(A118,LEN(A118)-len(regexextract(A118,"&amp;""".* "")))=""300"",RIGHT(A118,LEN(A118)-len(regexextract(A118,"".* "")))=""700"",RIGHT(A118,LEN(A118)-len(regexextract(A118,"".* "")))=""2400"",RIGHT(A118,LEN(A118)-len(regexextract(A118,"".* "")))=""650"",RIGHT(A118,LEN(A118)-len(regexextract(A118,"".* "&amp;""")))=""350"",RIGHT(A118,LEN(A118)-len(regexextract(A118,"".* "")))=""50""),RIGHT(A118,LEN(A118)-len(regexextract(A118,"".* ""))),IF(OR(ISERROR(FIND(""spacer"",A118))=FALSE,ISERROR(FIND(""filler panel"",A118))=FALSE),""1000"",""Unexpected size in descript"&amp;"ion"")))"),"")</f>
        <v/>
      </c>
      <c r="D118" s="151" t="str">
        <f t="shared" si="2"/>
        <v/>
      </c>
      <c r="E118" s="152" t="str">
        <f>IFERROR(__xludf.DUMMYFUNCTION("IF(OR(A118="""",AND(ISERROR(FIND(""drawer box"",A118))=FALSE,KitchenDrawerType="""")),"""",IF(OR(ISERROR(FIND(""larder"",A118))=FALSE,ISERROR(FIND(""fridge/freezer"",A118))=FALSE,ISERROR(FIND(""double oven"",A118))=FALSE,ISERROR(FIND(""single oven"",A118)"&amp;")=FALSE),VLOOKUP(LEFT(A118,FIND("" "",A118))&amp;""carcass ""&amp;RIGHT(A118,LEN(A118)-(LEN(A118)-3)),KitchensData,5,0),IF(ISERROR(FIND(""sink"",A118))=FALSE,VLOOKUP(LEFT(A118,FIND("" "",A118))&amp;""carcass ""&amp;VALUE(REGEXREPLACE(A118,""[^[:digit:]]"", """")),Kitchen"&amp;"sData,5,0)+(((C118/1000)*(300/1000))*VLOOKUP(KitchenCarcassMaterial,SheetsData,8,0)),IF(ISERROR(FIND(""bins"",A118))=FALSE,IF(ISERROR(FIND(""veneer"",KitchenCarcassMaterial))=FALSE,VLOOKUP(""Base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600"",A118))=FALSE,IF(ISERR"&amp;"OR(FIND(""veneer"",KitchenCarcassMaterial))=FALSE,0.54*(VLOOKUP(LEFT(KitchenCarcassMaterial,FIND(""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1"&amp;"200"",A118))=FALSE,IF(ISERROR(FIND(""veneer"",KitchenCarcassMaterial))=FALSE,0.84*(VLOOKUP(LEFT(KitchenCarcassMaterial,FIND(""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600"",A118))=FALSE,IF(ISERROR(FIND(""veneer"",KitchenCarcassMaterial))=FALSE,1.44*(VLOOKUP(LEFT(KitchenCarcassMaterial,FIND(""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1200"",A118))=FALSE,IF(ISERROR(FIND(""veneer"",KitchenCarcassMaterial))=FALSE,2.7*(VLOOKUP(LEFT(KitchenCarcassMaterial,FIND(""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front"",A118))=FALSE,((B118/1000)*(C118/1000))*VLOOKUP(KitchenDoorMaterial,SheetsData,8,0),IF(AND(KitchenDrawerType=""Match carcass"",ISERROR(FIND(""drawer box"",A118))=FALSE),(((((B118/10"&amp;"00)*(C118/1000))+((B118/1000)*(D118/1000)))*2)*VLOOKUP(KitchenCarcassMaterial,SheetsData,8,0))+(((C118/1000)*(D118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box"",A118))=FALSE),(((((B118/1000)*(C118/1000))+((B118/1000)*(D118/1000)))*2)*(16/1000)*VLOOKUP(L"&amp;"EFT(KitchenCarcassMaterial,FIND("" "",KitchenCarcassMaterial))&amp;""(solid m3)"",SolidData,5,0))+(((C118/1000)*(D118/1000))*VLOOKUP(LEFT(KitchenCarcassMaterial,FIND(""("",KitchenCarcassMaterial)-1)&amp;IF(OR(ISERROR(FIND(""ply"",KitchenCarcassMaterial))=FALSE,IS"&amp;"ERROR(FIND(""H/F"",KitchenCarcassMaterial))=FALSE),""(9mm)"",""(10mm)""),SheetsData,8,0)),IF(ISERROR(FIND(""spacer"",A118))=FALSE,((D118/1000)*(C118/1000))*VLOOKUP(""Poplar ply (18mm)"",SheetsData,8,0),IF(ISERROR(FIND(""filler panel"",A118))=FALSE,((B118/"&amp;"1000)*(C118/1000))*VLOOKUP(KitchenDoorMaterial,SheetsData,8,0),IF(ISERROR(FIND(""shelf"",A118))=FALSE,((D118/1000)*(C118/1000))*VLOOKUP(KitchenCarcassMaterial,SheetsData,8,0),IF(ISERROR(FIND(""lost corner"",A118))=FALSE,VLOOKUP(LEFT(A118,FIND("" "",A118))"&amp;"&amp;""carcass ""&amp;VALUE(REGEXREPLACE(A118,""[^[:digit:]]"", """")),KitchensData,5,0)+((((B118/1000)*(C118/1000))+((B118/1000)*(60/1000)))*VLOOKUP(KitchenCarcassMaterial,SheetsData,8,0)),IF(ISERROR(FIND(""carcass"",A118))=FALSE,(((((B118/1000)*2)*(D118/1000))+"&amp;"(((C118/1000)*2)*(D118/1000)))*VLOOKUP(KitchenCarcassMaterial,SheetsData,8,0))+((B118/1000)*(C118/1000))*VLOOKUP(LEFT(KitchenCarcassMaterial,FIND(""("",KitchenCarcassMaterial)-1)&amp;IF(OR(ISERROR(FIND(""ply"",KitchenCarcassMaterial))=FALSE,ISERROR(FIND(""H/F"&amp;""",KitchenCarcassMaterial))=FALSE),""(9mm)"",""(10mm)""),SheetsData,8,0),IF(OR(ISERROR(FIND(""Plinth"",A118))=FALSE,ISERROR(FIND(""Cornice (flat)"",A118))=FALSE),((B118/1000)*(C118/1000))*VLOOKUP(""H/F (18mm)"",SheetsData,8,0),IF(ISERROR(FIND(""Cornice (s"&amp;"tacked)"",A118))=FALSE,((0.08*(C118/1000))*2)*VLOOKUP(""H/F (22mm)"",SheetsData,8,0),IF(ISERROR(FIND(""Base end panel"",A118))=FALSE,VLOOKUP(KitchenDoorMaterial,SheetsData,5,0)/3,IF(ISERROR(FIND(""Wall end panel"",A118))=FALSE,VLOOKUP(KitchenDoorMaterial,"&amp;"SheetsData,5,0)/9,IF(ISERROR(FIND(""Tower end panel"",A118))=FALSE,VLOOKUP(KitchenDoorMaterial,SheetsData,5,0),IF(ISERROR(FIND(""Fillers"",A118))=FALSE,(((0.06*(C118/1000))*2)*VLOOKUP(""H/F (18mm)"",SheetsData,8,0))+(((0.06*(C118/1000))*2)*VLOOKUP(""H/F ("&amp;"9mm)"",SheetsData,8,0)),IF(ISERROR(FIND(""corner post"",A118))=FALSE,(((B118/1000)*0.05)*2)*VLOOKUP(KitchenDoorMaterial,SheetsData,8,0),IF(ISERROR(FIND(""Pelmet"",A118))=FALSE,((((B118/1000)*(C118/1000))*2)*VLOOKUP(""H/F (18mm)"",SheetsData,8,0)),IF(ISERR"&amp;"OR(FIND(""door"",A118))=TRUE,""Check description"",IF(KitchenDoorStyle=""Flat"",((B118/1000)*(C118/1000))*VLOOKUP(KitchenDoorMaterial,SheetsData,8,0),IF(LEFT(KitchenDoorStyle,5)=""Panel"",(((((B118/1000)*2)*0.08)+((((C118/1000)-0.16)*2)*0.08))*VLOOKUP(""H"&amp;"/F (22mm)"",SheetsData,8,0))+(((B118/1000)-0.14)*((C118/1000)-0.14)*VLOOKUP(""H/F (9mm)"",SheetsData,8,0)),IF(KitchenDoorStyle=""In-frame flat"",((((((B118/1000)*0.019)*0.038)+((((C118-38)/1000)*0.038)*0.038))*2)*VLOOKUP(""Tulip (solid m3)"",SolidData,5,0"&amp;"))+(((B118-76)/1000)*((C118-38)/1000))*VLOOKUP(""H/F (22mm)"",SheetsData,8,0),IF(LEFT(KitchenDoorStyle,14)=""In-frame panel"",(((((((B118/1000)*0.019)*0.038)+((((C118-38)/1000)*0.038)*0.038))*2)*VLOOKUP(""Tulip (solid m3)"",SolidData,5,0))+(((((((B118-76)"&amp;"/1000)*2)*0.08)+(((((C118-198)/1000)*2)*0.08)))*VLOOKUP(""H/F (22mm)"",SheetsData,8,0))+(((B118-216)/1000)*((C118-178)/1000)*VLOOKUP(""H/F (9mm)"",SheetsData,8,0)))))))))))))))))))))))))))))))))"),"")</f>
        <v/>
      </c>
      <c r="F118" s="152" t="str">
        <f>IFERROR(__xludf.DUMMYFUNCTION("IF(OR(A118="""",AND(ISERROR(FIND(""drawer box"",A118))=FALSE,KitchenDrawerType=""Solid dovetail"")),"""",IF(ISERROR(FIND(""bins"",A118))=FALSE,VLOOKUP(""Base carcass 600"",KitchensData,6,0),IF(OR(ISERROR(FIND(""larder"",A118))=FALSE,ISERROR(FIND(""unit"","&amp;"A118))=FALSE),VLOOKUP(LEFT(A118,FIND("" "",A118))&amp;""carcass ""&amp;RIGHT(A118,LEN(A118)-len(regexextract(A118,"".* ""))),KitchensData,6,0),IF(ISERROR(FIND(""drawer front"",A118))=FALSE,IF(ISERROR(FIND(""veneer"",KitchenCarcassMaterial))=TRUE,0,(((B118+C118)/1"&amp;"000)*2)*VLOOKUP(""Edge banding (per M)"",SheetsData,5,0)),IF(ISERROR(FIND(""drawer box"",A118))=FALSE,IF(ISERROR(FIND(""veneer"",KitchenCarcassMaterial))=TRUE,0,(((C118+D118)/1000)*2)*VLOOKUP(""Edge banding (per M)"",SheetsData,5,0)),IF(ISERROR(FIND(""she"&amp;"lf"",A118))=FALSE,IF(ISERROR(FIND(""veneer"",KitchenCarcassMaterial))=TRUE,0,(C118/1000)*VLOOKUP(""Edge banding (per M)"",SheetsData,5,0)),IF(AND(ISERROR(FIND(""carcass"",A118))=FALSE,ISERROR(FIND(""shelf"",A118))=TRUE),IF(ISERROR(FIND(""veneer"",KitchenC"&amp;"arcassMaterial))=TRUE,0,((2*(B118+C118))/1000)*VLOOKUP(""Edge banding (per M)"",SheetsData,5,0)),IF(ISERROR(FIND(""door"",A118))=TRUE,"""",IF(ISERROR(FIND(""veneer"",KitchenDoorMaterial))=TRUE,"""",((2*(B118+C118))/1000)*VLOOKUP(""Edge banding (per M)"",S"&amp;"heetsData,5,0))))))))))"),"")</f>
        <v/>
      </c>
      <c r="G118" s="153" t="str">
        <f>IF(A118="","",IF(ISERROR(FIND("bins",A118))=FALSE,VLOOKUP("Base carcass 600",KitchensData,7,0),IF(OR(ISERROR(FIND("larder",A118))=FALSE,ISERROR(FIND("fridge/freezer",A118))=FALSE,ISERROR(FIND("double oven",A118))=FALSE,ISERROR(FIND("single oven",A118))=FALSE),VLOOKUP(LEFT(A118,FIND(" ",A118))&amp;"carcass "&amp;RIGHT(A118,LEN(A118)-(LEN(A118)-3)),KitchensData,7,0),IF(AND(ISERROR(FIND("carcass",A118))=FALSE,ISERROR(FIND("shelf",A118))=TRUE),IF(OR(ISERROR(FIND("Base",A118))=FALSE,ISERROR(FIND("Tower",A118))=FALSE),IF(OR(ISERROR(FIND("1200",A118))=FALSE, ISERROR(FIND("lost corner",A118))=FALSE),6*VLOOKUP("Plinth foot (2 Parts 80mm)",FurnitureData,5,0),4*VLOOKUP("Plinth foot (2 Parts 80mm)",FurnitureData,5,0)),""),""))))</f>
        <v/>
      </c>
      <c r="H118" s="115" t="str">
        <f>IF(OR(A118="",ISERROR(FIND("door",A118))=TRUE),"",IF(ISERROR(FIND("Wall",A118))=FALSE,VLOOKUP("Hinges &amp; plates (Hettich thick door)",FurnitureData,5,0)*2,IF(ISERROR(FIND("Base",A118))=FALSE,VLOOKUP("Hinges &amp; plates (Hettich thick door)",FurnitureData,5,0)*3,IF(ISERROR(FIND("Boiler",A118))=FALSE,VLOOKUP("Hinges &amp; plates (Hettich thick door)",FurnitureData,5,0)*4,IF(ISERROR(FIND("Tower",A118))=FALSE,VLOOKUP("Hinges &amp; plates (Hettich thick door)",FurnitureData,5,0)*5)))))</f>
        <v/>
      </c>
      <c r="I118" s="115" t="str">
        <f>IF(ISERROR(FIND("shelf",A118))=FALSE,(VLOOKUP("Shelf pegs",FurnitureData,5,0)/100)*4,"")</f>
        <v/>
      </c>
      <c r="J118" s="152" t="str">
        <f>IF(OR(ISERROR(FIND("fridge/freezer",A118))=FALSE,ISERROR(FIND("larder",A118))=FALSE,AND(ISERROR(FIND("Base",A118))=FALSE,ISERROR(FIND("bins",A118))=TRUE,ISERROR(FIND("no shelves",A118))=TRUE,OR(ISERROR(FIND("carcass",A118))=FALSE,ISERROR(FIND("unit",A118))=FALSE))),VLOOKUP("Deep shelf "&amp;C118,KitchensData,18,0),IF(AND(ISERROR(FIND("Wall",A118))=FALSE,ISERROR(FIND("carcass",A118))=FALSE),2*VLOOKUP("Shallow shelf "&amp;C118,KitchensData,18,0),IF(AND(ISERROR(FIND("Tower",A118))=FALSE,ISERROR(FIND("oven",A118))=FALSE),4*VLOOKUP("Deep shelf "&amp;C118,KitchensData,18,0),IF(AND(ISERROR(FIND("Tower",A118))=FALSE,ISERROR(FIND("carcass",A118))=FALSE),5*VLOOKUP("Deep shelf "&amp;C118,KitchensData,18,0),""))))</f>
        <v/>
      </c>
      <c r="K118" s="152" t="str">
        <f>IF(ISERROR(FIND("sink",A118))=FALSE,VLOOKUP("Sink liner - Aluminium "&amp;RIGHT(A118,LEN(A118)-22)&amp;"mm",ExceptionalData,5,0),IF(ISERROR(FIND("bins",A118))=FALSE,VLOOKUP("Drawer runners and clip set for bin unit (500) Dynapro",FurnitureData,5,0)+(2*VLOOKUP("Bin (42L Anthracite)",FurnitureData,5,0)),IF(ISERROR(FIND("larder",A118))=FALSE,VLOOKUP("Pull out larder unit 600mm",FurnitureData,5,0),IF(AND(ISERROR(FIND("drawer box",A118))=FALSE,ISERROR(FIND("internal",A118))=TRUE),VLOOKUP("Drawer runners and clip set (550) Dynapro",FurnitureData,5,0),IF(ISERROR(FIND("internal drawer box",A118))=FALSE,VLOOKUP("Drawer runners and clip set (450) Dynapro",FurnitureData,5,0),"")))))</f>
        <v/>
      </c>
      <c r="L118" s="152" t="str">
        <f t="shared" si="3"/>
        <v/>
      </c>
      <c r="M118" s="154" t="str">
        <f>IFERROR(__xludf.DUMMYFUNCTION("IF(A118="""","""",IF(OR(ISERROR(FIND(""larder"",A118))=FALSE,ISERROR(FIND(""unit"",A118))=FALSE),VLOOKUP(LEFT(A118,FIND("" "",A118))&amp;""carcass ""&amp;RIGHT(A118,LEN(A118)-len(regexextract(A118,"".* ""))),KitchensData,13,0),IF(ISERROR(FIND(""bins"",A118))=FALS"&amp;"E,0.95,IF(ISERROR(FIND(""Cutlery insert 600"",A118))=FALSE,1.3,IF(ISERROR(FIND(""Cutlery insert 1200"",A118))=FALSE,2,IF(ISERROR(FIND(""Pan/tray rack 600"",A118))=FALSE,3.25,IF(ISERROR(FIND(""Pan/tray rack 1200"",A118))=FALSE,5.9,IF(ISERROR(FIND(""split"""&amp;",A118))=FALSE,(((C118/1000)*0.022)*2)+VLOOKUP(SUBSTITUTE(A118,"" split"",""""),KitchensData,13,0),IF(AND(ISERROR(FIND(""drawer front"",A118))=FALSE,KitchenDoorStyle=""Flat""),(((B118/1000)*(C118/1000))*2)+((((B118+C118)/1000)*2)*0.022),IF(AND(ISERROR(FIND"&amp;"(""drawer front"",A118))=FALSE,LEFT(KitchenDoorStyle,5)=""Panel""),(((B118/1000)*(C118/1000))*2)+((((B118+C118)/1000)*2)*0.022)+((((C118/1000)-0.16)*0.013)*2)+((((D118/1000)-0.16)*0.013)*2),IF(AND(ISERROR(FIND(""drawer front"",A118))=FALSE,KitchenDoorStyl"&amp;"e=""In-frame flat""),((((B118-76)/1000)*((C118-38)/1000))*2)+(MID(KitchenDoorMaterial,FIND(""("",KitchenDoorMaterial)+1,2)/1000)*((((B118-76)+(C118-38))/1000)*2)+(((B118/1000)*0.032)*2)+((((B118-76)/1000)*0.032)*2)+(((B118/1000)*0.019)*4)+(((C118/1000)*0."&amp;"032)*2)+((((C118-38)/1000)*0.032)*2)+(((C118/1000)*0.038)*4),IF(AND(ISERROR(FIND(""drawer front"",A118))=FALSE,LEFT(KitchenDoorStyle,14)=""In-frame panel""),((((B118-76)/1000)*((C118-38)/1000))*2)+((MID(KitchenDoorMaterial,FIND(""("",KitchenDoorMaterial)+"&amp;"1,2)/1000)*((((B118-76)+(C118-38))/1000)*2))+((((B118-236)/1000)+((C118-198)/1000)*2)*0.013)+(((B118/1000)*0.032)*2)+((((B118-76)/1000)*0.032)*2)+(((B118/1000)*0.019)*4)+(((C118/1000)*0.032)*2)+((((C118-38)/1000)*0.032)*2)+(((C118/1000)*0.038)*4),IF(ISERR"&amp;"OR(FIND(""drawer box"",A118))=FALSE,((((B118/1000)*(D118/1000))+((B118/1000)*(C118/1000)))*4)+((((D118/1000)+(C118/1000))*0.016)*4)+(((C118/1000)*(D118/1000))*2),IF(OR(ISERROR(FIND(""shelf"",A118))=FALSE,ISERROR(FIND(""spacer"",A118))=FALSE,,ISERROR(FIND("&amp;"""filler panel"",A118))=FALSE),(((C118/1000)*(D118/1000))*2)+((((C118+D118)*2)/1000)*0.022),IF(ISERROR(FIND(""lost corner"",A118))=FALSE,(((B118/1000)*(C118/1000))*2)+((B118/1000)*(C118/1000))+((B118/1000)*((C118/2)/1000))+((((B118/1000)*0.025)+((C118/100"&amp;"0)*0.025))*2),IF(ISERROR(FIND(""carcass"",A118))=FALSE,(((C118/1000)*(D118/1000))*2)+(((B118/1000)*(D118/1000))*2)+((B118/1000)*(C118/1000))+((((B118/1000)*0.025)+((C118/1000)*0.025))*2),IF(AND(ISERROR(FIND(""door"",A118))=FALSE,KitchenDoorStyle=""Flat"")"&amp;",(((B118/1000)*(C118/1000))*2)+(MID(KitchenDoorMaterial,FIND(""("",KitchenDoorMaterial)+1,2)/1000)*(((B118+C118)/1000)*2),IF(AND(ISERROR(FIND(""door"",A118))=FALSE,LEFT(KitchenDoorStyle,5)=""Panel""),(((B118/1000)*(C118/1000))*2)+((MID(KitchenDoorMaterial"&amp;",FIND(""("",KitchenDoorMaterial)+1,2)/1000)*(((B118+C118)/1000)*2))+(((((B118-160)+(C118-160))*2)/1000)*(0.013)),IF(AND(ISERROR(FIND(""door"",A118))=FALSE,KitchenDoorStyle=""In-frame flat""),((((B118-76)/1000)*((C118-38)/1000))*2)+(MID(KitchenDoorMaterial"&amp;",FIND(""("",KitchenDoorMaterial)+1,2)/1000)*((((B118-76)+(C118-38))/1000)*2)+(((B118/1000)*0.032)*2)+((((B118-76)/1000)*0.032)*2)+(((B118/1000)*0.019)*4)+(((C118/1000)*0.032)*2)+((((C118-38)/1000)*0.032)*2)+(((C118/1000)*0.038)*4),IF(AND(ISERROR(FIND(""do"&amp;"or"",A118))=FALSE,LEFT(KitchenDoorStyle,14)=""In-frame panel""),((((B118-76)/1000)*((C118-38)/1000))*2)+((MID(KitchenDoorMaterial,FIND(""("",KitchenDoorMaterial)+1,2)/1000)*((((B118-76)+(C118-38))/1000)*2))+((((B118-236)/1000)+((C118-198)/1000)*2)*0.013)+"&amp;"(((B118/1000)*0.032)*2)+((((B118-76)/1000)*0.032)*2)+(((B118/1000)*0.019)*4)+(((C118/1000)*0.032)*2)+((((C118-38)/1000)*0.032)*2)+(((C118/1000)*0.038)*4),IF(ISERROR(FIND(""Plinth"",A118))=FALSE,((B118/1000)*(C118/1000))+(((C118/1000)*0.018)*2)+(((B118/100"&amp;"0)*0.018)*2),IF(ISERROR(FIND(""Cornice"",A118))=FALSE,(((C118/1000)*0.1)*2)+(((C118/1000)*0.044)*2)+(((B118/1000)*0.08)*2),IF(ISERROR(FIND(""Base end panel"",A118))=FALSE,((B118/1000)*(C118/1000))+(0.022*((B118/1000)+((C118/1000)*2)))+((B118/1000)*0.05),I"&amp;"F(ISERROR(FIND(""Wall end panel"",A118))=FALSE,((B118/1000)*(C118/1000))+(0.022*((B118/1000)+((C118/1000)*2)))+((B118/1000)*0.05),IF(ISERROR(FIND(""Tower end panel"",A118))=FALSE,((B118/1000)*(C118/1000))+(0.022*((B118/1000)+((C118/1000)*2)))+((B118/1000)"&amp;"*0.05),IF(ISERROR(FIND(""Fillers"",A118))=FALSE,((C118/1000)*0.06)+((C118/1000)*0.069)+((0.06*0.018)*2)+((0.06*0.009)*2)+((C118/1000)*0.009)+((C118/1000)*0.018),IF(ISERROR(FIND(""corner post"",A118))=FALSE,(((B118/1000*0.05)*2)+((B118/1000)*0.022)*2)+((B1"&amp;"18/1000)*0.072)+((B118/1000)*0.05)+((0.072*0.022)*2)+((0.05*0.022)*2),IF(ISERROR(FIND(""Pelmet"",A118))=FALSE,((C118/1000)*0.05)+((C118/1000)*0.068)+((0.05*0.018)*4)+(((C118/1000)*0.018))*2))))))))))))))))))))))))))))"),"")</f>
        <v/>
      </c>
      <c r="N118" s="152" t="str">
        <f>IF(M118="","",IF(AND(ISERROR(FIND("carcass",A118))=TRUE,ISERROR(FIND("unit",A118))=TRUE,ISERROR(FIND("insert",A118))=TRUE,ISERROR(FIND("rack",A118))=TRUE,ISERROR(FIND("box",A118))=TRUE,ISERROR(FIND("shelf",#REF!))=TRUE),VLOOKUP(KitchenDoorFinish,Finishing!$A$2:$K$10,9,0)*M118,VLOOKUP(KitchenCarcassFinish,Finishing!$A$2:$K$40,9,0)*M118))</f>
        <v/>
      </c>
      <c r="O118" s="155"/>
      <c r="P118" s="155"/>
      <c r="Q118" s="152" t="str">
        <f>IF(OR(O118="",P118=""),"",((O118*X118)*(VLOOKUP("Workshop",Labour!$A$3:$E$20,4,0)/8))+((P118*AE118)*(VLOOKUP("Finishing",Labour!$A$3:$E$20,4,0)/8)))</f>
        <v/>
      </c>
      <c r="R118" s="152" t="str">
        <f t="shared" si="4"/>
        <v/>
      </c>
      <c r="S118" s="156" t="str">
        <f>IF(OR(O118="",P118=""),"",IF(OR(ISERROR(FIND("carcass",$A118))=FALSE,ISERROR(FIND("unit",$A118))=FALSE),VLOOKUP(KitchenCarcassMaterial,FixedListsCarcassMaterial,2,0),0))</f>
        <v/>
      </c>
      <c r="T118" s="156" t="str">
        <f>IF(OR(O118="",P118=""),"",IF(ISERROR(FIND("door",$A118))=FALSE,VLOOKUP(KitchenDoorStyle,FixedListsDoorStyle,2,0),0))</f>
        <v/>
      </c>
      <c r="U118" s="156" t="str">
        <f>IF(OR(O118="",P118=""),"",IF(ISERROR(FIND("door",$A118))=FALSE,VLOOKUP(KitchenDoorMaterial,FixedListsDoorMaterial,2,0),0))</f>
        <v/>
      </c>
      <c r="V118" s="156" t="str">
        <f>IF(OR(O118="",P118=""),"",IF(ISERROR(FIND("drawer",$A118))=FALSE,VLOOKUP(KitchenDrawerType,FixedListsDrawerType,2,0),0))</f>
        <v/>
      </c>
      <c r="W118" s="156" t="str">
        <f>IF(OR(O118="",P118=""),"",IF(OR(S118&gt;0, T118&gt;0,V118&gt;0),VLOOKUP(KitchenHandleType,FixedListsHandleType,2,FALSE)*IF(KitchenHandleType="Simple",0,IF(S118&gt;0,VLOOKUP(KitchenHandleType,FixedListsHandleType,4,FALSE),IF(OR(T118&gt;0,V118&gt;0),1-VLOOKUP(KitchenHandleType,FixedListsHandleType,4,FALSE),"Error"))),0))</f>
        <v/>
      </c>
      <c r="X118" s="156" t="str">
        <f t="shared" si="5"/>
        <v/>
      </c>
      <c r="Y118" s="156" t="str">
        <f>IF(OR(O118="",P118=""),"",IF(OR(ISERROR(FIND("carcass",$A118))=FALSE,ISERROR(FIND("unit",$A118))=FALSE),VLOOKUP(KitchenCarcassMaterial,FixedListsCarcassMaterial,3,0),0))</f>
        <v/>
      </c>
      <c r="Z118" s="156" t="str">
        <f>IF(OR(O118="",P118=""),"",IF(ISERROR(FIND("door",$A118))=FALSE,VLOOKUP(KitchenDoorStyle,FixedListsDoorStyle,3,0),0))</f>
        <v/>
      </c>
      <c r="AA118" s="156" t="str">
        <f>IF(OR(O118="",P118=""),"",IF(ISERROR(FIND("door",$A118))=FALSE,VLOOKUP(KitchenDoorMaterial,FixedListsDoorMaterial,3,0),0))</f>
        <v/>
      </c>
      <c r="AB118" s="156" t="str">
        <f>IF(OR(O118="",P118=""),"",IF(ISERROR(FIND("drawer",$A118))=FALSE,VLOOKUP(KitchenDrawerType,FixedListsDrawerType,3,0),0))</f>
        <v/>
      </c>
      <c r="AC118" s="156" t="str">
        <f>IF(OR(O118="",P118=""),"",IF(OR(Y118&gt;0,Z118&gt;0,AB118&gt;0),VLOOKUP(KitchenHandleType,FixedListsHandleType,3,FALSE),0))</f>
        <v/>
      </c>
      <c r="AD118" s="156" t="str">
        <f>IF(OR(O118="",P118=""),"",IF(OR(ISERROR(FIND("carcass",$A118))=FALSE,ISERROR(FIND("unit",$A118))=FALSE),VLOOKUP(KitchenCarcassFinish,FixedListsFinishes,3,0),IF(OR(ISERROR(FIND("door",$A118))=FALSE,ISERROR(FIND("Plinth",$A118))=FALSE,ISERROR(FIND("Cornice",$A118))=FALSE,ISERROR(FIND("Fillers",$A118))=FALSE,ISERROR(FIND("Pelmet",$A118))=FALSE,ISERROR(FIND("panel",$A118))=FALSE,ISERROR(FIND("post",$A118))=FALSE),VLOOKUP(KitchenDoorFinish,FixedListsFinishes,3,0),IF(OR(ISERROR(FIND("drawer",$A118))=FALSE,ISERROR(FIND("insert",$A118))=FALSE,ISERROR(FIND("rck",$A118))=FALSE),VLOOKUP(KitchenCarcassFinish,FixedListsFinishes,3,0),0))))</f>
        <v/>
      </c>
      <c r="AE118" s="156" t="str">
        <f t="shared" si="6"/>
        <v/>
      </c>
      <c r="AF118" s="157" t="str">
        <f>IF(AND(KitchenHandleType="Channel",OR(ISERROR(FIND("arcass",$A118))=FALSE,ISERROR(FIND("unit",$A118))=FALSE)),IF(ISERROR(FIND("Tower",$A118))=TRUE,IF(KitchenHandleFinish="Match carcass",IF(ISERROR(FIND("Walnut",KitchenCarcassMaterial))=FALSE,(0.035*0.075*($C118/1000))*VLOOKUP("Walnut (solid m3)",SolidData,4,FALSE),IF(ISERROR(FIND("Oak",KitchenCarcassMaterial))=FALSE,(0.035*0.075*($C118/1000))*VLOOKUP("Oak (solid m3)",SolidData,4,FALSE),IF(ISERROR(FIND("ply",KitchenCarcassMaterial))=FALSE,(0.1*($C118/1000))*VLOOKUP("Birch ply (24mm)",SheetsData,7,FALSE),IF(ISERROR(FIND("H/F",KitchenCarcassMaterial))=FALSE,(0.1*($C118/1000))*VLOOKUP("H/F (22mm)",SheetsData,7,FALSE),"Carcass - not tower - new material")))),IF(KitchenHandleFinish="Match door",IF(ISERROR(FIND("Walnut",KitchenDoorMaterial))=FALSE,(0.035*0.075*($C118/1000))*VLOOKUP("Walnut (solid m3)",SolidData,4,FALSE),IF(ISERROR(FIND("Oak",KitchenDoorMaterial))=FALSE,(0.035*0.075*($C118/1000))*VLOOKUP("Oak (solid m3)",SolidData,4,FALSE),IF(ISERROR(FIND("ply",KitchenDoorMaterial))=FALSE,(0.1*($C118/1000))*VLOOKUP("Birch ply (24mm)",SheetsData,7,FALSE),IF(ISERROR(FIND("H/F",KitchenCarcassMaterial))=FALSE,(0.1*($C118/1000))*VLOOKUP("H/F (22mm)",SheetsData,7,FALSE),"Door - not tower - new material")))),"Channel - not tower - handle set to other")),IF(ISERROR(FIND("Tower",$A118))=FALSE,IF(KitchenHandleFinish="Match carcass",IF(ISERROR(FIND("Walnut",KitchenCarcassMaterial))=FALSE,(0.035*0.075*($B118/1000))*VLOOKUP("Walnut (solid m3)",SolidData,4,FALSE),IF(ISERROR(FIND("Oak",KitchenCarcassMaterial))=FALSE,(0.035*0.075*($B118/1000))*VLOOKUP("Oak (solid m3)",SolidData,4,FALSE),IF(ISERROR(FIND("ply",KitchenCarcassMaterial))=FALSE,(0.1*($B118/1000))*VLOOKUP("Birch ply (24mm)",SheetsData,7,FALSE),IF(ISERROR(FIND("H/F",KitchenCarcassMaterial))=FALSE,(0.1*($C118/1000))*VLOOKUP("H/F (22mm)",SheetsData,7,FALSE),"Carcass - tower - new material")))),IF(KitchenHandleFinish="Match door",IF(ISERROR(FIND("Walnut",KitchenDoorMaterial))=FALSE,(0.035*0.075*($B118/1000))*VLOOKUP("Walnut (solid m3)",SolidData,4,FALSE),IF(ISERROR(FIND("Oak",KitchenDoorMaterial))=FALSE,(0.035*0.075*($B118/1000))*VLOOKUP("Oak (solid m3)",SolidData,4,FALSE),IF(ISERROR(FIND("ply",KitchenDoorMaterial))=FALSE,(0.1*($B118/1000))*VLOOKUP("Birch ply (24mm)",SheetData,7,FALSE),IF(ISERROR(FIND("H/F",KitchenCarcassMaterial))=FALSE,(0.1*($C118/1000))*VLOOKUP("H/F (22mm)",SheetsData,7,FALSE),"Door - tower - new material")))),"Channel - tower - handle set to other")))),"")</f>
        <v/>
      </c>
    </row>
    <row r="119">
      <c r="A119" s="150"/>
      <c r="B119" s="115" t="str">
        <f t="shared" si="1"/>
        <v/>
      </c>
      <c r="C119" s="115" t="str">
        <f>IFERROR(__xludf.DUMMYFUNCTION("IF(A119="""","""",IF(OR(RIGHT(A119,LEN(A119)-len(regexextract(A119,"".* "")))=""1200"",RIGHT(A119,LEN(A119)-len(regexextract(A119,"".* "")))=""600"",RIGHT(A119,LEN(A119)-len(regexextract(A119,"".* "")))=""400"",RIGHT(A119,LEN(A119)-len(regexextract(A119,"&amp;""".* "")))=""300"",RIGHT(A119,LEN(A119)-len(regexextract(A119,"".* "")))=""700"",RIGHT(A119,LEN(A119)-len(regexextract(A119,"".* "")))=""2400"",RIGHT(A119,LEN(A119)-len(regexextract(A119,"".* "")))=""650"",RIGHT(A119,LEN(A119)-len(regexextract(A119,"".* "&amp;""")))=""350"",RIGHT(A119,LEN(A119)-len(regexextract(A119,"".* "")))=""50""),RIGHT(A119,LEN(A119)-len(regexextract(A119,"".* ""))),IF(OR(ISERROR(FIND(""spacer"",A119))=FALSE,ISERROR(FIND(""filler panel"",A119))=FALSE),""1000"",""Unexpected size in descript"&amp;"ion"")))"),"")</f>
        <v/>
      </c>
      <c r="D119" s="151" t="str">
        <f t="shared" si="2"/>
        <v/>
      </c>
      <c r="E119" s="152" t="str">
        <f>IFERROR(__xludf.DUMMYFUNCTION("IF(OR(A119="""",AND(ISERROR(FIND(""drawer box"",A119))=FALSE,KitchenDrawerType="""")),"""",IF(OR(ISERROR(FIND(""larder"",A119))=FALSE,ISERROR(FIND(""fridge/freezer"",A119))=FALSE,ISERROR(FIND(""double oven"",A119))=FALSE,ISERROR(FIND(""single oven"",A119)"&amp;")=FALSE),VLOOKUP(LEFT(A119,FIND("" "",A119))&amp;""carcass ""&amp;RIGHT(A119,LEN(A119)-(LEN(A119)-3)),KitchensData,5,0),IF(ISERROR(FIND(""sink"",A119))=FALSE,VLOOKUP(LEFT(A119,FIND("" "",A119))&amp;""carcass ""&amp;VALUE(REGEXREPLACE(A119,""[^[:digit:]]"", """")),Kitchen"&amp;"sData,5,0)+(((C119/1000)*(300/1000))*VLOOKUP(KitchenCarcassMaterial,SheetsData,8,0)),IF(ISERROR(FIND(""bins"",A119))=FALSE,IF(ISERROR(FIND(""veneer"",KitchenCarcassMaterial))=FALSE,VLOOKUP(""Base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600"",A119))=FALSE,IF(ISERR"&amp;"OR(FIND(""veneer"",KitchenCarcassMaterial))=FALSE,0.54*(VLOOKUP(LEFT(KitchenCarcassMaterial,FIND(""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1"&amp;"200"",A119))=FALSE,IF(ISERROR(FIND(""veneer"",KitchenCarcassMaterial))=FALSE,0.84*(VLOOKUP(LEFT(KitchenCarcassMaterial,FIND(""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600"",A119))=FALSE,IF(ISERROR(FIND(""veneer"",KitchenCarcassMaterial))=FALSE,1.44*(VLOOKUP(LEFT(KitchenCarcassMaterial,FIND(""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1200"",A119))=FALSE,IF(ISERROR(FIND(""veneer"",KitchenCarcassMaterial))=FALSE,2.7*(VLOOKUP(LEFT(KitchenCarcassMaterial,FIND(""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front"",A119))=FALSE,((B119/1000)*(C119/1000))*VLOOKUP(KitchenDoorMaterial,SheetsData,8,0),IF(AND(KitchenDrawerType=""Match carcass"",ISERROR(FIND(""drawer box"",A119))=FALSE),(((((B119/10"&amp;"00)*(C119/1000))+((B119/1000)*(D119/1000)))*2)*VLOOKUP(KitchenCarcassMaterial,SheetsData,8,0))+(((C119/1000)*(D119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box"",A119))=FALSE),(((((B119/1000)*(C119/1000))+((B119/1000)*(D119/1000)))*2)*(16/1000)*VLOOKUP(L"&amp;"EFT(KitchenCarcassMaterial,FIND("" "",KitchenCarcassMaterial))&amp;""(solid m3)"",SolidData,5,0))+(((C119/1000)*(D119/1000))*VLOOKUP(LEFT(KitchenCarcassMaterial,FIND(""("",KitchenCarcassMaterial)-1)&amp;IF(OR(ISERROR(FIND(""ply"",KitchenCarcassMaterial))=FALSE,IS"&amp;"ERROR(FIND(""H/F"",KitchenCarcassMaterial))=FALSE),""(9mm)"",""(10mm)""),SheetsData,8,0)),IF(ISERROR(FIND(""spacer"",A119))=FALSE,((D119/1000)*(C119/1000))*VLOOKUP(""Poplar ply (18mm)"",SheetsData,8,0),IF(ISERROR(FIND(""filler panel"",A119))=FALSE,((B119/"&amp;"1000)*(C119/1000))*VLOOKUP(KitchenDoorMaterial,SheetsData,8,0),IF(ISERROR(FIND(""shelf"",A119))=FALSE,((D119/1000)*(C119/1000))*VLOOKUP(KitchenCarcassMaterial,SheetsData,8,0),IF(ISERROR(FIND(""lost corner"",A119))=FALSE,VLOOKUP(LEFT(A119,FIND("" "",A119))"&amp;"&amp;""carcass ""&amp;VALUE(REGEXREPLACE(A119,""[^[:digit:]]"", """")),KitchensData,5,0)+((((B119/1000)*(C119/1000))+((B119/1000)*(60/1000)))*VLOOKUP(KitchenCarcassMaterial,SheetsData,8,0)),IF(ISERROR(FIND(""carcass"",A119))=FALSE,(((((B119/1000)*2)*(D119/1000))+"&amp;"(((C119/1000)*2)*(D119/1000)))*VLOOKUP(KitchenCarcassMaterial,SheetsData,8,0))+((B119/1000)*(C119/1000))*VLOOKUP(LEFT(KitchenCarcassMaterial,FIND(""("",KitchenCarcassMaterial)-1)&amp;IF(OR(ISERROR(FIND(""ply"",KitchenCarcassMaterial))=FALSE,ISERROR(FIND(""H/F"&amp;""",KitchenCarcassMaterial))=FALSE),""(9mm)"",""(10mm)""),SheetsData,8,0),IF(OR(ISERROR(FIND(""Plinth"",A119))=FALSE,ISERROR(FIND(""Cornice (flat)"",A119))=FALSE),((B119/1000)*(C119/1000))*VLOOKUP(""H/F (18mm)"",SheetsData,8,0),IF(ISERROR(FIND(""Cornice (s"&amp;"tacked)"",A119))=FALSE,((0.08*(C119/1000))*2)*VLOOKUP(""H/F (22mm)"",SheetsData,8,0),IF(ISERROR(FIND(""Base end panel"",A119))=FALSE,VLOOKUP(KitchenDoorMaterial,SheetsData,5,0)/3,IF(ISERROR(FIND(""Wall end panel"",A119))=FALSE,VLOOKUP(KitchenDoorMaterial,"&amp;"SheetsData,5,0)/9,IF(ISERROR(FIND(""Tower end panel"",A119))=FALSE,VLOOKUP(KitchenDoorMaterial,SheetsData,5,0),IF(ISERROR(FIND(""Fillers"",A119))=FALSE,(((0.06*(C119/1000))*2)*VLOOKUP(""H/F (18mm)"",SheetsData,8,0))+(((0.06*(C119/1000))*2)*VLOOKUP(""H/F ("&amp;"9mm)"",SheetsData,8,0)),IF(ISERROR(FIND(""corner post"",A119))=FALSE,(((B119/1000)*0.05)*2)*VLOOKUP(KitchenDoorMaterial,SheetsData,8,0),IF(ISERROR(FIND(""Pelmet"",A119))=FALSE,((((B119/1000)*(C119/1000))*2)*VLOOKUP(""H/F (18mm)"",SheetsData,8,0)),IF(ISERR"&amp;"OR(FIND(""door"",A119))=TRUE,""Check description"",IF(KitchenDoorStyle=""Flat"",((B119/1000)*(C119/1000))*VLOOKUP(KitchenDoorMaterial,SheetsData,8,0),IF(LEFT(KitchenDoorStyle,5)=""Panel"",(((((B119/1000)*2)*0.08)+((((C119/1000)-0.16)*2)*0.08))*VLOOKUP(""H"&amp;"/F (22mm)"",SheetsData,8,0))+(((B119/1000)-0.14)*((C119/1000)-0.14)*VLOOKUP(""H/F (9mm)"",SheetsData,8,0)),IF(KitchenDoorStyle=""In-frame flat"",((((((B119/1000)*0.019)*0.038)+((((C119-38)/1000)*0.038)*0.038))*2)*VLOOKUP(""Tulip (solid m3)"",SolidData,5,0"&amp;"))+(((B119-76)/1000)*((C119-38)/1000))*VLOOKUP(""H/F (22mm)"",SheetsData,8,0),IF(LEFT(KitchenDoorStyle,14)=""In-frame panel"",(((((((B119/1000)*0.019)*0.038)+((((C119-38)/1000)*0.038)*0.038))*2)*VLOOKUP(""Tulip (solid m3)"",SolidData,5,0))+(((((((B119-76)"&amp;"/1000)*2)*0.08)+(((((C119-198)/1000)*2)*0.08)))*VLOOKUP(""H/F (22mm)"",SheetsData,8,0))+(((B119-216)/1000)*((C119-178)/1000)*VLOOKUP(""H/F (9mm)"",SheetsData,8,0)))))))))))))))))))))))))))))))))"),"")</f>
        <v/>
      </c>
      <c r="F119" s="152" t="str">
        <f>IFERROR(__xludf.DUMMYFUNCTION("IF(OR(A119="""",AND(ISERROR(FIND(""drawer box"",A119))=FALSE,KitchenDrawerType=""Solid dovetail"")),"""",IF(ISERROR(FIND(""bins"",A119))=FALSE,VLOOKUP(""Base carcass 600"",KitchensData,6,0),IF(OR(ISERROR(FIND(""larder"",A119))=FALSE,ISERROR(FIND(""unit"","&amp;"A119))=FALSE),VLOOKUP(LEFT(A119,FIND("" "",A119))&amp;""carcass ""&amp;RIGHT(A119,LEN(A119)-len(regexextract(A119,"".* ""))),KitchensData,6,0),IF(ISERROR(FIND(""drawer front"",A119))=FALSE,IF(ISERROR(FIND(""veneer"",KitchenCarcassMaterial))=TRUE,0,(((B119+C119)/1"&amp;"000)*2)*VLOOKUP(""Edge banding (per M)"",SheetsData,5,0)),IF(ISERROR(FIND(""drawer box"",A119))=FALSE,IF(ISERROR(FIND(""veneer"",KitchenCarcassMaterial))=TRUE,0,(((C119+D119)/1000)*2)*VLOOKUP(""Edge banding (per M)"",SheetsData,5,0)),IF(ISERROR(FIND(""she"&amp;"lf"",A119))=FALSE,IF(ISERROR(FIND(""veneer"",KitchenCarcassMaterial))=TRUE,0,(C119/1000)*VLOOKUP(""Edge banding (per M)"",SheetsData,5,0)),IF(AND(ISERROR(FIND(""carcass"",A119))=FALSE,ISERROR(FIND(""shelf"",A119))=TRUE),IF(ISERROR(FIND(""veneer"",KitchenC"&amp;"arcassMaterial))=TRUE,0,((2*(B119+C119))/1000)*VLOOKUP(""Edge banding (per M)"",SheetsData,5,0)),IF(ISERROR(FIND(""door"",A119))=TRUE,"""",IF(ISERROR(FIND(""veneer"",KitchenDoorMaterial))=TRUE,"""",((2*(B119+C119))/1000)*VLOOKUP(""Edge banding (per M)"",S"&amp;"heetsData,5,0))))))))))"),"")</f>
        <v/>
      </c>
      <c r="G119" s="153" t="str">
        <f>IF(A119="","",IF(ISERROR(FIND("bins",A119))=FALSE,VLOOKUP("Base carcass 600",KitchensData,7,0),IF(OR(ISERROR(FIND("larder",A119))=FALSE,ISERROR(FIND("fridge/freezer",A119))=FALSE,ISERROR(FIND("double oven",A119))=FALSE,ISERROR(FIND("single oven",A119))=FALSE),VLOOKUP(LEFT(A119,FIND(" ",A119))&amp;"carcass "&amp;RIGHT(A119,LEN(A119)-(LEN(A119)-3)),KitchensData,7,0),IF(AND(ISERROR(FIND("carcass",A119))=FALSE,ISERROR(FIND("shelf",A119))=TRUE),IF(OR(ISERROR(FIND("Base",A119))=FALSE,ISERROR(FIND("Tower",A119))=FALSE),IF(OR(ISERROR(FIND("1200",A119))=FALSE, ISERROR(FIND("lost corner",A119))=FALSE),6*VLOOKUP("Plinth foot (2 Parts 80mm)",FurnitureData,5,0),4*VLOOKUP("Plinth foot (2 Parts 80mm)",FurnitureData,5,0)),""),""))))</f>
        <v/>
      </c>
      <c r="H119" s="115" t="str">
        <f>IF(OR(A119="",ISERROR(FIND("door",A119))=TRUE),"",IF(ISERROR(FIND("Wall",A119))=FALSE,VLOOKUP("Hinges &amp; plates (Hettich thick door)",FurnitureData,5,0)*2,IF(ISERROR(FIND("Base",A119))=FALSE,VLOOKUP("Hinges &amp; plates (Hettich thick door)",FurnitureData,5,0)*3,IF(ISERROR(FIND("Boiler",A119))=FALSE,VLOOKUP("Hinges &amp; plates (Hettich thick door)",FurnitureData,5,0)*4,IF(ISERROR(FIND("Tower",A119))=FALSE,VLOOKUP("Hinges &amp; plates (Hettich thick door)",FurnitureData,5,0)*5)))))</f>
        <v/>
      </c>
      <c r="I119" s="115" t="str">
        <f>IF(ISERROR(FIND("shelf",A119))=FALSE,(VLOOKUP("Shelf pegs",FurnitureData,5,0)/100)*4,"")</f>
        <v/>
      </c>
      <c r="J119" s="152" t="str">
        <f>IF(OR(ISERROR(FIND("fridge/freezer",A119))=FALSE,ISERROR(FIND("larder",A119))=FALSE,AND(ISERROR(FIND("Base",A119))=FALSE,ISERROR(FIND("bins",A119))=TRUE,ISERROR(FIND("no shelves",A119))=TRUE,OR(ISERROR(FIND("carcass",A119))=FALSE,ISERROR(FIND("unit",A119))=FALSE))),VLOOKUP("Deep shelf "&amp;C119,KitchensData,18,0),IF(AND(ISERROR(FIND("Wall",A119))=FALSE,ISERROR(FIND("carcass",A119))=FALSE),2*VLOOKUP("Shallow shelf "&amp;C119,KitchensData,18,0),IF(AND(ISERROR(FIND("Tower",A119))=FALSE,ISERROR(FIND("oven",A119))=FALSE),4*VLOOKUP("Deep shelf "&amp;C119,KitchensData,18,0),IF(AND(ISERROR(FIND("Tower",A119))=FALSE,ISERROR(FIND("carcass",A119))=FALSE),5*VLOOKUP("Deep shelf "&amp;C119,KitchensData,18,0),""))))</f>
        <v/>
      </c>
      <c r="K119" s="152" t="str">
        <f>IF(ISERROR(FIND("sink",A119))=FALSE,VLOOKUP("Sink liner - Aluminium "&amp;RIGHT(A119,LEN(A119)-22)&amp;"mm",ExceptionalData,5,0),IF(ISERROR(FIND("bins",A119))=FALSE,VLOOKUP("Drawer runners and clip set for bin unit (500) Dynapro",FurnitureData,5,0)+(2*VLOOKUP("Bin (42L Anthracite)",FurnitureData,5,0)),IF(ISERROR(FIND("larder",A119))=FALSE,VLOOKUP("Pull out larder unit 600mm",FurnitureData,5,0),IF(AND(ISERROR(FIND("drawer box",A119))=FALSE,ISERROR(FIND("internal",A119))=TRUE),VLOOKUP("Drawer runners and clip set (550) Dynapro",FurnitureData,5,0),IF(ISERROR(FIND("internal drawer box",A119))=FALSE,VLOOKUP("Drawer runners and clip set (450) Dynapro",FurnitureData,5,0),"")))))</f>
        <v/>
      </c>
      <c r="L119" s="152" t="str">
        <f t="shared" si="3"/>
        <v/>
      </c>
      <c r="M119" s="154" t="str">
        <f>IFERROR(__xludf.DUMMYFUNCTION("IF(A119="""","""",IF(OR(ISERROR(FIND(""larder"",A119))=FALSE,ISERROR(FIND(""unit"",A119))=FALSE),VLOOKUP(LEFT(A119,FIND("" "",A119))&amp;""carcass ""&amp;RIGHT(A119,LEN(A119)-len(regexextract(A119,"".* ""))),KitchensData,13,0),IF(ISERROR(FIND(""bins"",A119))=FALS"&amp;"E,0.95,IF(ISERROR(FIND(""Cutlery insert 600"",A119))=FALSE,1.3,IF(ISERROR(FIND(""Cutlery insert 1200"",A119))=FALSE,2,IF(ISERROR(FIND(""Pan/tray rack 600"",A119))=FALSE,3.25,IF(ISERROR(FIND(""Pan/tray rack 1200"",A119))=FALSE,5.9,IF(ISERROR(FIND(""split"""&amp;",A119))=FALSE,(((C119/1000)*0.022)*2)+VLOOKUP(SUBSTITUTE(A119,"" split"",""""),KitchensData,13,0),IF(AND(ISERROR(FIND(""drawer front"",A119))=FALSE,KitchenDoorStyle=""Flat""),(((B119/1000)*(C119/1000))*2)+((((B119+C119)/1000)*2)*0.022),IF(AND(ISERROR(FIND"&amp;"(""drawer front"",A119))=FALSE,LEFT(KitchenDoorStyle,5)=""Panel""),(((B119/1000)*(C119/1000))*2)+((((B119+C119)/1000)*2)*0.022)+((((C119/1000)-0.16)*0.013)*2)+((((D119/1000)-0.16)*0.013)*2),IF(AND(ISERROR(FIND(""drawer front"",A119))=FALSE,KitchenDoorStyl"&amp;"e=""In-frame flat""),((((B119-76)/1000)*((C119-38)/1000))*2)+(MID(KitchenDoorMaterial,FIND(""("",KitchenDoorMaterial)+1,2)/1000)*((((B119-76)+(C119-38))/1000)*2)+(((B119/1000)*0.032)*2)+((((B119-76)/1000)*0.032)*2)+(((B119/1000)*0.019)*4)+(((C119/1000)*0."&amp;"032)*2)+((((C119-38)/1000)*0.032)*2)+(((C119/1000)*0.038)*4),IF(AND(ISERROR(FIND(""drawer front"",A119))=FALSE,LEFT(KitchenDoorStyle,14)=""In-frame panel""),((((B119-76)/1000)*((C119-38)/1000))*2)+((MID(KitchenDoorMaterial,FIND(""("",KitchenDoorMaterial)+"&amp;"1,2)/1000)*((((B119-76)+(C119-38))/1000)*2))+((((B119-236)/1000)+((C119-198)/1000)*2)*0.013)+(((B119/1000)*0.032)*2)+((((B119-76)/1000)*0.032)*2)+(((B119/1000)*0.019)*4)+(((C119/1000)*0.032)*2)+((((C119-38)/1000)*0.032)*2)+(((C119/1000)*0.038)*4),IF(ISERR"&amp;"OR(FIND(""drawer box"",A119))=FALSE,((((B119/1000)*(D119/1000))+((B119/1000)*(C119/1000)))*4)+((((D119/1000)+(C119/1000))*0.016)*4)+(((C119/1000)*(D119/1000))*2),IF(OR(ISERROR(FIND(""shelf"",A119))=FALSE,ISERROR(FIND(""spacer"",A119))=FALSE,,ISERROR(FIND("&amp;"""filler panel"",A119))=FALSE),(((C119/1000)*(D119/1000))*2)+((((C119+D119)*2)/1000)*0.022),IF(ISERROR(FIND(""lost corner"",A119))=FALSE,(((B119/1000)*(C119/1000))*2)+((B119/1000)*(C119/1000))+((B119/1000)*((C119/2)/1000))+((((B119/1000)*0.025)+((C119/100"&amp;"0)*0.025))*2),IF(ISERROR(FIND(""carcass"",A119))=FALSE,(((C119/1000)*(D119/1000))*2)+(((B119/1000)*(D119/1000))*2)+((B119/1000)*(C119/1000))+((((B119/1000)*0.025)+((C119/1000)*0.025))*2),IF(AND(ISERROR(FIND(""door"",A119))=FALSE,KitchenDoorStyle=""Flat"")"&amp;",(((B119/1000)*(C119/1000))*2)+(MID(KitchenDoorMaterial,FIND(""("",KitchenDoorMaterial)+1,2)/1000)*(((B119+C119)/1000)*2),IF(AND(ISERROR(FIND(""door"",A119))=FALSE,LEFT(KitchenDoorStyle,5)=""Panel""),(((B119/1000)*(C119/1000))*2)+((MID(KitchenDoorMaterial"&amp;",FIND(""("",KitchenDoorMaterial)+1,2)/1000)*(((B119+C119)/1000)*2))+(((((B119-160)+(C119-160))*2)/1000)*(0.013)),IF(AND(ISERROR(FIND(""door"",A119))=FALSE,KitchenDoorStyle=""In-frame flat""),((((B119-76)/1000)*((C119-38)/1000))*2)+(MID(KitchenDoorMaterial"&amp;",FIND(""("",KitchenDoorMaterial)+1,2)/1000)*((((B119-76)+(C119-38))/1000)*2)+(((B119/1000)*0.032)*2)+((((B119-76)/1000)*0.032)*2)+(((B119/1000)*0.019)*4)+(((C119/1000)*0.032)*2)+((((C119-38)/1000)*0.032)*2)+(((C119/1000)*0.038)*4),IF(AND(ISERROR(FIND(""do"&amp;"or"",A119))=FALSE,LEFT(KitchenDoorStyle,14)=""In-frame panel""),((((B119-76)/1000)*((C119-38)/1000))*2)+((MID(KitchenDoorMaterial,FIND(""("",KitchenDoorMaterial)+1,2)/1000)*((((B119-76)+(C119-38))/1000)*2))+((((B119-236)/1000)+((C119-198)/1000)*2)*0.013)+"&amp;"(((B119/1000)*0.032)*2)+((((B119-76)/1000)*0.032)*2)+(((B119/1000)*0.019)*4)+(((C119/1000)*0.032)*2)+((((C119-38)/1000)*0.032)*2)+(((C119/1000)*0.038)*4),IF(ISERROR(FIND(""Plinth"",A119))=FALSE,((B119/1000)*(C119/1000))+(((C119/1000)*0.018)*2)+(((B119/100"&amp;"0)*0.018)*2),IF(ISERROR(FIND(""Cornice"",A119))=FALSE,(((C119/1000)*0.1)*2)+(((C119/1000)*0.044)*2)+(((B119/1000)*0.08)*2),IF(ISERROR(FIND(""Base end panel"",A119))=FALSE,((B119/1000)*(C119/1000))+(0.022*((B119/1000)+((C119/1000)*2)))+((B119/1000)*0.05),I"&amp;"F(ISERROR(FIND(""Wall end panel"",A119))=FALSE,((B119/1000)*(C119/1000))+(0.022*((B119/1000)+((C119/1000)*2)))+((B119/1000)*0.05),IF(ISERROR(FIND(""Tower end panel"",A119))=FALSE,((B119/1000)*(C119/1000))+(0.022*((B119/1000)+((C119/1000)*2)))+((B119/1000)"&amp;"*0.05),IF(ISERROR(FIND(""Fillers"",A119))=FALSE,((C119/1000)*0.06)+((C119/1000)*0.069)+((0.06*0.018)*2)+((0.06*0.009)*2)+((C119/1000)*0.009)+((C119/1000)*0.018),IF(ISERROR(FIND(""corner post"",A119))=FALSE,(((B119/1000*0.05)*2)+((B119/1000)*0.022)*2)+((B1"&amp;"19/1000)*0.072)+((B119/1000)*0.05)+((0.072*0.022)*2)+((0.05*0.022)*2),IF(ISERROR(FIND(""Pelmet"",A119))=FALSE,((C119/1000)*0.05)+((C119/1000)*0.068)+((0.05*0.018)*4)+(((C119/1000)*0.018))*2))))))))))))))))))))))))))))"),"")</f>
        <v/>
      </c>
      <c r="N119" s="152" t="str">
        <f>IF(M119="","",IF(AND(ISERROR(FIND("carcass",A119))=TRUE,ISERROR(FIND("unit",A119))=TRUE,ISERROR(FIND("insert",A119))=TRUE,ISERROR(FIND("rack",A119))=TRUE,ISERROR(FIND("box",A119))=TRUE,ISERROR(FIND("shelf",#REF!))=TRUE),VLOOKUP(KitchenDoorFinish,Finishing!$A$2:$K$10,9,0)*M119,VLOOKUP(KitchenCarcassFinish,Finishing!$A$2:$K$40,9,0)*M119))</f>
        <v/>
      </c>
      <c r="O119" s="155"/>
      <c r="P119" s="155"/>
      <c r="Q119" s="152" t="str">
        <f>IF(OR(O119="",P119=""),"",((O119*X119)*(VLOOKUP("Workshop",Labour!$A$3:$E$20,4,0)/8))+((P119*AE119)*(VLOOKUP("Finishing",Labour!$A$3:$E$20,4,0)/8)))</f>
        <v/>
      </c>
      <c r="R119" s="152" t="str">
        <f t="shared" si="4"/>
        <v/>
      </c>
      <c r="S119" s="156" t="str">
        <f>IF(OR(O119="",P119=""),"",IF(OR(ISERROR(FIND("carcass",$A119))=FALSE,ISERROR(FIND("unit",$A119))=FALSE),VLOOKUP(KitchenCarcassMaterial,FixedListsCarcassMaterial,2,0),0))</f>
        <v/>
      </c>
      <c r="T119" s="156" t="str">
        <f>IF(OR(O119="",P119=""),"",IF(ISERROR(FIND("door",$A119))=FALSE,VLOOKUP(KitchenDoorStyle,FixedListsDoorStyle,2,0),0))</f>
        <v/>
      </c>
      <c r="U119" s="156" t="str">
        <f>IF(OR(O119="",P119=""),"",IF(ISERROR(FIND("door",$A119))=FALSE,VLOOKUP(KitchenDoorMaterial,FixedListsDoorMaterial,2,0),0))</f>
        <v/>
      </c>
      <c r="V119" s="156" t="str">
        <f>IF(OR(O119="",P119=""),"",IF(ISERROR(FIND("drawer",$A119))=FALSE,VLOOKUP(KitchenDrawerType,FixedListsDrawerType,2,0),0))</f>
        <v/>
      </c>
      <c r="W119" s="156" t="str">
        <f>IF(OR(O119="",P119=""),"",IF(OR(S119&gt;0, T119&gt;0,V119&gt;0),VLOOKUP(KitchenHandleType,FixedListsHandleType,2,FALSE)*IF(KitchenHandleType="Simple",0,IF(S119&gt;0,VLOOKUP(KitchenHandleType,FixedListsHandleType,4,FALSE),IF(OR(T119&gt;0,V119&gt;0),1-VLOOKUP(KitchenHandleType,FixedListsHandleType,4,FALSE),"Error"))),0))</f>
        <v/>
      </c>
      <c r="X119" s="156" t="str">
        <f t="shared" si="5"/>
        <v/>
      </c>
      <c r="Y119" s="156" t="str">
        <f>IF(OR(O119="",P119=""),"",IF(OR(ISERROR(FIND("carcass",$A119))=FALSE,ISERROR(FIND("unit",$A119))=FALSE),VLOOKUP(KitchenCarcassMaterial,FixedListsCarcassMaterial,3,0),0))</f>
        <v/>
      </c>
      <c r="Z119" s="156" t="str">
        <f>IF(OR(O119="",P119=""),"",IF(ISERROR(FIND("door",$A119))=FALSE,VLOOKUP(KitchenDoorStyle,FixedListsDoorStyle,3,0),0))</f>
        <v/>
      </c>
      <c r="AA119" s="156" t="str">
        <f>IF(OR(O119="",P119=""),"",IF(ISERROR(FIND("door",$A119))=FALSE,VLOOKUP(KitchenDoorMaterial,FixedListsDoorMaterial,3,0),0))</f>
        <v/>
      </c>
      <c r="AB119" s="156" t="str">
        <f>IF(OR(O119="",P119=""),"",IF(ISERROR(FIND("drawer",$A119))=FALSE,VLOOKUP(KitchenDrawerType,FixedListsDrawerType,3,0),0))</f>
        <v/>
      </c>
      <c r="AC119" s="156" t="str">
        <f>IF(OR(O119="",P119=""),"",IF(OR(Y119&gt;0,Z119&gt;0,AB119&gt;0),VLOOKUP(KitchenHandleType,FixedListsHandleType,3,FALSE),0))</f>
        <v/>
      </c>
      <c r="AD119" s="156" t="str">
        <f>IF(OR(O119="",P119=""),"",IF(OR(ISERROR(FIND("carcass",$A119))=FALSE,ISERROR(FIND("unit",$A119))=FALSE),VLOOKUP(KitchenCarcassFinish,FixedListsFinishes,3,0),IF(OR(ISERROR(FIND("door",$A119))=FALSE,ISERROR(FIND("Plinth",$A119))=FALSE,ISERROR(FIND("Cornice",$A119))=FALSE,ISERROR(FIND("Fillers",$A119))=FALSE,ISERROR(FIND("Pelmet",$A119))=FALSE,ISERROR(FIND("panel",$A119))=FALSE,ISERROR(FIND("post",$A119))=FALSE),VLOOKUP(KitchenDoorFinish,FixedListsFinishes,3,0),IF(OR(ISERROR(FIND("drawer",$A119))=FALSE,ISERROR(FIND("insert",$A119))=FALSE,ISERROR(FIND("rck",$A119))=FALSE),VLOOKUP(KitchenCarcassFinish,FixedListsFinishes,3,0),0))))</f>
        <v/>
      </c>
      <c r="AE119" s="156" t="str">
        <f t="shared" si="6"/>
        <v/>
      </c>
      <c r="AF119" s="157" t="str">
        <f>IF(AND(KitchenHandleType="Channel",OR(ISERROR(FIND("arcass",$A119))=FALSE,ISERROR(FIND("unit",$A119))=FALSE)),IF(ISERROR(FIND("Tower",$A119))=TRUE,IF(KitchenHandleFinish="Match carcass",IF(ISERROR(FIND("Walnut",KitchenCarcassMaterial))=FALSE,(0.035*0.075*($C119/1000))*VLOOKUP("Walnut (solid m3)",SolidData,4,FALSE),IF(ISERROR(FIND("Oak",KitchenCarcassMaterial))=FALSE,(0.035*0.075*($C119/1000))*VLOOKUP("Oak (solid m3)",SolidData,4,FALSE),IF(ISERROR(FIND("ply",KitchenCarcassMaterial))=FALSE,(0.1*($C119/1000))*VLOOKUP("Birch ply (24mm)",SheetsData,7,FALSE),IF(ISERROR(FIND("H/F",KitchenCarcassMaterial))=FALSE,(0.1*($C119/1000))*VLOOKUP("H/F (22mm)",SheetsData,7,FALSE),"Carcass - not tower - new material")))),IF(KitchenHandleFinish="Match door",IF(ISERROR(FIND("Walnut",KitchenDoorMaterial))=FALSE,(0.035*0.075*($C119/1000))*VLOOKUP("Walnut (solid m3)",SolidData,4,FALSE),IF(ISERROR(FIND("Oak",KitchenDoorMaterial))=FALSE,(0.035*0.075*($C119/1000))*VLOOKUP("Oak (solid m3)",SolidData,4,FALSE),IF(ISERROR(FIND("ply",KitchenDoorMaterial))=FALSE,(0.1*($C119/1000))*VLOOKUP("Birch ply (24mm)",SheetsData,7,FALSE),IF(ISERROR(FIND("H/F",KitchenCarcassMaterial))=FALSE,(0.1*($C119/1000))*VLOOKUP("H/F (22mm)",SheetsData,7,FALSE),"Door - not tower - new material")))),"Channel - not tower - handle set to other")),IF(ISERROR(FIND("Tower",$A119))=FALSE,IF(KitchenHandleFinish="Match carcass",IF(ISERROR(FIND("Walnut",KitchenCarcassMaterial))=FALSE,(0.035*0.075*($B119/1000))*VLOOKUP("Walnut (solid m3)",SolidData,4,FALSE),IF(ISERROR(FIND("Oak",KitchenCarcassMaterial))=FALSE,(0.035*0.075*($B119/1000))*VLOOKUP("Oak (solid m3)",SolidData,4,FALSE),IF(ISERROR(FIND("ply",KitchenCarcassMaterial))=FALSE,(0.1*($B119/1000))*VLOOKUP("Birch ply (24mm)",SheetsData,7,FALSE),IF(ISERROR(FIND("H/F",KitchenCarcassMaterial))=FALSE,(0.1*($C119/1000))*VLOOKUP("H/F (22mm)",SheetsData,7,FALSE),"Carcass - tower - new material")))),IF(KitchenHandleFinish="Match door",IF(ISERROR(FIND("Walnut",KitchenDoorMaterial))=FALSE,(0.035*0.075*($B119/1000))*VLOOKUP("Walnut (solid m3)",SolidData,4,FALSE),IF(ISERROR(FIND("Oak",KitchenDoorMaterial))=FALSE,(0.035*0.075*($B119/1000))*VLOOKUP("Oak (solid m3)",SolidData,4,FALSE),IF(ISERROR(FIND("ply",KitchenDoorMaterial))=FALSE,(0.1*($B119/1000))*VLOOKUP("Birch ply (24mm)",SheetData,7,FALSE),IF(ISERROR(FIND("H/F",KitchenCarcassMaterial))=FALSE,(0.1*($C119/1000))*VLOOKUP("H/F (22mm)",SheetsData,7,FALSE),"Door - tower - new material")))),"Channel - tower - handle set to other")))),"")</f>
        <v/>
      </c>
    </row>
    <row r="120">
      <c r="A120" s="150"/>
      <c r="B120" s="115" t="str">
        <f t="shared" si="1"/>
        <v/>
      </c>
      <c r="C120" s="115" t="str">
        <f>IFERROR(__xludf.DUMMYFUNCTION("IF(A120="""","""",IF(OR(RIGHT(A120,LEN(A120)-len(regexextract(A120,"".* "")))=""1200"",RIGHT(A120,LEN(A120)-len(regexextract(A120,"".* "")))=""600"",RIGHT(A120,LEN(A120)-len(regexextract(A120,"".* "")))=""400"",RIGHT(A120,LEN(A120)-len(regexextract(A120,"&amp;""".* "")))=""300"",RIGHT(A120,LEN(A120)-len(regexextract(A120,"".* "")))=""700"",RIGHT(A120,LEN(A120)-len(regexextract(A120,"".* "")))=""2400"",RIGHT(A120,LEN(A120)-len(regexextract(A120,"".* "")))=""650"",RIGHT(A120,LEN(A120)-len(regexextract(A120,"".* "&amp;""")))=""350"",RIGHT(A120,LEN(A120)-len(regexextract(A120,"".* "")))=""50""),RIGHT(A120,LEN(A120)-len(regexextract(A120,"".* ""))),IF(OR(ISERROR(FIND(""spacer"",A120))=FALSE,ISERROR(FIND(""filler panel"",A120))=FALSE),""1000"",""Unexpected size in descript"&amp;"ion"")))"),"")</f>
        <v/>
      </c>
      <c r="D120" s="151" t="str">
        <f t="shared" si="2"/>
        <v/>
      </c>
      <c r="E120" s="152" t="str">
        <f>IFERROR(__xludf.DUMMYFUNCTION("IF(OR(A120="""",AND(ISERROR(FIND(""drawer box"",A120))=FALSE,KitchenDrawerType="""")),"""",IF(OR(ISERROR(FIND(""larder"",A120))=FALSE,ISERROR(FIND(""fridge/freezer"",A120))=FALSE,ISERROR(FIND(""double oven"",A120))=FALSE,ISERROR(FIND(""single oven"",A120)"&amp;")=FALSE),VLOOKUP(LEFT(A120,FIND("" "",A120))&amp;""carcass ""&amp;RIGHT(A120,LEN(A120)-(LEN(A120)-3)),KitchensData,5,0),IF(ISERROR(FIND(""sink"",A120))=FALSE,VLOOKUP(LEFT(A120,FIND("" "",A120))&amp;""carcass ""&amp;VALUE(REGEXREPLACE(A120,""[^[:digit:]]"", """")),Kitchen"&amp;"sData,5,0)+(((C120/1000)*(300/1000))*VLOOKUP(KitchenCarcassMaterial,SheetsData,8,0)),IF(ISERROR(FIND(""bins"",A120))=FALSE,IF(ISERROR(FIND(""veneer"",KitchenCarcassMaterial))=FALSE,VLOOKUP(""Base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600"",A120))=FALSE,IF(ISERR"&amp;"OR(FIND(""veneer"",KitchenCarcassMaterial))=FALSE,0.54*(VLOOKUP(LEFT(KitchenCarcassMaterial,FIND(""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1"&amp;"200"",A120))=FALSE,IF(ISERROR(FIND(""veneer"",KitchenCarcassMaterial))=FALSE,0.84*(VLOOKUP(LEFT(KitchenCarcassMaterial,FIND(""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600"",A120))=FALSE,IF(ISERROR(FIND(""veneer"",KitchenCarcassMaterial))=FALSE,1.44*(VLOOKUP(LEFT(KitchenCarcassMaterial,FIND(""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1200"",A120))=FALSE,IF(ISERROR(FIND(""veneer"",KitchenCarcassMaterial))=FALSE,2.7*(VLOOKUP(LEFT(KitchenCarcassMaterial,FIND(""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front"",A120))=FALSE,((B120/1000)*(C120/1000))*VLOOKUP(KitchenDoorMaterial,SheetsData,8,0),IF(AND(KitchenDrawerType=""Match carcass"",ISERROR(FIND(""drawer box"",A120))=FALSE),(((((B120/10"&amp;"00)*(C120/1000))+((B120/1000)*(D120/1000)))*2)*VLOOKUP(KitchenCarcassMaterial,SheetsData,8,0))+(((C120/1000)*(D120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box"",A120))=FALSE),(((((B120/1000)*(C120/1000))+((B120/1000)*(D120/1000)))*2)*(16/1000)*VLOOKUP(L"&amp;"EFT(KitchenCarcassMaterial,FIND("" "",KitchenCarcassMaterial))&amp;""(solid m3)"",SolidData,5,0))+(((C120/1000)*(D120/1000))*VLOOKUP(LEFT(KitchenCarcassMaterial,FIND(""("",KitchenCarcassMaterial)-1)&amp;IF(OR(ISERROR(FIND(""ply"",KitchenCarcassMaterial))=FALSE,IS"&amp;"ERROR(FIND(""H/F"",KitchenCarcassMaterial))=FALSE),""(9mm)"",""(10mm)""),SheetsData,8,0)),IF(ISERROR(FIND(""spacer"",A120))=FALSE,((D120/1000)*(C120/1000))*VLOOKUP(""Poplar ply (18mm)"",SheetsData,8,0),IF(ISERROR(FIND(""filler panel"",A120))=FALSE,((B120/"&amp;"1000)*(C120/1000))*VLOOKUP(KitchenDoorMaterial,SheetsData,8,0),IF(ISERROR(FIND(""shelf"",A120))=FALSE,((D120/1000)*(C120/1000))*VLOOKUP(KitchenCarcassMaterial,SheetsData,8,0),IF(ISERROR(FIND(""lost corner"",A120))=FALSE,VLOOKUP(LEFT(A120,FIND("" "",A120))"&amp;"&amp;""carcass ""&amp;VALUE(REGEXREPLACE(A120,""[^[:digit:]]"", """")),KitchensData,5,0)+((((B120/1000)*(C120/1000))+((B120/1000)*(60/1000)))*VLOOKUP(KitchenCarcassMaterial,SheetsData,8,0)),IF(ISERROR(FIND(""carcass"",A120))=FALSE,(((((B120/1000)*2)*(D120/1000))+"&amp;"(((C120/1000)*2)*(D120/1000)))*VLOOKUP(KitchenCarcassMaterial,SheetsData,8,0))+((B120/1000)*(C120/1000))*VLOOKUP(LEFT(KitchenCarcassMaterial,FIND(""("",KitchenCarcassMaterial)-1)&amp;IF(OR(ISERROR(FIND(""ply"",KitchenCarcassMaterial))=FALSE,ISERROR(FIND(""H/F"&amp;""",KitchenCarcassMaterial))=FALSE),""(9mm)"",""(10mm)""),SheetsData,8,0),IF(OR(ISERROR(FIND(""Plinth"",A120))=FALSE,ISERROR(FIND(""Cornice (flat)"",A120))=FALSE),((B120/1000)*(C120/1000))*VLOOKUP(""H/F (18mm)"",SheetsData,8,0),IF(ISERROR(FIND(""Cornice (s"&amp;"tacked)"",A120))=FALSE,((0.08*(C120/1000))*2)*VLOOKUP(""H/F (22mm)"",SheetsData,8,0),IF(ISERROR(FIND(""Base end panel"",A120))=FALSE,VLOOKUP(KitchenDoorMaterial,SheetsData,5,0)/3,IF(ISERROR(FIND(""Wall end panel"",A120))=FALSE,VLOOKUP(KitchenDoorMaterial,"&amp;"SheetsData,5,0)/9,IF(ISERROR(FIND(""Tower end panel"",A120))=FALSE,VLOOKUP(KitchenDoorMaterial,SheetsData,5,0),IF(ISERROR(FIND(""Fillers"",A120))=FALSE,(((0.06*(C120/1000))*2)*VLOOKUP(""H/F (18mm)"",SheetsData,8,0))+(((0.06*(C120/1000))*2)*VLOOKUP(""H/F ("&amp;"9mm)"",SheetsData,8,0)),IF(ISERROR(FIND(""corner post"",A120))=FALSE,(((B120/1000)*0.05)*2)*VLOOKUP(KitchenDoorMaterial,SheetsData,8,0),IF(ISERROR(FIND(""Pelmet"",A120))=FALSE,((((B120/1000)*(C120/1000))*2)*VLOOKUP(""H/F (18mm)"",SheetsData,8,0)),IF(ISERR"&amp;"OR(FIND(""door"",A120))=TRUE,""Check description"",IF(KitchenDoorStyle=""Flat"",((B120/1000)*(C120/1000))*VLOOKUP(KitchenDoorMaterial,SheetsData,8,0),IF(LEFT(KitchenDoorStyle,5)=""Panel"",(((((B120/1000)*2)*0.08)+((((C120/1000)-0.16)*2)*0.08))*VLOOKUP(""H"&amp;"/F (22mm)"",SheetsData,8,0))+(((B120/1000)-0.14)*((C120/1000)-0.14)*VLOOKUP(""H/F (9mm)"",SheetsData,8,0)),IF(KitchenDoorStyle=""In-frame flat"",((((((B120/1000)*0.019)*0.038)+((((C120-38)/1000)*0.038)*0.038))*2)*VLOOKUP(""Tulip (solid m3)"",SolidData,5,0"&amp;"))+(((B120-76)/1000)*((C120-38)/1000))*VLOOKUP(""H/F (22mm)"",SheetsData,8,0),IF(LEFT(KitchenDoorStyle,14)=""In-frame panel"",(((((((B120/1000)*0.019)*0.038)+((((C120-38)/1000)*0.038)*0.038))*2)*VLOOKUP(""Tulip (solid m3)"",SolidData,5,0))+(((((((B120-76)"&amp;"/1000)*2)*0.08)+(((((C120-198)/1000)*2)*0.08)))*VLOOKUP(""H/F (22mm)"",SheetsData,8,0))+(((B120-216)/1000)*((C120-178)/1000)*VLOOKUP(""H/F (9mm)"",SheetsData,8,0)))))))))))))))))))))))))))))))))"),"")</f>
        <v/>
      </c>
      <c r="F120" s="152" t="str">
        <f>IFERROR(__xludf.DUMMYFUNCTION("IF(OR(A120="""",AND(ISERROR(FIND(""drawer box"",A120))=FALSE,KitchenDrawerType=""Solid dovetail"")),"""",IF(ISERROR(FIND(""bins"",A120))=FALSE,VLOOKUP(""Base carcass 600"",KitchensData,6,0),IF(OR(ISERROR(FIND(""larder"",A120))=FALSE,ISERROR(FIND(""unit"","&amp;"A120))=FALSE),VLOOKUP(LEFT(A120,FIND("" "",A120))&amp;""carcass ""&amp;RIGHT(A120,LEN(A120)-len(regexextract(A120,"".* ""))),KitchensData,6,0),IF(ISERROR(FIND(""drawer front"",A120))=FALSE,IF(ISERROR(FIND(""veneer"",KitchenCarcassMaterial))=TRUE,0,(((B120+C120)/1"&amp;"000)*2)*VLOOKUP(""Edge banding (per M)"",SheetsData,5,0)),IF(ISERROR(FIND(""drawer box"",A120))=FALSE,IF(ISERROR(FIND(""veneer"",KitchenCarcassMaterial))=TRUE,0,(((C120+D120)/1000)*2)*VLOOKUP(""Edge banding (per M)"",SheetsData,5,0)),IF(ISERROR(FIND(""she"&amp;"lf"",A120))=FALSE,IF(ISERROR(FIND(""veneer"",KitchenCarcassMaterial))=TRUE,0,(C120/1000)*VLOOKUP(""Edge banding (per M)"",SheetsData,5,0)),IF(AND(ISERROR(FIND(""carcass"",A120))=FALSE,ISERROR(FIND(""shelf"",A120))=TRUE),IF(ISERROR(FIND(""veneer"",KitchenC"&amp;"arcassMaterial))=TRUE,0,((2*(B120+C120))/1000)*VLOOKUP(""Edge banding (per M)"",SheetsData,5,0)),IF(ISERROR(FIND(""door"",A120))=TRUE,"""",IF(ISERROR(FIND(""veneer"",KitchenDoorMaterial))=TRUE,"""",((2*(B120+C120))/1000)*VLOOKUP(""Edge banding (per M)"",S"&amp;"heetsData,5,0))))))))))"),"")</f>
        <v/>
      </c>
      <c r="G120" s="153" t="str">
        <f>IF(A120="","",IF(ISERROR(FIND("bins",A120))=FALSE,VLOOKUP("Base carcass 600",KitchensData,7,0),IF(OR(ISERROR(FIND("larder",A120))=FALSE,ISERROR(FIND("fridge/freezer",A120))=FALSE,ISERROR(FIND("double oven",A120))=FALSE,ISERROR(FIND("single oven",A120))=FALSE),VLOOKUP(LEFT(A120,FIND(" ",A120))&amp;"carcass "&amp;RIGHT(A120,LEN(A120)-(LEN(A120)-3)),KitchensData,7,0),IF(AND(ISERROR(FIND("carcass",A120))=FALSE,ISERROR(FIND("shelf",A120))=TRUE),IF(OR(ISERROR(FIND("Base",A120))=FALSE,ISERROR(FIND("Tower",A120))=FALSE),IF(OR(ISERROR(FIND("1200",A120))=FALSE, ISERROR(FIND("lost corner",A120))=FALSE),6*VLOOKUP("Plinth foot (2 Parts 80mm)",FurnitureData,5,0),4*VLOOKUP("Plinth foot (2 Parts 80mm)",FurnitureData,5,0)),""),""))))</f>
        <v/>
      </c>
      <c r="H120" s="115" t="str">
        <f>IF(OR(A120="",ISERROR(FIND("door",A120))=TRUE),"",IF(ISERROR(FIND("Wall",A120))=FALSE,VLOOKUP("Hinges &amp; plates (Hettich thick door)",FurnitureData,5,0)*2,IF(ISERROR(FIND("Base",A120))=FALSE,VLOOKUP("Hinges &amp; plates (Hettich thick door)",FurnitureData,5,0)*3,IF(ISERROR(FIND("Boiler",A120))=FALSE,VLOOKUP("Hinges &amp; plates (Hettich thick door)",FurnitureData,5,0)*4,IF(ISERROR(FIND("Tower",A120))=FALSE,VLOOKUP("Hinges &amp; plates (Hettich thick door)",FurnitureData,5,0)*5)))))</f>
        <v/>
      </c>
      <c r="I120" s="115" t="str">
        <f>IF(ISERROR(FIND("shelf",A120))=FALSE,(VLOOKUP("Shelf pegs",FurnitureData,5,0)/100)*4,"")</f>
        <v/>
      </c>
      <c r="J120" s="152" t="str">
        <f>IF(OR(ISERROR(FIND("fridge/freezer",A120))=FALSE,ISERROR(FIND("larder",A120))=FALSE,AND(ISERROR(FIND("Base",A120))=FALSE,ISERROR(FIND("bins",A120))=TRUE,ISERROR(FIND("no shelves",A120))=TRUE,OR(ISERROR(FIND("carcass",A120))=FALSE,ISERROR(FIND("unit",A120))=FALSE))),VLOOKUP("Deep shelf "&amp;C120,KitchensData,18,0),IF(AND(ISERROR(FIND("Wall",A120))=FALSE,ISERROR(FIND("carcass",A120))=FALSE),2*VLOOKUP("Shallow shelf "&amp;C120,KitchensData,18,0),IF(AND(ISERROR(FIND("Tower",A120))=FALSE,ISERROR(FIND("oven",A120))=FALSE),4*VLOOKUP("Deep shelf "&amp;C120,KitchensData,18,0),IF(AND(ISERROR(FIND("Tower",A120))=FALSE,ISERROR(FIND("carcass",A120))=FALSE),5*VLOOKUP("Deep shelf "&amp;C120,KitchensData,18,0),""))))</f>
        <v/>
      </c>
      <c r="K120" s="152" t="str">
        <f>IF(ISERROR(FIND("sink",A120))=FALSE,VLOOKUP("Sink liner - Aluminium "&amp;RIGHT(A120,LEN(A120)-22)&amp;"mm",ExceptionalData,5,0),IF(ISERROR(FIND("bins",A120))=FALSE,VLOOKUP("Drawer runners and clip set for bin unit (500) Dynapro",FurnitureData,5,0)+(2*VLOOKUP("Bin (42L Anthracite)",FurnitureData,5,0)),IF(ISERROR(FIND("larder",A120))=FALSE,VLOOKUP("Pull out larder unit 600mm",FurnitureData,5,0),IF(AND(ISERROR(FIND("drawer box",A120))=FALSE,ISERROR(FIND("internal",A120))=TRUE),VLOOKUP("Drawer runners and clip set (550) Dynapro",FurnitureData,5,0),IF(ISERROR(FIND("internal drawer box",A120))=FALSE,VLOOKUP("Drawer runners and clip set (450) Dynapro",FurnitureData,5,0),"")))))</f>
        <v/>
      </c>
      <c r="L120" s="152" t="str">
        <f t="shared" si="3"/>
        <v/>
      </c>
      <c r="M120" s="154" t="str">
        <f>IFERROR(__xludf.DUMMYFUNCTION("IF(A120="""","""",IF(OR(ISERROR(FIND(""larder"",A120))=FALSE,ISERROR(FIND(""unit"",A120))=FALSE),VLOOKUP(LEFT(A120,FIND("" "",A120))&amp;""carcass ""&amp;RIGHT(A120,LEN(A120)-len(regexextract(A120,"".* ""))),KitchensData,13,0),IF(ISERROR(FIND(""bins"",A120))=FALS"&amp;"E,0.95,IF(ISERROR(FIND(""Cutlery insert 600"",A120))=FALSE,1.3,IF(ISERROR(FIND(""Cutlery insert 1200"",A120))=FALSE,2,IF(ISERROR(FIND(""Pan/tray rack 600"",A120))=FALSE,3.25,IF(ISERROR(FIND(""Pan/tray rack 1200"",A120))=FALSE,5.9,IF(ISERROR(FIND(""split"""&amp;",A120))=FALSE,(((C120/1000)*0.022)*2)+VLOOKUP(SUBSTITUTE(A120,"" split"",""""),KitchensData,13,0),IF(AND(ISERROR(FIND(""drawer front"",A120))=FALSE,KitchenDoorStyle=""Flat""),(((B120/1000)*(C120/1000))*2)+((((B120+C120)/1000)*2)*0.022),IF(AND(ISERROR(FIND"&amp;"(""drawer front"",A120))=FALSE,LEFT(KitchenDoorStyle,5)=""Panel""),(((B120/1000)*(C120/1000))*2)+((((B120+C120)/1000)*2)*0.022)+((((C120/1000)-0.16)*0.013)*2)+((((D120/1000)-0.16)*0.013)*2),IF(AND(ISERROR(FIND(""drawer front"",A120))=FALSE,KitchenDoorStyl"&amp;"e=""In-frame flat""),((((B120-76)/1000)*((C120-38)/1000))*2)+(MID(KitchenDoorMaterial,FIND(""("",KitchenDoorMaterial)+1,2)/1000)*((((B120-76)+(C120-38))/1000)*2)+(((B120/1000)*0.032)*2)+((((B120-76)/1000)*0.032)*2)+(((B120/1000)*0.019)*4)+(((C120/1000)*0."&amp;"032)*2)+((((C120-38)/1000)*0.032)*2)+(((C120/1000)*0.038)*4),IF(AND(ISERROR(FIND(""drawer front"",A120))=FALSE,LEFT(KitchenDoorStyle,14)=""In-frame panel""),((((B120-76)/1000)*((C120-38)/1000))*2)+((MID(KitchenDoorMaterial,FIND(""("",KitchenDoorMaterial)+"&amp;"1,2)/1000)*((((B120-76)+(C120-38))/1000)*2))+((((B120-236)/1000)+((C120-198)/1000)*2)*0.013)+(((B120/1000)*0.032)*2)+((((B120-76)/1000)*0.032)*2)+(((B120/1000)*0.019)*4)+(((C120/1000)*0.032)*2)+((((C120-38)/1000)*0.032)*2)+(((C120/1000)*0.038)*4),IF(ISERR"&amp;"OR(FIND(""drawer box"",A120))=FALSE,((((B120/1000)*(D120/1000))+((B120/1000)*(C120/1000)))*4)+((((D120/1000)+(C120/1000))*0.016)*4)+(((C120/1000)*(D120/1000))*2),IF(OR(ISERROR(FIND(""shelf"",A120))=FALSE,ISERROR(FIND(""spacer"",A120))=FALSE,,ISERROR(FIND("&amp;"""filler panel"",A120))=FALSE),(((C120/1000)*(D120/1000))*2)+((((C120+D120)*2)/1000)*0.022),IF(ISERROR(FIND(""lost corner"",A120))=FALSE,(((B120/1000)*(C120/1000))*2)+((B120/1000)*(C120/1000))+((B120/1000)*((C120/2)/1000))+((((B120/1000)*0.025)+((C120/100"&amp;"0)*0.025))*2),IF(ISERROR(FIND(""carcass"",A120))=FALSE,(((C120/1000)*(D120/1000))*2)+(((B120/1000)*(D120/1000))*2)+((B120/1000)*(C120/1000))+((((B120/1000)*0.025)+((C120/1000)*0.025))*2),IF(AND(ISERROR(FIND(""door"",A120))=FALSE,KitchenDoorStyle=""Flat"")"&amp;",(((B120/1000)*(C120/1000))*2)+(MID(KitchenDoorMaterial,FIND(""("",KitchenDoorMaterial)+1,2)/1000)*(((B120+C120)/1000)*2),IF(AND(ISERROR(FIND(""door"",A120))=FALSE,LEFT(KitchenDoorStyle,5)=""Panel""),(((B120/1000)*(C120/1000))*2)+((MID(KitchenDoorMaterial"&amp;",FIND(""("",KitchenDoorMaterial)+1,2)/1000)*(((B120+C120)/1000)*2))+(((((B120-160)+(C120-160))*2)/1000)*(0.013)),IF(AND(ISERROR(FIND(""door"",A120))=FALSE,KitchenDoorStyle=""In-frame flat""),((((B120-76)/1000)*((C120-38)/1000))*2)+(MID(KitchenDoorMaterial"&amp;",FIND(""("",KitchenDoorMaterial)+1,2)/1000)*((((B120-76)+(C120-38))/1000)*2)+(((B120/1000)*0.032)*2)+((((B120-76)/1000)*0.032)*2)+(((B120/1000)*0.019)*4)+(((C120/1000)*0.032)*2)+((((C120-38)/1000)*0.032)*2)+(((C120/1000)*0.038)*4),IF(AND(ISERROR(FIND(""do"&amp;"or"",A120))=FALSE,LEFT(KitchenDoorStyle,14)=""In-frame panel""),((((B120-76)/1000)*((C120-38)/1000))*2)+((MID(KitchenDoorMaterial,FIND(""("",KitchenDoorMaterial)+1,2)/1000)*((((B120-76)+(C120-38))/1000)*2))+((((B120-236)/1000)+((C120-198)/1000)*2)*0.013)+"&amp;"(((B120/1000)*0.032)*2)+((((B120-76)/1000)*0.032)*2)+(((B120/1000)*0.019)*4)+(((C120/1000)*0.032)*2)+((((C120-38)/1000)*0.032)*2)+(((C120/1000)*0.038)*4),IF(ISERROR(FIND(""Plinth"",A120))=FALSE,((B120/1000)*(C120/1000))+(((C120/1000)*0.018)*2)+(((B120/100"&amp;"0)*0.018)*2),IF(ISERROR(FIND(""Cornice"",A120))=FALSE,(((C120/1000)*0.1)*2)+(((C120/1000)*0.044)*2)+(((B120/1000)*0.08)*2),IF(ISERROR(FIND(""Base end panel"",A120))=FALSE,((B120/1000)*(C120/1000))+(0.022*((B120/1000)+((C120/1000)*2)))+((B120/1000)*0.05),I"&amp;"F(ISERROR(FIND(""Wall end panel"",A120))=FALSE,((B120/1000)*(C120/1000))+(0.022*((B120/1000)+((C120/1000)*2)))+((B120/1000)*0.05),IF(ISERROR(FIND(""Tower end panel"",A120))=FALSE,((B120/1000)*(C120/1000))+(0.022*((B120/1000)+((C120/1000)*2)))+((B120/1000)"&amp;"*0.05),IF(ISERROR(FIND(""Fillers"",A120))=FALSE,((C120/1000)*0.06)+((C120/1000)*0.069)+((0.06*0.018)*2)+((0.06*0.009)*2)+((C120/1000)*0.009)+((C120/1000)*0.018),IF(ISERROR(FIND(""corner post"",A120))=FALSE,(((B120/1000*0.05)*2)+((B120/1000)*0.022)*2)+((B1"&amp;"20/1000)*0.072)+((B120/1000)*0.05)+((0.072*0.022)*2)+((0.05*0.022)*2),IF(ISERROR(FIND(""Pelmet"",A120))=FALSE,((C120/1000)*0.05)+((C120/1000)*0.068)+((0.05*0.018)*4)+(((C120/1000)*0.018))*2))))))))))))))))))))))))))))"),"")</f>
        <v/>
      </c>
      <c r="N120" s="152" t="str">
        <f>IF(M120="","",IF(AND(ISERROR(FIND("carcass",A120))=TRUE,ISERROR(FIND("unit",A120))=TRUE,ISERROR(FIND("insert",A120))=TRUE,ISERROR(FIND("rack",A120))=TRUE,ISERROR(FIND("box",A120))=TRUE,ISERROR(FIND("shelf",#REF!))=TRUE),VLOOKUP(KitchenDoorFinish,Finishing!$A$2:$K$10,9,0)*M120,VLOOKUP(KitchenCarcassFinish,Finishing!$A$2:$K$40,9,0)*M120))</f>
        <v/>
      </c>
      <c r="O120" s="155"/>
      <c r="P120" s="155"/>
      <c r="Q120" s="152" t="str">
        <f>IF(OR(O120="",P120=""),"",((O120*X120)*(VLOOKUP("Workshop",Labour!$A$3:$E$20,4,0)/8))+((P120*AE120)*(VLOOKUP("Finishing",Labour!$A$3:$E$20,4,0)/8)))</f>
        <v/>
      </c>
      <c r="R120" s="152" t="str">
        <f t="shared" si="4"/>
        <v/>
      </c>
      <c r="S120" s="156" t="str">
        <f>IF(OR(O120="",P120=""),"",IF(OR(ISERROR(FIND("carcass",$A120))=FALSE,ISERROR(FIND("unit",$A120))=FALSE),VLOOKUP(KitchenCarcassMaterial,FixedListsCarcassMaterial,2,0),0))</f>
        <v/>
      </c>
      <c r="T120" s="156" t="str">
        <f>IF(OR(O120="",P120=""),"",IF(ISERROR(FIND("door",$A120))=FALSE,VLOOKUP(KitchenDoorStyle,FixedListsDoorStyle,2,0),0))</f>
        <v/>
      </c>
      <c r="U120" s="156" t="str">
        <f>IF(OR(O120="",P120=""),"",IF(ISERROR(FIND("door",$A120))=FALSE,VLOOKUP(KitchenDoorMaterial,FixedListsDoorMaterial,2,0),0))</f>
        <v/>
      </c>
      <c r="V120" s="156" t="str">
        <f>IF(OR(O120="",P120=""),"",IF(ISERROR(FIND("drawer",$A120))=FALSE,VLOOKUP(KitchenDrawerType,FixedListsDrawerType,2,0),0))</f>
        <v/>
      </c>
      <c r="W120" s="156" t="str">
        <f>IF(OR(O120="",P120=""),"",IF(OR(S120&gt;0, T120&gt;0,V120&gt;0),VLOOKUP(KitchenHandleType,FixedListsHandleType,2,FALSE)*IF(KitchenHandleType="Simple",0,IF(S120&gt;0,VLOOKUP(KitchenHandleType,FixedListsHandleType,4,FALSE),IF(OR(T120&gt;0,V120&gt;0),1-VLOOKUP(KitchenHandleType,FixedListsHandleType,4,FALSE),"Error"))),0))</f>
        <v/>
      </c>
      <c r="X120" s="156" t="str">
        <f t="shared" si="5"/>
        <v/>
      </c>
      <c r="Y120" s="156" t="str">
        <f>IF(OR(O120="",P120=""),"",IF(OR(ISERROR(FIND("carcass",$A120))=FALSE,ISERROR(FIND("unit",$A120))=FALSE),VLOOKUP(KitchenCarcassMaterial,FixedListsCarcassMaterial,3,0),0))</f>
        <v/>
      </c>
      <c r="Z120" s="156" t="str">
        <f>IF(OR(O120="",P120=""),"",IF(ISERROR(FIND("door",$A120))=FALSE,VLOOKUP(KitchenDoorStyle,FixedListsDoorStyle,3,0),0))</f>
        <v/>
      </c>
      <c r="AA120" s="156" t="str">
        <f>IF(OR(O120="",P120=""),"",IF(ISERROR(FIND("door",$A120))=FALSE,VLOOKUP(KitchenDoorMaterial,FixedListsDoorMaterial,3,0),0))</f>
        <v/>
      </c>
      <c r="AB120" s="156" t="str">
        <f>IF(OR(O120="",P120=""),"",IF(ISERROR(FIND("drawer",$A120))=FALSE,VLOOKUP(KitchenDrawerType,FixedListsDrawerType,3,0),0))</f>
        <v/>
      </c>
      <c r="AC120" s="156" t="str">
        <f>IF(OR(O120="",P120=""),"",IF(OR(Y120&gt;0,Z120&gt;0,AB120&gt;0),VLOOKUP(KitchenHandleType,FixedListsHandleType,3,FALSE),0))</f>
        <v/>
      </c>
      <c r="AD120" s="156" t="str">
        <f>IF(OR(O120="",P120=""),"",IF(OR(ISERROR(FIND("carcass",$A120))=FALSE,ISERROR(FIND("unit",$A120))=FALSE),VLOOKUP(KitchenCarcassFinish,FixedListsFinishes,3,0),IF(OR(ISERROR(FIND("door",$A120))=FALSE,ISERROR(FIND("Plinth",$A120))=FALSE,ISERROR(FIND("Cornice",$A120))=FALSE,ISERROR(FIND("Fillers",$A120))=FALSE,ISERROR(FIND("Pelmet",$A120))=FALSE,ISERROR(FIND("panel",$A120))=FALSE,ISERROR(FIND("post",$A120))=FALSE),VLOOKUP(KitchenDoorFinish,FixedListsFinishes,3,0),IF(OR(ISERROR(FIND("drawer",$A120))=FALSE,ISERROR(FIND("insert",$A120))=FALSE,ISERROR(FIND("rck",$A120))=FALSE),VLOOKUP(KitchenCarcassFinish,FixedListsFinishes,3,0),0))))</f>
        <v/>
      </c>
      <c r="AE120" s="156" t="str">
        <f t="shared" si="6"/>
        <v/>
      </c>
      <c r="AF120" s="157" t="str">
        <f>IF(AND(KitchenHandleType="Channel",OR(ISERROR(FIND("arcass",$A120))=FALSE,ISERROR(FIND("unit",$A120))=FALSE)),IF(ISERROR(FIND("Tower",$A120))=TRUE,IF(KitchenHandleFinish="Match carcass",IF(ISERROR(FIND("Walnut",KitchenCarcassMaterial))=FALSE,(0.035*0.075*($C120/1000))*VLOOKUP("Walnut (solid m3)",SolidData,4,FALSE),IF(ISERROR(FIND("Oak",KitchenCarcassMaterial))=FALSE,(0.035*0.075*($C120/1000))*VLOOKUP("Oak (solid m3)",SolidData,4,FALSE),IF(ISERROR(FIND("ply",KitchenCarcassMaterial))=FALSE,(0.1*($C120/1000))*VLOOKUP("Birch ply (24mm)",SheetsData,7,FALSE),IF(ISERROR(FIND("H/F",KitchenCarcassMaterial))=FALSE,(0.1*($C120/1000))*VLOOKUP("H/F (22mm)",SheetsData,7,FALSE),"Carcass - not tower - new material")))),IF(KitchenHandleFinish="Match door",IF(ISERROR(FIND("Walnut",KitchenDoorMaterial))=FALSE,(0.035*0.075*($C120/1000))*VLOOKUP("Walnut (solid m3)",SolidData,4,FALSE),IF(ISERROR(FIND("Oak",KitchenDoorMaterial))=FALSE,(0.035*0.075*($C120/1000))*VLOOKUP("Oak (solid m3)",SolidData,4,FALSE),IF(ISERROR(FIND("ply",KitchenDoorMaterial))=FALSE,(0.1*($C120/1000))*VLOOKUP("Birch ply (24mm)",SheetsData,7,FALSE),IF(ISERROR(FIND("H/F",KitchenCarcassMaterial))=FALSE,(0.1*($C120/1000))*VLOOKUP("H/F (22mm)",SheetsData,7,FALSE),"Door - not tower - new material")))),"Channel - not tower - handle set to other")),IF(ISERROR(FIND("Tower",$A120))=FALSE,IF(KitchenHandleFinish="Match carcass",IF(ISERROR(FIND("Walnut",KitchenCarcassMaterial))=FALSE,(0.035*0.075*($B120/1000))*VLOOKUP("Walnut (solid m3)",SolidData,4,FALSE),IF(ISERROR(FIND("Oak",KitchenCarcassMaterial))=FALSE,(0.035*0.075*($B120/1000))*VLOOKUP("Oak (solid m3)",SolidData,4,FALSE),IF(ISERROR(FIND("ply",KitchenCarcassMaterial))=FALSE,(0.1*($B120/1000))*VLOOKUP("Birch ply (24mm)",SheetsData,7,FALSE),IF(ISERROR(FIND("H/F",KitchenCarcassMaterial))=FALSE,(0.1*($C120/1000))*VLOOKUP("H/F (22mm)",SheetsData,7,FALSE),"Carcass - tower - new material")))),IF(KitchenHandleFinish="Match door",IF(ISERROR(FIND("Walnut",KitchenDoorMaterial))=FALSE,(0.035*0.075*($B120/1000))*VLOOKUP("Walnut (solid m3)",SolidData,4,FALSE),IF(ISERROR(FIND("Oak",KitchenDoorMaterial))=FALSE,(0.035*0.075*($B120/1000))*VLOOKUP("Oak (solid m3)",SolidData,4,FALSE),IF(ISERROR(FIND("ply",KitchenDoorMaterial))=FALSE,(0.1*($B120/1000))*VLOOKUP("Birch ply (24mm)",SheetData,7,FALSE),IF(ISERROR(FIND("H/F",KitchenCarcassMaterial))=FALSE,(0.1*($C120/1000))*VLOOKUP("H/F (22mm)",SheetsData,7,FALSE),"Door - tower - new material")))),"Channel - tower - handle set to other")))),"")</f>
        <v/>
      </c>
    </row>
    <row r="121">
      <c r="A121" s="150"/>
      <c r="B121" s="115" t="str">
        <f t="shared" si="1"/>
        <v/>
      </c>
      <c r="C121" s="115" t="str">
        <f>IFERROR(__xludf.DUMMYFUNCTION("IF(A121="""","""",IF(OR(RIGHT(A121,LEN(A121)-len(regexextract(A121,"".* "")))=""1200"",RIGHT(A121,LEN(A121)-len(regexextract(A121,"".* "")))=""600"",RIGHT(A121,LEN(A121)-len(regexextract(A121,"".* "")))=""400"",RIGHT(A121,LEN(A121)-len(regexextract(A121,"&amp;""".* "")))=""300"",RIGHT(A121,LEN(A121)-len(regexextract(A121,"".* "")))=""700"",RIGHT(A121,LEN(A121)-len(regexextract(A121,"".* "")))=""2400"",RIGHT(A121,LEN(A121)-len(regexextract(A121,"".* "")))=""650"",RIGHT(A121,LEN(A121)-len(regexextract(A121,"".* "&amp;""")))=""350"",RIGHT(A121,LEN(A121)-len(regexextract(A121,"".* "")))=""50""),RIGHT(A121,LEN(A121)-len(regexextract(A121,"".* ""))),IF(OR(ISERROR(FIND(""spacer"",A121))=FALSE,ISERROR(FIND(""filler panel"",A121))=FALSE),""1000"",""Unexpected size in descript"&amp;"ion"")))"),"")</f>
        <v/>
      </c>
      <c r="D121" s="151" t="str">
        <f t="shared" si="2"/>
        <v/>
      </c>
      <c r="E121" s="152" t="str">
        <f>IFERROR(__xludf.DUMMYFUNCTION("IF(OR(A121="""",AND(ISERROR(FIND(""drawer box"",A121))=FALSE,KitchenDrawerType="""")),"""",IF(OR(ISERROR(FIND(""larder"",A121))=FALSE,ISERROR(FIND(""fridge/freezer"",A121))=FALSE,ISERROR(FIND(""double oven"",A121))=FALSE,ISERROR(FIND(""single oven"",A121)"&amp;")=FALSE),VLOOKUP(LEFT(A121,FIND("" "",A121))&amp;""carcass ""&amp;RIGHT(A121,LEN(A121)-(LEN(A121)-3)),KitchensData,5,0),IF(ISERROR(FIND(""sink"",A121))=FALSE,VLOOKUP(LEFT(A121,FIND("" "",A121))&amp;""carcass ""&amp;VALUE(REGEXREPLACE(A121,""[^[:digit:]]"", """")),Kitchen"&amp;"sData,5,0)+(((C121/1000)*(300/1000))*VLOOKUP(KitchenCarcassMaterial,SheetsData,8,0)),IF(ISERROR(FIND(""bins"",A121))=FALSE,IF(ISERROR(FIND(""veneer"",KitchenCarcassMaterial))=FALSE,VLOOKUP(""Base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600"",A121))=FALSE,IF(ISERR"&amp;"OR(FIND(""veneer"",KitchenCarcassMaterial))=FALSE,0.54*(VLOOKUP(LEFT(KitchenCarcassMaterial,FIND(""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1"&amp;"200"",A121))=FALSE,IF(ISERROR(FIND(""veneer"",KitchenCarcassMaterial))=FALSE,0.84*(VLOOKUP(LEFT(KitchenCarcassMaterial,FIND(""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600"",A121))=FALSE,IF(ISERROR(FIND(""veneer"",KitchenCarcassMaterial))=FALSE,1.44*(VLOOKUP(LEFT(KitchenCarcassMaterial,FIND(""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1200"",A121))=FALSE,IF(ISERROR(FIND(""veneer"",KitchenCarcassMaterial))=FALSE,2.7*(VLOOKUP(LEFT(KitchenCarcassMaterial,FIND(""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front"",A121))=FALSE,((B121/1000)*(C121/1000))*VLOOKUP(KitchenDoorMaterial,SheetsData,8,0),IF(AND(KitchenDrawerType=""Match carcass"",ISERROR(FIND(""drawer box"",A121))=FALSE),(((((B121/10"&amp;"00)*(C121/1000))+((B121/1000)*(D121/1000)))*2)*VLOOKUP(KitchenCarcassMaterial,SheetsData,8,0))+(((C121/1000)*(D121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box"",A121))=FALSE),(((((B121/1000)*(C121/1000))+((B121/1000)*(D121/1000)))*2)*(16/1000)*VLOOKUP(L"&amp;"EFT(KitchenCarcassMaterial,FIND("" "",KitchenCarcassMaterial))&amp;""(solid m3)"",SolidData,5,0))+(((C121/1000)*(D121/1000))*VLOOKUP(LEFT(KitchenCarcassMaterial,FIND(""("",KitchenCarcassMaterial)-1)&amp;IF(OR(ISERROR(FIND(""ply"",KitchenCarcassMaterial))=FALSE,IS"&amp;"ERROR(FIND(""H/F"",KitchenCarcassMaterial))=FALSE),""(9mm)"",""(10mm)""),SheetsData,8,0)),IF(ISERROR(FIND(""spacer"",A121))=FALSE,((D121/1000)*(C121/1000))*VLOOKUP(""Poplar ply (18mm)"",SheetsData,8,0),IF(ISERROR(FIND(""filler panel"",A121))=FALSE,((B121/"&amp;"1000)*(C121/1000))*VLOOKUP(KitchenDoorMaterial,SheetsData,8,0),IF(ISERROR(FIND(""shelf"",A121))=FALSE,((D121/1000)*(C121/1000))*VLOOKUP(KitchenCarcassMaterial,SheetsData,8,0),IF(ISERROR(FIND(""lost corner"",A121))=FALSE,VLOOKUP(LEFT(A121,FIND("" "",A121))"&amp;"&amp;""carcass ""&amp;VALUE(REGEXREPLACE(A121,""[^[:digit:]]"", """")),KitchensData,5,0)+((((B121/1000)*(C121/1000))+((B121/1000)*(60/1000)))*VLOOKUP(KitchenCarcassMaterial,SheetsData,8,0)),IF(ISERROR(FIND(""carcass"",A121))=FALSE,(((((B121/1000)*2)*(D121/1000))+"&amp;"(((C121/1000)*2)*(D121/1000)))*VLOOKUP(KitchenCarcassMaterial,SheetsData,8,0))+((B121/1000)*(C121/1000))*VLOOKUP(LEFT(KitchenCarcassMaterial,FIND(""("",KitchenCarcassMaterial)-1)&amp;IF(OR(ISERROR(FIND(""ply"",KitchenCarcassMaterial))=FALSE,ISERROR(FIND(""H/F"&amp;""",KitchenCarcassMaterial))=FALSE),""(9mm)"",""(10mm)""),SheetsData,8,0),IF(OR(ISERROR(FIND(""Plinth"",A121))=FALSE,ISERROR(FIND(""Cornice (flat)"",A121))=FALSE),((B121/1000)*(C121/1000))*VLOOKUP(""H/F (18mm)"",SheetsData,8,0),IF(ISERROR(FIND(""Cornice (s"&amp;"tacked)"",A121))=FALSE,((0.08*(C121/1000))*2)*VLOOKUP(""H/F (22mm)"",SheetsData,8,0),IF(ISERROR(FIND(""Base end panel"",A121))=FALSE,VLOOKUP(KitchenDoorMaterial,SheetsData,5,0)/3,IF(ISERROR(FIND(""Wall end panel"",A121))=FALSE,VLOOKUP(KitchenDoorMaterial,"&amp;"SheetsData,5,0)/9,IF(ISERROR(FIND(""Tower end panel"",A121))=FALSE,VLOOKUP(KitchenDoorMaterial,SheetsData,5,0),IF(ISERROR(FIND(""Fillers"",A121))=FALSE,(((0.06*(C121/1000))*2)*VLOOKUP(""H/F (18mm)"",SheetsData,8,0))+(((0.06*(C121/1000))*2)*VLOOKUP(""H/F ("&amp;"9mm)"",SheetsData,8,0)),IF(ISERROR(FIND(""corner post"",A121))=FALSE,(((B121/1000)*0.05)*2)*VLOOKUP(KitchenDoorMaterial,SheetsData,8,0),IF(ISERROR(FIND(""Pelmet"",A121))=FALSE,((((B121/1000)*(C121/1000))*2)*VLOOKUP(""H/F (18mm)"",SheetsData,8,0)),IF(ISERR"&amp;"OR(FIND(""door"",A121))=TRUE,""Check description"",IF(KitchenDoorStyle=""Flat"",((B121/1000)*(C121/1000))*VLOOKUP(KitchenDoorMaterial,SheetsData,8,0),IF(LEFT(KitchenDoorStyle,5)=""Panel"",(((((B121/1000)*2)*0.08)+((((C121/1000)-0.16)*2)*0.08))*VLOOKUP(""H"&amp;"/F (22mm)"",SheetsData,8,0))+(((B121/1000)-0.14)*((C121/1000)-0.14)*VLOOKUP(""H/F (9mm)"",SheetsData,8,0)),IF(KitchenDoorStyle=""In-frame flat"",((((((B121/1000)*0.019)*0.038)+((((C121-38)/1000)*0.038)*0.038))*2)*VLOOKUP(""Tulip (solid m3)"",SolidData,5,0"&amp;"))+(((B121-76)/1000)*((C121-38)/1000))*VLOOKUP(""H/F (22mm)"",SheetsData,8,0),IF(LEFT(KitchenDoorStyle,14)=""In-frame panel"",(((((((B121/1000)*0.019)*0.038)+((((C121-38)/1000)*0.038)*0.038))*2)*VLOOKUP(""Tulip (solid m3)"",SolidData,5,0))+(((((((B121-76)"&amp;"/1000)*2)*0.08)+(((((C121-198)/1000)*2)*0.08)))*VLOOKUP(""H/F (22mm)"",SheetsData,8,0))+(((B121-216)/1000)*((C121-178)/1000)*VLOOKUP(""H/F (9mm)"",SheetsData,8,0)))))))))))))))))))))))))))))))))"),"")</f>
        <v/>
      </c>
      <c r="F121" s="152" t="str">
        <f>IFERROR(__xludf.DUMMYFUNCTION("IF(OR(A121="""",AND(ISERROR(FIND(""drawer box"",A121))=FALSE,KitchenDrawerType=""Solid dovetail"")),"""",IF(ISERROR(FIND(""bins"",A121))=FALSE,VLOOKUP(""Base carcass 600"",KitchensData,6,0),IF(OR(ISERROR(FIND(""larder"",A121))=FALSE,ISERROR(FIND(""unit"","&amp;"A121))=FALSE),VLOOKUP(LEFT(A121,FIND("" "",A121))&amp;""carcass ""&amp;RIGHT(A121,LEN(A121)-len(regexextract(A121,"".* ""))),KitchensData,6,0),IF(ISERROR(FIND(""drawer front"",A121))=FALSE,IF(ISERROR(FIND(""veneer"",KitchenCarcassMaterial))=TRUE,0,(((B121+C121)/1"&amp;"000)*2)*VLOOKUP(""Edge banding (per M)"",SheetsData,5,0)),IF(ISERROR(FIND(""drawer box"",A121))=FALSE,IF(ISERROR(FIND(""veneer"",KitchenCarcassMaterial))=TRUE,0,(((C121+D121)/1000)*2)*VLOOKUP(""Edge banding (per M)"",SheetsData,5,0)),IF(ISERROR(FIND(""she"&amp;"lf"",A121))=FALSE,IF(ISERROR(FIND(""veneer"",KitchenCarcassMaterial))=TRUE,0,(C121/1000)*VLOOKUP(""Edge banding (per M)"",SheetsData,5,0)),IF(AND(ISERROR(FIND(""carcass"",A121))=FALSE,ISERROR(FIND(""shelf"",A121))=TRUE),IF(ISERROR(FIND(""veneer"",KitchenC"&amp;"arcassMaterial))=TRUE,0,((2*(B121+C121))/1000)*VLOOKUP(""Edge banding (per M)"",SheetsData,5,0)),IF(ISERROR(FIND(""door"",A121))=TRUE,"""",IF(ISERROR(FIND(""veneer"",KitchenDoorMaterial))=TRUE,"""",((2*(B121+C121))/1000)*VLOOKUP(""Edge banding (per M)"",S"&amp;"heetsData,5,0))))))))))"),"")</f>
        <v/>
      </c>
      <c r="G121" s="153" t="str">
        <f>IF(A121="","",IF(ISERROR(FIND("bins",A121))=FALSE,VLOOKUP("Base carcass 600",KitchensData,7,0),IF(OR(ISERROR(FIND("larder",A121))=FALSE,ISERROR(FIND("fridge/freezer",A121))=FALSE,ISERROR(FIND("double oven",A121))=FALSE,ISERROR(FIND("single oven",A121))=FALSE),VLOOKUP(LEFT(A121,FIND(" ",A121))&amp;"carcass "&amp;RIGHT(A121,LEN(A121)-(LEN(A121)-3)),KitchensData,7,0),IF(AND(ISERROR(FIND("carcass",A121))=FALSE,ISERROR(FIND("shelf",A121))=TRUE),IF(OR(ISERROR(FIND("Base",A121))=FALSE,ISERROR(FIND("Tower",A121))=FALSE),IF(OR(ISERROR(FIND("1200",A121))=FALSE, ISERROR(FIND("lost corner",A121))=FALSE),6*VLOOKUP("Plinth foot (2 Parts 80mm)",FurnitureData,5,0),4*VLOOKUP("Plinth foot (2 Parts 80mm)",FurnitureData,5,0)),""),""))))</f>
        <v/>
      </c>
      <c r="H121" s="115" t="str">
        <f>IF(OR(A121="",ISERROR(FIND("door",A121))=TRUE),"",IF(ISERROR(FIND("Wall",A121))=FALSE,VLOOKUP("Hinges &amp; plates (Hettich thick door)",FurnitureData,5,0)*2,IF(ISERROR(FIND("Base",A121))=FALSE,VLOOKUP("Hinges &amp; plates (Hettich thick door)",FurnitureData,5,0)*3,IF(ISERROR(FIND("Boiler",A121))=FALSE,VLOOKUP("Hinges &amp; plates (Hettich thick door)",FurnitureData,5,0)*4,IF(ISERROR(FIND("Tower",A121))=FALSE,VLOOKUP("Hinges &amp; plates (Hettich thick door)",FurnitureData,5,0)*5)))))</f>
        <v/>
      </c>
      <c r="I121" s="115" t="str">
        <f>IF(ISERROR(FIND("shelf",A121))=FALSE,(VLOOKUP("Shelf pegs",FurnitureData,5,0)/100)*4,"")</f>
        <v/>
      </c>
      <c r="J121" s="152" t="str">
        <f>IF(OR(ISERROR(FIND("fridge/freezer",A121))=FALSE,ISERROR(FIND("larder",A121))=FALSE,AND(ISERROR(FIND("Base",A121))=FALSE,ISERROR(FIND("bins",A121))=TRUE,ISERROR(FIND("no shelves",A121))=TRUE,OR(ISERROR(FIND("carcass",A121))=FALSE,ISERROR(FIND("unit",A121))=FALSE))),VLOOKUP("Deep shelf "&amp;C121,KitchensData,18,0),IF(AND(ISERROR(FIND("Wall",A121))=FALSE,ISERROR(FIND("carcass",A121))=FALSE),2*VLOOKUP("Shallow shelf "&amp;C121,KitchensData,18,0),IF(AND(ISERROR(FIND("Tower",A121))=FALSE,ISERROR(FIND("oven",A121))=FALSE),4*VLOOKUP("Deep shelf "&amp;C121,KitchensData,18,0),IF(AND(ISERROR(FIND("Tower",A121))=FALSE,ISERROR(FIND("carcass",A121))=FALSE),5*VLOOKUP("Deep shelf "&amp;C121,KitchensData,18,0),""))))</f>
        <v/>
      </c>
      <c r="K121" s="152" t="str">
        <f>IF(ISERROR(FIND("sink",A121))=FALSE,VLOOKUP("Sink liner - Aluminium "&amp;RIGHT(A121,LEN(A121)-22)&amp;"mm",ExceptionalData,5,0),IF(ISERROR(FIND("bins",A121))=FALSE,VLOOKUP("Drawer runners and clip set for bin unit (500) Dynapro",FurnitureData,5,0)+(2*VLOOKUP("Bin (42L Anthracite)",FurnitureData,5,0)),IF(ISERROR(FIND("larder",A121))=FALSE,VLOOKUP("Pull out larder unit 600mm",FurnitureData,5,0),IF(AND(ISERROR(FIND("drawer box",A121))=FALSE,ISERROR(FIND("internal",A121))=TRUE),VLOOKUP("Drawer runners and clip set (550) Dynapro",FurnitureData,5,0),IF(ISERROR(FIND("internal drawer box",A121))=FALSE,VLOOKUP("Drawer runners and clip set (450) Dynapro",FurnitureData,5,0),"")))))</f>
        <v/>
      </c>
      <c r="L121" s="152" t="str">
        <f t="shared" si="3"/>
        <v/>
      </c>
      <c r="M121" s="154" t="str">
        <f>IFERROR(__xludf.DUMMYFUNCTION("IF(A121="""","""",IF(OR(ISERROR(FIND(""larder"",A121))=FALSE,ISERROR(FIND(""unit"",A121))=FALSE),VLOOKUP(LEFT(A121,FIND("" "",A121))&amp;""carcass ""&amp;RIGHT(A121,LEN(A121)-len(regexextract(A121,"".* ""))),KitchensData,13,0),IF(ISERROR(FIND(""bins"",A121))=FALS"&amp;"E,0.95,IF(ISERROR(FIND(""Cutlery insert 600"",A121))=FALSE,1.3,IF(ISERROR(FIND(""Cutlery insert 1200"",A121))=FALSE,2,IF(ISERROR(FIND(""Pan/tray rack 600"",A121))=FALSE,3.25,IF(ISERROR(FIND(""Pan/tray rack 1200"",A121))=FALSE,5.9,IF(ISERROR(FIND(""split"""&amp;",A121))=FALSE,(((C121/1000)*0.022)*2)+VLOOKUP(SUBSTITUTE(A121,"" split"",""""),KitchensData,13,0),IF(AND(ISERROR(FIND(""drawer front"",A121))=FALSE,KitchenDoorStyle=""Flat""),(((B121/1000)*(C121/1000))*2)+((((B121+C121)/1000)*2)*0.022),IF(AND(ISERROR(FIND"&amp;"(""drawer front"",A121))=FALSE,LEFT(KitchenDoorStyle,5)=""Panel""),(((B121/1000)*(C121/1000))*2)+((((B121+C121)/1000)*2)*0.022)+((((C121/1000)-0.16)*0.013)*2)+((((D121/1000)-0.16)*0.013)*2),IF(AND(ISERROR(FIND(""drawer front"",A121))=FALSE,KitchenDoorStyl"&amp;"e=""In-frame flat""),((((B121-76)/1000)*((C121-38)/1000))*2)+(MID(KitchenDoorMaterial,FIND(""("",KitchenDoorMaterial)+1,2)/1000)*((((B121-76)+(C121-38))/1000)*2)+(((B121/1000)*0.032)*2)+((((B121-76)/1000)*0.032)*2)+(((B121/1000)*0.019)*4)+(((C121/1000)*0."&amp;"032)*2)+((((C121-38)/1000)*0.032)*2)+(((C121/1000)*0.038)*4),IF(AND(ISERROR(FIND(""drawer front"",A121))=FALSE,LEFT(KitchenDoorStyle,14)=""In-frame panel""),((((B121-76)/1000)*((C121-38)/1000))*2)+((MID(KitchenDoorMaterial,FIND(""("",KitchenDoorMaterial)+"&amp;"1,2)/1000)*((((B121-76)+(C121-38))/1000)*2))+((((B121-236)/1000)+((C121-198)/1000)*2)*0.013)+(((B121/1000)*0.032)*2)+((((B121-76)/1000)*0.032)*2)+(((B121/1000)*0.019)*4)+(((C121/1000)*0.032)*2)+((((C121-38)/1000)*0.032)*2)+(((C121/1000)*0.038)*4),IF(ISERR"&amp;"OR(FIND(""drawer box"",A121))=FALSE,((((B121/1000)*(D121/1000))+((B121/1000)*(C121/1000)))*4)+((((D121/1000)+(C121/1000))*0.016)*4)+(((C121/1000)*(D121/1000))*2),IF(OR(ISERROR(FIND(""shelf"",A121))=FALSE,ISERROR(FIND(""spacer"",A121))=FALSE,,ISERROR(FIND("&amp;"""filler panel"",A121))=FALSE),(((C121/1000)*(D121/1000))*2)+((((C121+D121)*2)/1000)*0.022),IF(ISERROR(FIND(""lost corner"",A121))=FALSE,(((B121/1000)*(C121/1000))*2)+((B121/1000)*(C121/1000))+((B121/1000)*((C121/2)/1000))+((((B121/1000)*0.025)+((C121/100"&amp;"0)*0.025))*2),IF(ISERROR(FIND(""carcass"",A121))=FALSE,(((C121/1000)*(D121/1000))*2)+(((B121/1000)*(D121/1000))*2)+((B121/1000)*(C121/1000))+((((B121/1000)*0.025)+((C121/1000)*0.025))*2),IF(AND(ISERROR(FIND(""door"",A121))=FALSE,KitchenDoorStyle=""Flat"")"&amp;",(((B121/1000)*(C121/1000))*2)+(MID(KitchenDoorMaterial,FIND(""("",KitchenDoorMaterial)+1,2)/1000)*(((B121+C121)/1000)*2),IF(AND(ISERROR(FIND(""door"",A121))=FALSE,LEFT(KitchenDoorStyle,5)=""Panel""),(((B121/1000)*(C121/1000))*2)+((MID(KitchenDoorMaterial"&amp;",FIND(""("",KitchenDoorMaterial)+1,2)/1000)*(((B121+C121)/1000)*2))+(((((B121-160)+(C121-160))*2)/1000)*(0.013)),IF(AND(ISERROR(FIND(""door"",A121))=FALSE,KitchenDoorStyle=""In-frame flat""),((((B121-76)/1000)*((C121-38)/1000))*2)+(MID(KitchenDoorMaterial"&amp;",FIND(""("",KitchenDoorMaterial)+1,2)/1000)*((((B121-76)+(C121-38))/1000)*2)+(((B121/1000)*0.032)*2)+((((B121-76)/1000)*0.032)*2)+(((B121/1000)*0.019)*4)+(((C121/1000)*0.032)*2)+((((C121-38)/1000)*0.032)*2)+(((C121/1000)*0.038)*4),IF(AND(ISERROR(FIND(""do"&amp;"or"",A121))=FALSE,LEFT(KitchenDoorStyle,14)=""In-frame panel""),((((B121-76)/1000)*((C121-38)/1000))*2)+((MID(KitchenDoorMaterial,FIND(""("",KitchenDoorMaterial)+1,2)/1000)*((((B121-76)+(C121-38))/1000)*2))+((((B121-236)/1000)+((C121-198)/1000)*2)*0.013)+"&amp;"(((B121/1000)*0.032)*2)+((((B121-76)/1000)*0.032)*2)+(((B121/1000)*0.019)*4)+(((C121/1000)*0.032)*2)+((((C121-38)/1000)*0.032)*2)+(((C121/1000)*0.038)*4),IF(ISERROR(FIND(""Plinth"",A121))=FALSE,((B121/1000)*(C121/1000))+(((C121/1000)*0.018)*2)+(((B121/100"&amp;"0)*0.018)*2),IF(ISERROR(FIND(""Cornice"",A121))=FALSE,(((C121/1000)*0.1)*2)+(((C121/1000)*0.044)*2)+(((B121/1000)*0.08)*2),IF(ISERROR(FIND(""Base end panel"",A121))=FALSE,((B121/1000)*(C121/1000))+(0.022*((B121/1000)+((C121/1000)*2)))+((B121/1000)*0.05),I"&amp;"F(ISERROR(FIND(""Wall end panel"",A121))=FALSE,((B121/1000)*(C121/1000))+(0.022*((B121/1000)+((C121/1000)*2)))+((B121/1000)*0.05),IF(ISERROR(FIND(""Tower end panel"",A121))=FALSE,((B121/1000)*(C121/1000))+(0.022*((B121/1000)+((C121/1000)*2)))+((B121/1000)"&amp;"*0.05),IF(ISERROR(FIND(""Fillers"",A121))=FALSE,((C121/1000)*0.06)+((C121/1000)*0.069)+((0.06*0.018)*2)+((0.06*0.009)*2)+((C121/1000)*0.009)+((C121/1000)*0.018),IF(ISERROR(FIND(""corner post"",A121))=FALSE,(((B121/1000*0.05)*2)+((B121/1000)*0.022)*2)+((B1"&amp;"21/1000)*0.072)+((B121/1000)*0.05)+((0.072*0.022)*2)+((0.05*0.022)*2),IF(ISERROR(FIND(""Pelmet"",A121))=FALSE,((C121/1000)*0.05)+((C121/1000)*0.068)+((0.05*0.018)*4)+(((C121/1000)*0.018))*2))))))))))))))))))))))))))))"),"")</f>
        <v/>
      </c>
      <c r="N121" s="152" t="str">
        <f>IF(M121="","",IF(AND(ISERROR(FIND("carcass",A121))=TRUE,ISERROR(FIND("unit",A121))=TRUE,ISERROR(FIND("insert",A121))=TRUE,ISERROR(FIND("rack",A121))=TRUE,ISERROR(FIND("box",A121))=TRUE,ISERROR(FIND("shelf",#REF!))=TRUE),VLOOKUP(KitchenDoorFinish,Finishing!$A$2:$K$10,9,0)*M121,VLOOKUP(KitchenCarcassFinish,Finishing!$A$2:$K$40,9,0)*M121))</f>
        <v/>
      </c>
      <c r="O121" s="155"/>
      <c r="P121" s="155"/>
      <c r="Q121" s="152" t="str">
        <f>IF(OR(O121="",P121=""),"",((O121*X121)*(VLOOKUP("Workshop",Labour!$A$3:$E$20,4,0)/8))+((P121*AE121)*(VLOOKUP("Finishing",Labour!$A$3:$E$20,4,0)/8)))</f>
        <v/>
      </c>
      <c r="R121" s="152" t="str">
        <f t="shared" si="4"/>
        <v/>
      </c>
      <c r="S121" s="156" t="str">
        <f>IF(OR(O121="",P121=""),"",IF(OR(ISERROR(FIND("carcass",$A121))=FALSE,ISERROR(FIND("unit",$A121))=FALSE),VLOOKUP(KitchenCarcassMaterial,FixedListsCarcassMaterial,2,0),0))</f>
        <v/>
      </c>
      <c r="T121" s="156" t="str">
        <f>IF(OR(O121="",P121=""),"",IF(ISERROR(FIND("door",$A121))=FALSE,VLOOKUP(KitchenDoorStyle,FixedListsDoorStyle,2,0),0))</f>
        <v/>
      </c>
      <c r="U121" s="156" t="str">
        <f>IF(OR(O121="",P121=""),"",IF(ISERROR(FIND("door",$A121))=FALSE,VLOOKUP(KitchenDoorMaterial,FixedListsDoorMaterial,2,0),0))</f>
        <v/>
      </c>
      <c r="V121" s="156" t="str">
        <f>IF(OR(O121="",P121=""),"",IF(ISERROR(FIND("drawer",$A121))=FALSE,VLOOKUP(KitchenDrawerType,FixedListsDrawerType,2,0),0))</f>
        <v/>
      </c>
      <c r="W121" s="156" t="str">
        <f>IF(OR(O121="",P121=""),"",IF(OR(S121&gt;0, T121&gt;0,V121&gt;0),VLOOKUP(KitchenHandleType,FixedListsHandleType,2,FALSE)*IF(KitchenHandleType="Simple",0,IF(S121&gt;0,VLOOKUP(KitchenHandleType,FixedListsHandleType,4,FALSE),IF(OR(T121&gt;0,V121&gt;0),1-VLOOKUP(KitchenHandleType,FixedListsHandleType,4,FALSE),"Error"))),0))</f>
        <v/>
      </c>
      <c r="X121" s="156" t="str">
        <f t="shared" si="5"/>
        <v/>
      </c>
      <c r="Y121" s="156" t="str">
        <f>IF(OR(O121="",P121=""),"",IF(OR(ISERROR(FIND("carcass",$A121))=FALSE,ISERROR(FIND("unit",$A121))=FALSE),VLOOKUP(KitchenCarcassMaterial,FixedListsCarcassMaterial,3,0),0))</f>
        <v/>
      </c>
      <c r="Z121" s="156" t="str">
        <f>IF(OR(O121="",P121=""),"",IF(ISERROR(FIND("door",$A121))=FALSE,VLOOKUP(KitchenDoorStyle,FixedListsDoorStyle,3,0),0))</f>
        <v/>
      </c>
      <c r="AA121" s="156" t="str">
        <f>IF(OR(O121="",P121=""),"",IF(ISERROR(FIND("door",$A121))=FALSE,VLOOKUP(KitchenDoorMaterial,FixedListsDoorMaterial,3,0),0))</f>
        <v/>
      </c>
      <c r="AB121" s="156" t="str">
        <f>IF(OR(O121="",P121=""),"",IF(ISERROR(FIND("drawer",$A121))=FALSE,VLOOKUP(KitchenDrawerType,FixedListsDrawerType,3,0),0))</f>
        <v/>
      </c>
      <c r="AC121" s="156" t="str">
        <f>IF(OR(O121="",P121=""),"",IF(OR(Y121&gt;0,Z121&gt;0,AB121&gt;0),VLOOKUP(KitchenHandleType,FixedListsHandleType,3,FALSE),0))</f>
        <v/>
      </c>
      <c r="AD121" s="156" t="str">
        <f>IF(OR(O121="",P121=""),"",IF(OR(ISERROR(FIND("carcass",$A121))=FALSE,ISERROR(FIND("unit",$A121))=FALSE),VLOOKUP(KitchenCarcassFinish,FixedListsFinishes,3,0),IF(OR(ISERROR(FIND("door",$A121))=FALSE,ISERROR(FIND("Plinth",$A121))=FALSE,ISERROR(FIND("Cornice",$A121))=FALSE,ISERROR(FIND("Fillers",$A121))=FALSE,ISERROR(FIND("Pelmet",$A121))=FALSE,ISERROR(FIND("panel",$A121))=FALSE,ISERROR(FIND("post",$A121))=FALSE),VLOOKUP(KitchenDoorFinish,FixedListsFinishes,3,0),IF(OR(ISERROR(FIND("drawer",$A121))=FALSE,ISERROR(FIND("insert",$A121))=FALSE,ISERROR(FIND("rck",$A121))=FALSE),VLOOKUP(KitchenCarcassFinish,FixedListsFinishes,3,0),0))))</f>
        <v/>
      </c>
      <c r="AE121" s="156" t="str">
        <f t="shared" si="6"/>
        <v/>
      </c>
      <c r="AF121" s="157" t="str">
        <f>IF(AND(KitchenHandleType="Channel",OR(ISERROR(FIND("arcass",$A121))=FALSE,ISERROR(FIND("unit",$A121))=FALSE)),IF(ISERROR(FIND("Tower",$A121))=TRUE,IF(KitchenHandleFinish="Match carcass",IF(ISERROR(FIND("Walnut",KitchenCarcassMaterial))=FALSE,(0.035*0.075*($C121/1000))*VLOOKUP("Walnut (solid m3)",SolidData,4,FALSE),IF(ISERROR(FIND("Oak",KitchenCarcassMaterial))=FALSE,(0.035*0.075*($C121/1000))*VLOOKUP("Oak (solid m3)",SolidData,4,FALSE),IF(ISERROR(FIND("ply",KitchenCarcassMaterial))=FALSE,(0.1*($C121/1000))*VLOOKUP("Birch ply (24mm)",SheetsData,7,FALSE),IF(ISERROR(FIND("H/F",KitchenCarcassMaterial))=FALSE,(0.1*($C121/1000))*VLOOKUP("H/F (22mm)",SheetsData,7,FALSE),"Carcass - not tower - new material")))),IF(KitchenHandleFinish="Match door",IF(ISERROR(FIND("Walnut",KitchenDoorMaterial))=FALSE,(0.035*0.075*($C121/1000))*VLOOKUP("Walnut (solid m3)",SolidData,4,FALSE),IF(ISERROR(FIND("Oak",KitchenDoorMaterial))=FALSE,(0.035*0.075*($C121/1000))*VLOOKUP("Oak (solid m3)",SolidData,4,FALSE),IF(ISERROR(FIND("ply",KitchenDoorMaterial))=FALSE,(0.1*($C121/1000))*VLOOKUP("Birch ply (24mm)",SheetsData,7,FALSE),IF(ISERROR(FIND("H/F",KitchenCarcassMaterial))=FALSE,(0.1*($C121/1000))*VLOOKUP("H/F (22mm)",SheetsData,7,FALSE),"Door - not tower - new material")))),"Channel - not tower - handle set to other")),IF(ISERROR(FIND("Tower",$A121))=FALSE,IF(KitchenHandleFinish="Match carcass",IF(ISERROR(FIND("Walnut",KitchenCarcassMaterial))=FALSE,(0.035*0.075*($B121/1000))*VLOOKUP("Walnut (solid m3)",SolidData,4,FALSE),IF(ISERROR(FIND("Oak",KitchenCarcassMaterial))=FALSE,(0.035*0.075*($B121/1000))*VLOOKUP("Oak (solid m3)",SolidData,4,FALSE),IF(ISERROR(FIND("ply",KitchenCarcassMaterial))=FALSE,(0.1*($B121/1000))*VLOOKUP("Birch ply (24mm)",SheetsData,7,FALSE),IF(ISERROR(FIND("H/F",KitchenCarcassMaterial))=FALSE,(0.1*($C121/1000))*VLOOKUP("H/F (22mm)",SheetsData,7,FALSE),"Carcass - tower - new material")))),IF(KitchenHandleFinish="Match door",IF(ISERROR(FIND("Walnut",KitchenDoorMaterial))=FALSE,(0.035*0.075*($B121/1000))*VLOOKUP("Walnut (solid m3)",SolidData,4,FALSE),IF(ISERROR(FIND("Oak",KitchenDoorMaterial))=FALSE,(0.035*0.075*($B121/1000))*VLOOKUP("Oak (solid m3)",SolidData,4,FALSE),IF(ISERROR(FIND("ply",KitchenDoorMaterial))=FALSE,(0.1*($B121/1000))*VLOOKUP("Birch ply (24mm)",SheetData,7,FALSE),IF(ISERROR(FIND("H/F",KitchenCarcassMaterial))=FALSE,(0.1*($C121/1000))*VLOOKUP("H/F (22mm)",SheetsData,7,FALSE),"Door - tower - new material")))),"Channel - tower - handle set to other")))),"")</f>
        <v/>
      </c>
    </row>
    <row r="122">
      <c r="A122" s="150"/>
      <c r="B122" s="115" t="str">
        <f t="shared" si="1"/>
        <v/>
      </c>
      <c r="C122" s="115" t="str">
        <f>IFERROR(__xludf.DUMMYFUNCTION("IF(A122="""","""",IF(OR(RIGHT(A122,LEN(A122)-len(regexextract(A122,"".* "")))=""1200"",RIGHT(A122,LEN(A122)-len(regexextract(A122,"".* "")))=""600"",RIGHT(A122,LEN(A122)-len(regexextract(A122,"".* "")))=""400"",RIGHT(A122,LEN(A122)-len(regexextract(A122,"&amp;""".* "")))=""300"",RIGHT(A122,LEN(A122)-len(regexextract(A122,"".* "")))=""700"",RIGHT(A122,LEN(A122)-len(regexextract(A122,"".* "")))=""2400"",RIGHT(A122,LEN(A122)-len(regexextract(A122,"".* "")))=""650"",RIGHT(A122,LEN(A122)-len(regexextract(A122,"".* "&amp;""")))=""350"",RIGHT(A122,LEN(A122)-len(regexextract(A122,"".* "")))=""50""),RIGHT(A122,LEN(A122)-len(regexextract(A122,"".* ""))),IF(OR(ISERROR(FIND(""spacer"",A122))=FALSE,ISERROR(FIND(""filler panel"",A122))=FALSE),""1000"",""Unexpected size in descript"&amp;"ion"")))"),"")</f>
        <v/>
      </c>
      <c r="D122" s="151" t="str">
        <f t="shared" si="2"/>
        <v/>
      </c>
      <c r="E122" s="152" t="str">
        <f>IFERROR(__xludf.DUMMYFUNCTION("IF(OR(A122="""",AND(ISERROR(FIND(""drawer box"",A122))=FALSE,KitchenDrawerType="""")),"""",IF(OR(ISERROR(FIND(""larder"",A122))=FALSE,ISERROR(FIND(""fridge/freezer"",A122))=FALSE,ISERROR(FIND(""double oven"",A122))=FALSE,ISERROR(FIND(""single oven"",A122)"&amp;")=FALSE),VLOOKUP(LEFT(A122,FIND("" "",A122))&amp;""carcass ""&amp;RIGHT(A122,LEN(A122)-(LEN(A122)-3)),KitchensData,5,0),IF(ISERROR(FIND(""sink"",A122))=FALSE,VLOOKUP(LEFT(A122,FIND("" "",A122))&amp;""carcass ""&amp;VALUE(REGEXREPLACE(A122,""[^[:digit:]]"", """")),Kitchen"&amp;"sData,5,0)+(((C122/1000)*(300/1000))*VLOOKUP(KitchenCarcassMaterial,SheetsData,8,0)),IF(ISERROR(FIND(""bins"",A122))=FALSE,IF(ISERROR(FIND(""veneer"",KitchenCarcassMaterial))=FALSE,VLOOKUP(""Base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600"",A122))=FALSE,IF(ISERR"&amp;"OR(FIND(""veneer"",KitchenCarcassMaterial))=FALSE,0.54*(VLOOKUP(LEFT(KitchenCarcassMaterial,FIND(""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1"&amp;"200"",A122))=FALSE,IF(ISERROR(FIND(""veneer"",KitchenCarcassMaterial))=FALSE,0.84*(VLOOKUP(LEFT(KitchenCarcassMaterial,FIND(""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600"",A122))=FALSE,IF(ISERROR(FIND(""veneer"",KitchenCarcassMaterial))=FALSE,1.44*(VLOOKUP(LEFT(KitchenCarcassMaterial,FIND(""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1200"",A122))=FALSE,IF(ISERROR(FIND(""veneer"",KitchenCarcassMaterial))=FALSE,2.7*(VLOOKUP(LEFT(KitchenCarcassMaterial,FIND(""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front"",A122))=FALSE,((B122/1000)*(C122/1000))*VLOOKUP(KitchenDoorMaterial,SheetsData,8,0),IF(AND(KitchenDrawerType=""Match carcass"",ISERROR(FIND(""drawer box"",A122))=FALSE),(((((B122/10"&amp;"00)*(C122/1000))+((B122/1000)*(D122/1000)))*2)*VLOOKUP(KitchenCarcassMaterial,SheetsData,8,0))+(((C122/1000)*(D122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box"",A122))=FALSE),(((((B122/1000)*(C122/1000))+((B122/1000)*(D122/1000)))*2)*(16/1000)*VLOOKUP(L"&amp;"EFT(KitchenCarcassMaterial,FIND("" "",KitchenCarcassMaterial))&amp;""(solid m3)"",SolidData,5,0))+(((C122/1000)*(D122/1000))*VLOOKUP(LEFT(KitchenCarcassMaterial,FIND(""("",KitchenCarcassMaterial)-1)&amp;IF(OR(ISERROR(FIND(""ply"",KitchenCarcassMaterial))=FALSE,IS"&amp;"ERROR(FIND(""H/F"",KitchenCarcassMaterial))=FALSE),""(9mm)"",""(10mm)""),SheetsData,8,0)),IF(ISERROR(FIND(""spacer"",A122))=FALSE,((D122/1000)*(C122/1000))*VLOOKUP(""Poplar ply (18mm)"",SheetsData,8,0),IF(ISERROR(FIND(""filler panel"",A122))=FALSE,((B122/"&amp;"1000)*(C122/1000))*VLOOKUP(KitchenDoorMaterial,SheetsData,8,0),IF(ISERROR(FIND(""shelf"",A122))=FALSE,((D122/1000)*(C122/1000))*VLOOKUP(KitchenCarcassMaterial,SheetsData,8,0),IF(ISERROR(FIND(""lost corner"",A122))=FALSE,VLOOKUP(LEFT(A122,FIND("" "",A122))"&amp;"&amp;""carcass ""&amp;VALUE(REGEXREPLACE(A122,""[^[:digit:]]"", """")),KitchensData,5,0)+((((B122/1000)*(C122/1000))+((B122/1000)*(60/1000)))*VLOOKUP(KitchenCarcassMaterial,SheetsData,8,0)),IF(ISERROR(FIND(""carcass"",A122))=FALSE,(((((B122/1000)*2)*(D122/1000))+"&amp;"(((C122/1000)*2)*(D122/1000)))*VLOOKUP(KitchenCarcassMaterial,SheetsData,8,0))+((B122/1000)*(C122/1000))*VLOOKUP(LEFT(KitchenCarcassMaterial,FIND(""("",KitchenCarcassMaterial)-1)&amp;IF(OR(ISERROR(FIND(""ply"",KitchenCarcassMaterial))=FALSE,ISERROR(FIND(""H/F"&amp;""",KitchenCarcassMaterial))=FALSE),""(9mm)"",""(10mm)""),SheetsData,8,0),IF(OR(ISERROR(FIND(""Plinth"",A122))=FALSE,ISERROR(FIND(""Cornice (flat)"",A122))=FALSE),((B122/1000)*(C122/1000))*VLOOKUP(""H/F (18mm)"",SheetsData,8,0),IF(ISERROR(FIND(""Cornice (s"&amp;"tacked)"",A122))=FALSE,((0.08*(C122/1000))*2)*VLOOKUP(""H/F (22mm)"",SheetsData,8,0),IF(ISERROR(FIND(""Base end panel"",A122))=FALSE,VLOOKUP(KitchenDoorMaterial,SheetsData,5,0)/3,IF(ISERROR(FIND(""Wall end panel"",A122))=FALSE,VLOOKUP(KitchenDoorMaterial,"&amp;"SheetsData,5,0)/9,IF(ISERROR(FIND(""Tower end panel"",A122))=FALSE,VLOOKUP(KitchenDoorMaterial,SheetsData,5,0),IF(ISERROR(FIND(""Fillers"",A122))=FALSE,(((0.06*(C122/1000))*2)*VLOOKUP(""H/F (18mm)"",SheetsData,8,0))+(((0.06*(C122/1000))*2)*VLOOKUP(""H/F ("&amp;"9mm)"",SheetsData,8,0)),IF(ISERROR(FIND(""corner post"",A122))=FALSE,(((B122/1000)*0.05)*2)*VLOOKUP(KitchenDoorMaterial,SheetsData,8,0),IF(ISERROR(FIND(""Pelmet"",A122))=FALSE,((((B122/1000)*(C122/1000))*2)*VLOOKUP(""H/F (18mm)"",SheetsData,8,0)),IF(ISERR"&amp;"OR(FIND(""door"",A122))=TRUE,""Check description"",IF(KitchenDoorStyle=""Flat"",((B122/1000)*(C122/1000))*VLOOKUP(KitchenDoorMaterial,SheetsData,8,0),IF(LEFT(KitchenDoorStyle,5)=""Panel"",(((((B122/1000)*2)*0.08)+((((C122/1000)-0.16)*2)*0.08))*VLOOKUP(""H"&amp;"/F (22mm)"",SheetsData,8,0))+(((B122/1000)-0.14)*((C122/1000)-0.14)*VLOOKUP(""H/F (9mm)"",SheetsData,8,0)),IF(KitchenDoorStyle=""In-frame flat"",((((((B122/1000)*0.019)*0.038)+((((C122-38)/1000)*0.038)*0.038))*2)*VLOOKUP(""Tulip (solid m3)"",SolidData,5,0"&amp;"))+(((B122-76)/1000)*((C122-38)/1000))*VLOOKUP(""H/F (22mm)"",SheetsData,8,0),IF(LEFT(KitchenDoorStyle,14)=""In-frame panel"",(((((((B122/1000)*0.019)*0.038)+((((C122-38)/1000)*0.038)*0.038))*2)*VLOOKUP(""Tulip (solid m3)"",SolidData,5,0))+(((((((B122-76)"&amp;"/1000)*2)*0.08)+(((((C122-198)/1000)*2)*0.08)))*VLOOKUP(""H/F (22mm)"",SheetsData,8,0))+(((B122-216)/1000)*((C122-178)/1000)*VLOOKUP(""H/F (9mm)"",SheetsData,8,0)))))))))))))))))))))))))))))))))"),"")</f>
        <v/>
      </c>
      <c r="F122" s="152" t="str">
        <f>IFERROR(__xludf.DUMMYFUNCTION("IF(OR(A122="""",AND(ISERROR(FIND(""drawer box"",A122))=FALSE,KitchenDrawerType=""Solid dovetail"")),"""",IF(ISERROR(FIND(""bins"",A122))=FALSE,VLOOKUP(""Base carcass 600"",KitchensData,6,0),IF(OR(ISERROR(FIND(""larder"",A122))=FALSE,ISERROR(FIND(""unit"","&amp;"A122))=FALSE),VLOOKUP(LEFT(A122,FIND("" "",A122))&amp;""carcass ""&amp;RIGHT(A122,LEN(A122)-len(regexextract(A122,"".* ""))),KitchensData,6,0),IF(ISERROR(FIND(""drawer front"",A122))=FALSE,IF(ISERROR(FIND(""veneer"",KitchenCarcassMaterial))=TRUE,0,(((B122+C122)/1"&amp;"000)*2)*VLOOKUP(""Edge banding (per M)"",SheetsData,5,0)),IF(ISERROR(FIND(""drawer box"",A122))=FALSE,IF(ISERROR(FIND(""veneer"",KitchenCarcassMaterial))=TRUE,0,(((C122+D122)/1000)*2)*VLOOKUP(""Edge banding (per M)"",SheetsData,5,0)),IF(ISERROR(FIND(""she"&amp;"lf"",A122))=FALSE,IF(ISERROR(FIND(""veneer"",KitchenCarcassMaterial))=TRUE,0,(C122/1000)*VLOOKUP(""Edge banding (per M)"",SheetsData,5,0)),IF(AND(ISERROR(FIND(""carcass"",A122))=FALSE,ISERROR(FIND(""shelf"",A122))=TRUE),IF(ISERROR(FIND(""veneer"",KitchenC"&amp;"arcassMaterial))=TRUE,0,((2*(B122+C122))/1000)*VLOOKUP(""Edge banding (per M)"",SheetsData,5,0)),IF(ISERROR(FIND(""door"",A122))=TRUE,"""",IF(ISERROR(FIND(""veneer"",KitchenDoorMaterial))=TRUE,"""",((2*(B122+C122))/1000)*VLOOKUP(""Edge banding (per M)"",S"&amp;"heetsData,5,0))))))))))"),"")</f>
        <v/>
      </c>
      <c r="G122" s="153" t="str">
        <f>IF(A122="","",IF(ISERROR(FIND("bins",A122))=FALSE,VLOOKUP("Base carcass 600",KitchensData,7,0),IF(OR(ISERROR(FIND("larder",A122))=FALSE,ISERROR(FIND("fridge/freezer",A122))=FALSE,ISERROR(FIND("double oven",A122))=FALSE,ISERROR(FIND("single oven",A122))=FALSE),VLOOKUP(LEFT(A122,FIND(" ",A122))&amp;"carcass "&amp;RIGHT(A122,LEN(A122)-(LEN(A122)-3)),KitchensData,7,0),IF(AND(ISERROR(FIND("carcass",A122))=FALSE,ISERROR(FIND("shelf",A122))=TRUE),IF(OR(ISERROR(FIND("Base",A122))=FALSE,ISERROR(FIND("Tower",A122))=FALSE),IF(OR(ISERROR(FIND("1200",A122))=FALSE, ISERROR(FIND("lost corner",A122))=FALSE),6*VLOOKUP("Plinth foot (2 Parts 80mm)",FurnitureData,5,0),4*VLOOKUP("Plinth foot (2 Parts 80mm)",FurnitureData,5,0)),""),""))))</f>
        <v/>
      </c>
      <c r="H122" s="115" t="str">
        <f>IF(OR(A122="",ISERROR(FIND("door",A122))=TRUE),"",IF(ISERROR(FIND("Wall",A122))=FALSE,VLOOKUP("Hinges &amp; plates (Hettich thick door)",FurnitureData,5,0)*2,IF(ISERROR(FIND("Base",A122))=FALSE,VLOOKUP("Hinges &amp; plates (Hettich thick door)",FurnitureData,5,0)*3,IF(ISERROR(FIND("Boiler",A122))=FALSE,VLOOKUP("Hinges &amp; plates (Hettich thick door)",FurnitureData,5,0)*4,IF(ISERROR(FIND("Tower",A122))=FALSE,VLOOKUP("Hinges &amp; plates (Hettich thick door)",FurnitureData,5,0)*5)))))</f>
        <v/>
      </c>
      <c r="I122" s="115" t="str">
        <f>IF(ISERROR(FIND("shelf",A122))=FALSE,(VLOOKUP("Shelf pegs",FurnitureData,5,0)/100)*4,"")</f>
        <v/>
      </c>
      <c r="J122" s="152" t="str">
        <f>IF(OR(ISERROR(FIND("fridge/freezer",A122))=FALSE,ISERROR(FIND("larder",A122))=FALSE,AND(ISERROR(FIND("Base",A122))=FALSE,ISERROR(FIND("bins",A122))=TRUE,ISERROR(FIND("no shelves",A122))=TRUE,OR(ISERROR(FIND("carcass",A122))=FALSE,ISERROR(FIND("unit",A122))=FALSE))),VLOOKUP("Deep shelf "&amp;C122,KitchensData,18,0),IF(AND(ISERROR(FIND("Wall",A122))=FALSE,ISERROR(FIND("carcass",A122))=FALSE),2*VLOOKUP("Shallow shelf "&amp;C122,KitchensData,18,0),IF(AND(ISERROR(FIND("Tower",A122))=FALSE,ISERROR(FIND("oven",A122))=FALSE),4*VLOOKUP("Deep shelf "&amp;C122,KitchensData,18,0),IF(AND(ISERROR(FIND("Tower",A122))=FALSE,ISERROR(FIND("carcass",A122))=FALSE),5*VLOOKUP("Deep shelf "&amp;C122,KitchensData,18,0),""))))</f>
        <v/>
      </c>
      <c r="K122" s="152" t="str">
        <f>IF(ISERROR(FIND("sink",A122))=FALSE,VLOOKUP("Sink liner - Aluminium "&amp;RIGHT(A122,LEN(A122)-22)&amp;"mm",ExceptionalData,5,0),IF(ISERROR(FIND("bins",A122))=FALSE,VLOOKUP("Drawer runners and clip set for bin unit (500) Dynapro",FurnitureData,5,0)+(2*VLOOKUP("Bin (42L Anthracite)",FurnitureData,5,0)),IF(ISERROR(FIND("larder",A122))=FALSE,VLOOKUP("Pull out larder unit 600mm",FurnitureData,5,0),IF(AND(ISERROR(FIND("drawer box",A122))=FALSE,ISERROR(FIND("internal",A122))=TRUE),VLOOKUP("Drawer runners and clip set (550) Dynapro",FurnitureData,5,0),IF(ISERROR(FIND("internal drawer box",A122))=FALSE,VLOOKUP("Drawer runners and clip set (450) Dynapro",FurnitureData,5,0),"")))))</f>
        <v/>
      </c>
      <c r="L122" s="152" t="str">
        <f t="shared" si="3"/>
        <v/>
      </c>
      <c r="M122" s="154" t="str">
        <f>IFERROR(__xludf.DUMMYFUNCTION("IF(A122="""","""",IF(OR(ISERROR(FIND(""larder"",A122))=FALSE,ISERROR(FIND(""unit"",A122))=FALSE),VLOOKUP(LEFT(A122,FIND("" "",A122))&amp;""carcass ""&amp;RIGHT(A122,LEN(A122)-len(regexextract(A122,"".* ""))),KitchensData,13,0),IF(ISERROR(FIND(""bins"",A122))=FALS"&amp;"E,0.95,IF(ISERROR(FIND(""Cutlery insert 600"",A122))=FALSE,1.3,IF(ISERROR(FIND(""Cutlery insert 1200"",A122))=FALSE,2,IF(ISERROR(FIND(""Pan/tray rack 600"",A122))=FALSE,3.25,IF(ISERROR(FIND(""Pan/tray rack 1200"",A122))=FALSE,5.9,IF(ISERROR(FIND(""split"""&amp;",A122))=FALSE,(((C122/1000)*0.022)*2)+VLOOKUP(SUBSTITUTE(A122,"" split"",""""),KitchensData,13,0),IF(AND(ISERROR(FIND(""drawer front"",A122))=FALSE,KitchenDoorStyle=""Flat""),(((B122/1000)*(C122/1000))*2)+((((B122+C122)/1000)*2)*0.022),IF(AND(ISERROR(FIND"&amp;"(""drawer front"",A122))=FALSE,LEFT(KitchenDoorStyle,5)=""Panel""),(((B122/1000)*(C122/1000))*2)+((((B122+C122)/1000)*2)*0.022)+((((C122/1000)-0.16)*0.013)*2)+((((D122/1000)-0.16)*0.013)*2),IF(AND(ISERROR(FIND(""drawer front"",A122))=FALSE,KitchenDoorStyl"&amp;"e=""In-frame flat""),((((B122-76)/1000)*((C122-38)/1000))*2)+(MID(KitchenDoorMaterial,FIND(""("",KitchenDoorMaterial)+1,2)/1000)*((((B122-76)+(C122-38))/1000)*2)+(((B122/1000)*0.032)*2)+((((B122-76)/1000)*0.032)*2)+(((B122/1000)*0.019)*4)+(((C122/1000)*0."&amp;"032)*2)+((((C122-38)/1000)*0.032)*2)+(((C122/1000)*0.038)*4),IF(AND(ISERROR(FIND(""drawer front"",A122))=FALSE,LEFT(KitchenDoorStyle,14)=""In-frame panel""),((((B122-76)/1000)*((C122-38)/1000))*2)+((MID(KitchenDoorMaterial,FIND(""("",KitchenDoorMaterial)+"&amp;"1,2)/1000)*((((B122-76)+(C122-38))/1000)*2))+((((B122-236)/1000)+((C122-198)/1000)*2)*0.013)+(((B122/1000)*0.032)*2)+((((B122-76)/1000)*0.032)*2)+(((B122/1000)*0.019)*4)+(((C122/1000)*0.032)*2)+((((C122-38)/1000)*0.032)*2)+(((C122/1000)*0.038)*4),IF(ISERR"&amp;"OR(FIND(""drawer box"",A122))=FALSE,((((B122/1000)*(D122/1000))+((B122/1000)*(C122/1000)))*4)+((((D122/1000)+(C122/1000))*0.016)*4)+(((C122/1000)*(D122/1000))*2),IF(OR(ISERROR(FIND(""shelf"",A122))=FALSE,ISERROR(FIND(""spacer"",A122))=FALSE,,ISERROR(FIND("&amp;"""filler panel"",A122))=FALSE),(((C122/1000)*(D122/1000))*2)+((((C122+D122)*2)/1000)*0.022),IF(ISERROR(FIND(""lost corner"",A122))=FALSE,(((B122/1000)*(C122/1000))*2)+((B122/1000)*(C122/1000))+((B122/1000)*((C122/2)/1000))+((((B122/1000)*0.025)+((C122/100"&amp;"0)*0.025))*2),IF(ISERROR(FIND(""carcass"",A122))=FALSE,(((C122/1000)*(D122/1000))*2)+(((B122/1000)*(D122/1000))*2)+((B122/1000)*(C122/1000))+((((B122/1000)*0.025)+((C122/1000)*0.025))*2),IF(AND(ISERROR(FIND(""door"",A122))=FALSE,KitchenDoorStyle=""Flat"")"&amp;",(((B122/1000)*(C122/1000))*2)+(MID(KitchenDoorMaterial,FIND(""("",KitchenDoorMaterial)+1,2)/1000)*(((B122+C122)/1000)*2),IF(AND(ISERROR(FIND(""door"",A122))=FALSE,LEFT(KitchenDoorStyle,5)=""Panel""),(((B122/1000)*(C122/1000))*2)+((MID(KitchenDoorMaterial"&amp;",FIND(""("",KitchenDoorMaterial)+1,2)/1000)*(((B122+C122)/1000)*2))+(((((B122-160)+(C122-160))*2)/1000)*(0.013)),IF(AND(ISERROR(FIND(""door"",A122))=FALSE,KitchenDoorStyle=""In-frame flat""),((((B122-76)/1000)*((C122-38)/1000))*2)+(MID(KitchenDoorMaterial"&amp;",FIND(""("",KitchenDoorMaterial)+1,2)/1000)*((((B122-76)+(C122-38))/1000)*2)+(((B122/1000)*0.032)*2)+((((B122-76)/1000)*0.032)*2)+(((B122/1000)*0.019)*4)+(((C122/1000)*0.032)*2)+((((C122-38)/1000)*0.032)*2)+(((C122/1000)*0.038)*4),IF(AND(ISERROR(FIND(""do"&amp;"or"",A122))=FALSE,LEFT(KitchenDoorStyle,14)=""In-frame panel""),((((B122-76)/1000)*((C122-38)/1000))*2)+((MID(KitchenDoorMaterial,FIND(""("",KitchenDoorMaterial)+1,2)/1000)*((((B122-76)+(C122-38))/1000)*2))+((((B122-236)/1000)+((C122-198)/1000)*2)*0.013)+"&amp;"(((B122/1000)*0.032)*2)+((((B122-76)/1000)*0.032)*2)+(((B122/1000)*0.019)*4)+(((C122/1000)*0.032)*2)+((((C122-38)/1000)*0.032)*2)+(((C122/1000)*0.038)*4),IF(ISERROR(FIND(""Plinth"",A122))=FALSE,((B122/1000)*(C122/1000))+(((C122/1000)*0.018)*2)+(((B122/100"&amp;"0)*0.018)*2),IF(ISERROR(FIND(""Cornice"",A122))=FALSE,(((C122/1000)*0.1)*2)+(((C122/1000)*0.044)*2)+(((B122/1000)*0.08)*2),IF(ISERROR(FIND(""Base end panel"",A122))=FALSE,((B122/1000)*(C122/1000))+(0.022*((B122/1000)+((C122/1000)*2)))+((B122/1000)*0.05),I"&amp;"F(ISERROR(FIND(""Wall end panel"",A122))=FALSE,((B122/1000)*(C122/1000))+(0.022*((B122/1000)+((C122/1000)*2)))+((B122/1000)*0.05),IF(ISERROR(FIND(""Tower end panel"",A122))=FALSE,((B122/1000)*(C122/1000))+(0.022*((B122/1000)+((C122/1000)*2)))+((B122/1000)"&amp;"*0.05),IF(ISERROR(FIND(""Fillers"",A122))=FALSE,((C122/1000)*0.06)+((C122/1000)*0.069)+((0.06*0.018)*2)+((0.06*0.009)*2)+((C122/1000)*0.009)+((C122/1000)*0.018),IF(ISERROR(FIND(""corner post"",A122))=FALSE,(((B122/1000*0.05)*2)+((B122/1000)*0.022)*2)+((B1"&amp;"22/1000)*0.072)+((B122/1000)*0.05)+((0.072*0.022)*2)+((0.05*0.022)*2),IF(ISERROR(FIND(""Pelmet"",A122))=FALSE,((C122/1000)*0.05)+((C122/1000)*0.068)+((0.05*0.018)*4)+(((C122/1000)*0.018))*2))))))))))))))))))))))))))))"),"")</f>
        <v/>
      </c>
      <c r="N122" s="152" t="str">
        <f>IF(M122="","",IF(AND(ISERROR(FIND("carcass",A122))=TRUE,ISERROR(FIND("unit",A122))=TRUE,ISERROR(FIND("insert",A122))=TRUE,ISERROR(FIND("rack",A122))=TRUE,ISERROR(FIND("box",A122))=TRUE,ISERROR(FIND("shelf",#REF!))=TRUE),VLOOKUP(KitchenDoorFinish,Finishing!$A$2:$K$10,9,0)*M122,VLOOKUP(KitchenCarcassFinish,Finishing!$A$2:$K$40,9,0)*M122))</f>
        <v/>
      </c>
      <c r="O122" s="155"/>
      <c r="P122" s="155"/>
      <c r="Q122" s="152" t="str">
        <f>IF(OR(O122="",P122=""),"",((O122*X122)*(VLOOKUP("Workshop",Labour!$A$3:$E$20,4,0)/8))+((P122*AE122)*(VLOOKUP("Finishing",Labour!$A$3:$E$20,4,0)/8)))</f>
        <v/>
      </c>
      <c r="R122" s="152" t="str">
        <f t="shared" si="4"/>
        <v/>
      </c>
      <c r="S122" s="156" t="str">
        <f>IF(OR(O122="",P122=""),"",IF(OR(ISERROR(FIND("carcass",$A122))=FALSE,ISERROR(FIND("unit",$A122))=FALSE),VLOOKUP(KitchenCarcassMaterial,FixedListsCarcassMaterial,2,0),0))</f>
        <v/>
      </c>
      <c r="T122" s="156" t="str">
        <f>IF(OR(O122="",P122=""),"",IF(ISERROR(FIND("door",$A122))=FALSE,VLOOKUP(KitchenDoorStyle,FixedListsDoorStyle,2,0),0))</f>
        <v/>
      </c>
      <c r="U122" s="156" t="str">
        <f>IF(OR(O122="",P122=""),"",IF(ISERROR(FIND("door",$A122))=FALSE,VLOOKUP(KitchenDoorMaterial,FixedListsDoorMaterial,2,0),0))</f>
        <v/>
      </c>
      <c r="V122" s="156" t="str">
        <f>IF(OR(O122="",P122=""),"",IF(ISERROR(FIND("drawer",$A122))=FALSE,VLOOKUP(KitchenDrawerType,FixedListsDrawerType,2,0),0))</f>
        <v/>
      </c>
      <c r="W122" s="156" t="str">
        <f>IF(OR(O122="",P122=""),"",IF(OR(S122&gt;0, T122&gt;0,V122&gt;0),VLOOKUP(KitchenHandleType,FixedListsHandleType,2,FALSE)*IF(KitchenHandleType="Simple",0,IF(S122&gt;0,VLOOKUP(KitchenHandleType,FixedListsHandleType,4,FALSE),IF(OR(T122&gt;0,V122&gt;0),1-VLOOKUP(KitchenHandleType,FixedListsHandleType,4,FALSE),"Error"))),0))</f>
        <v/>
      </c>
      <c r="X122" s="156" t="str">
        <f t="shared" si="5"/>
        <v/>
      </c>
      <c r="Y122" s="156" t="str">
        <f>IF(OR(O122="",P122=""),"",IF(OR(ISERROR(FIND("carcass",$A122))=FALSE,ISERROR(FIND("unit",$A122))=FALSE),VLOOKUP(KitchenCarcassMaterial,FixedListsCarcassMaterial,3,0),0))</f>
        <v/>
      </c>
      <c r="Z122" s="156" t="str">
        <f>IF(OR(O122="",P122=""),"",IF(ISERROR(FIND("door",$A122))=FALSE,VLOOKUP(KitchenDoorStyle,FixedListsDoorStyle,3,0),0))</f>
        <v/>
      </c>
      <c r="AA122" s="156" t="str">
        <f>IF(OR(O122="",P122=""),"",IF(ISERROR(FIND("door",$A122))=FALSE,VLOOKUP(KitchenDoorMaterial,FixedListsDoorMaterial,3,0),0))</f>
        <v/>
      </c>
      <c r="AB122" s="156" t="str">
        <f>IF(OR(O122="",P122=""),"",IF(ISERROR(FIND("drawer",$A122))=FALSE,VLOOKUP(KitchenDrawerType,FixedListsDrawerType,3,0),0))</f>
        <v/>
      </c>
      <c r="AC122" s="156" t="str">
        <f>IF(OR(O122="",P122=""),"",IF(OR(Y122&gt;0,Z122&gt;0,AB122&gt;0),VLOOKUP(KitchenHandleType,FixedListsHandleType,3,FALSE),0))</f>
        <v/>
      </c>
      <c r="AD122" s="156" t="str">
        <f>IF(OR(O122="",P122=""),"",IF(OR(ISERROR(FIND("carcass",$A122))=FALSE,ISERROR(FIND("unit",$A122))=FALSE),VLOOKUP(KitchenCarcassFinish,FixedListsFinishes,3,0),IF(OR(ISERROR(FIND("door",$A122))=FALSE,ISERROR(FIND("Plinth",$A122))=FALSE,ISERROR(FIND("Cornice",$A122))=FALSE,ISERROR(FIND("Fillers",$A122))=FALSE,ISERROR(FIND("Pelmet",$A122))=FALSE,ISERROR(FIND("panel",$A122))=FALSE,ISERROR(FIND("post",$A122))=FALSE),VLOOKUP(KitchenDoorFinish,FixedListsFinishes,3,0),IF(OR(ISERROR(FIND("drawer",$A122))=FALSE,ISERROR(FIND("insert",$A122))=FALSE,ISERROR(FIND("rck",$A122))=FALSE),VLOOKUP(KitchenCarcassFinish,FixedListsFinishes,3,0),0))))</f>
        <v/>
      </c>
      <c r="AE122" s="156" t="str">
        <f t="shared" si="6"/>
        <v/>
      </c>
      <c r="AF122" s="157" t="str">
        <f>IF(AND(KitchenHandleType="Channel",OR(ISERROR(FIND("arcass",$A122))=FALSE,ISERROR(FIND("unit",$A122))=FALSE)),IF(ISERROR(FIND("Tower",$A122))=TRUE,IF(KitchenHandleFinish="Match carcass",IF(ISERROR(FIND("Walnut",KitchenCarcassMaterial))=FALSE,(0.035*0.075*($C122/1000))*VLOOKUP("Walnut (solid m3)",SolidData,4,FALSE),IF(ISERROR(FIND("Oak",KitchenCarcassMaterial))=FALSE,(0.035*0.075*($C122/1000))*VLOOKUP("Oak (solid m3)",SolidData,4,FALSE),IF(ISERROR(FIND("ply",KitchenCarcassMaterial))=FALSE,(0.1*($C122/1000))*VLOOKUP("Birch ply (24mm)",SheetsData,7,FALSE),IF(ISERROR(FIND("H/F",KitchenCarcassMaterial))=FALSE,(0.1*($C122/1000))*VLOOKUP("H/F (22mm)",SheetsData,7,FALSE),"Carcass - not tower - new material")))),IF(KitchenHandleFinish="Match door",IF(ISERROR(FIND("Walnut",KitchenDoorMaterial))=FALSE,(0.035*0.075*($C122/1000))*VLOOKUP("Walnut (solid m3)",SolidData,4,FALSE),IF(ISERROR(FIND("Oak",KitchenDoorMaterial))=FALSE,(0.035*0.075*($C122/1000))*VLOOKUP("Oak (solid m3)",SolidData,4,FALSE),IF(ISERROR(FIND("ply",KitchenDoorMaterial))=FALSE,(0.1*($C122/1000))*VLOOKUP("Birch ply (24mm)",SheetsData,7,FALSE),IF(ISERROR(FIND("H/F",KitchenCarcassMaterial))=FALSE,(0.1*($C122/1000))*VLOOKUP("H/F (22mm)",SheetsData,7,FALSE),"Door - not tower - new material")))),"Channel - not tower - handle set to other")),IF(ISERROR(FIND("Tower",$A122))=FALSE,IF(KitchenHandleFinish="Match carcass",IF(ISERROR(FIND("Walnut",KitchenCarcassMaterial))=FALSE,(0.035*0.075*($B122/1000))*VLOOKUP("Walnut (solid m3)",SolidData,4,FALSE),IF(ISERROR(FIND("Oak",KitchenCarcassMaterial))=FALSE,(0.035*0.075*($B122/1000))*VLOOKUP("Oak (solid m3)",SolidData,4,FALSE),IF(ISERROR(FIND("ply",KitchenCarcassMaterial))=FALSE,(0.1*($B122/1000))*VLOOKUP("Birch ply (24mm)",SheetsData,7,FALSE),IF(ISERROR(FIND("H/F",KitchenCarcassMaterial))=FALSE,(0.1*($C122/1000))*VLOOKUP("H/F (22mm)",SheetsData,7,FALSE),"Carcass - tower - new material")))),IF(KitchenHandleFinish="Match door",IF(ISERROR(FIND("Walnut",KitchenDoorMaterial))=FALSE,(0.035*0.075*($B122/1000))*VLOOKUP("Walnut (solid m3)",SolidData,4,FALSE),IF(ISERROR(FIND("Oak",KitchenDoorMaterial))=FALSE,(0.035*0.075*($B122/1000))*VLOOKUP("Oak (solid m3)",SolidData,4,FALSE),IF(ISERROR(FIND("ply",KitchenDoorMaterial))=FALSE,(0.1*($B122/1000))*VLOOKUP("Birch ply (24mm)",SheetData,7,FALSE),IF(ISERROR(FIND("H/F",KitchenCarcassMaterial))=FALSE,(0.1*($C122/1000))*VLOOKUP("H/F (22mm)",SheetsData,7,FALSE),"Door - tower - new material")))),"Channel - tower - handle set to other")))),"")</f>
        <v/>
      </c>
    </row>
    <row r="123">
      <c r="A123" s="150"/>
      <c r="B123" s="115" t="str">
        <f t="shared" si="1"/>
        <v/>
      </c>
      <c r="C123" s="115" t="str">
        <f>IFERROR(__xludf.DUMMYFUNCTION("IF(A123="""","""",IF(OR(RIGHT(A123,LEN(A123)-len(regexextract(A123,"".* "")))=""1200"",RIGHT(A123,LEN(A123)-len(regexextract(A123,"".* "")))=""600"",RIGHT(A123,LEN(A123)-len(regexextract(A123,"".* "")))=""400"",RIGHT(A123,LEN(A123)-len(regexextract(A123,"&amp;""".* "")))=""300"",RIGHT(A123,LEN(A123)-len(regexextract(A123,"".* "")))=""700"",RIGHT(A123,LEN(A123)-len(regexextract(A123,"".* "")))=""2400"",RIGHT(A123,LEN(A123)-len(regexextract(A123,"".* "")))=""650"",RIGHT(A123,LEN(A123)-len(regexextract(A123,"".* "&amp;""")))=""350"",RIGHT(A123,LEN(A123)-len(regexextract(A123,"".* "")))=""50""),RIGHT(A123,LEN(A123)-len(regexextract(A123,"".* ""))),IF(OR(ISERROR(FIND(""spacer"",A123))=FALSE,ISERROR(FIND(""filler panel"",A123))=FALSE),""1000"",""Unexpected size in descript"&amp;"ion"")))"),"")</f>
        <v/>
      </c>
      <c r="D123" s="151" t="str">
        <f t="shared" si="2"/>
        <v/>
      </c>
      <c r="E123" s="152" t="str">
        <f>IFERROR(__xludf.DUMMYFUNCTION("IF(OR(A123="""",AND(ISERROR(FIND(""drawer box"",A123))=FALSE,KitchenDrawerType="""")),"""",IF(OR(ISERROR(FIND(""larder"",A123))=FALSE,ISERROR(FIND(""fridge/freezer"",A123))=FALSE,ISERROR(FIND(""double oven"",A123))=FALSE,ISERROR(FIND(""single oven"",A123)"&amp;")=FALSE),VLOOKUP(LEFT(A123,FIND("" "",A123))&amp;""carcass ""&amp;RIGHT(A123,LEN(A123)-(LEN(A123)-3)),KitchensData,5,0),IF(ISERROR(FIND(""sink"",A123))=FALSE,VLOOKUP(LEFT(A123,FIND("" "",A123))&amp;""carcass ""&amp;VALUE(REGEXREPLACE(A123,""[^[:digit:]]"", """")),Kitchen"&amp;"sData,5,0)+(((C123/1000)*(300/1000))*VLOOKUP(KitchenCarcassMaterial,SheetsData,8,0)),IF(ISERROR(FIND(""bins"",A123))=FALSE,IF(ISERROR(FIND(""veneer"",KitchenCarcassMaterial))=FALSE,VLOOKUP(""Base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600"",A123))=FALSE,IF(ISERR"&amp;"OR(FIND(""veneer"",KitchenCarcassMaterial))=FALSE,0.54*(VLOOKUP(LEFT(KitchenCarcassMaterial,FIND(""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1"&amp;"200"",A123))=FALSE,IF(ISERROR(FIND(""veneer"",KitchenCarcassMaterial))=FALSE,0.84*(VLOOKUP(LEFT(KitchenCarcassMaterial,FIND(""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600"",A123))=FALSE,IF(ISERROR(FIND(""veneer"",KitchenCarcassMaterial))=FALSE,1.44*(VLOOKUP(LEFT(KitchenCarcassMaterial,FIND(""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1200"",A123))=FALSE,IF(ISERROR(FIND(""veneer"",KitchenCarcassMaterial))=FALSE,2.7*(VLOOKUP(LEFT(KitchenCarcassMaterial,FIND(""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front"",A123))=FALSE,((B123/1000)*(C123/1000))*VLOOKUP(KitchenDoorMaterial,SheetsData,8,0),IF(AND(KitchenDrawerType=""Match carcass"",ISERROR(FIND(""drawer box"",A123))=FALSE),(((((B123/10"&amp;"00)*(C123/1000))+((B123/1000)*(D123/1000)))*2)*VLOOKUP(KitchenCarcassMaterial,SheetsData,8,0))+(((C123/1000)*(D123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box"",A123))=FALSE),(((((B123/1000)*(C123/1000))+((B123/1000)*(D123/1000)))*2)*(16/1000)*VLOOKUP(L"&amp;"EFT(KitchenCarcassMaterial,FIND("" "",KitchenCarcassMaterial))&amp;""(solid m3)"",SolidData,5,0))+(((C123/1000)*(D123/1000))*VLOOKUP(LEFT(KitchenCarcassMaterial,FIND(""("",KitchenCarcassMaterial)-1)&amp;IF(OR(ISERROR(FIND(""ply"",KitchenCarcassMaterial))=FALSE,IS"&amp;"ERROR(FIND(""H/F"",KitchenCarcassMaterial))=FALSE),""(9mm)"",""(10mm)""),SheetsData,8,0)),IF(ISERROR(FIND(""spacer"",A123))=FALSE,((D123/1000)*(C123/1000))*VLOOKUP(""Poplar ply (18mm)"",SheetsData,8,0),IF(ISERROR(FIND(""filler panel"",A123))=FALSE,((B123/"&amp;"1000)*(C123/1000))*VLOOKUP(KitchenDoorMaterial,SheetsData,8,0),IF(ISERROR(FIND(""shelf"",A123))=FALSE,((D123/1000)*(C123/1000))*VLOOKUP(KitchenCarcassMaterial,SheetsData,8,0),IF(ISERROR(FIND(""lost corner"",A123))=FALSE,VLOOKUP(LEFT(A123,FIND("" "",A123))"&amp;"&amp;""carcass ""&amp;VALUE(REGEXREPLACE(A123,""[^[:digit:]]"", """")),KitchensData,5,0)+((((B123/1000)*(C123/1000))+((B123/1000)*(60/1000)))*VLOOKUP(KitchenCarcassMaterial,SheetsData,8,0)),IF(ISERROR(FIND(""carcass"",A123))=FALSE,(((((B123/1000)*2)*(D123/1000))+"&amp;"(((C123/1000)*2)*(D123/1000)))*VLOOKUP(KitchenCarcassMaterial,SheetsData,8,0))+((B123/1000)*(C123/1000))*VLOOKUP(LEFT(KitchenCarcassMaterial,FIND(""("",KitchenCarcassMaterial)-1)&amp;IF(OR(ISERROR(FIND(""ply"",KitchenCarcassMaterial))=FALSE,ISERROR(FIND(""H/F"&amp;""",KitchenCarcassMaterial))=FALSE),""(9mm)"",""(10mm)""),SheetsData,8,0),IF(OR(ISERROR(FIND(""Plinth"",A123))=FALSE,ISERROR(FIND(""Cornice (flat)"",A123))=FALSE),((B123/1000)*(C123/1000))*VLOOKUP(""H/F (18mm)"",SheetsData,8,0),IF(ISERROR(FIND(""Cornice (s"&amp;"tacked)"",A123))=FALSE,((0.08*(C123/1000))*2)*VLOOKUP(""H/F (22mm)"",SheetsData,8,0),IF(ISERROR(FIND(""Base end panel"",A123))=FALSE,VLOOKUP(KitchenDoorMaterial,SheetsData,5,0)/3,IF(ISERROR(FIND(""Wall end panel"",A123))=FALSE,VLOOKUP(KitchenDoorMaterial,"&amp;"SheetsData,5,0)/9,IF(ISERROR(FIND(""Tower end panel"",A123))=FALSE,VLOOKUP(KitchenDoorMaterial,SheetsData,5,0),IF(ISERROR(FIND(""Fillers"",A123))=FALSE,(((0.06*(C123/1000))*2)*VLOOKUP(""H/F (18mm)"",SheetsData,8,0))+(((0.06*(C123/1000))*2)*VLOOKUP(""H/F ("&amp;"9mm)"",SheetsData,8,0)),IF(ISERROR(FIND(""corner post"",A123))=FALSE,(((B123/1000)*0.05)*2)*VLOOKUP(KitchenDoorMaterial,SheetsData,8,0),IF(ISERROR(FIND(""Pelmet"",A123))=FALSE,((((B123/1000)*(C123/1000))*2)*VLOOKUP(""H/F (18mm)"",SheetsData,8,0)),IF(ISERR"&amp;"OR(FIND(""door"",A123))=TRUE,""Check description"",IF(KitchenDoorStyle=""Flat"",((B123/1000)*(C123/1000))*VLOOKUP(KitchenDoorMaterial,SheetsData,8,0),IF(LEFT(KitchenDoorStyle,5)=""Panel"",(((((B123/1000)*2)*0.08)+((((C123/1000)-0.16)*2)*0.08))*VLOOKUP(""H"&amp;"/F (22mm)"",SheetsData,8,0))+(((B123/1000)-0.14)*((C123/1000)-0.14)*VLOOKUP(""H/F (9mm)"",SheetsData,8,0)),IF(KitchenDoorStyle=""In-frame flat"",((((((B123/1000)*0.019)*0.038)+((((C123-38)/1000)*0.038)*0.038))*2)*VLOOKUP(""Tulip (solid m3)"",SolidData,5,0"&amp;"))+(((B123-76)/1000)*((C123-38)/1000))*VLOOKUP(""H/F (22mm)"",SheetsData,8,0),IF(LEFT(KitchenDoorStyle,14)=""In-frame panel"",(((((((B123/1000)*0.019)*0.038)+((((C123-38)/1000)*0.038)*0.038))*2)*VLOOKUP(""Tulip (solid m3)"",SolidData,5,0))+(((((((B123-76)"&amp;"/1000)*2)*0.08)+(((((C123-198)/1000)*2)*0.08)))*VLOOKUP(""H/F (22mm)"",SheetsData,8,0))+(((B123-216)/1000)*((C123-178)/1000)*VLOOKUP(""H/F (9mm)"",SheetsData,8,0)))))))))))))))))))))))))))))))))"),"")</f>
        <v/>
      </c>
      <c r="F123" s="152" t="str">
        <f>IFERROR(__xludf.DUMMYFUNCTION("IF(OR(A123="""",AND(ISERROR(FIND(""drawer box"",A123))=FALSE,KitchenDrawerType=""Solid dovetail"")),"""",IF(ISERROR(FIND(""bins"",A123))=FALSE,VLOOKUP(""Base carcass 600"",KitchensData,6,0),IF(OR(ISERROR(FIND(""larder"",A123))=FALSE,ISERROR(FIND(""unit"","&amp;"A123))=FALSE),VLOOKUP(LEFT(A123,FIND("" "",A123))&amp;""carcass ""&amp;RIGHT(A123,LEN(A123)-len(regexextract(A123,"".* ""))),KitchensData,6,0),IF(ISERROR(FIND(""drawer front"",A123))=FALSE,IF(ISERROR(FIND(""veneer"",KitchenCarcassMaterial))=TRUE,0,(((B123+C123)/1"&amp;"000)*2)*VLOOKUP(""Edge banding (per M)"",SheetsData,5,0)),IF(ISERROR(FIND(""drawer box"",A123))=FALSE,IF(ISERROR(FIND(""veneer"",KitchenCarcassMaterial))=TRUE,0,(((C123+D123)/1000)*2)*VLOOKUP(""Edge banding (per M)"",SheetsData,5,0)),IF(ISERROR(FIND(""she"&amp;"lf"",A123))=FALSE,IF(ISERROR(FIND(""veneer"",KitchenCarcassMaterial))=TRUE,0,(C123/1000)*VLOOKUP(""Edge banding (per M)"",SheetsData,5,0)),IF(AND(ISERROR(FIND(""carcass"",A123))=FALSE,ISERROR(FIND(""shelf"",A123))=TRUE),IF(ISERROR(FIND(""veneer"",KitchenC"&amp;"arcassMaterial))=TRUE,0,((2*(B123+C123))/1000)*VLOOKUP(""Edge banding (per M)"",SheetsData,5,0)),IF(ISERROR(FIND(""door"",A123))=TRUE,"""",IF(ISERROR(FIND(""veneer"",KitchenDoorMaterial))=TRUE,"""",((2*(B123+C123))/1000)*VLOOKUP(""Edge banding (per M)"",S"&amp;"heetsData,5,0))))))))))"),"")</f>
        <v/>
      </c>
      <c r="G123" s="153" t="str">
        <f>IF(A123="","",IF(ISERROR(FIND("bins",A123))=FALSE,VLOOKUP("Base carcass 600",KitchensData,7,0),IF(OR(ISERROR(FIND("larder",A123))=FALSE,ISERROR(FIND("fridge/freezer",A123))=FALSE,ISERROR(FIND("double oven",A123))=FALSE,ISERROR(FIND("single oven",A123))=FALSE),VLOOKUP(LEFT(A123,FIND(" ",A123))&amp;"carcass "&amp;RIGHT(A123,LEN(A123)-(LEN(A123)-3)),KitchensData,7,0),IF(AND(ISERROR(FIND("carcass",A123))=FALSE,ISERROR(FIND("shelf",A123))=TRUE),IF(OR(ISERROR(FIND("Base",A123))=FALSE,ISERROR(FIND("Tower",A123))=FALSE),IF(OR(ISERROR(FIND("1200",A123))=FALSE, ISERROR(FIND("lost corner",A123))=FALSE),6*VLOOKUP("Plinth foot (2 Parts 80mm)",FurnitureData,5,0),4*VLOOKUP("Plinth foot (2 Parts 80mm)",FurnitureData,5,0)),""),""))))</f>
        <v/>
      </c>
      <c r="H123" s="115" t="str">
        <f>IF(OR(A123="",ISERROR(FIND("door",A123))=TRUE),"",IF(ISERROR(FIND("Wall",A123))=FALSE,VLOOKUP("Hinges &amp; plates (Hettich thick door)",FurnitureData,5,0)*2,IF(ISERROR(FIND("Base",A123))=FALSE,VLOOKUP("Hinges &amp; plates (Hettich thick door)",FurnitureData,5,0)*3,IF(ISERROR(FIND("Boiler",A123))=FALSE,VLOOKUP("Hinges &amp; plates (Hettich thick door)",FurnitureData,5,0)*4,IF(ISERROR(FIND("Tower",A123))=FALSE,VLOOKUP("Hinges &amp; plates (Hettich thick door)",FurnitureData,5,0)*5)))))</f>
        <v/>
      </c>
      <c r="I123" s="115" t="str">
        <f>IF(ISERROR(FIND("shelf",A123))=FALSE,(VLOOKUP("Shelf pegs",FurnitureData,5,0)/100)*4,"")</f>
        <v/>
      </c>
      <c r="J123" s="152" t="str">
        <f>IF(OR(ISERROR(FIND("fridge/freezer",A123))=FALSE,ISERROR(FIND("larder",A123))=FALSE,AND(ISERROR(FIND("Base",A123))=FALSE,ISERROR(FIND("bins",A123))=TRUE,ISERROR(FIND("no shelves",A123))=TRUE,OR(ISERROR(FIND("carcass",A123))=FALSE,ISERROR(FIND("unit",A123))=FALSE))),VLOOKUP("Deep shelf "&amp;C123,KitchensData,18,0),IF(AND(ISERROR(FIND("Wall",A123))=FALSE,ISERROR(FIND("carcass",A123))=FALSE),2*VLOOKUP("Shallow shelf "&amp;C123,KitchensData,18,0),IF(AND(ISERROR(FIND("Tower",A123))=FALSE,ISERROR(FIND("oven",A123))=FALSE),4*VLOOKUP("Deep shelf "&amp;C123,KitchensData,18,0),IF(AND(ISERROR(FIND("Tower",A123))=FALSE,ISERROR(FIND("carcass",A123))=FALSE),5*VLOOKUP("Deep shelf "&amp;C123,KitchensData,18,0),""))))</f>
        <v/>
      </c>
      <c r="K123" s="152" t="str">
        <f>IF(ISERROR(FIND("sink",A123))=FALSE,VLOOKUP("Sink liner - Aluminium "&amp;RIGHT(A123,LEN(A123)-22)&amp;"mm",ExceptionalData,5,0),IF(ISERROR(FIND("bins",A123))=FALSE,VLOOKUP("Drawer runners and clip set for bin unit (500) Dynapro",FurnitureData,5,0)+(2*VLOOKUP("Bin (42L Anthracite)",FurnitureData,5,0)),IF(ISERROR(FIND("larder",A123))=FALSE,VLOOKUP("Pull out larder unit 600mm",FurnitureData,5,0),IF(AND(ISERROR(FIND("drawer box",A123))=FALSE,ISERROR(FIND("internal",A123))=TRUE),VLOOKUP("Drawer runners and clip set (550) Dynapro",FurnitureData,5,0),IF(ISERROR(FIND("internal drawer box",A123))=FALSE,VLOOKUP("Drawer runners and clip set (450) Dynapro",FurnitureData,5,0),"")))))</f>
        <v/>
      </c>
      <c r="L123" s="152" t="str">
        <f t="shared" si="3"/>
        <v/>
      </c>
      <c r="M123" s="154" t="str">
        <f>IFERROR(__xludf.DUMMYFUNCTION("IF(A123="""","""",IF(OR(ISERROR(FIND(""larder"",A123))=FALSE,ISERROR(FIND(""unit"",A123))=FALSE),VLOOKUP(LEFT(A123,FIND("" "",A123))&amp;""carcass ""&amp;RIGHT(A123,LEN(A123)-len(regexextract(A123,"".* ""))),KitchensData,13,0),IF(ISERROR(FIND(""bins"",A123))=FALS"&amp;"E,0.95,IF(ISERROR(FIND(""Cutlery insert 600"",A123))=FALSE,1.3,IF(ISERROR(FIND(""Cutlery insert 1200"",A123))=FALSE,2,IF(ISERROR(FIND(""Pan/tray rack 600"",A123))=FALSE,3.25,IF(ISERROR(FIND(""Pan/tray rack 1200"",A123))=FALSE,5.9,IF(ISERROR(FIND(""split"""&amp;",A123))=FALSE,(((C123/1000)*0.022)*2)+VLOOKUP(SUBSTITUTE(A123,"" split"",""""),KitchensData,13,0),IF(AND(ISERROR(FIND(""drawer front"",A123))=FALSE,KitchenDoorStyle=""Flat""),(((B123/1000)*(C123/1000))*2)+((((B123+C123)/1000)*2)*0.022),IF(AND(ISERROR(FIND"&amp;"(""drawer front"",A123))=FALSE,LEFT(KitchenDoorStyle,5)=""Panel""),(((B123/1000)*(C123/1000))*2)+((((B123+C123)/1000)*2)*0.022)+((((C123/1000)-0.16)*0.013)*2)+((((D123/1000)-0.16)*0.013)*2),IF(AND(ISERROR(FIND(""drawer front"",A123))=FALSE,KitchenDoorStyl"&amp;"e=""In-frame flat""),((((B123-76)/1000)*((C123-38)/1000))*2)+(MID(KitchenDoorMaterial,FIND(""("",KitchenDoorMaterial)+1,2)/1000)*((((B123-76)+(C123-38))/1000)*2)+(((B123/1000)*0.032)*2)+((((B123-76)/1000)*0.032)*2)+(((B123/1000)*0.019)*4)+(((C123/1000)*0."&amp;"032)*2)+((((C123-38)/1000)*0.032)*2)+(((C123/1000)*0.038)*4),IF(AND(ISERROR(FIND(""drawer front"",A123))=FALSE,LEFT(KitchenDoorStyle,14)=""In-frame panel""),((((B123-76)/1000)*((C123-38)/1000))*2)+((MID(KitchenDoorMaterial,FIND(""("",KitchenDoorMaterial)+"&amp;"1,2)/1000)*((((B123-76)+(C123-38))/1000)*2))+((((B123-236)/1000)+((C123-198)/1000)*2)*0.013)+(((B123/1000)*0.032)*2)+((((B123-76)/1000)*0.032)*2)+(((B123/1000)*0.019)*4)+(((C123/1000)*0.032)*2)+((((C123-38)/1000)*0.032)*2)+(((C123/1000)*0.038)*4),IF(ISERR"&amp;"OR(FIND(""drawer box"",A123))=FALSE,((((B123/1000)*(D123/1000))+((B123/1000)*(C123/1000)))*4)+((((D123/1000)+(C123/1000))*0.016)*4)+(((C123/1000)*(D123/1000))*2),IF(OR(ISERROR(FIND(""shelf"",A123))=FALSE,ISERROR(FIND(""spacer"",A123))=FALSE,,ISERROR(FIND("&amp;"""filler panel"",A123))=FALSE),(((C123/1000)*(D123/1000))*2)+((((C123+D123)*2)/1000)*0.022),IF(ISERROR(FIND(""lost corner"",A123))=FALSE,(((B123/1000)*(C123/1000))*2)+((B123/1000)*(C123/1000))+((B123/1000)*((C123/2)/1000))+((((B123/1000)*0.025)+((C123/100"&amp;"0)*0.025))*2),IF(ISERROR(FIND(""carcass"",A123))=FALSE,(((C123/1000)*(D123/1000))*2)+(((B123/1000)*(D123/1000))*2)+((B123/1000)*(C123/1000))+((((B123/1000)*0.025)+((C123/1000)*0.025))*2),IF(AND(ISERROR(FIND(""door"",A123))=FALSE,KitchenDoorStyle=""Flat"")"&amp;",(((B123/1000)*(C123/1000))*2)+(MID(KitchenDoorMaterial,FIND(""("",KitchenDoorMaterial)+1,2)/1000)*(((B123+C123)/1000)*2),IF(AND(ISERROR(FIND(""door"",A123))=FALSE,LEFT(KitchenDoorStyle,5)=""Panel""),(((B123/1000)*(C123/1000))*2)+((MID(KitchenDoorMaterial"&amp;",FIND(""("",KitchenDoorMaterial)+1,2)/1000)*(((B123+C123)/1000)*2))+(((((B123-160)+(C123-160))*2)/1000)*(0.013)),IF(AND(ISERROR(FIND(""door"",A123))=FALSE,KitchenDoorStyle=""In-frame flat""),((((B123-76)/1000)*((C123-38)/1000))*2)+(MID(KitchenDoorMaterial"&amp;",FIND(""("",KitchenDoorMaterial)+1,2)/1000)*((((B123-76)+(C123-38))/1000)*2)+(((B123/1000)*0.032)*2)+((((B123-76)/1000)*0.032)*2)+(((B123/1000)*0.019)*4)+(((C123/1000)*0.032)*2)+((((C123-38)/1000)*0.032)*2)+(((C123/1000)*0.038)*4),IF(AND(ISERROR(FIND(""do"&amp;"or"",A123))=FALSE,LEFT(KitchenDoorStyle,14)=""In-frame panel""),((((B123-76)/1000)*((C123-38)/1000))*2)+((MID(KitchenDoorMaterial,FIND(""("",KitchenDoorMaterial)+1,2)/1000)*((((B123-76)+(C123-38))/1000)*2))+((((B123-236)/1000)+((C123-198)/1000)*2)*0.013)+"&amp;"(((B123/1000)*0.032)*2)+((((B123-76)/1000)*0.032)*2)+(((B123/1000)*0.019)*4)+(((C123/1000)*0.032)*2)+((((C123-38)/1000)*0.032)*2)+(((C123/1000)*0.038)*4),IF(ISERROR(FIND(""Plinth"",A123))=FALSE,((B123/1000)*(C123/1000))+(((C123/1000)*0.018)*2)+(((B123/100"&amp;"0)*0.018)*2),IF(ISERROR(FIND(""Cornice"",A123))=FALSE,(((C123/1000)*0.1)*2)+(((C123/1000)*0.044)*2)+(((B123/1000)*0.08)*2),IF(ISERROR(FIND(""Base end panel"",A123))=FALSE,((B123/1000)*(C123/1000))+(0.022*((B123/1000)+((C123/1000)*2)))+((B123/1000)*0.05),I"&amp;"F(ISERROR(FIND(""Wall end panel"",A123))=FALSE,((B123/1000)*(C123/1000))+(0.022*((B123/1000)+((C123/1000)*2)))+((B123/1000)*0.05),IF(ISERROR(FIND(""Tower end panel"",A123))=FALSE,((B123/1000)*(C123/1000))+(0.022*((B123/1000)+((C123/1000)*2)))+((B123/1000)"&amp;"*0.05),IF(ISERROR(FIND(""Fillers"",A123))=FALSE,((C123/1000)*0.06)+((C123/1000)*0.069)+((0.06*0.018)*2)+((0.06*0.009)*2)+((C123/1000)*0.009)+((C123/1000)*0.018),IF(ISERROR(FIND(""corner post"",A123))=FALSE,(((B123/1000*0.05)*2)+((B123/1000)*0.022)*2)+((B1"&amp;"23/1000)*0.072)+((B123/1000)*0.05)+((0.072*0.022)*2)+((0.05*0.022)*2),IF(ISERROR(FIND(""Pelmet"",A123))=FALSE,((C123/1000)*0.05)+((C123/1000)*0.068)+((0.05*0.018)*4)+(((C123/1000)*0.018))*2))))))))))))))))))))))))))))"),"")</f>
        <v/>
      </c>
      <c r="N123" s="152" t="str">
        <f>IF(M123="","",IF(AND(ISERROR(FIND("carcass",A123))=TRUE,ISERROR(FIND("unit",A123))=TRUE,ISERROR(FIND("insert",A123))=TRUE,ISERROR(FIND("rack",A123))=TRUE,ISERROR(FIND("box",A123))=TRUE,ISERROR(FIND("shelf",#REF!))=TRUE),VLOOKUP(KitchenDoorFinish,Finishing!$A$2:$K$10,9,0)*M123,VLOOKUP(KitchenCarcassFinish,Finishing!$A$2:$K$40,9,0)*M123))</f>
        <v/>
      </c>
      <c r="O123" s="155"/>
      <c r="P123" s="155"/>
      <c r="Q123" s="152" t="str">
        <f>IF(OR(O123="",P123=""),"",((O123*X123)*(VLOOKUP("Workshop",Labour!$A$3:$E$20,4,0)/8))+((P123*AE123)*(VLOOKUP("Finishing",Labour!$A$3:$E$20,4,0)/8)))</f>
        <v/>
      </c>
      <c r="R123" s="152" t="str">
        <f t="shared" si="4"/>
        <v/>
      </c>
      <c r="S123" s="156" t="str">
        <f>IF(OR(O123="",P123=""),"",IF(OR(ISERROR(FIND("carcass",$A123))=FALSE,ISERROR(FIND("unit",$A123))=FALSE),VLOOKUP(KitchenCarcassMaterial,FixedListsCarcassMaterial,2,0),0))</f>
        <v/>
      </c>
      <c r="T123" s="156" t="str">
        <f>IF(OR(O123="",P123=""),"",IF(ISERROR(FIND("door",$A123))=FALSE,VLOOKUP(KitchenDoorStyle,FixedListsDoorStyle,2,0),0))</f>
        <v/>
      </c>
      <c r="U123" s="156" t="str">
        <f>IF(OR(O123="",P123=""),"",IF(ISERROR(FIND("door",$A123))=FALSE,VLOOKUP(KitchenDoorMaterial,FixedListsDoorMaterial,2,0),0))</f>
        <v/>
      </c>
      <c r="V123" s="156" t="str">
        <f>IF(OR(O123="",P123=""),"",IF(ISERROR(FIND("drawer",$A123))=FALSE,VLOOKUP(KitchenDrawerType,FixedListsDrawerType,2,0),0))</f>
        <v/>
      </c>
      <c r="W123" s="156" t="str">
        <f>IF(OR(O123="",P123=""),"",IF(OR(S123&gt;0, T123&gt;0,V123&gt;0),VLOOKUP(KitchenHandleType,FixedListsHandleType,2,FALSE)*IF(KitchenHandleType="Simple",0,IF(S123&gt;0,VLOOKUP(KitchenHandleType,FixedListsHandleType,4,FALSE),IF(OR(T123&gt;0,V123&gt;0),1-VLOOKUP(KitchenHandleType,FixedListsHandleType,4,FALSE),"Error"))),0))</f>
        <v/>
      </c>
      <c r="X123" s="156" t="str">
        <f t="shared" si="5"/>
        <v/>
      </c>
      <c r="Y123" s="156" t="str">
        <f>IF(OR(O123="",P123=""),"",IF(OR(ISERROR(FIND("carcass",$A123))=FALSE,ISERROR(FIND("unit",$A123))=FALSE),VLOOKUP(KitchenCarcassMaterial,FixedListsCarcassMaterial,3,0),0))</f>
        <v/>
      </c>
      <c r="Z123" s="156" t="str">
        <f>IF(OR(O123="",P123=""),"",IF(ISERROR(FIND("door",$A123))=FALSE,VLOOKUP(KitchenDoorStyle,FixedListsDoorStyle,3,0),0))</f>
        <v/>
      </c>
      <c r="AA123" s="156" t="str">
        <f>IF(OR(O123="",P123=""),"",IF(ISERROR(FIND("door",$A123))=FALSE,VLOOKUP(KitchenDoorMaterial,FixedListsDoorMaterial,3,0),0))</f>
        <v/>
      </c>
      <c r="AB123" s="156" t="str">
        <f>IF(OR(O123="",P123=""),"",IF(ISERROR(FIND("drawer",$A123))=FALSE,VLOOKUP(KitchenDrawerType,FixedListsDrawerType,3,0),0))</f>
        <v/>
      </c>
      <c r="AC123" s="156" t="str">
        <f>IF(OR(O123="",P123=""),"",IF(OR(Y123&gt;0,Z123&gt;0,AB123&gt;0),VLOOKUP(KitchenHandleType,FixedListsHandleType,3,FALSE),0))</f>
        <v/>
      </c>
      <c r="AD123" s="156" t="str">
        <f>IF(OR(O123="",P123=""),"",IF(OR(ISERROR(FIND("carcass",$A123))=FALSE,ISERROR(FIND("unit",$A123))=FALSE),VLOOKUP(KitchenCarcassFinish,FixedListsFinishes,3,0),IF(OR(ISERROR(FIND("door",$A123))=FALSE,ISERROR(FIND("Plinth",$A123))=FALSE,ISERROR(FIND("Cornice",$A123))=FALSE,ISERROR(FIND("Fillers",$A123))=FALSE,ISERROR(FIND("Pelmet",$A123))=FALSE,ISERROR(FIND("panel",$A123))=FALSE,ISERROR(FIND("post",$A123))=FALSE),VLOOKUP(KitchenDoorFinish,FixedListsFinishes,3,0),IF(OR(ISERROR(FIND("drawer",$A123))=FALSE,ISERROR(FIND("insert",$A123))=FALSE,ISERROR(FIND("rck",$A123))=FALSE),VLOOKUP(KitchenCarcassFinish,FixedListsFinishes,3,0),0))))</f>
        <v/>
      </c>
      <c r="AE123" s="156" t="str">
        <f t="shared" si="6"/>
        <v/>
      </c>
      <c r="AF123" s="157" t="str">
        <f>IF(AND(KitchenHandleType="Channel",OR(ISERROR(FIND("arcass",$A123))=FALSE,ISERROR(FIND("unit",$A123))=FALSE)),IF(ISERROR(FIND("Tower",$A123))=TRUE,IF(KitchenHandleFinish="Match carcass",IF(ISERROR(FIND("Walnut",KitchenCarcassMaterial))=FALSE,(0.035*0.075*($C123/1000))*VLOOKUP("Walnut (solid m3)",SolidData,4,FALSE),IF(ISERROR(FIND("Oak",KitchenCarcassMaterial))=FALSE,(0.035*0.075*($C123/1000))*VLOOKUP("Oak (solid m3)",SolidData,4,FALSE),IF(ISERROR(FIND("ply",KitchenCarcassMaterial))=FALSE,(0.1*($C123/1000))*VLOOKUP("Birch ply (24mm)",SheetsData,7,FALSE),IF(ISERROR(FIND("H/F",KitchenCarcassMaterial))=FALSE,(0.1*($C123/1000))*VLOOKUP("H/F (22mm)",SheetsData,7,FALSE),"Carcass - not tower - new material")))),IF(KitchenHandleFinish="Match door",IF(ISERROR(FIND("Walnut",KitchenDoorMaterial))=FALSE,(0.035*0.075*($C123/1000))*VLOOKUP("Walnut (solid m3)",SolidData,4,FALSE),IF(ISERROR(FIND("Oak",KitchenDoorMaterial))=FALSE,(0.035*0.075*($C123/1000))*VLOOKUP("Oak (solid m3)",SolidData,4,FALSE),IF(ISERROR(FIND("ply",KitchenDoorMaterial))=FALSE,(0.1*($C123/1000))*VLOOKUP("Birch ply (24mm)",SheetsData,7,FALSE),IF(ISERROR(FIND("H/F",KitchenCarcassMaterial))=FALSE,(0.1*($C123/1000))*VLOOKUP("H/F (22mm)",SheetsData,7,FALSE),"Door - not tower - new material")))),"Channel - not tower - handle set to other")),IF(ISERROR(FIND("Tower",$A123))=FALSE,IF(KitchenHandleFinish="Match carcass",IF(ISERROR(FIND("Walnut",KitchenCarcassMaterial))=FALSE,(0.035*0.075*($B123/1000))*VLOOKUP("Walnut (solid m3)",SolidData,4,FALSE),IF(ISERROR(FIND("Oak",KitchenCarcassMaterial))=FALSE,(0.035*0.075*($B123/1000))*VLOOKUP("Oak (solid m3)",SolidData,4,FALSE),IF(ISERROR(FIND("ply",KitchenCarcassMaterial))=FALSE,(0.1*($B123/1000))*VLOOKUP("Birch ply (24mm)",SheetsData,7,FALSE),IF(ISERROR(FIND("H/F",KitchenCarcassMaterial))=FALSE,(0.1*($C123/1000))*VLOOKUP("H/F (22mm)",SheetsData,7,FALSE),"Carcass - tower - new material")))),IF(KitchenHandleFinish="Match door",IF(ISERROR(FIND("Walnut",KitchenDoorMaterial))=FALSE,(0.035*0.075*($B123/1000))*VLOOKUP("Walnut (solid m3)",SolidData,4,FALSE),IF(ISERROR(FIND("Oak",KitchenDoorMaterial))=FALSE,(0.035*0.075*($B123/1000))*VLOOKUP("Oak (solid m3)",SolidData,4,FALSE),IF(ISERROR(FIND("ply",KitchenDoorMaterial))=FALSE,(0.1*($B123/1000))*VLOOKUP("Birch ply (24mm)",SheetData,7,FALSE),IF(ISERROR(FIND("H/F",KitchenCarcassMaterial))=FALSE,(0.1*($C123/1000))*VLOOKUP("H/F (22mm)",SheetsData,7,FALSE),"Door - tower - new material")))),"Channel - tower - handle set to other")))),"")</f>
        <v/>
      </c>
    </row>
    <row r="124">
      <c r="A124" s="150"/>
      <c r="B124" s="115" t="str">
        <f t="shared" si="1"/>
        <v/>
      </c>
      <c r="C124" s="115" t="str">
        <f>IFERROR(__xludf.DUMMYFUNCTION("IF(A124="""","""",IF(OR(RIGHT(A124,LEN(A124)-len(regexextract(A124,"".* "")))=""1200"",RIGHT(A124,LEN(A124)-len(regexextract(A124,"".* "")))=""600"",RIGHT(A124,LEN(A124)-len(regexextract(A124,"".* "")))=""400"",RIGHT(A124,LEN(A124)-len(regexextract(A124,"&amp;""".* "")))=""300"",RIGHT(A124,LEN(A124)-len(regexextract(A124,"".* "")))=""700"",RIGHT(A124,LEN(A124)-len(regexextract(A124,"".* "")))=""2400"",RIGHT(A124,LEN(A124)-len(regexextract(A124,"".* "")))=""650"",RIGHT(A124,LEN(A124)-len(regexextract(A124,"".* "&amp;""")))=""350"",RIGHT(A124,LEN(A124)-len(regexextract(A124,"".* "")))=""50""),RIGHT(A124,LEN(A124)-len(regexextract(A124,"".* ""))),IF(OR(ISERROR(FIND(""spacer"",A124))=FALSE,ISERROR(FIND(""filler panel"",A124))=FALSE),""1000"",""Unexpected size in descript"&amp;"ion"")))"),"")</f>
        <v/>
      </c>
      <c r="D124" s="151" t="str">
        <f t="shared" si="2"/>
        <v/>
      </c>
      <c r="E124" s="152" t="str">
        <f>IFERROR(__xludf.DUMMYFUNCTION("IF(OR(A124="""",AND(ISERROR(FIND(""drawer box"",A124))=FALSE,KitchenDrawerType="""")),"""",IF(OR(ISERROR(FIND(""larder"",A124))=FALSE,ISERROR(FIND(""fridge/freezer"",A124))=FALSE,ISERROR(FIND(""double oven"",A124))=FALSE,ISERROR(FIND(""single oven"",A124)"&amp;")=FALSE),VLOOKUP(LEFT(A124,FIND("" "",A124))&amp;""carcass ""&amp;RIGHT(A124,LEN(A124)-(LEN(A124)-3)),KitchensData,5,0),IF(ISERROR(FIND(""sink"",A124))=FALSE,VLOOKUP(LEFT(A124,FIND("" "",A124))&amp;""carcass ""&amp;VALUE(REGEXREPLACE(A124,""[^[:digit:]]"", """")),Kitchen"&amp;"sData,5,0)+(((C124/1000)*(300/1000))*VLOOKUP(KitchenCarcassMaterial,SheetsData,8,0)),IF(ISERROR(FIND(""bins"",A124))=FALSE,IF(ISERROR(FIND(""veneer"",KitchenCarcassMaterial))=FALSE,VLOOKUP(""Base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600"",A124))=FALSE,IF(ISERR"&amp;"OR(FIND(""veneer"",KitchenCarcassMaterial))=FALSE,0.54*(VLOOKUP(LEFT(KitchenCarcassMaterial,FIND(""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1"&amp;"200"",A124))=FALSE,IF(ISERROR(FIND(""veneer"",KitchenCarcassMaterial))=FALSE,0.84*(VLOOKUP(LEFT(KitchenCarcassMaterial,FIND(""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600"",A124))=FALSE,IF(ISERROR(FIND(""veneer"",KitchenCarcassMaterial))=FALSE,1.44*(VLOOKUP(LEFT(KitchenCarcassMaterial,FIND(""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1200"",A124))=FALSE,IF(ISERROR(FIND(""veneer"",KitchenCarcassMaterial))=FALSE,2.7*(VLOOKUP(LEFT(KitchenCarcassMaterial,FIND(""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front"",A124))=FALSE,((B124/1000)*(C124/1000))*VLOOKUP(KitchenDoorMaterial,SheetsData,8,0),IF(AND(KitchenDrawerType=""Match carcass"",ISERROR(FIND(""drawer box"",A124))=FALSE),(((((B124/10"&amp;"00)*(C124/1000))+((B124/1000)*(D124/1000)))*2)*VLOOKUP(KitchenCarcassMaterial,SheetsData,8,0))+(((C124/1000)*(D124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box"",A124))=FALSE),(((((B124/1000)*(C124/1000))+((B124/1000)*(D124/1000)))*2)*(16/1000)*VLOOKUP(L"&amp;"EFT(KitchenCarcassMaterial,FIND("" "",KitchenCarcassMaterial))&amp;""(solid m3)"",SolidData,5,0))+(((C124/1000)*(D124/1000))*VLOOKUP(LEFT(KitchenCarcassMaterial,FIND(""("",KitchenCarcassMaterial)-1)&amp;IF(OR(ISERROR(FIND(""ply"",KitchenCarcassMaterial))=FALSE,IS"&amp;"ERROR(FIND(""H/F"",KitchenCarcassMaterial))=FALSE),""(9mm)"",""(10mm)""),SheetsData,8,0)),IF(ISERROR(FIND(""spacer"",A124))=FALSE,((D124/1000)*(C124/1000))*VLOOKUP(""Poplar ply (18mm)"",SheetsData,8,0),IF(ISERROR(FIND(""filler panel"",A124))=FALSE,((B124/"&amp;"1000)*(C124/1000))*VLOOKUP(KitchenDoorMaterial,SheetsData,8,0),IF(ISERROR(FIND(""shelf"",A124))=FALSE,((D124/1000)*(C124/1000))*VLOOKUP(KitchenCarcassMaterial,SheetsData,8,0),IF(ISERROR(FIND(""lost corner"",A124))=FALSE,VLOOKUP(LEFT(A124,FIND("" "",A124))"&amp;"&amp;""carcass ""&amp;VALUE(REGEXREPLACE(A124,""[^[:digit:]]"", """")),KitchensData,5,0)+((((B124/1000)*(C124/1000))+((B124/1000)*(60/1000)))*VLOOKUP(KitchenCarcassMaterial,SheetsData,8,0)),IF(ISERROR(FIND(""carcass"",A124))=FALSE,(((((B124/1000)*2)*(D124/1000))+"&amp;"(((C124/1000)*2)*(D124/1000)))*VLOOKUP(KitchenCarcassMaterial,SheetsData,8,0))+((B124/1000)*(C124/1000))*VLOOKUP(LEFT(KitchenCarcassMaterial,FIND(""("",KitchenCarcassMaterial)-1)&amp;IF(OR(ISERROR(FIND(""ply"",KitchenCarcassMaterial))=FALSE,ISERROR(FIND(""H/F"&amp;""",KitchenCarcassMaterial))=FALSE),""(9mm)"",""(10mm)""),SheetsData,8,0),IF(OR(ISERROR(FIND(""Plinth"",A124))=FALSE,ISERROR(FIND(""Cornice (flat)"",A124))=FALSE),((B124/1000)*(C124/1000))*VLOOKUP(""H/F (18mm)"",SheetsData,8,0),IF(ISERROR(FIND(""Cornice (s"&amp;"tacked)"",A124))=FALSE,((0.08*(C124/1000))*2)*VLOOKUP(""H/F (22mm)"",SheetsData,8,0),IF(ISERROR(FIND(""Base end panel"",A124))=FALSE,VLOOKUP(KitchenDoorMaterial,SheetsData,5,0)/3,IF(ISERROR(FIND(""Wall end panel"",A124))=FALSE,VLOOKUP(KitchenDoorMaterial,"&amp;"SheetsData,5,0)/9,IF(ISERROR(FIND(""Tower end panel"",A124))=FALSE,VLOOKUP(KitchenDoorMaterial,SheetsData,5,0),IF(ISERROR(FIND(""Fillers"",A124))=FALSE,(((0.06*(C124/1000))*2)*VLOOKUP(""H/F (18mm)"",SheetsData,8,0))+(((0.06*(C124/1000))*2)*VLOOKUP(""H/F ("&amp;"9mm)"",SheetsData,8,0)),IF(ISERROR(FIND(""corner post"",A124))=FALSE,(((B124/1000)*0.05)*2)*VLOOKUP(KitchenDoorMaterial,SheetsData,8,0),IF(ISERROR(FIND(""Pelmet"",A124))=FALSE,((((B124/1000)*(C124/1000))*2)*VLOOKUP(""H/F (18mm)"",SheetsData,8,0)),IF(ISERR"&amp;"OR(FIND(""door"",A124))=TRUE,""Check description"",IF(KitchenDoorStyle=""Flat"",((B124/1000)*(C124/1000))*VLOOKUP(KitchenDoorMaterial,SheetsData,8,0),IF(LEFT(KitchenDoorStyle,5)=""Panel"",(((((B124/1000)*2)*0.08)+((((C124/1000)-0.16)*2)*0.08))*VLOOKUP(""H"&amp;"/F (22mm)"",SheetsData,8,0))+(((B124/1000)-0.14)*((C124/1000)-0.14)*VLOOKUP(""H/F (9mm)"",SheetsData,8,0)),IF(KitchenDoorStyle=""In-frame flat"",((((((B124/1000)*0.019)*0.038)+((((C124-38)/1000)*0.038)*0.038))*2)*VLOOKUP(""Tulip (solid m3)"",SolidData,5,0"&amp;"))+(((B124-76)/1000)*((C124-38)/1000))*VLOOKUP(""H/F (22mm)"",SheetsData,8,0),IF(LEFT(KitchenDoorStyle,14)=""In-frame panel"",(((((((B124/1000)*0.019)*0.038)+((((C124-38)/1000)*0.038)*0.038))*2)*VLOOKUP(""Tulip (solid m3)"",SolidData,5,0))+(((((((B124-76)"&amp;"/1000)*2)*0.08)+(((((C124-198)/1000)*2)*0.08)))*VLOOKUP(""H/F (22mm)"",SheetsData,8,0))+(((B124-216)/1000)*((C124-178)/1000)*VLOOKUP(""H/F (9mm)"",SheetsData,8,0)))))))))))))))))))))))))))))))))"),"")</f>
        <v/>
      </c>
      <c r="F124" s="152" t="str">
        <f>IFERROR(__xludf.DUMMYFUNCTION("IF(OR(A124="""",AND(ISERROR(FIND(""drawer box"",A124))=FALSE,KitchenDrawerType=""Solid dovetail"")),"""",IF(ISERROR(FIND(""bins"",A124))=FALSE,VLOOKUP(""Base carcass 600"",KitchensData,6,0),IF(OR(ISERROR(FIND(""larder"",A124))=FALSE,ISERROR(FIND(""unit"","&amp;"A124))=FALSE),VLOOKUP(LEFT(A124,FIND("" "",A124))&amp;""carcass ""&amp;RIGHT(A124,LEN(A124)-len(regexextract(A124,"".* ""))),KitchensData,6,0),IF(ISERROR(FIND(""drawer front"",A124))=FALSE,IF(ISERROR(FIND(""veneer"",KitchenCarcassMaterial))=TRUE,0,(((B124+C124)/1"&amp;"000)*2)*VLOOKUP(""Edge banding (per M)"",SheetsData,5,0)),IF(ISERROR(FIND(""drawer box"",A124))=FALSE,IF(ISERROR(FIND(""veneer"",KitchenCarcassMaterial))=TRUE,0,(((C124+D124)/1000)*2)*VLOOKUP(""Edge banding (per M)"",SheetsData,5,0)),IF(ISERROR(FIND(""she"&amp;"lf"",A124))=FALSE,IF(ISERROR(FIND(""veneer"",KitchenCarcassMaterial))=TRUE,0,(C124/1000)*VLOOKUP(""Edge banding (per M)"",SheetsData,5,0)),IF(AND(ISERROR(FIND(""carcass"",A124))=FALSE,ISERROR(FIND(""shelf"",A124))=TRUE),IF(ISERROR(FIND(""veneer"",KitchenC"&amp;"arcassMaterial))=TRUE,0,((2*(B124+C124))/1000)*VLOOKUP(""Edge banding (per M)"",SheetsData,5,0)),IF(ISERROR(FIND(""door"",A124))=TRUE,"""",IF(ISERROR(FIND(""veneer"",KitchenDoorMaterial))=TRUE,"""",((2*(B124+C124))/1000)*VLOOKUP(""Edge banding (per M)"",S"&amp;"heetsData,5,0))))))))))"),"")</f>
        <v/>
      </c>
      <c r="G124" s="153" t="str">
        <f>IF(A124="","",IF(ISERROR(FIND("bins",A124))=FALSE,VLOOKUP("Base carcass 600",KitchensData,7,0),IF(OR(ISERROR(FIND("larder",A124))=FALSE,ISERROR(FIND("fridge/freezer",A124))=FALSE,ISERROR(FIND("double oven",A124))=FALSE,ISERROR(FIND("single oven",A124))=FALSE),VLOOKUP(LEFT(A124,FIND(" ",A124))&amp;"carcass "&amp;RIGHT(A124,LEN(A124)-(LEN(A124)-3)),KitchensData,7,0),IF(AND(ISERROR(FIND("carcass",A124))=FALSE,ISERROR(FIND("shelf",A124))=TRUE),IF(OR(ISERROR(FIND("Base",A124))=FALSE,ISERROR(FIND("Tower",A124))=FALSE),IF(OR(ISERROR(FIND("1200",A124))=FALSE, ISERROR(FIND("lost corner",A124))=FALSE),6*VLOOKUP("Plinth foot (2 Parts 80mm)",FurnitureData,5,0),4*VLOOKUP("Plinth foot (2 Parts 80mm)",FurnitureData,5,0)),""),""))))</f>
        <v/>
      </c>
      <c r="H124" s="115" t="str">
        <f>IF(OR(A124="",ISERROR(FIND("door",A124))=TRUE),"",IF(ISERROR(FIND("Wall",A124))=FALSE,VLOOKUP("Hinges &amp; plates (Hettich thick door)",FurnitureData,5,0)*2,IF(ISERROR(FIND("Base",A124))=FALSE,VLOOKUP("Hinges &amp; plates (Hettich thick door)",FurnitureData,5,0)*3,IF(ISERROR(FIND("Boiler",A124))=FALSE,VLOOKUP("Hinges &amp; plates (Hettich thick door)",FurnitureData,5,0)*4,IF(ISERROR(FIND("Tower",A124))=FALSE,VLOOKUP("Hinges &amp; plates (Hettich thick door)",FurnitureData,5,0)*5)))))</f>
        <v/>
      </c>
      <c r="I124" s="115" t="str">
        <f>IF(ISERROR(FIND("shelf",A124))=FALSE,(VLOOKUP("Shelf pegs",FurnitureData,5,0)/100)*4,"")</f>
        <v/>
      </c>
      <c r="J124" s="152" t="str">
        <f>IF(OR(ISERROR(FIND("fridge/freezer",A124))=FALSE,ISERROR(FIND("larder",A124))=FALSE,AND(ISERROR(FIND("Base",A124))=FALSE,ISERROR(FIND("bins",A124))=TRUE,ISERROR(FIND("no shelves",A124))=TRUE,OR(ISERROR(FIND("carcass",A124))=FALSE,ISERROR(FIND("unit",A124))=FALSE))),VLOOKUP("Deep shelf "&amp;C124,KitchensData,18,0),IF(AND(ISERROR(FIND("Wall",A124))=FALSE,ISERROR(FIND("carcass",A124))=FALSE),2*VLOOKUP("Shallow shelf "&amp;C124,KitchensData,18,0),IF(AND(ISERROR(FIND("Tower",A124))=FALSE,ISERROR(FIND("oven",A124))=FALSE),4*VLOOKUP("Deep shelf "&amp;C124,KitchensData,18,0),IF(AND(ISERROR(FIND("Tower",A124))=FALSE,ISERROR(FIND("carcass",A124))=FALSE),5*VLOOKUP("Deep shelf "&amp;C124,KitchensData,18,0),""))))</f>
        <v/>
      </c>
      <c r="K124" s="152" t="str">
        <f>IF(ISERROR(FIND("sink",A124))=FALSE,VLOOKUP("Sink liner - Aluminium "&amp;RIGHT(A124,LEN(A124)-22)&amp;"mm",ExceptionalData,5,0),IF(ISERROR(FIND("bins",A124))=FALSE,VLOOKUP("Drawer runners and clip set for bin unit (500) Dynapro",FurnitureData,5,0)+(2*VLOOKUP("Bin (42L Anthracite)",FurnitureData,5,0)),IF(ISERROR(FIND("larder",A124))=FALSE,VLOOKUP("Pull out larder unit 600mm",FurnitureData,5,0),IF(AND(ISERROR(FIND("drawer box",A124))=FALSE,ISERROR(FIND("internal",A124))=TRUE),VLOOKUP("Drawer runners and clip set (550) Dynapro",FurnitureData,5,0),IF(ISERROR(FIND("internal drawer box",A124))=FALSE,VLOOKUP("Drawer runners and clip set (450) Dynapro",FurnitureData,5,0),"")))))</f>
        <v/>
      </c>
      <c r="L124" s="152" t="str">
        <f t="shared" si="3"/>
        <v/>
      </c>
      <c r="M124" s="154" t="str">
        <f>IFERROR(__xludf.DUMMYFUNCTION("IF(A124="""","""",IF(OR(ISERROR(FIND(""larder"",A124))=FALSE,ISERROR(FIND(""unit"",A124))=FALSE),VLOOKUP(LEFT(A124,FIND("" "",A124))&amp;""carcass ""&amp;RIGHT(A124,LEN(A124)-len(regexextract(A124,"".* ""))),KitchensData,13,0),IF(ISERROR(FIND(""bins"",A124))=FALS"&amp;"E,0.95,IF(ISERROR(FIND(""Cutlery insert 600"",A124))=FALSE,1.3,IF(ISERROR(FIND(""Cutlery insert 1200"",A124))=FALSE,2,IF(ISERROR(FIND(""Pan/tray rack 600"",A124))=FALSE,3.25,IF(ISERROR(FIND(""Pan/tray rack 1200"",A124))=FALSE,5.9,IF(ISERROR(FIND(""split"""&amp;",A124))=FALSE,(((C124/1000)*0.022)*2)+VLOOKUP(SUBSTITUTE(A124,"" split"",""""),KitchensData,13,0),IF(AND(ISERROR(FIND(""drawer front"",A124))=FALSE,KitchenDoorStyle=""Flat""),(((B124/1000)*(C124/1000))*2)+((((B124+C124)/1000)*2)*0.022),IF(AND(ISERROR(FIND"&amp;"(""drawer front"",A124))=FALSE,LEFT(KitchenDoorStyle,5)=""Panel""),(((B124/1000)*(C124/1000))*2)+((((B124+C124)/1000)*2)*0.022)+((((C124/1000)-0.16)*0.013)*2)+((((D124/1000)-0.16)*0.013)*2),IF(AND(ISERROR(FIND(""drawer front"",A124))=FALSE,KitchenDoorStyl"&amp;"e=""In-frame flat""),((((B124-76)/1000)*((C124-38)/1000))*2)+(MID(KitchenDoorMaterial,FIND(""("",KitchenDoorMaterial)+1,2)/1000)*((((B124-76)+(C124-38))/1000)*2)+(((B124/1000)*0.032)*2)+((((B124-76)/1000)*0.032)*2)+(((B124/1000)*0.019)*4)+(((C124/1000)*0."&amp;"032)*2)+((((C124-38)/1000)*0.032)*2)+(((C124/1000)*0.038)*4),IF(AND(ISERROR(FIND(""drawer front"",A124))=FALSE,LEFT(KitchenDoorStyle,14)=""In-frame panel""),((((B124-76)/1000)*((C124-38)/1000))*2)+((MID(KitchenDoorMaterial,FIND(""("",KitchenDoorMaterial)+"&amp;"1,2)/1000)*((((B124-76)+(C124-38))/1000)*2))+((((B124-236)/1000)+((C124-198)/1000)*2)*0.013)+(((B124/1000)*0.032)*2)+((((B124-76)/1000)*0.032)*2)+(((B124/1000)*0.019)*4)+(((C124/1000)*0.032)*2)+((((C124-38)/1000)*0.032)*2)+(((C124/1000)*0.038)*4),IF(ISERR"&amp;"OR(FIND(""drawer box"",A124))=FALSE,((((B124/1000)*(D124/1000))+((B124/1000)*(C124/1000)))*4)+((((D124/1000)+(C124/1000))*0.016)*4)+(((C124/1000)*(D124/1000))*2),IF(OR(ISERROR(FIND(""shelf"",A124))=FALSE,ISERROR(FIND(""spacer"",A124))=FALSE,,ISERROR(FIND("&amp;"""filler panel"",A124))=FALSE),(((C124/1000)*(D124/1000))*2)+((((C124+D124)*2)/1000)*0.022),IF(ISERROR(FIND(""lost corner"",A124))=FALSE,(((B124/1000)*(C124/1000))*2)+((B124/1000)*(C124/1000))+((B124/1000)*((C124/2)/1000))+((((B124/1000)*0.025)+((C124/100"&amp;"0)*0.025))*2),IF(ISERROR(FIND(""carcass"",A124))=FALSE,(((C124/1000)*(D124/1000))*2)+(((B124/1000)*(D124/1000))*2)+((B124/1000)*(C124/1000))+((((B124/1000)*0.025)+((C124/1000)*0.025))*2),IF(AND(ISERROR(FIND(""door"",A124))=FALSE,KitchenDoorStyle=""Flat"")"&amp;",(((B124/1000)*(C124/1000))*2)+(MID(KitchenDoorMaterial,FIND(""("",KitchenDoorMaterial)+1,2)/1000)*(((B124+C124)/1000)*2),IF(AND(ISERROR(FIND(""door"",A124))=FALSE,LEFT(KitchenDoorStyle,5)=""Panel""),(((B124/1000)*(C124/1000))*2)+((MID(KitchenDoorMaterial"&amp;",FIND(""("",KitchenDoorMaterial)+1,2)/1000)*(((B124+C124)/1000)*2))+(((((B124-160)+(C124-160))*2)/1000)*(0.013)),IF(AND(ISERROR(FIND(""door"",A124))=FALSE,KitchenDoorStyle=""In-frame flat""),((((B124-76)/1000)*((C124-38)/1000))*2)+(MID(KitchenDoorMaterial"&amp;",FIND(""("",KitchenDoorMaterial)+1,2)/1000)*((((B124-76)+(C124-38))/1000)*2)+(((B124/1000)*0.032)*2)+((((B124-76)/1000)*0.032)*2)+(((B124/1000)*0.019)*4)+(((C124/1000)*0.032)*2)+((((C124-38)/1000)*0.032)*2)+(((C124/1000)*0.038)*4),IF(AND(ISERROR(FIND(""do"&amp;"or"",A124))=FALSE,LEFT(KitchenDoorStyle,14)=""In-frame panel""),((((B124-76)/1000)*((C124-38)/1000))*2)+((MID(KitchenDoorMaterial,FIND(""("",KitchenDoorMaterial)+1,2)/1000)*((((B124-76)+(C124-38))/1000)*2))+((((B124-236)/1000)+((C124-198)/1000)*2)*0.013)+"&amp;"(((B124/1000)*0.032)*2)+((((B124-76)/1000)*0.032)*2)+(((B124/1000)*0.019)*4)+(((C124/1000)*0.032)*2)+((((C124-38)/1000)*0.032)*2)+(((C124/1000)*0.038)*4),IF(ISERROR(FIND(""Plinth"",A124))=FALSE,((B124/1000)*(C124/1000))+(((C124/1000)*0.018)*2)+(((B124/100"&amp;"0)*0.018)*2),IF(ISERROR(FIND(""Cornice"",A124))=FALSE,(((C124/1000)*0.1)*2)+(((C124/1000)*0.044)*2)+(((B124/1000)*0.08)*2),IF(ISERROR(FIND(""Base end panel"",A124))=FALSE,((B124/1000)*(C124/1000))+(0.022*((B124/1000)+((C124/1000)*2)))+((B124/1000)*0.05),I"&amp;"F(ISERROR(FIND(""Wall end panel"",A124))=FALSE,((B124/1000)*(C124/1000))+(0.022*((B124/1000)+((C124/1000)*2)))+((B124/1000)*0.05),IF(ISERROR(FIND(""Tower end panel"",A124))=FALSE,((B124/1000)*(C124/1000))+(0.022*((B124/1000)+((C124/1000)*2)))+((B124/1000)"&amp;"*0.05),IF(ISERROR(FIND(""Fillers"",A124))=FALSE,((C124/1000)*0.06)+((C124/1000)*0.069)+((0.06*0.018)*2)+((0.06*0.009)*2)+((C124/1000)*0.009)+((C124/1000)*0.018),IF(ISERROR(FIND(""corner post"",A124))=FALSE,(((B124/1000*0.05)*2)+((B124/1000)*0.022)*2)+((B1"&amp;"24/1000)*0.072)+((B124/1000)*0.05)+((0.072*0.022)*2)+((0.05*0.022)*2),IF(ISERROR(FIND(""Pelmet"",A124))=FALSE,((C124/1000)*0.05)+((C124/1000)*0.068)+((0.05*0.018)*4)+(((C124/1000)*0.018))*2))))))))))))))))))))))))))))"),"")</f>
        <v/>
      </c>
      <c r="N124" s="152" t="str">
        <f>IF(M124="","",IF(AND(ISERROR(FIND("carcass",A124))=TRUE,ISERROR(FIND("unit",A124))=TRUE,ISERROR(FIND("insert",A124))=TRUE,ISERROR(FIND("rack",A124))=TRUE,ISERROR(FIND("box",A124))=TRUE,ISERROR(FIND("shelf",#REF!))=TRUE),VLOOKUP(KitchenDoorFinish,Finishing!$A$2:$K$10,9,0)*M124,VLOOKUP(KitchenCarcassFinish,Finishing!$A$2:$K$40,9,0)*M124))</f>
        <v/>
      </c>
      <c r="O124" s="155"/>
      <c r="P124" s="155"/>
      <c r="Q124" s="152" t="str">
        <f>IF(OR(O124="",P124=""),"",((O124*X124)*(VLOOKUP("Workshop",Labour!$A$3:$E$20,4,0)/8))+((P124*AE124)*(VLOOKUP("Finishing",Labour!$A$3:$E$20,4,0)/8)))</f>
        <v/>
      </c>
      <c r="R124" s="152" t="str">
        <f t="shared" si="4"/>
        <v/>
      </c>
      <c r="S124" s="156" t="str">
        <f>IF(OR(O124="",P124=""),"",IF(OR(ISERROR(FIND("carcass",$A124))=FALSE,ISERROR(FIND("unit",$A124))=FALSE),VLOOKUP(KitchenCarcassMaterial,FixedListsCarcassMaterial,2,0),0))</f>
        <v/>
      </c>
      <c r="T124" s="156" t="str">
        <f>IF(OR(O124="",P124=""),"",IF(ISERROR(FIND("door",$A124))=FALSE,VLOOKUP(KitchenDoorStyle,FixedListsDoorStyle,2,0),0))</f>
        <v/>
      </c>
      <c r="U124" s="156" t="str">
        <f>IF(OR(O124="",P124=""),"",IF(ISERROR(FIND("door",$A124))=FALSE,VLOOKUP(KitchenDoorMaterial,FixedListsDoorMaterial,2,0),0))</f>
        <v/>
      </c>
      <c r="V124" s="156" t="str">
        <f>IF(OR(O124="",P124=""),"",IF(ISERROR(FIND("drawer",$A124))=FALSE,VLOOKUP(KitchenDrawerType,FixedListsDrawerType,2,0),0))</f>
        <v/>
      </c>
      <c r="W124" s="156" t="str">
        <f>IF(OR(O124="",P124=""),"",IF(OR(S124&gt;0, T124&gt;0,V124&gt;0),VLOOKUP(KitchenHandleType,FixedListsHandleType,2,FALSE)*IF(KitchenHandleType="Simple",0,IF(S124&gt;0,VLOOKUP(KitchenHandleType,FixedListsHandleType,4,FALSE),IF(OR(T124&gt;0,V124&gt;0),1-VLOOKUP(KitchenHandleType,FixedListsHandleType,4,FALSE),"Error"))),0))</f>
        <v/>
      </c>
      <c r="X124" s="156" t="str">
        <f t="shared" si="5"/>
        <v/>
      </c>
      <c r="Y124" s="156" t="str">
        <f>IF(OR(O124="",P124=""),"",IF(OR(ISERROR(FIND("carcass",$A124))=FALSE,ISERROR(FIND("unit",$A124))=FALSE),VLOOKUP(KitchenCarcassMaterial,FixedListsCarcassMaterial,3,0),0))</f>
        <v/>
      </c>
      <c r="Z124" s="156" t="str">
        <f>IF(OR(O124="",P124=""),"",IF(ISERROR(FIND("door",$A124))=FALSE,VLOOKUP(KitchenDoorStyle,FixedListsDoorStyle,3,0),0))</f>
        <v/>
      </c>
      <c r="AA124" s="156" t="str">
        <f>IF(OR(O124="",P124=""),"",IF(ISERROR(FIND("door",$A124))=FALSE,VLOOKUP(KitchenDoorMaterial,FixedListsDoorMaterial,3,0),0))</f>
        <v/>
      </c>
      <c r="AB124" s="156" t="str">
        <f>IF(OR(O124="",P124=""),"",IF(ISERROR(FIND("drawer",$A124))=FALSE,VLOOKUP(KitchenDrawerType,FixedListsDrawerType,3,0),0))</f>
        <v/>
      </c>
      <c r="AC124" s="156" t="str">
        <f>IF(OR(O124="",P124=""),"",IF(OR(Y124&gt;0,Z124&gt;0,AB124&gt;0),VLOOKUP(KitchenHandleType,FixedListsHandleType,3,FALSE),0))</f>
        <v/>
      </c>
      <c r="AD124" s="156" t="str">
        <f>IF(OR(O124="",P124=""),"",IF(OR(ISERROR(FIND("carcass",$A124))=FALSE,ISERROR(FIND("unit",$A124))=FALSE),VLOOKUP(KitchenCarcassFinish,FixedListsFinishes,3,0),IF(OR(ISERROR(FIND("door",$A124))=FALSE,ISERROR(FIND("Plinth",$A124))=FALSE,ISERROR(FIND("Cornice",$A124))=FALSE,ISERROR(FIND("Fillers",$A124))=FALSE,ISERROR(FIND("Pelmet",$A124))=FALSE,ISERROR(FIND("panel",$A124))=FALSE,ISERROR(FIND("post",$A124))=FALSE),VLOOKUP(KitchenDoorFinish,FixedListsFinishes,3,0),IF(OR(ISERROR(FIND("drawer",$A124))=FALSE,ISERROR(FIND("insert",$A124))=FALSE,ISERROR(FIND("rck",$A124))=FALSE),VLOOKUP(KitchenCarcassFinish,FixedListsFinishes,3,0),0))))</f>
        <v/>
      </c>
      <c r="AE124" s="156" t="str">
        <f t="shared" si="6"/>
        <v/>
      </c>
      <c r="AF124" s="157" t="str">
        <f>IF(AND(KitchenHandleType="Channel",OR(ISERROR(FIND("arcass",$A124))=FALSE,ISERROR(FIND("unit",$A124))=FALSE)),IF(ISERROR(FIND("Tower",$A124))=TRUE,IF(KitchenHandleFinish="Match carcass",IF(ISERROR(FIND("Walnut",KitchenCarcassMaterial))=FALSE,(0.035*0.075*($C124/1000))*VLOOKUP("Walnut (solid m3)",SolidData,4,FALSE),IF(ISERROR(FIND("Oak",KitchenCarcassMaterial))=FALSE,(0.035*0.075*($C124/1000))*VLOOKUP("Oak (solid m3)",SolidData,4,FALSE),IF(ISERROR(FIND("ply",KitchenCarcassMaterial))=FALSE,(0.1*($C124/1000))*VLOOKUP("Birch ply (24mm)",SheetsData,7,FALSE),IF(ISERROR(FIND("H/F",KitchenCarcassMaterial))=FALSE,(0.1*($C124/1000))*VLOOKUP("H/F (22mm)",SheetsData,7,FALSE),"Carcass - not tower - new material")))),IF(KitchenHandleFinish="Match door",IF(ISERROR(FIND("Walnut",KitchenDoorMaterial))=FALSE,(0.035*0.075*($C124/1000))*VLOOKUP("Walnut (solid m3)",SolidData,4,FALSE),IF(ISERROR(FIND("Oak",KitchenDoorMaterial))=FALSE,(0.035*0.075*($C124/1000))*VLOOKUP("Oak (solid m3)",SolidData,4,FALSE),IF(ISERROR(FIND("ply",KitchenDoorMaterial))=FALSE,(0.1*($C124/1000))*VLOOKUP("Birch ply (24mm)",SheetsData,7,FALSE),IF(ISERROR(FIND("H/F",KitchenCarcassMaterial))=FALSE,(0.1*($C124/1000))*VLOOKUP("H/F (22mm)",SheetsData,7,FALSE),"Door - not tower - new material")))),"Channel - not tower - handle set to other")),IF(ISERROR(FIND("Tower",$A124))=FALSE,IF(KitchenHandleFinish="Match carcass",IF(ISERROR(FIND("Walnut",KitchenCarcassMaterial))=FALSE,(0.035*0.075*($B124/1000))*VLOOKUP("Walnut (solid m3)",SolidData,4,FALSE),IF(ISERROR(FIND("Oak",KitchenCarcassMaterial))=FALSE,(0.035*0.075*($B124/1000))*VLOOKUP("Oak (solid m3)",SolidData,4,FALSE),IF(ISERROR(FIND("ply",KitchenCarcassMaterial))=FALSE,(0.1*($B124/1000))*VLOOKUP("Birch ply (24mm)",SheetsData,7,FALSE),IF(ISERROR(FIND("H/F",KitchenCarcassMaterial))=FALSE,(0.1*($C124/1000))*VLOOKUP("H/F (22mm)",SheetsData,7,FALSE),"Carcass - tower - new material")))),IF(KitchenHandleFinish="Match door",IF(ISERROR(FIND("Walnut",KitchenDoorMaterial))=FALSE,(0.035*0.075*($B124/1000))*VLOOKUP("Walnut (solid m3)",SolidData,4,FALSE),IF(ISERROR(FIND("Oak",KitchenDoorMaterial))=FALSE,(0.035*0.075*($B124/1000))*VLOOKUP("Oak (solid m3)",SolidData,4,FALSE),IF(ISERROR(FIND("ply",KitchenDoorMaterial))=FALSE,(0.1*($B124/1000))*VLOOKUP("Birch ply (24mm)",SheetData,7,FALSE),IF(ISERROR(FIND("H/F",KitchenCarcassMaterial))=FALSE,(0.1*($C124/1000))*VLOOKUP("H/F (22mm)",SheetsData,7,FALSE),"Door - tower - new material")))),"Channel - tower - handle set to other")))),"")</f>
        <v/>
      </c>
    </row>
    <row r="125">
      <c r="A125" s="150"/>
      <c r="B125" s="115" t="str">
        <f t="shared" si="1"/>
        <v/>
      </c>
      <c r="C125" s="115" t="str">
        <f>IFERROR(__xludf.DUMMYFUNCTION("IF(A125="""","""",IF(OR(RIGHT(A125,LEN(A125)-len(regexextract(A125,"".* "")))=""1200"",RIGHT(A125,LEN(A125)-len(regexextract(A125,"".* "")))=""600"",RIGHT(A125,LEN(A125)-len(regexextract(A125,"".* "")))=""400"",RIGHT(A125,LEN(A125)-len(regexextract(A125,"&amp;""".* "")))=""300"",RIGHT(A125,LEN(A125)-len(regexextract(A125,"".* "")))=""700"",RIGHT(A125,LEN(A125)-len(regexextract(A125,"".* "")))=""2400"",RIGHT(A125,LEN(A125)-len(regexextract(A125,"".* "")))=""650"",RIGHT(A125,LEN(A125)-len(regexextract(A125,"".* "&amp;""")))=""350"",RIGHT(A125,LEN(A125)-len(regexextract(A125,"".* "")))=""50""),RIGHT(A125,LEN(A125)-len(regexextract(A125,"".* ""))),IF(OR(ISERROR(FIND(""spacer"",A125))=FALSE,ISERROR(FIND(""filler panel"",A125))=FALSE),""1000"",""Unexpected size in descript"&amp;"ion"")))"),"")</f>
        <v/>
      </c>
      <c r="D125" s="151" t="str">
        <f t="shared" si="2"/>
        <v/>
      </c>
      <c r="E125" s="152" t="str">
        <f>IFERROR(__xludf.DUMMYFUNCTION("IF(OR(A125="""",AND(ISERROR(FIND(""drawer box"",A125))=FALSE,KitchenDrawerType="""")),"""",IF(OR(ISERROR(FIND(""larder"",A125))=FALSE,ISERROR(FIND(""fridge/freezer"",A125))=FALSE,ISERROR(FIND(""double oven"",A125))=FALSE,ISERROR(FIND(""single oven"",A125)"&amp;")=FALSE),VLOOKUP(LEFT(A125,FIND("" "",A125))&amp;""carcass ""&amp;RIGHT(A125,LEN(A125)-(LEN(A125)-3)),KitchensData,5,0),IF(ISERROR(FIND(""sink"",A125))=FALSE,VLOOKUP(LEFT(A125,FIND("" "",A125))&amp;""carcass ""&amp;VALUE(REGEXREPLACE(A125,""[^[:digit:]]"", """")),Kitchen"&amp;"sData,5,0)+(((C125/1000)*(300/1000))*VLOOKUP(KitchenCarcassMaterial,SheetsData,8,0)),IF(ISERROR(FIND(""bins"",A125))=FALSE,IF(ISERROR(FIND(""veneer"",KitchenCarcassMaterial))=FALSE,VLOOKUP(""Base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600"",A125))=FALSE,IF(ISERR"&amp;"OR(FIND(""veneer"",KitchenCarcassMaterial))=FALSE,0.54*(VLOOKUP(LEFT(KitchenCarcassMaterial,FIND(""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1"&amp;"200"",A125))=FALSE,IF(ISERROR(FIND(""veneer"",KitchenCarcassMaterial))=FALSE,0.84*(VLOOKUP(LEFT(KitchenCarcassMaterial,FIND(""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600"",A125))=FALSE,IF(ISERROR(FIND(""veneer"",KitchenCarcassMaterial))=FALSE,1.44*(VLOOKUP(LEFT(KitchenCarcassMaterial,FIND(""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1200"",A125))=FALSE,IF(ISERROR(FIND(""veneer"",KitchenCarcassMaterial))=FALSE,2.7*(VLOOKUP(LEFT(KitchenCarcassMaterial,FIND(""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front"",A125))=FALSE,((B125/1000)*(C125/1000))*VLOOKUP(KitchenDoorMaterial,SheetsData,8,0),IF(AND(KitchenDrawerType=""Match carcass"",ISERROR(FIND(""drawer box"",A125))=FALSE),(((((B125/10"&amp;"00)*(C125/1000))+((B125/1000)*(D125/1000)))*2)*VLOOKUP(KitchenCarcassMaterial,SheetsData,8,0))+(((C125/1000)*(D125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box"",A125))=FALSE),(((((B125/1000)*(C125/1000))+((B125/1000)*(D125/1000)))*2)*(16/1000)*VLOOKUP(L"&amp;"EFT(KitchenCarcassMaterial,FIND("" "",KitchenCarcassMaterial))&amp;""(solid m3)"",SolidData,5,0))+(((C125/1000)*(D125/1000))*VLOOKUP(LEFT(KitchenCarcassMaterial,FIND(""("",KitchenCarcassMaterial)-1)&amp;IF(OR(ISERROR(FIND(""ply"",KitchenCarcassMaterial))=FALSE,IS"&amp;"ERROR(FIND(""H/F"",KitchenCarcassMaterial))=FALSE),""(9mm)"",""(10mm)""),SheetsData,8,0)),IF(ISERROR(FIND(""spacer"",A125))=FALSE,((D125/1000)*(C125/1000))*VLOOKUP(""Poplar ply (18mm)"",SheetsData,8,0),IF(ISERROR(FIND(""filler panel"",A125))=FALSE,((B125/"&amp;"1000)*(C125/1000))*VLOOKUP(KitchenDoorMaterial,SheetsData,8,0),IF(ISERROR(FIND(""shelf"",A125))=FALSE,((D125/1000)*(C125/1000))*VLOOKUP(KitchenCarcassMaterial,SheetsData,8,0),IF(ISERROR(FIND(""lost corner"",A125))=FALSE,VLOOKUP(LEFT(A125,FIND("" "",A125))"&amp;"&amp;""carcass ""&amp;VALUE(REGEXREPLACE(A125,""[^[:digit:]]"", """")),KitchensData,5,0)+((((B125/1000)*(C125/1000))+((B125/1000)*(60/1000)))*VLOOKUP(KitchenCarcassMaterial,SheetsData,8,0)),IF(ISERROR(FIND(""carcass"",A125))=FALSE,(((((B125/1000)*2)*(D125/1000))+"&amp;"(((C125/1000)*2)*(D125/1000)))*VLOOKUP(KitchenCarcassMaterial,SheetsData,8,0))+((B125/1000)*(C125/1000))*VLOOKUP(LEFT(KitchenCarcassMaterial,FIND(""("",KitchenCarcassMaterial)-1)&amp;IF(OR(ISERROR(FIND(""ply"",KitchenCarcassMaterial))=FALSE,ISERROR(FIND(""H/F"&amp;""",KitchenCarcassMaterial))=FALSE),""(9mm)"",""(10mm)""),SheetsData,8,0),IF(OR(ISERROR(FIND(""Plinth"",A125))=FALSE,ISERROR(FIND(""Cornice (flat)"",A125))=FALSE),((B125/1000)*(C125/1000))*VLOOKUP(""H/F (18mm)"",SheetsData,8,0),IF(ISERROR(FIND(""Cornice (s"&amp;"tacked)"",A125))=FALSE,((0.08*(C125/1000))*2)*VLOOKUP(""H/F (22mm)"",SheetsData,8,0),IF(ISERROR(FIND(""Base end panel"",A125))=FALSE,VLOOKUP(KitchenDoorMaterial,SheetsData,5,0)/3,IF(ISERROR(FIND(""Wall end panel"",A125))=FALSE,VLOOKUP(KitchenDoorMaterial,"&amp;"SheetsData,5,0)/9,IF(ISERROR(FIND(""Tower end panel"",A125))=FALSE,VLOOKUP(KitchenDoorMaterial,SheetsData,5,0),IF(ISERROR(FIND(""Fillers"",A125))=FALSE,(((0.06*(C125/1000))*2)*VLOOKUP(""H/F (18mm)"",SheetsData,8,0))+(((0.06*(C125/1000))*2)*VLOOKUP(""H/F ("&amp;"9mm)"",SheetsData,8,0)),IF(ISERROR(FIND(""corner post"",A125))=FALSE,(((B125/1000)*0.05)*2)*VLOOKUP(KitchenDoorMaterial,SheetsData,8,0),IF(ISERROR(FIND(""Pelmet"",A125))=FALSE,((((B125/1000)*(C125/1000))*2)*VLOOKUP(""H/F (18mm)"",SheetsData,8,0)),IF(ISERR"&amp;"OR(FIND(""door"",A125))=TRUE,""Check description"",IF(KitchenDoorStyle=""Flat"",((B125/1000)*(C125/1000))*VLOOKUP(KitchenDoorMaterial,SheetsData,8,0),IF(LEFT(KitchenDoorStyle,5)=""Panel"",(((((B125/1000)*2)*0.08)+((((C125/1000)-0.16)*2)*0.08))*VLOOKUP(""H"&amp;"/F (22mm)"",SheetsData,8,0))+(((B125/1000)-0.14)*((C125/1000)-0.14)*VLOOKUP(""H/F (9mm)"",SheetsData,8,0)),IF(KitchenDoorStyle=""In-frame flat"",((((((B125/1000)*0.019)*0.038)+((((C125-38)/1000)*0.038)*0.038))*2)*VLOOKUP(""Tulip (solid m3)"",SolidData,5,0"&amp;"))+(((B125-76)/1000)*((C125-38)/1000))*VLOOKUP(""H/F (22mm)"",SheetsData,8,0),IF(LEFT(KitchenDoorStyle,14)=""In-frame panel"",(((((((B125/1000)*0.019)*0.038)+((((C125-38)/1000)*0.038)*0.038))*2)*VLOOKUP(""Tulip (solid m3)"",SolidData,5,0))+(((((((B125-76)"&amp;"/1000)*2)*0.08)+(((((C125-198)/1000)*2)*0.08)))*VLOOKUP(""H/F (22mm)"",SheetsData,8,0))+(((B125-216)/1000)*((C125-178)/1000)*VLOOKUP(""H/F (9mm)"",SheetsData,8,0)))))))))))))))))))))))))))))))))"),"")</f>
        <v/>
      </c>
      <c r="F125" s="152" t="str">
        <f>IFERROR(__xludf.DUMMYFUNCTION("IF(OR(A125="""",AND(ISERROR(FIND(""drawer box"",A125))=FALSE,KitchenDrawerType=""Solid dovetail"")),"""",IF(ISERROR(FIND(""bins"",A125))=FALSE,VLOOKUP(""Base carcass 600"",KitchensData,6,0),IF(OR(ISERROR(FIND(""larder"",A125))=FALSE,ISERROR(FIND(""unit"","&amp;"A125))=FALSE),VLOOKUP(LEFT(A125,FIND("" "",A125))&amp;""carcass ""&amp;RIGHT(A125,LEN(A125)-len(regexextract(A125,"".* ""))),KitchensData,6,0),IF(ISERROR(FIND(""drawer front"",A125))=FALSE,IF(ISERROR(FIND(""veneer"",KitchenCarcassMaterial))=TRUE,0,(((B125+C125)/1"&amp;"000)*2)*VLOOKUP(""Edge banding (per M)"",SheetsData,5,0)),IF(ISERROR(FIND(""drawer box"",A125))=FALSE,IF(ISERROR(FIND(""veneer"",KitchenCarcassMaterial))=TRUE,0,(((C125+D125)/1000)*2)*VLOOKUP(""Edge banding (per M)"",SheetsData,5,0)),IF(ISERROR(FIND(""she"&amp;"lf"",A125))=FALSE,IF(ISERROR(FIND(""veneer"",KitchenCarcassMaterial))=TRUE,0,(C125/1000)*VLOOKUP(""Edge banding (per M)"",SheetsData,5,0)),IF(AND(ISERROR(FIND(""carcass"",A125))=FALSE,ISERROR(FIND(""shelf"",A125))=TRUE),IF(ISERROR(FIND(""veneer"",KitchenC"&amp;"arcassMaterial))=TRUE,0,((2*(B125+C125))/1000)*VLOOKUP(""Edge banding (per M)"",SheetsData,5,0)),IF(ISERROR(FIND(""door"",A125))=TRUE,"""",IF(ISERROR(FIND(""veneer"",KitchenDoorMaterial))=TRUE,"""",((2*(B125+C125))/1000)*VLOOKUP(""Edge banding (per M)"",S"&amp;"heetsData,5,0))))))))))"),"")</f>
        <v/>
      </c>
      <c r="G125" s="153" t="str">
        <f>IF(A125="","",IF(ISERROR(FIND("bins",A125))=FALSE,VLOOKUP("Base carcass 600",KitchensData,7,0),IF(OR(ISERROR(FIND("larder",A125))=FALSE,ISERROR(FIND("fridge/freezer",A125))=FALSE,ISERROR(FIND("double oven",A125))=FALSE,ISERROR(FIND("single oven",A125))=FALSE),VLOOKUP(LEFT(A125,FIND(" ",A125))&amp;"carcass "&amp;RIGHT(A125,LEN(A125)-(LEN(A125)-3)),KitchensData,7,0),IF(AND(ISERROR(FIND("carcass",A125))=FALSE,ISERROR(FIND("shelf",A125))=TRUE),IF(OR(ISERROR(FIND("Base",A125))=FALSE,ISERROR(FIND("Tower",A125))=FALSE),IF(OR(ISERROR(FIND("1200",A125))=FALSE, ISERROR(FIND("lost corner",A125))=FALSE),6*VLOOKUP("Plinth foot (2 Parts 80mm)",FurnitureData,5,0),4*VLOOKUP("Plinth foot (2 Parts 80mm)",FurnitureData,5,0)),""),""))))</f>
        <v/>
      </c>
      <c r="H125" s="115" t="str">
        <f>IF(OR(A125="",ISERROR(FIND("door",A125))=TRUE),"",IF(ISERROR(FIND("Wall",A125))=FALSE,VLOOKUP("Hinges &amp; plates (Hettich thick door)",FurnitureData,5,0)*2,IF(ISERROR(FIND("Base",A125))=FALSE,VLOOKUP("Hinges &amp; plates (Hettich thick door)",FurnitureData,5,0)*3,IF(ISERROR(FIND("Boiler",A125))=FALSE,VLOOKUP("Hinges &amp; plates (Hettich thick door)",FurnitureData,5,0)*4,IF(ISERROR(FIND("Tower",A125))=FALSE,VLOOKUP("Hinges &amp; plates (Hettich thick door)",FurnitureData,5,0)*5)))))</f>
        <v/>
      </c>
      <c r="I125" s="115" t="str">
        <f>IF(ISERROR(FIND("shelf",A125))=FALSE,(VLOOKUP("Shelf pegs",FurnitureData,5,0)/100)*4,"")</f>
        <v/>
      </c>
      <c r="J125" s="152" t="str">
        <f>IF(OR(ISERROR(FIND("fridge/freezer",A125))=FALSE,ISERROR(FIND("larder",A125))=FALSE,AND(ISERROR(FIND("Base",A125))=FALSE,ISERROR(FIND("bins",A125))=TRUE,ISERROR(FIND("no shelves",A125))=TRUE,OR(ISERROR(FIND("carcass",A125))=FALSE,ISERROR(FIND("unit",A125))=FALSE))),VLOOKUP("Deep shelf "&amp;C125,KitchensData,18,0),IF(AND(ISERROR(FIND("Wall",A125))=FALSE,ISERROR(FIND("carcass",A125))=FALSE),2*VLOOKUP("Shallow shelf "&amp;C125,KitchensData,18,0),IF(AND(ISERROR(FIND("Tower",A125))=FALSE,ISERROR(FIND("oven",A125))=FALSE),4*VLOOKUP("Deep shelf "&amp;C125,KitchensData,18,0),IF(AND(ISERROR(FIND("Tower",A125))=FALSE,ISERROR(FIND("carcass",A125))=FALSE),5*VLOOKUP("Deep shelf "&amp;C125,KitchensData,18,0),""))))</f>
        <v/>
      </c>
      <c r="K125" s="152" t="str">
        <f>IF(ISERROR(FIND("sink",A125))=FALSE,VLOOKUP("Sink liner - Aluminium "&amp;RIGHT(A125,LEN(A125)-22)&amp;"mm",ExceptionalData,5,0),IF(ISERROR(FIND("bins",A125))=FALSE,VLOOKUP("Drawer runners and clip set for bin unit (500) Dynapro",FurnitureData,5,0)+(2*VLOOKUP("Bin (42L Anthracite)",FurnitureData,5,0)),IF(ISERROR(FIND("larder",A125))=FALSE,VLOOKUP("Pull out larder unit 600mm",FurnitureData,5,0),IF(AND(ISERROR(FIND("drawer box",A125))=FALSE,ISERROR(FIND("internal",A125))=TRUE),VLOOKUP("Drawer runners and clip set (550) Dynapro",FurnitureData,5,0),IF(ISERROR(FIND("internal drawer box",A125))=FALSE,VLOOKUP("Drawer runners and clip set (450) Dynapro",FurnitureData,5,0),"")))))</f>
        <v/>
      </c>
      <c r="L125" s="152" t="str">
        <f t="shared" si="3"/>
        <v/>
      </c>
      <c r="M125" s="154" t="str">
        <f>IFERROR(__xludf.DUMMYFUNCTION("IF(A125="""","""",IF(OR(ISERROR(FIND(""larder"",A125))=FALSE,ISERROR(FIND(""unit"",A125))=FALSE),VLOOKUP(LEFT(A125,FIND("" "",A125))&amp;""carcass ""&amp;RIGHT(A125,LEN(A125)-len(regexextract(A125,"".* ""))),KitchensData,13,0),IF(ISERROR(FIND(""bins"",A125))=FALS"&amp;"E,0.95,IF(ISERROR(FIND(""Cutlery insert 600"",A125))=FALSE,1.3,IF(ISERROR(FIND(""Cutlery insert 1200"",A125))=FALSE,2,IF(ISERROR(FIND(""Pan/tray rack 600"",A125))=FALSE,3.25,IF(ISERROR(FIND(""Pan/tray rack 1200"",A125))=FALSE,5.9,IF(ISERROR(FIND(""split"""&amp;",A125))=FALSE,(((C125/1000)*0.022)*2)+VLOOKUP(SUBSTITUTE(A125,"" split"",""""),KitchensData,13,0),IF(AND(ISERROR(FIND(""drawer front"",A125))=FALSE,KitchenDoorStyle=""Flat""),(((B125/1000)*(C125/1000))*2)+((((B125+C125)/1000)*2)*0.022),IF(AND(ISERROR(FIND"&amp;"(""drawer front"",A125))=FALSE,LEFT(KitchenDoorStyle,5)=""Panel""),(((B125/1000)*(C125/1000))*2)+((((B125+C125)/1000)*2)*0.022)+((((C125/1000)-0.16)*0.013)*2)+((((D125/1000)-0.16)*0.013)*2),IF(AND(ISERROR(FIND(""drawer front"",A125))=FALSE,KitchenDoorStyl"&amp;"e=""In-frame flat""),((((B125-76)/1000)*((C125-38)/1000))*2)+(MID(KitchenDoorMaterial,FIND(""("",KitchenDoorMaterial)+1,2)/1000)*((((B125-76)+(C125-38))/1000)*2)+(((B125/1000)*0.032)*2)+((((B125-76)/1000)*0.032)*2)+(((B125/1000)*0.019)*4)+(((C125/1000)*0."&amp;"032)*2)+((((C125-38)/1000)*0.032)*2)+(((C125/1000)*0.038)*4),IF(AND(ISERROR(FIND(""drawer front"",A125))=FALSE,LEFT(KitchenDoorStyle,14)=""In-frame panel""),((((B125-76)/1000)*((C125-38)/1000))*2)+((MID(KitchenDoorMaterial,FIND(""("",KitchenDoorMaterial)+"&amp;"1,2)/1000)*((((B125-76)+(C125-38))/1000)*2))+((((B125-236)/1000)+((C125-198)/1000)*2)*0.013)+(((B125/1000)*0.032)*2)+((((B125-76)/1000)*0.032)*2)+(((B125/1000)*0.019)*4)+(((C125/1000)*0.032)*2)+((((C125-38)/1000)*0.032)*2)+(((C125/1000)*0.038)*4),IF(ISERR"&amp;"OR(FIND(""drawer box"",A125))=FALSE,((((B125/1000)*(D125/1000))+((B125/1000)*(C125/1000)))*4)+((((D125/1000)+(C125/1000))*0.016)*4)+(((C125/1000)*(D125/1000))*2),IF(OR(ISERROR(FIND(""shelf"",A125))=FALSE,ISERROR(FIND(""spacer"",A125))=FALSE,,ISERROR(FIND("&amp;"""filler panel"",A125))=FALSE),(((C125/1000)*(D125/1000))*2)+((((C125+D125)*2)/1000)*0.022),IF(ISERROR(FIND(""lost corner"",A125))=FALSE,(((B125/1000)*(C125/1000))*2)+((B125/1000)*(C125/1000))+((B125/1000)*((C125/2)/1000))+((((B125/1000)*0.025)+((C125/100"&amp;"0)*0.025))*2),IF(ISERROR(FIND(""carcass"",A125))=FALSE,(((C125/1000)*(D125/1000))*2)+(((B125/1000)*(D125/1000))*2)+((B125/1000)*(C125/1000))+((((B125/1000)*0.025)+((C125/1000)*0.025))*2),IF(AND(ISERROR(FIND(""door"",A125))=FALSE,KitchenDoorStyle=""Flat"")"&amp;",(((B125/1000)*(C125/1000))*2)+(MID(KitchenDoorMaterial,FIND(""("",KitchenDoorMaterial)+1,2)/1000)*(((B125+C125)/1000)*2),IF(AND(ISERROR(FIND(""door"",A125))=FALSE,LEFT(KitchenDoorStyle,5)=""Panel""),(((B125/1000)*(C125/1000))*2)+((MID(KitchenDoorMaterial"&amp;",FIND(""("",KitchenDoorMaterial)+1,2)/1000)*(((B125+C125)/1000)*2))+(((((B125-160)+(C125-160))*2)/1000)*(0.013)),IF(AND(ISERROR(FIND(""door"",A125))=FALSE,KitchenDoorStyle=""In-frame flat""),((((B125-76)/1000)*((C125-38)/1000))*2)+(MID(KitchenDoorMaterial"&amp;",FIND(""("",KitchenDoorMaterial)+1,2)/1000)*((((B125-76)+(C125-38))/1000)*2)+(((B125/1000)*0.032)*2)+((((B125-76)/1000)*0.032)*2)+(((B125/1000)*0.019)*4)+(((C125/1000)*0.032)*2)+((((C125-38)/1000)*0.032)*2)+(((C125/1000)*0.038)*4),IF(AND(ISERROR(FIND(""do"&amp;"or"",A125))=FALSE,LEFT(KitchenDoorStyle,14)=""In-frame panel""),((((B125-76)/1000)*((C125-38)/1000))*2)+((MID(KitchenDoorMaterial,FIND(""("",KitchenDoorMaterial)+1,2)/1000)*((((B125-76)+(C125-38))/1000)*2))+((((B125-236)/1000)+((C125-198)/1000)*2)*0.013)+"&amp;"(((B125/1000)*0.032)*2)+((((B125-76)/1000)*0.032)*2)+(((B125/1000)*0.019)*4)+(((C125/1000)*0.032)*2)+((((C125-38)/1000)*0.032)*2)+(((C125/1000)*0.038)*4),IF(ISERROR(FIND(""Plinth"",A125))=FALSE,((B125/1000)*(C125/1000))+(((C125/1000)*0.018)*2)+(((B125/100"&amp;"0)*0.018)*2),IF(ISERROR(FIND(""Cornice"",A125))=FALSE,(((C125/1000)*0.1)*2)+(((C125/1000)*0.044)*2)+(((B125/1000)*0.08)*2),IF(ISERROR(FIND(""Base end panel"",A125))=FALSE,((B125/1000)*(C125/1000))+(0.022*((B125/1000)+((C125/1000)*2)))+((B125/1000)*0.05),I"&amp;"F(ISERROR(FIND(""Wall end panel"",A125))=FALSE,((B125/1000)*(C125/1000))+(0.022*((B125/1000)+((C125/1000)*2)))+((B125/1000)*0.05),IF(ISERROR(FIND(""Tower end panel"",A125))=FALSE,((B125/1000)*(C125/1000))+(0.022*((B125/1000)+((C125/1000)*2)))+((B125/1000)"&amp;"*0.05),IF(ISERROR(FIND(""Fillers"",A125))=FALSE,((C125/1000)*0.06)+((C125/1000)*0.069)+((0.06*0.018)*2)+((0.06*0.009)*2)+((C125/1000)*0.009)+((C125/1000)*0.018),IF(ISERROR(FIND(""corner post"",A125))=FALSE,(((B125/1000*0.05)*2)+((B125/1000)*0.022)*2)+((B1"&amp;"25/1000)*0.072)+((B125/1000)*0.05)+((0.072*0.022)*2)+((0.05*0.022)*2),IF(ISERROR(FIND(""Pelmet"",A125))=FALSE,((C125/1000)*0.05)+((C125/1000)*0.068)+((0.05*0.018)*4)+(((C125/1000)*0.018))*2))))))))))))))))))))))))))))"),"")</f>
        <v/>
      </c>
      <c r="N125" s="152" t="str">
        <f>IF(M125="","",IF(AND(ISERROR(FIND("carcass",A125))=TRUE,ISERROR(FIND("unit",A125))=TRUE,ISERROR(FIND("insert",A125))=TRUE,ISERROR(FIND("rack",A125))=TRUE,ISERROR(FIND("box",A125))=TRUE,ISERROR(FIND("shelf",#REF!))=TRUE),VLOOKUP(KitchenDoorFinish,Finishing!$A$2:$K$10,9,0)*M125,VLOOKUP(KitchenCarcassFinish,Finishing!$A$2:$K$40,9,0)*M125))</f>
        <v/>
      </c>
      <c r="O125" s="155"/>
      <c r="P125" s="155"/>
      <c r="Q125" s="152" t="str">
        <f>IF(OR(O125="",P125=""),"",((O125*X125)*(VLOOKUP("Workshop",Labour!$A$3:$E$20,4,0)/8))+((P125*AE125)*(VLOOKUP("Finishing",Labour!$A$3:$E$20,4,0)/8)))</f>
        <v/>
      </c>
      <c r="R125" s="152" t="str">
        <f t="shared" si="4"/>
        <v/>
      </c>
      <c r="S125" s="156" t="str">
        <f>IF(OR(O125="",P125=""),"",IF(OR(ISERROR(FIND("carcass",$A125))=FALSE,ISERROR(FIND("unit",$A125))=FALSE),VLOOKUP(KitchenCarcassMaterial,FixedListsCarcassMaterial,2,0),0))</f>
        <v/>
      </c>
      <c r="T125" s="156" t="str">
        <f>IF(OR(O125="",P125=""),"",IF(ISERROR(FIND("door",$A125))=FALSE,VLOOKUP(KitchenDoorStyle,FixedListsDoorStyle,2,0),0))</f>
        <v/>
      </c>
      <c r="U125" s="156" t="str">
        <f>IF(OR(O125="",P125=""),"",IF(ISERROR(FIND("door",$A125))=FALSE,VLOOKUP(KitchenDoorMaterial,FixedListsDoorMaterial,2,0),0))</f>
        <v/>
      </c>
      <c r="V125" s="156" t="str">
        <f>IF(OR(O125="",P125=""),"",IF(ISERROR(FIND("drawer",$A125))=FALSE,VLOOKUP(KitchenDrawerType,FixedListsDrawerType,2,0),0))</f>
        <v/>
      </c>
      <c r="W125" s="156" t="str">
        <f>IF(OR(O125="",P125=""),"",IF(OR(S125&gt;0, T125&gt;0,V125&gt;0),VLOOKUP(KitchenHandleType,FixedListsHandleType,2,FALSE)*IF(KitchenHandleType="Simple",0,IF(S125&gt;0,VLOOKUP(KitchenHandleType,FixedListsHandleType,4,FALSE),IF(OR(T125&gt;0,V125&gt;0),1-VLOOKUP(KitchenHandleType,FixedListsHandleType,4,FALSE),"Error"))),0))</f>
        <v/>
      </c>
      <c r="X125" s="156" t="str">
        <f t="shared" si="5"/>
        <v/>
      </c>
      <c r="Y125" s="156" t="str">
        <f>IF(OR(O125="",P125=""),"",IF(OR(ISERROR(FIND("carcass",$A125))=FALSE,ISERROR(FIND("unit",$A125))=FALSE),VLOOKUP(KitchenCarcassMaterial,FixedListsCarcassMaterial,3,0),0))</f>
        <v/>
      </c>
      <c r="Z125" s="156" t="str">
        <f>IF(OR(O125="",P125=""),"",IF(ISERROR(FIND("door",$A125))=FALSE,VLOOKUP(KitchenDoorStyle,FixedListsDoorStyle,3,0),0))</f>
        <v/>
      </c>
      <c r="AA125" s="156" t="str">
        <f>IF(OR(O125="",P125=""),"",IF(ISERROR(FIND("door",$A125))=FALSE,VLOOKUP(KitchenDoorMaterial,FixedListsDoorMaterial,3,0),0))</f>
        <v/>
      </c>
      <c r="AB125" s="156" t="str">
        <f>IF(OR(O125="",P125=""),"",IF(ISERROR(FIND("drawer",$A125))=FALSE,VLOOKUP(KitchenDrawerType,FixedListsDrawerType,3,0),0))</f>
        <v/>
      </c>
      <c r="AC125" s="156" t="str">
        <f>IF(OR(O125="",P125=""),"",IF(OR(Y125&gt;0,Z125&gt;0,AB125&gt;0),VLOOKUP(KitchenHandleType,FixedListsHandleType,3,FALSE),0))</f>
        <v/>
      </c>
      <c r="AD125" s="156" t="str">
        <f>IF(OR(O125="",P125=""),"",IF(OR(ISERROR(FIND("carcass",$A125))=FALSE,ISERROR(FIND("unit",$A125))=FALSE),VLOOKUP(KitchenCarcassFinish,FixedListsFinishes,3,0),IF(OR(ISERROR(FIND("door",$A125))=FALSE,ISERROR(FIND("Plinth",$A125))=FALSE,ISERROR(FIND("Cornice",$A125))=FALSE,ISERROR(FIND("Fillers",$A125))=FALSE,ISERROR(FIND("Pelmet",$A125))=FALSE,ISERROR(FIND("panel",$A125))=FALSE,ISERROR(FIND("post",$A125))=FALSE),VLOOKUP(KitchenDoorFinish,FixedListsFinishes,3,0),IF(OR(ISERROR(FIND("drawer",$A125))=FALSE,ISERROR(FIND("insert",$A125))=FALSE,ISERROR(FIND("rck",$A125))=FALSE),VLOOKUP(KitchenCarcassFinish,FixedListsFinishes,3,0),0))))</f>
        <v/>
      </c>
      <c r="AE125" s="156" t="str">
        <f t="shared" si="6"/>
        <v/>
      </c>
      <c r="AF125" s="157" t="str">
        <f>IF(AND(KitchenHandleType="Channel",OR(ISERROR(FIND("arcass",$A125))=FALSE,ISERROR(FIND("unit",$A125))=FALSE)),IF(ISERROR(FIND("Tower",$A125))=TRUE,IF(KitchenHandleFinish="Match carcass",IF(ISERROR(FIND("Walnut",KitchenCarcassMaterial))=FALSE,(0.035*0.075*($C125/1000))*VLOOKUP("Walnut (solid m3)",SolidData,4,FALSE),IF(ISERROR(FIND("Oak",KitchenCarcassMaterial))=FALSE,(0.035*0.075*($C125/1000))*VLOOKUP("Oak (solid m3)",SolidData,4,FALSE),IF(ISERROR(FIND("ply",KitchenCarcassMaterial))=FALSE,(0.1*($C125/1000))*VLOOKUP("Birch ply (24mm)",SheetsData,7,FALSE),IF(ISERROR(FIND("H/F",KitchenCarcassMaterial))=FALSE,(0.1*($C125/1000))*VLOOKUP("H/F (22mm)",SheetsData,7,FALSE),"Carcass - not tower - new material")))),IF(KitchenHandleFinish="Match door",IF(ISERROR(FIND("Walnut",KitchenDoorMaterial))=FALSE,(0.035*0.075*($C125/1000))*VLOOKUP("Walnut (solid m3)",SolidData,4,FALSE),IF(ISERROR(FIND("Oak",KitchenDoorMaterial))=FALSE,(0.035*0.075*($C125/1000))*VLOOKUP("Oak (solid m3)",SolidData,4,FALSE),IF(ISERROR(FIND("ply",KitchenDoorMaterial))=FALSE,(0.1*($C125/1000))*VLOOKUP("Birch ply (24mm)",SheetsData,7,FALSE),IF(ISERROR(FIND("H/F",KitchenCarcassMaterial))=FALSE,(0.1*($C125/1000))*VLOOKUP("H/F (22mm)",SheetsData,7,FALSE),"Door - not tower - new material")))),"Channel - not tower - handle set to other")),IF(ISERROR(FIND("Tower",$A125))=FALSE,IF(KitchenHandleFinish="Match carcass",IF(ISERROR(FIND("Walnut",KitchenCarcassMaterial))=FALSE,(0.035*0.075*($B125/1000))*VLOOKUP("Walnut (solid m3)",SolidData,4,FALSE),IF(ISERROR(FIND("Oak",KitchenCarcassMaterial))=FALSE,(0.035*0.075*($B125/1000))*VLOOKUP("Oak (solid m3)",SolidData,4,FALSE),IF(ISERROR(FIND("ply",KitchenCarcassMaterial))=FALSE,(0.1*($B125/1000))*VLOOKUP("Birch ply (24mm)",SheetsData,7,FALSE),IF(ISERROR(FIND("H/F",KitchenCarcassMaterial))=FALSE,(0.1*($C125/1000))*VLOOKUP("H/F (22mm)",SheetsData,7,FALSE),"Carcass - tower - new material")))),IF(KitchenHandleFinish="Match door",IF(ISERROR(FIND("Walnut",KitchenDoorMaterial))=FALSE,(0.035*0.075*($B125/1000))*VLOOKUP("Walnut (solid m3)",SolidData,4,FALSE),IF(ISERROR(FIND("Oak",KitchenDoorMaterial))=FALSE,(0.035*0.075*($B125/1000))*VLOOKUP("Oak (solid m3)",SolidData,4,FALSE),IF(ISERROR(FIND("ply",KitchenDoorMaterial))=FALSE,(0.1*($B125/1000))*VLOOKUP("Birch ply (24mm)",SheetData,7,FALSE),IF(ISERROR(FIND("H/F",KitchenCarcassMaterial))=FALSE,(0.1*($C125/1000))*VLOOKUP("H/F (22mm)",SheetsData,7,FALSE),"Door - tower - new material")))),"Channel - tower - handle set to other")))),"")</f>
        <v/>
      </c>
    </row>
    <row r="126">
      <c r="A126" s="150"/>
      <c r="B126" s="115" t="str">
        <f t="shared" si="1"/>
        <v/>
      </c>
      <c r="C126" s="115" t="str">
        <f>IFERROR(__xludf.DUMMYFUNCTION("IF(A126="""","""",IF(OR(RIGHT(A126,LEN(A126)-len(regexextract(A126,"".* "")))=""1200"",RIGHT(A126,LEN(A126)-len(regexextract(A126,"".* "")))=""600"",RIGHT(A126,LEN(A126)-len(regexextract(A126,"".* "")))=""400"",RIGHT(A126,LEN(A126)-len(regexextract(A126,"&amp;""".* "")))=""300"",RIGHT(A126,LEN(A126)-len(regexextract(A126,"".* "")))=""700"",RIGHT(A126,LEN(A126)-len(regexextract(A126,"".* "")))=""2400"",RIGHT(A126,LEN(A126)-len(regexextract(A126,"".* "")))=""650"",RIGHT(A126,LEN(A126)-len(regexextract(A126,"".* "&amp;""")))=""350"",RIGHT(A126,LEN(A126)-len(regexextract(A126,"".* "")))=""50""),RIGHT(A126,LEN(A126)-len(regexextract(A126,"".* ""))),IF(OR(ISERROR(FIND(""spacer"",A126))=FALSE,ISERROR(FIND(""filler panel"",A126))=FALSE),""1000"",""Unexpected size in descript"&amp;"ion"")))"),"")</f>
        <v/>
      </c>
      <c r="D126" s="151" t="str">
        <f t="shared" si="2"/>
        <v/>
      </c>
      <c r="E126" s="152" t="str">
        <f>IFERROR(__xludf.DUMMYFUNCTION("IF(OR(A126="""",AND(ISERROR(FIND(""drawer box"",A126))=FALSE,KitchenDrawerType="""")),"""",IF(OR(ISERROR(FIND(""larder"",A126))=FALSE,ISERROR(FIND(""fridge/freezer"",A126))=FALSE,ISERROR(FIND(""double oven"",A126))=FALSE,ISERROR(FIND(""single oven"",A126)"&amp;")=FALSE),VLOOKUP(LEFT(A126,FIND("" "",A126))&amp;""carcass ""&amp;RIGHT(A126,LEN(A126)-(LEN(A126)-3)),KitchensData,5,0),IF(ISERROR(FIND(""sink"",A126))=FALSE,VLOOKUP(LEFT(A126,FIND("" "",A126))&amp;""carcass ""&amp;VALUE(REGEXREPLACE(A126,""[^[:digit:]]"", """")),Kitchen"&amp;"sData,5,0)+(((C126/1000)*(300/1000))*VLOOKUP(KitchenCarcassMaterial,SheetsData,8,0)),IF(ISERROR(FIND(""bins"",A126))=FALSE,IF(ISERROR(FIND(""veneer"",KitchenCarcassMaterial))=FALSE,VLOOKUP(""Base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600"",A126))=FALSE,IF(ISERR"&amp;"OR(FIND(""veneer"",KitchenCarcassMaterial))=FALSE,0.54*(VLOOKUP(LEFT(KitchenCarcassMaterial,FIND(""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1"&amp;"200"",A126))=FALSE,IF(ISERROR(FIND(""veneer"",KitchenCarcassMaterial))=FALSE,0.84*(VLOOKUP(LEFT(KitchenCarcassMaterial,FIND(""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600"",A126))=FALSE,IF(ISERROR(FIND(""veneer"",KitchenCarcassMaterial))=FALSE,1.44*(VLOOKUP(LEFT(KitchenCarcassMaterial,FIND(""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1200"",A126))=FALSE,IF(ISERROR(FIND(""veneer"",KitchenCarcassMaterial))=FALSE,2.7*(VLOOKUP(LEFT(KitchenCarcassMaterial,FIND(""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front"",A126))=FALSE,((B126/1000)*(C126/1000))*VLOOKUP(KitchenDoorMaterial,SheetsData,8,0),IF(AND(KitchenDrawerType=""Match carcass"",ISERROR(FIND(""drawer box"",A126))=FALSE),(((((B126/10"&amp;"00)*(C126/1000))+((B126/1000)*(D126/1000)))*2)*VLOOKUP(KitchenCarcassMaterial,SheetsData,8,0))+(((C126/1000)*(D126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box"",A126))=FALSE),(((((B126/1000)*(C126/1000))+((B126/1000)*(D126/1000)))*2)*(16/1000)*VLOOKUP(L"&amp;"EFT(KitchenCarcassMaterial,FIND("" "",KitchenCarcassMaterial))&amp;""(solid m3)"",SolidData,5,0))+(((C126/1000)*(D126/1000))*VLOOKUP(LEFT(KitchenCarcassMaterial,FIND(""("",KitchenCarcassMaterial)-1)&amp;IF(OR(ISERROR(FIND(""ply"",KitchenCarcassMaterial))=FALSE,IS"&amp;"ERROR(FIND(""H/F"",KitchenCarcassMaterial))=FALSE),""(9mm)"",""(10mm)""),SheetsData,8,0)),IF(ISERROR(FIND(""spacer"",A126))=FALSE,((D126/1000)*(C126/1000))*VLOOKUP(""Poplar ply (18mm)"",SheetsData,8,0),IF(ISERROR(FIND(""filler panel"",A126))=FALSE,((B126/"&amp;"1000)*(C126/1000))*VLOOKUP(KitchenDoorMaterial,SheetsData,8,0),IF(ISERROR(FIND(""shelf"",A126))=FALSE,((D126/1000)*(C126/1000))*VLOOKUP(KitchenCarcassMaterial,SheetsData,8,0),IF(ISERROR(FIND(""lost corner"",A126))=FALSE,VLOOKUP(LEFT(A126,FIND("" "",A126))"&amp;"&amp;""carcass ""&amp;VALUE(REGEXREPLACE(A126,""[^[:digit:]]"", """")),KitchensData,5,0)+((((B126/1000)*(C126/1000))+((B126/1000)*(60/1000)))*VLOOKUP(KitchenCarcassMaterial,SheetsData,8,0)),IF(ISERROR(FIND(""carcass"",A126))=FALSE,(((((B126/1000)*2)*(D126/1000))+"&amp;"(((C126/1000)*2)*(D126/1000)))*VLOOKUP(KitchenCarcassMaterial,SheetsData,8,0))+((B126/1000)*(C126/1000))*VLOOKUP(LEFT(KitchenCarcassMaterial,FIND(""("",KitchenCarcassMaterial)-1)&amp;IF(OR(ISERROR(FIND(""ply"",KitchenCarcassMaterial))=FALSE,ISERROR(FIND(""H/F"&amp;""",KitchenCarcassMaterial))=FALSE),""(9mm)"",""(10mm)""),SheetsData,8,0),IF(OR(ISERROR(FIND(""Plinth"",A126))=FALSE,ISERROR(FIND(""Cornice (flat)"",A126))=FALSE),((B126/1000)*(C126/1000))*VLOOKUP(""H/F (18mm)"",SheetsData,8,0),IF(ISERROR(FIND(""Cornice (s"&amp;"tacked)"",A126))=FALSE,((0.08*(C126/1000))*2)*VLOOKUP(""H/F (22mm)"",SheetsData,8,0),IF(ISERROR(FIND(""Base end panel"",A126))=FALSE,VLOOKUP(KitchenDoorMaterial,SheetsData,5,0)/3,IF(ISERROR(FIND(""Wall end panel"",A126))=FALSE,VLOOKUP(KitchenDoorMaterial,"&amp;"SheetsData,5,0)/9,IF(ISERROR(FIND(""Tower end panel"",A126))=FALSE,VLOOKUP(KitchenDoorMaterial,SheetsData,5,0),IF(ISERROR(FIND(""Fillers"",A126))=FALSE,(((0.06*(C126/1000))*2)*VLOOKUP(""H/F (18mm)"",SheetsData,8,0))+(((0.06*(C126/1000))*2)*VLOOKUP(""H/F ("&amp;"9mm)"",SheetsData,8,0)),IF(ISERROR(FIND(""corner post"",A126))=FALSE,(((B126/1000)*0.05)*2)*VLOOKUP(KitchenDoorMaterial,SheetsData,8,0),IF(ISERROR(FIND(""Pelmet"",A126))=FALSE,((((B126/1000)*(C126/1000))*2)*VLOOKUP(""H/F (18mm)"",SheetsData,8,0)),IF(ISERR"&amp;"OR(FIND(""door"",A126))=TRUE,""Check description"",IF(KitchenDoorStyle=""Flat"",((B126/1000)*(C126/1000))*VLOOKUP(KitchenDoorMaterial,SheetsData,8,0),IF(LEFT(KitchenDoorStyle,5)=""Panel"",(((((B126/1000)*2)*0.08)+((((C126/1000)-0.16)*2)*0.08))*VLOOKUP(""H"&amp;"/F (22mm)"",SheetsData,8,0))+(((B126/1000)-0.14)*((C126/1000)-0.14)*VLOOKUP(""H/F (9mm)"",SheetsData,8,0)),IF(KitchenDoorStyle=""In-frame flat"",((((((B126/1000)*0.019)*0.038)+((((C126-38)/1000)*0.038)*0.038))*2)*VLOOKUP(""Tulip (solid m3)"",SolidData,5,0"&amp;"))+(((B126-76)/1000)*((C126-38)/1000))*VLOOKUP(""H/F (22mm)"",SheetsData,8,0),IF(LEFT(KitchenDoorStyle,14)=""In-frame panel"",(((((((B126/1000)*0.019)*0.038)+((((C126-38)/1000)*0.038)*0.038))*2)*VLOOKUP(""Tulip (solid m3)"",SolidData,5,0))+(((((((B126-76)"&amp;"/1000)*2)*0.08)+(((((C126-198)/1000)*2)*0.08)))*VLOOKUP(""H/F (22mm)"",SheetsData,8,0))+(((B126-216)/1000)*((C126-178)/1000)*VLOOKUP(""H/F (9mm)"",SheetsData,8,0)))))))))))))))))))))))))))))))))"),"")</f>
        <v/>
      </c>
      <c r="F126" s="152" t="str">
        <f>IFERROR(__xludf.DUMMYFUNCTION("IF(OR(A126="""",AND(ISERROR(FIND(""drawer box"",A126))=FALSE,KitchenDrawerType=""Solid dovetail"")),"""",IF(ISERROR(FIND(""bins"",A126))=FALSE,VLOOKUP(""Base carcass 600"",KitchensData,6,0),IF(OR(ISERROR(FIND(""larder"",A126))=FALSE,ISERROR(FIND(""unit"","&amp;"A126))=FALSE),VLOOKUP(LEFT(A126,FIND("" "",A126))&amp;""carcass ""&amp;RIGHT(A126,LEN(A126)-len(regexextract(A126,"".* ""))),KitchensData,6,0),IF(ISERROR(FIND(""drawer front"",A126))=FALSE,IF(ISERROR(FIND(""veneer"",KitchenCarcassMaterial))=TRUE,0,(((B126+C126)/1"&amp;"000)*2)*VLOOKUP(""Edge banding (per M)"",SheetsData,5,0)),IF(ISERROR(FIND(""drawer box"",A126))=FALSE,IF(ISERROR(FIND(""veneer"",KitchenCarcassMaterial))=TRUE,0,(((C126+D126)/1000)*2)*VLOOKUP(""Edge banding (per M)"",SheetsData,5,0)),IF(ISERROR(FIND(""she"&amp;"lf"",A126))=FALSE,IF(ISERROR(FIND(""veneer"",KitchenCarcassMaterial))=TRUE,0,(C126/1000)*VLOOKUP(""Edge banding (per M)"",SheetsData,5,0)),IF(AND(ISERROR(FIND(""carcass"",A126))=FALSE,ISERROR(FIND(""shelf"",A126))=TRUE),IF(ISERROR(FIND(""veneer"",KitchenC"&amp;"arcassMaterial))=TRUE,0,((2*(B126+C126))/1000)*VLOOKUP(""Edge banding (per M)"",SheetsData,5,0)),IF(ISERROR(FIND(""door"",A126))=TRUE,"""",IF(ISERROR(FIND(""veneer"",KitchenDoorMaterial))=TRUE,"""",((2*(B126+C126))/1000)*VLOOKUP(""Edge banding (per M)"",S"&amp;"heetsData,5,0))))))))))"),"")</f>
        <v/>
      </c>
      <c r="G126" s="153" t="str">
        <f>IF(A126="","",IF(ISERROR(FIND("bins",A126))=FALSE,VLOOKUP("Base carcass 600",KitchensData,7,0),IF(OR(ISERROR(FIND("larder",A126))=FALSE,ISERROR(FIND("fridge/freezer",A126))=FALSE,ISERROR(FIND("double oven",A126))=FALSE,ISERROR(FIND("single oven",A126))=FALSE),VLOOKUP(LEFT(A126,FIND(" ",A126))&amp;"carcass "&amp;RIGHT(A126,LEN(A126)-(LEN(A126)-3)),KitchensData,7,0),IF(AND(ISERROR(FIND("carcass",A126))=FALSE,ISERROR(FIND("shelf",A126))=TRUE),IF(OR(ISERROR(FIND("Base",A126))=FALSE,ISERROR(FIND("Tower",A126))=FALSE),IF(OR(ISERROR(FIND("1200",A126))=FALSE, ISERROR(FIND("lost corner",A126))=FALSE),6*VLOOKUP("Plinth foot (2 Parts 80mm)",FurnitureData,5,0),4*VLOOKUP("Plinth foot (2 Parts 80mm)",FurnitureData,5,0)),""),""))))</f>
        <v/>
      </c>
      <c r="H126" s="115" t="str">
        <f>IF(OR(A126="",ISERROR(FIND("door",A126))=TRUE),"",IF(ISERROR(FIND("Wall",A126))=FALSE,VLOOKUP("Hinges &amp; plates (Hettich thick door)",FurnitureData,5,0)*2,IF(ISERROR(FIND("Base",A126))=FALSE,VLOOKUP("Hinges &amp; plates (Hettich thick door)",FurnitureData,5,0)*3,IF(ISERROR(FIND("Boiler",A126))=FALSE,VLOOKUP("Hinges &amp; plates (Hettich thick door)",FurnitureData,5,0)*4,IF(ISERROR(FIND("Tower",A126))=FALSE,VLOOKUP("Hinges &amp; plates (Hettich thick door)",FurnitureData,5,0)*5)))))</f>
        <v/>
      </c>
      <c r="I126" s="115" t="str">
        <f>IF(ISERROR(FIND("shelf",A126))=FALSE,(VLOOKUP("Shelf pegs",FurnitureData,5,0)/100)*4,"")</f>
        <v/>
      </c>
      <c r="J126" s="152" t="str">
        <f>IF(OR(ISERROR(FIND("fridge/freezer",A126))=FALSE,ISERROR(FIND("larder",A126))=FALSE,AND(ISERROR(FIND("Base",A126))=FALSE,ISERROR(FIND("bins",A126))=TRUE,ISERROR(FIND("no shelves",A126))=TRUE,OR(ISERROR(FIND("carcass",A126))=FALSE,ISERROR(FIND("unit",A126))=FALSE))),VLOOKUP("Deep shelf "&amp;C126,KitchensData,18,0),IF(AND(ISERROR(FIND("Wall",A126))=FALSE,ISERROR(FIND("carcass",A126))=FALSE),2*VLOOKUP("Shallow shelf "&amp;C126,KitchensData,18,0),IF(AND(ISERROR(FIND("Tower",A126))=FALSE,ISERROR(FIND("oven",A126))=FALSE),4*VLOOKUP("Deep shelf "&amp;C126,KitchensData,18,0),IF(AND(ISERROR(FIND("Tower",A126))=FALSE,ISERROR(FIND("carcass",A126))=FALSE),5*VLOOKUP("Deep shelf "&amp;C126,KitchensData,18,0),""))))</f>
        <v/>
      </c>
      <c r="K126" s="152" t="str">
        <f>IF(ISERROR(FIND("sink",A126))=FALSE,VLOOKUP("Sink liner - Aluminium "&amp;RIGHT(A126,LEN(A126)-22)&amp;"mm",ExceptionalData,5,0),IF(ISERROR(FIND("bins",A126))=FALSE,VLOOKUP("Drawer runners and clip set for bin unit (500) Dynapro",FurnitureData,5,0)+(2*VLOOKUP("Bin (42L Anthracite)",FurnitureData,5,0)),IF(ISERROR(FIND("larder",A126))=FALSE,VLOOKUP("Pull out larder unit 600mm",FurnitureData,5,0),IF(AND(ISERROR(FIND("drawer box",A126))=FALSE,ISERROR(FIND("internal",A126))=TRUE),VLOOKUP("Drawer runners and clip set (550) Dynapro",FurnitureData,5,0),IF(ISERROR(FIND("internal drawer box",A126))=FALSE,VLOOKUP("Drawer runners and clip set (450) Dynapro",FurnitureData,5,0),"")))))</f>
        <v/>
      </c>
      <c r="L126" s="152" t="str">
        <f t="shared" si="3"/>
        <v/>
      </c>
      <c r="M126" s="154" t="str">
        <f>IFERROR(__xludf.DUMMYFUNCTION("IF(A126="""","""",IF(OR(ISERROR(FIND(""larder"",A126))=FALSE,ISERROR(FIND(""unit"",A126))=FALSE),VLOOKUP(LEFT(A126,FIND("" "",A126))&amp;""carcass ""&amp;RIGHT(A126,LEN(A126)-len(regexextract(A126,"".* ""))),KitchensData,13,0),IF(ISERROR(FIND(""bins"",A126))=FALS"&amp;"E,0.95,IF(ISERROR(FIND(""Cutlery insert 600"",A126))=FALSE,1.3,IF(ISERROR(FIND(""Cutlery insert 1200"",A126))=FALSE,2,IF(ISERROR(FIND(""Pan/tray rack 600"",A126))=FALSE,3.25,IF(ISERROR(FIND(""Pan/tray rack 1200"",A126))=FALSE,5.9,IF(ISERROR(FIND(""split"""&amp;",A126))=FALSE,(((C126/1000)*0.022)*2)+VLOOKUP(SUBSTITUTE(A126,"" split"",""""),KitchensData,13,0),IF(AND(ISERROR(FIND(""drawer front"",A126))=FALSE,KitchenDoorStyle=""Flat""),(((B126/1000)*(C126/1000))*2)+((((B126+C126)/1000)*2)*0.022),IF(AND(ISERROR(FIND"&amp;"(""drawer front"",A126))=FALSE,LEFT(KitchenDoorStyle,5)=""Panel""),(((B126/1000)*(C126/1000))*2)+((((B126+C126)/1000)*2)*0.022)+((((C126/1000)-0.16)*0.013)*2)+((((D126/1000)-0.16)*0.013)*2),IF(AND(ISERROR(FIND(""drawer front"",A126))=FALSE,KitchenDoorStyl"&amp;"e=""In-frame flat""),((((B126-76)/1000)*((C126-38)/1000))*2)+(MID(KitchenDoorMaterial,FIND(""("",KitchenDoorMaterial)+1,2)/1000)*((((B126-76)+(C126-38))/1000)*2)+(((B126/1000)*0.032)*2)+((((B126-76)/1000)*0.032)*2)+(((B126/1000)*0.019)*4)+(((C126/1000)*0."&amp;"032)*2)+((((C126-38)/1000)*0.032)*2)+(((C126/1000)*0.038)*4),IF(AND(ISERROR(FIND(""drawer front"",A126))=FALSE,LEFT(KitchenDoorStyle,14)=""In-frame panel""),((((B126-76)/1000)*((C126-38)/1000))*2)+((MID(KitchenDoorMaterial,FIND(""("",KitchenDoorMaterial)+"&amp;"1,2)/1000)*((((B126-76)+(C126-38))/1000)*2))+((((B126-236)/1000)+((C126-198)/1000)*2)*0.013)+(((B126/1000)*0.032)*2)+((((B126-76)/1000)*0.032)*2)+(((B126/1000)*0.019)*4)+(((C126/1000)*0.032)*2)+((((C126-38)/1000)*0.032)*2)+(((C126/1000)*0.038)*4),IF(ISERR"&amp;"OR(FIND(""drawer box"",A126))=FALSE,((((B126/1000)*(D126/1000))+((B126/1000)*(C126/1000)))*4)+((((D126/1000)+(C126/1000))*0.016)*4)+(((C126/1000)*(D126/1000))*2),IF(OR(ISERROR(FIND(""shelf"",A126))=FALSE,ISERROR(FIND(""spacer"",A126))=FALSE,,ISERROR(FIND("&amp;"""filler panel"",A126))=FALSE),(((C126/1000)*(D126/1000))*2)+((((C126+D126)*2)/1000)*0.022),IF(ISERROR(FIND(""lost corner"",A126))=FALSE,(((B126/1000)*(C126/1000))*2)+((B126/1000)*(C126/1000))+((B126/1000)*((C126/2)/1000))+((((B126/1000)*0.025)+((C126/100"&amp;"0)*0.025))*2),IF(ISERROR(FIND(""carcass"",A126))=FALSE,(((C126/1000)*(D126/1000))*2)+(((B126/1000)*(D126/1000))*2)+((B126/1000)*(C126/1000))+((((B126/1000)*0.025)+((C126/1000)*0.025))*2),IF(AND(ISERROR(FIND(""door"",A126))=FALSE,KitchenDoorStyle=""Flat"")"&amp;",(((B126/1000)*(C126/1000))*2)+(MID(KitchenDoorMaterial,FIND(""("",KitchenDoorMaterial)+1,2)/1000)*(((B126+C126)/1000)*2),IF(AND(ISERROR(FIND(""door"",A126))=FALSE,LEFT(KitchenDoorStyle,5)=""Panel""),(((B126/1000)*(C126/1000))*2)+((MID(KitchenDoorMaterial"&amp;",FIND(""("",KitchenDoorMaterial)+1,2)/1000)*(((B126+C126)/1000)*2))+(((((B126-160)+(C126-160))*2)/1000)*(0.013)),IF(AND(ISERROR(FIND(""door"",A126))=FALSE,KitchenDoorStyle=""In-frame flat""),((((B126-76)/1000)*((C126-38)/1000))*2)+(MID(KitchenDoorMaterial"&amp;",FIND(""("",KitchenDoorMaterial)+1,2)/1000)*((((B126-76)+(C126-38))/1000)*2)+(((B126/1000)*0.032)*2)+((((B126-76)/1000)*0.032)*2)+(((B126/1000)*0.019)*4)+(((C126/1000)*0.032)*2)+((((C126-38)/1000)*0.032)*2)+(((C126/1000)*0.038)*4),IF(AND(ISERROR(FIND(""do"&amp;"or"",A126))=FALSE,LEFT(KitchenDoorStyle,14)=""In-frame panel""),((((B126-76)/1000)*((C126-38)/1000))*2)+((MID(KitchenDoorMaterial,FIND(""("",KitchenDoorMaterial)+1,2)/1000)*((((B126-76)+(C126-38))/1000)*2))+((((B126-236)/1000)+((C126-198)/1000)*2)*0.013)+"&amp;"(((B126/1000)*0.032)*2)+((((B126-76)/1000)*0.032)*2)+(((B126/1000)*0.019)*4)+(((C126/1000)*0.032)*2)+((((C126-38)/1000)*0.032)*2)+(((C126/1000)*0.038)*4),IF(ISERROR(FIND(""Plinth"",A126))=FALSE,((B126/1000)*(C126/1000))+(((C126/1000)*0.018)*2)+(((B126/100"&amp;"0)*0.018)*2),IF(ISERROR(FIND(""Cornice"",A126))=FALSE,(((C126/1000)*0.1)*2)+(((C126/1000)*0.044)*2)+(((B126/1000)*0.08)*2),IF(ISERROR(FIND(""Base end panel"",A126))=FALSE,((B126/1000)*(C126/1000))+(0.022*((B126/1000)+((C126/1000)*2)))+((B126/1000)*0.05),I"&amp;"F(ISERROR(FIND(""Wall end panel"",A126))=FALSE,((B126/1000)*(C126/1000))+(0.022*((B126/1000)+((C126/1000)*2)))+((B126/1000)*0.05),IF(ISERROR(FIND(""Tower end panel"",A126))=FALSE,((B126/1000)*(C126/1000))+(0.022*((B126/1000)+((C126/1000)*2)))+((B126/1000)"&amp;"*0.05),IF(ISERROR(FIND(""Fillers"",A126))=FALSE,((C126/1000)*0.06)+((C126/1000)*0.069)+((0.06*0.018)*2)+((0.06*0.009)*2)+((C126/1000)*0.009)+((C126/1000)*0.018),IF(ISERROR(FIND(""corner post"",A126))=FALSE,(((B126/1000*0.05)*2)+((B126/1000)*0.022)*2)+((B1"&amp;"26/1000)*0.072)+((B126/1000)*0.05)+((0.072*0.022)*2)+((0.05*0.022)*2),IF(ISERROR(FIND(""Pelmet"",A126))=FALSE,((C126/1000)*0.05)+((C126/1000)*0.068)+((0.05*0.018)*4)+(((C126/1000)*0.018))*2))))))))))))))))))))))))))))"),"")</f>
        <v/>
      </c>
      <c r="N126" s="152" t="str">
        <f>IF(M126="","",IF(AND(ISERROR(FIND("carcass",A126))=TRUE,ISERROR(FIND("unit",A126))=TRUE,ISERROR(FIND("insert",A126))=TRUE,ISERROR(FIND("rack",A126))=TRUE,ISERROR(FIND("box",A126))=TRUE,ISERROR(FIND("shelf",#REF!))=TRUE),VLOOKUP(KitchenDoorFinish,Finishing!$A$2:$K$10,9,0)*M126,VLOOKUP(KitchenCarcassFinish,Finishing!$A$2:$K$40,9,0)*M126))</f>
        <v/>
      </c>
      <c r="O126" s="155"/>
      <c r="P126" s="155"/>
      <c r="Q126" s="152" t="str">
        <f>IF(OR(O126="",P126=""),"",((O126*X126)*(VLOOKUP("Workshop",Labour!$A$3:$E$20,4,0)/8))+((P126*AE126)*(VLOOKUP("Finishing",Labour!$A$3:$E$20,4,0)/8)))</f>
        <v/>
      </c>
      <c r="R126" s="152" t="str">
        <f t="shared" si="4"/>
        <v/>
      </c>
      <c r="S126" s="156" t="str">
        <f>IF(OR(O126="",P126=""),"",IF(OR(ISERROR(FIND("carcass",$A126))=FALSE,ISERROR(FIND("unit",$A126))=FALSE),VLOOKUP(KitchenCarcassMaterial,FixedListsCarcassMaterial,2,0),0))</f>
        <v/>
      </c>
      <c r="T126" s="156" t="str">
        <f>IF(OR(O126="",P126=""),"",IF(ISERROR(FIND("door",$A126))=FALSE,VLOOKUP(KitchenDoorStyle,FixedListsDoorStyle,2,0),0))</f>
        <v/>
      </c>
      <c r="U126" s="156" t="str">
        <f>IF(OR(O126="",P126=""),"",IF(ISERROR(FIND("door",$A126))=FALSE,VLOOKUP(KitchenDoorMaterial,FixedListsDoorMaterial,2,0),0))</f>
        <v/>
      </c>
      <c r="V126" s="156" t="str">
        <f>IF(OR(O126="",P126=""),"",IF(ISERROR(FIND("drawer",$A126))=FALSE,VLOOKUP(KitchenDrawerType,FixedListsDrawerType,2,0),0))</f>
        <v/>
      </c>
      <c r="W126" s="156" t="str">
        <f>IF(OR(O126="",P126=""),"",IF(OR(S126&gt;0, T126&gt;0,V126&gt;0),VLOOKUP(KitchenHandleType,FixedListsHandleType,2,FALSE)*IF(KitchenHandleType="Simple",0,IF(S126&gt;0,VLOOKUP(KitchenHandleType,FixedListsHandleType,4,FALSE),IF(OR(T126&gt;0,V126&gt;0),1-VLOOKUP(KitchenHandleType,FixedListsHandleType,4,FALSE),"Error"))),0))</f>
        <v/>
      </c>
      <c r="X126" s="156" t="str">
        <f t="shared" si="5"/>
        <v/>
      </c>
      <c r="Y126" s="156" t="str">
        <f>IF(OR(O126="",P126=""),"",IF(OR(ISERROR(FIND("carcass",$A126))=FALSE,ISERROR(FIND("unit",$A126))=FALSE),VLOOKUP(KitchenCarcassMaterial,FixedListsCarcassMaterial,3,0),0))</f>
        <v/>
      </c>
      <c r="Z126" s="156" t="str">
        <f>IF(OR(O126="",P126=""),"",IF(ISERROR(FIND("door",$A126))=FALSE,VLOOKUP(KitchenDoorStyle,FixedListsDoorStyle,3,0),0))</f>
        <v/>
      </c>
      <c r="AA126" s="156" t="str">
        <f>IF(OR(O126="",P126=""),"",IF(ISERROR(FIND("door",$A126))=FALSE,VLOOKUP(KitchenDoorMaterial,FixedListsDoorMaterial,3,0),0))</f>
        <v/>
      </c>
      <c r="AB126" s="156" t="str">
        <f>IF(OR(O126="",P126=""),"",IF(ISERROR(FIND("drawer",$A126))=FALSE,VLOOKUP(KitchenDrawerType,FixedListsDrawerType,3,0),0))</f>
        <v/>
      </c>
      <c r="AC126" s="156" t="str">
        <f>IF(OR(O126="",P126=""),"",IF(OR(Y126&gt;0,Z126&gt;0,AB126&gt;0),VLOOKUP(KitchenHandleType,FixedListsHandleType,3,FALSE),0))</f>
        <v/>
      </c>
      <c r="AD126" s="156" t="str">
        <f>IF(OR(O126="",P126=""),"",IF(OR(ISERROR(FIND("carcass",$A126))=FALSE,ISERROR(FIND("unit",$A126))=FALSE),VLOOKUP(KitchenCarcassFinish,FixedListsFinishes,3,0),IF(OR(ISERROR(FIND("door",$A126))=FALSE,ISERROR(FIND("Plinth",$A126))=FALSE,ISERROR(FIND("Cornice",$A126))=FALSE,ISERROR(FIND("Fillers",$A126))=FALSE,ISERROR(FIND("Pelmet",$A126))=FALSE,ISERROR(FIND("panel",$A126))=FALSE,ISERROR(FIND("post",$A126))=FALSE),VLOOKUP(KitchenDoorFinish,FixedListsFinishes,3,0),IF(OR(ISERROR(FIND("drawer",$A126))=FALSE,ISERROR(FIND("insert",$A126))=FALSE,ISERROR(FIND("rck",$A126))=FALSE),VLOOKUP(KitchenCarcassFinish,FixedListsFinishes,3,0),0))))</f>
        <v/>
      </c>
      <c r="AE126" s="156" t="str">
        <f t="shared" si="6"/>
        <v/>
      </c>
      <c r="AF126" s="157" t="str">
        <f>IF(AND(KitchenHandleType="Channel",OR(ISERROR(FIND("arcass",$A126))=FALSE,ISERROR(FIND("unit",$A126))=FALSE)),IF(ISERROR(FIND("Tower",$A126))=TRUE,IF(KitchenHandleFinish="Match carcass",IF(ISERROR(FIND("Walnut",KitchenCarcassMaterial))=FALSE,(0.035*0.075*($C126/1000))*VLOOKUP("Walnut (solid m3)",SolidData,4,FALSE),IF(ISERROR(FIND("Oak",KitchenCarcassMaterial))=FALSE,(0.035*0.075*($C126/1000))*VLOOKUP("Oak (solid m3)",SolidData,4,FALSE),IF(ISERROR(FIND("ply",KitchenCarcassMaterial))=FALSE,(0.1*($C126/1000))*VLOOKUP("Birch ply (24mm)",SheetsData,7,FALSE),IF(ISERROR(FIND("H/F",KitchenCarcassMaterial))=FALSE,(0.1*($C126/1000))*VLOOKUP("H/F (22mm)",SheetsData,7,FALSE),"Carcass - not tower - new material")))),IF(KitchenHandleFinish="Match door",IF(ISERROR(FIND("Walnut",KitchenDoorMaterial))=FALSE,(0.035*0.075*($C126/1000))*VLOOKUP("Walnut (solid m3)",SolidData,4,FALSE),IF(ISERROR(FIND("Oak",KitchenDoorMaterial))=FALSE,(0.035*0.075*($C126/1000))*VLOOKUP("Oak (solid m3)",SolidData,4,FALSE),IF(ISERROR(FIND("ply",KitchenDoorMaterial))=FALSE,(0.1*($C126/1000))*VLOOKUP("Birch ply (24mm)",SheetsData,7,FALSE),IF(ISERROR(FIND("H/F",KitchenCarcassMaterial))=FALSE,(0.1*($C126/1000))*VLOOKUP("H/F (22mm)",SheetsData,7,FALSE),"Door - not tower - new material")))),"Channel - not tower - handle set to other")),IF(ISERROR(FIND("Tower",$A126))=FALSE,IF(KitchenHandleFinish="Match carcass",IF(ISERROR(FIND("Walnut",KitchenCarcassMaterial))=FALSE,(0.035*0.075*($B126/1000))*VLOOKUP("Walnut (solid m3)",SolidData,4,FALSE),IF(ISERROR(FIND("Oak",KitchenCarcassMaterial))=FALSE,(0.035*0.075*($B126/1000))*VLOOKUP("Oak (solid m3)",SolidData,4,FALSE),IF(ISERROR(FIND("ply",KitchenCarcassMaterial))=FALSE,(0.1*($B126/1000))*VLOOKUP("Birch ply (24mm)",SheetsData,7,FALSE),IF(ISERROR(FIND("H/F",KitchenCarcassMaterial))=FALSE,(0.1*($C126/1000))*VLOOKUP("H/F (22mm)",SheetsData,7,FALSE),"Carcass - tower - new material")))),IF(KitchenHandleFinish="Match door",IF(ISERROR(FIND("Walnut",KitchenDoorMaterial))=FALSE,(0.035*0.075*($B126/1000))*VLOOKUP("Walnut (solid m3)",SolidData,4,FALSE),IF(ISERROR(FIND("Oak",KitchenDoorMaterial))=FALSE,(0.035*0.075*($B126/1000))*VLOOKUP("Oak (solid m3)",SolidData,4,FALSE),IF(ISERROR(FIND("ply",KitchenDoorMaterial))=FALSE,(0.1*($B126/1000))*VLOOKUP("Birch ply (24mm)",SheetData,7,FALSE),IF(ISERROR(FIND("H/F",KitchenCarcassMaterial))=FALSE,(0.1*($C126/1000))*VLOOKUP("H/F (22mm)",SheetsData,7,FALSE),"Door - tower - new material")))),"Channel - tower - handle set to other")))),"")</f>
        <v/>
      </c>
    </row>
    <row r="127">
      <c r="A127" s="150"/>
      <c r="B127" s="115" t="str">
        <f t="shared" si="1"/>
        <v/>
      </c>
      <c r="C127" s="115" t="str">
        <f>IFERROR(__xludf.DUMMYFUNCTION("IF(A127="""","""",IF(OR(RIGHT(A127,LEN(A127)-len(regexextract(A127,"".* "")))=""1200"",RIGHT(A127,LEN(A127)-len(regexextract(A127,"".* "")))=""600"",RIGHT(A127,LEN(A127)-len(regexextract(A127,"".* "")))=""400"",RIGHT(A127,LEN(A127)-len(regexextract(A127,"&amp;""".* "")))=""300"",RIGHT(A127,LEN(A127)-len(regexextract(A127,"".* "")))=""700"",RIGHT(A127,LEN(A127)-len(regexextract(A127,"".* "")))=""2400"",RIGHT(A127,LEN(A127)-len(regexextract(A127,"".* "")))=""650"",RIGHT(A127,LEN(A127)-len(regexextract(A127,"".* "&amp;""")))=""350"",RIGHT(A127,LEN(A127)-len(regexextract(A127,"".* "")))=""50""),RIGHT(A127,LEN(A127)-len(regexextract(A127,"".* ""))),IF(OR(ISERROR(FIND(""spacer"",A127))=FALSE,ISERROR(FIND(""filler panel"",A127))=FALSE),""1000"",""Unexpected size in descript"&amp;"ion"")))"),"")</f>
        <v/>
      </c>
      <c r="D127" s="151" t="str">
        <f t="shared" si="2"/>
        <v/>
      </c>
      <c r="E127" s="152" t="str">
        <f>IFERROR(__xludf.DUMMYFUNCTION("IF(OR(A127="""",AND(ISERROR(FIND(""drawer box"",A127))=FALSE,KitchenDrawerType="""")),"""",IF(OR(ISERROR(FIND(""larder"",A127))=FALSE,ISERROR(FIND(""fridge/freezer"",A127))=FALSE,ISERROR(FIND(""double oven"",A127))=FALSE,ISERROR(FIND(""single oven"",A127)"&amp;")=FALSE),VLOOKUP(LEFT(A127,FIND("" "",A127))&amp;""carcass ""&amp;RIGHT(A127,LEN(A127)-(LEN(A127)-3)),KitchensData,5,0),IF(ISERROR(FIND(""sink"",A127))=FALSE,VLOOKUP(LEFT(A127,FIND("" "",A127))&amp;""carcass ""&amp;VALUE(REGEXREPLACE(A127,""[^[:digit:]]"", """")),Kitchen"&amp;"sData,5,0)+(((C127/1000)*(300/1000))*VLOOKUP(KitchenCarcassMaterial,SheetsData,8,0)),IF(ISERROR(FIND(""bins"",A127))=FALSE,IF(ISERROR(FIND(""veneer"",KitchenCarcassMaterial))=FALSE,VLOOKUP(""Base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600"",A127))=FALSE,IF(ISERR"&amp;"OR(FIND(""veneer"",KitchenCarcassMaterial))=FALSE,0.54*(VLOOKUP(LEFT(KitchenCarcassMaterial,FIND(""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1"&amp;"200"",A127))=FALSE,IF(ISERROR(FIND(""veneer"",KitchenCarcassMaterial))=FALSE,0.84*(VLOOKUP(LEFT(KitchenCarcassMaterial,FIND(""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600"",A127))=FALSE,IF(ISERROR(FIND(""veneer"",KitchenCarcassMaterial))=FALSE,1.44*(VLOOKUP(LEFT(KitchenCarcassMaterial,FIND(""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1200"",A127))=FALSE,IF(ISERROR(FIND(""veneer"",KitchenCarcassMaterial))=FALSE,2.7*(VLOOKUP(LEFT(KitchenCarcassMaterial,FIND(""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front"",A127))=FALSE,((B127/1000)*(C127/1000))*VLOOKUP(KitchenDoorMaterial,SheetsData,8,0),IF(AND(KitchenDrawerType=""Match carcass"",ISERROR(FIND(""drawer box"",A127))=FALSE),(((((B127/10"&amp;"00)*(C127/1000))+((B127/1000)*(D127/1000)))*2)*VLOOKUP(KitchenCarcassMaterial,SheetsData,8,0))+(((C127/1000)*(D127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box"",A127))=FALSE),(((((B127/1000)*(C127/1000))+((B127/1000)*(D127/1000)))*2)*(16/1000)*VLOOKUP(L"&amp;"EFT(KitchenCarcassMaterial,FIND("" "",KitchenCarcassMaterial))&amp;""(solid m3)"",SolidData,5,0))+(((C127/1000)*(D127/1000))*VLOOKUP(LEFT(KitchenCarcassMaterial,FIND(""("",KitchenCarcassMaterial)-1)&amp;IF(OR(ISERROR(FIND(""ply"",KitchenCarcassMaterial))=FALSE,IS"&amp;"ERROR(FIND(""H/F"",KitchenCarcassMaterial))=FALSE),""(9mm)"",""(10mm)""),SheetsData,8,0)),IF(ISERROR(FIND(""spacer"",A127))=FALSE,((D127/1000)*(C127/1000))*VLOOKUP(""Poplar ply (18mm)"",SheetsData,8,0),IF(ISERROR(FIND(""filler panel"",A127))=FALSE,((B127/"&amp;"1000)*(C127/1000))*VLOOKUP(KitchenDoorMaterial,SheetsData,8,0),IF(ISERROR(FIND(""shelf"",A127))=FALSE,((D127/1000)*(C127/1000))*VLOOKUP(KitchenCarcassMaterial,SheetsData,8,0),IF(ISERROR(FIND(""lost corner"",A127))=FALSE,VLOOKUP(LEFT(A127,FIND("" "",A127))"&amp;"&amp;""carcass ""&amp;VALUE(REGEXREPLACE(A127,""[^[:digit:]]"", """")),KitchensData,5,0)+((((B127/1000)*(C127/1000))+((B127/1000)*(60/1000)))*VLOOKUP(KitchenCarcassMaterial,SheetsData,8,0)),IF(ISERROR(FIND(""carcass"",A127))=FALSE,(((((B127/1000)*2)*(D127/1000))+"&amp;"(((C127/1000)*2)*(D127/1000)))*VLOOKUP(KitchenCarcassMaterial,SheetsData,8,0))+((B127/1000)*(C127/1000))*VLOOKUP(LEFT(KitchenCarcassMaterial,FIND(""("",KitchenCarcassMaterial)-1)&amp;IF(OR(ISERROR(FIND(""ply"",KitchenCarcassMaterial))=FALSE,ISERROR(FIND(""H/F"&amp;""",KitchenCarcassMaterial))=FALSE),""(9mm)"",""(10mm)""),SheetsData,8,0),IF(OR(ISERROR(FIND(""Plinth"",A127))=FALSE,ISERROR(FIND(""Cornice (flat)"",A127))=FALSE),((B127/1000)*(C127/1000))*VLOOKUP(""H/F (18mm)"",SheetsData,8,0),IF(ISERROR(FIND(""Cornice (s"&amp;"tacked)"",A127))=FALSE,((0.08*(C127/1000))*2)*VLOOKUP(""H/F (22mm)"",SheetsData,8,0),IF(ISERROR(FIND(""Base end panel"",A127))=FALSE,VLOOKUP(KitchenDoorMaterial,SheetsData,5,0)/3,IF(ISERROR(FIND(""Wall end panel"",A127))=FALSE,VLOOKUP(KitchenDoorMaterial,"&amp;"SheetsData,5,0)/9,IF(ISERROR(FIND(""Tower end panel"",A127))=FALSE,VLOOKUP(KitchenDoorMaterial,SheetsData,5,0),IF(ISERROR(FIND(""Fillers"",A127))=FALSE,(((0.06*(C127/1000))*2)*VLOOKUP(""H/F (18mm)"",SheetsData,8,0))+(((0.06*(C127/1000))*2)*VLOOKUP(""H/F ("&amp;"9mm)"",SheetsData,8,0)),IF(ISERROR(FIND(""corner post"",A127))=FALSE,(((B127/1000)*0.05)*2)*VLOOKUP(KitchenDoorMaterial,SheetsData,8,0),IF(ISERROR(FIND(""Pelmet"",A127))=FALSE,((((B127/1000)*(C127/1000))*2)*VLOOKUP(""H/F (18mm)"",SheetsData,8,0)),IF(ISERR"&amp;"OR(FIND(""door"",A127))=TRUE,""Check description"",IF(KitchenDoorStyle=""Flat"",((B127/1000)*(C127/1000))*VLOOKUP(KitchenDoorMaterial,SheetsData,8,0),IF(LEFT(KitchenDoorStyle,5)=""Panel"",(((((B127/1000)*2)*0.08)+((((C127/1000)-0.16)*2)*0.08))*VLOOKUP(""H"&amp;"/F (22mm)"",SheetsData,8,0))+(((B127/1000)-0.14)*((C127/1000)-0.14)*VLOOKUP(""H/F (9mm)"",SheetsData,8,0)),IF(KitchenDoorStyle=""In-frame flat"",((((((B127/1000)*0.019)*0.038)+((((C127-38)/1000)*0.038)*0.038))*2)*VLOOKUP(""Tulip (solid m3)"",SolidData,5,0"&amp;"))+(((B127-76)/1000)*((C127-38)/1000))*VLOOKUP(""H/F (22mm)"",SheetsData,8,0),IF(LEFT(KitchenDoorStyle,14)=""In-frame panel"",(((((((B127/1000)*0.019)*0.038)+((((C127-38)/1000)*0.038)*0.038))*2)*VLOOKUP(""Tulip (solid m3)"",SolidData,5,0))+(((((((B127-76)"&amp;"/1000)*2)*0.08)+(((((C127-198)/1000)*2)*0.08)))*VLOOKUP(""H/F (22mm)"",SheetsData,8,0))+(((B127-216)/1000)*((C127-178)/1000)*VLOOKUP(""H/F (9mm)"",SheetsData,8,0)))))))))))))))))))))))))))))))))"),"")</f>
        <v/>
      </c>
      <c r="F127" s="152" t="str">
        <f>IFERROR(__xludf.DUMMYFUNCTION("IF(OR(A127="""",AND(ISERROR(FIND(""drawer box"",A127))=FALSE,KitchenDrawerType=""Solid dovetail"")),"""",IF(ISERROR(FIND(""bins"",A127))=FALSE,VLOOKUP(""Base carcass 600"",KitchensData,6,0),IF(OR(ISERROR(FIND(""larder"",A127))=FALSE,ISERROR(FIND(""unit"","&amp;"A127))=FALSE),VLOOKUP(LEFT(A127,FIND("" "",A127))&amp;""carcass ""&amp;RIGHT(A127,LEN(A127)-len(regexextract(A127,"".* ""))),KitchensData,6,0),IF(ISERROR(FIND(""drawer front"",A127))=FALSE,IF(ISERROR(FIND(""veneer"",KitchenCarcassMaterial))=TRUE,0,(((B127+C127)/1"&amp;"000)*2)*VLOOKUP(""Edge banding (per M)"",SheetsData,5,0)),IF(ISERROR(FIND(""drawer box"",A127))=FALSE,IF(ISERROR(FIND(""veneer"",KitchenCarcassMaterial))=TRUE,0,(((C127+D127)/1000)*2)*VLOOKUP(""Edge banding (per M)"",SheetsData,5,0)),IF(ISERROR(FIND(""she"&amp;"lf"",A127))=FALSE,IF(ISERROR(FIND(""veneer"",KitchenCarcassMaterial))=TRUE,0,(C127/1000)*VLOOKUP(""Edge banding (per M)"",SheetsData,5,0)),IF(AND(ISERROR(FIND(""carcass"",A127))=FALSE,ISERROR(FIND(""shelf"",A127))=TRUE),IF(ISERROR(FIND(""veneer"",KitchenC"&amp;"arcassMaterial))=TRUE,0,((2*(B127+C127))/1000)*VLOOKUP(""Edge banding (per M)"",SheetsData,5,0)),IF(ISERROR(FIND(""door"",A127))=TRUE,"""",IF(ISERROR(FIND(""veneer"",KitchenDoorMaterial))=TRUE,"""",((2*(B127+C127))/1000)*VLOOKUP(""Edge banding (per M)"",S"&amp;"heetsData,5,0))))))))))"),"")</f>
        <v/>
      </c>
      <c r="G127" s="153" t="str">
        <f>IF(A127="","",IF(ISERROR(FIND("bins",A127))=FALSE,VLOOKUP("Base carcass 600",KitchensData,7,0),IF(OR(ISERROR(FIND("larder",A127))=FALSE,ISERROR(FIND("fridge/freezer",A127))=FALSE,ISERROR(FIND("double oven",A127))=FALSE,ISERROR(FIND("single oven",A127))=FALSE),VLOOKUP(LEFT(A127,FIND(" ",A127))&amp;"carcass "&amp;RIGHT(A127,LEN(A127)-(LEN(A127)-3)),KitchensData,7,0),IF(AND(ISERROR(FIND("carcass",A127))=FALSE,ISERROR(FIND("shelf",A127))=TRUE),IF(OR(ISERROR(FIND("Base",A127))=FALSE,ISERROR(FIND("Tower",A127))=FALSE),IF(OR(ISERROR(FIND("1200",A127))=FALSE, ISERROR(FIND("lost corner",A127))=FALSE),6*VLOOKUP("Plinth foot (2 Parts 80mm)",FurnitureData,5,0),4*VLOOKUP("Plinth foot (2 Parts 80mm)",FurnitureData,5,0)),""),""))))</f>
        <v/>
      </c>
      <c r="H127" s="115" t="str">
        <f>IF(OR(A127="",ISERROR(FIND("door",A127))=TRUE),"",IF(ISERROR(FIND("Wall",A127))=FALSE,VLOOKUP("Hinges &amp; plates (Hettich thick door)",FurnitureData,5,0)*2,IF(ISERROR(FIND("Base",A127))=FALSE,VLOOKUP("Hinges &amp; plates (Hettich thick door)",FurnitureData,5,0)*3,IF(ISERROR(FIND("Boiler",A127))=FALSE,VLOOKUP("Hinges &amp; plates (Hettich thick door)",FurnitureData,5,0)*4,IF(ISERROR(FIND("Tower",A127))=FALSE,VLOOKUP("Hinges &amp; plates (Hettich thick door)",FurnitureData,5,0)*5)))))</f>
        <v/>
      </c>
      <c r="I127" s="115" t="str">
        <f>IF(ISERROR(FIND("shelf",A127))=FALSE,(VLOOKUP("Shelf pegs",FurnitureData,5,0)/100)*4,"")</f>
        <v/>
      </c>
      <c r="J127" s="152" t="str">
        <f>IF(OR(ISERROR(FIND("fridge/freezer",A127))=FALSE,ISERROR(FIND("larder",A127))=FALSE,AND(ISERROR(FIND("Base",A127))=FALSE,ISERROR(FIND("bins",A127))=TRUE,ISERROR(FIND("no shelves",A127))=TRUE,OR(ISERROR(FIND("carcass",A127))=FALSE,ISERROR(FIND("unit",A127))=FALSE))),VLOOKUP("Deep shelf "&amp;C127,KitchensData,18,0),IF(AND(ISERROR(FIND("Wall",A127))=FALSE,ISERROR(FIND("carcass",A127))=FALSE),2*VLOOKUP("Shallow shelf "&amp;C127,KitchensData,18,0),IF(AND(ISERROR(FIND("Tower",A127))=FALSE,ISERROR(FIND("oven",A127))=FALSE),4*VLOOKUP("Deep shelf "&amp;C127,KitchensData,18,0),IF(AND(ISERROR(FIND("Tower",A127))=FALSE,ISERROR(FIND("carcass",A127))=FALSE),5*VLOOKUP("Deep shelf "&amp;C127,KitchensData,18,0),""))))</f>
        <v/>
      </c>
      <c r="K127" s="152" t="str">
        <f>IF(ISERROR(FIND("sink",A127))=FALSE,VLOOKUP("Sink liner - Aluminium "&amp;RIGHT(A127,LEN(A127)-22)&amp;"mm",ExceptionalData,5,0),IF(ISERROR(FIND("bins",A127))=FALSE,VLOOKUP("Drawer runners and clip set for bin unit (500) Dynapro",FurnitureData,5,0)+(2*VLOOKUP("Bin (42L Anthracite)",FurnitureData,5,0)),IF(ISERROR(FIND("larder",A127))=FALSE,VLOOKUP("Pull out larder unit 600mm",FurnitureData,5,0),IF(AND(ISERROR(FIND("drawer box",A127))=FALSE,ISERROR(FIND("internal",A127))=TRUE),VLOOKUP("Drawer runners and clip set (550) Dynapro",FurnitureData,5,0),IF(ISERROR(FIND("internal drawer box",A127))=FALSE,VLOOKUP("Drawer runners and clip set (450) Dynapro",FurnitureData,5,0),"")))))</f>
        <v/>
      </c>
      <c r="L127" s="152" t="str">
        <f t="shared" si="3"/>
        <v/>
      </c>
      <c r="M127" s="154" t="str">
        <f>IFERROR(__xludf.DUMMYFUNCTION("IF(A127="""","""",IF(OR(ISERROR(FIND(""larder"",A127))=FALSE,ISERROR(FIND(""unit"",A127))=FALSE),VLOOKUP(LEFT(A127,FIND("" "",A127))&amp;""carcass ""&amp;RIGHT(A127,LEN(A127)-len(regexextract(A127,"".* ""))),KitchensData,13,0),IF(ISERROR(FIND(""bins"",A127))=FALS"&amp;"E,0.95,IF(ISERROR(FIND(""Cutlery insert 600"",A127))=FALSE,1.3,IF(ISERROR(FIND(""Cutlery insert 1200"",A127))=FALSE,2,IF(ISERROR(FIND(""Pan/tray rack 600"",A127))=FALSE,3.25,IF(ISERROR(FIND(""Pan/tray rack 1200"",A127))=FALSE,5.9,IF(ISERROR(FIND(""split"""&amp;",A127))=FALSE,(((C127/1000)*0.022)*2)+VLOOKUP(SUBSTITUTE(A127,"" split"",""""),KitchensData,13,0),IF(AND(ISERROR(FIND(""drawer front"",A127))=FALSE,KitchenDoorStyle=""Flat""),(((B127/1000)*(C127/1000))*2)+((((B127+C127)/1000)*2)*0.022),IF(AND(ISERROR(FIND"&amp;"(""drawer front"",A127))=FALSE,LEFT(KitchenDoorStyle,5)=""Panel""),(((B127/1000)*(C127/1000))*2)+((((B127+C127)/1000)*2)*0.022)+((((C127/1000)-0.16)*0.013)*2)+((((D127/1000)-0.16)*0.013)*2),IF(AND(ISERROR(FIND(""drawer front"",A127))=FALSE,KitchenDoorStyl"&amp;"e=""In-frame flat""),((((B127-76)/1000)*((C127-38)/1000))*2)+(MID(KitchenDoorMaterial,FIND(""("",KitchenDoorMaterial)+1,2)/1000)*((((B127-76)+(C127-38))/1000)*2)+(((B127/1000)*0.032)*2)+((((B127-76)/1000)*0.032)*2)+(((B127/1000)*0.019)*4)+(((C127/1000)*0."&amp;"032)*2)+((((C127-38)/1000)*0.032)*2)+(((C127/1000)*0.038)*4),IF(AND(ISERROR(FIND(""drawer front"",A127))=FALSE,LEFT(KitchenDoorStyle,14)=""In-frame panel""),((((B127-76)/1000)*((C127-38)/1000))*2)+((MID(KitchenDoorMaterial,FIND(""("",KitchenDoorMaterial)+"&amp;"1,2)/1000)*((((B127-76)+(C127-38))/1000)*2))+((((B127-236)/1000)+((C127-198)/1000)*2)*0.013)+(((B127/1000)*0.032)*2)+((((B127-76)/1000)*0.032)*2)+(((B127/1000)*0.019)*4)+(((C127/1000)*0.032)*2)+((((C127-38)/1000)*0.032)*2)+(((C127/1000)*0.038)*4),IF(ISERR"&amp;"OR(FIND(""drawer box"",A127))=FALSE,((((B127/1000)*(D127/1000))+((B127/1000)*(C127/1000)))*4)+((((D127/1000)+(C127/1000))*0.016)*4)+(((C127/1000)*(D127/1000))*2),IF(OR(ISERROR(FIND(""shelf"",A127))=FALSE,ISERROR(FIND(""spacer"",A127))=FALSE,,ISERROR(FIND("&amp;"""filler panel"",A127))=FALSE),(((C127/1000)*(D127/1000))*2)+((((C127+D127)*2)/1000)*0.022),IF(ISERROR(FIND(""lost corner"",A127))=FALSE,(((B127/1000)*(C127/1000))*2)+((B127/1000)*(C127/1000))+((B127/1000)*((C127/2)/1000))+((((B127/1000)*0.025)+((C127/100"&amp;"0)*0.025))*2),IF(ISERROR(FIND(""carcass"",A127))=FALSE,(((C127/1000)*(D127/1000))*2)+(((B127/1000)*(D127/1000))*2)+((B127/1000)*(C127/1000))+((((B127/1000)*0.025)+((C127/1000)*0.025))*2),IF(AND(ISERROR(FIND(""door"",A127))=FALSE,KitchenDoorStyle=""Flat"")"&amp;",(((B127/1000)*(C127/1000))*2)+(MID(KitchenDoorMaterial,FIND(""("",KitchenDoorMaterial)+1,2)/1000)*(((B127+C127)/1000)*2),IF(AND(ISERROR(FIND(""door"",A127))=FALSE,LEFT(KitchenDoorStyle,5)=""Panel""),(((B127/1000)*(C127/1000))*2)+((MID(KitchenDoorMaterial"&amp;",FIND(""("",KitchenDoorMaterial)+1,2)/1000)*(((B127+C127)/1000)*2))+(((((B127-160)+(C127-160))*2)/1000)*(0.013)),IF(AND(ISERROR(FIND(""door"",A127))=FALSE,KitchenDoorStyle=""In-frame flat""),((((B127-76)/1000)*((C127-38)/1000))*2)+(MID(KitchenDoorMaterial"&amp;",FIND(""("",KitchenDoorMaterial)+1,2)/1000)*((((B127-76)+(C127-38))/1000)*2)+(((B127/1000)*0.032)*2)+((((B127-76)/1000)*0.032)*2)+(((B127/1000)*0.019)*4)+(((C127/1000)*0.032)*2)+((((C127-38)/1000)*0.032)*2)+(((C127/1000)*0.038)*4),IF(AND(ISERROR(FIND(""do"&amp;"or"",A127))=FALSE,LEFT(KitchenDoorStyle,14)=""In-frame panel""),((((B127-76)/1000)*((C127-38)/1000))*2)+((MID(KitchenDoorMaterial,FIND(""("",KitchenDoorMaterial)+1,2)/1000)*((((B127-76)+(C127-38))/1000)*2))+((((B127-236)/1000)+((C127-198)/1000)*2)*0.013)+"&amp;"(((B127/1000)*0.032)*2)+((((B127-76)/1000)*0.032)*2)+(((B127/1000)*0.019)*4)+(((C127/1000)*0.032)*2)+((((C127-38)/1000)*0.032)*2)+(((C127/1000)*0.038)*4),IF(ISERROR(FIND(""Plinth"",A127))=FALSE,((B127/1000)*(C127/1000))+(((C127/1000)*0.018)*2)+(((B127/100"&amp;"0)*0.018)*2),IF(ISERROR(FIND(""Cornice"",A127))=FALSE,(((C127/1000)*0.1)*2)+(((C127/1000)*0.044)*2)+(((B127/1000)*0.08)*2),IF(ISERROR(FIND(""Base end panel"",A127))=FALSE,((B127/1000)*(C127/1000))+(0.022*((B127/1000)+((C127/1000)*2)))+((B127/1000)*0.05),I"&amp;"F(ISERROR(FIND(""Wall end panel"",A127))=FALSE,((B127/1000)*(C127/1000))+(0.022*((B127/1000)+((C127/1000)*2)))+((B127/1000)*0.05),IF(ISERROR(FIND(""Tower end panel"",A127))=FALSE,((B127/1000)*(C127/1000))+(0.022*((B127/1000)+((C127/1000)*2)))+((B127/1000)"&amp;"*0.05),IF(ISERROR(FIND(""Fillers"",A127))=FALSE,((C127/1000)*0.06)+((C127/1000)*0.069)+((0.06*0.018)*2)+((0.06*0.009)*2)+((C127/1000)*0.009)+((C127/1000)*0.018),IF(ISERROR(FIND(""corner post"",A127))=FALSE,(((B127/1000*0.05)*2)+((B127/1000)*0.022)*2)+((B1"&amp;"27/1000)*0.072)+((B127/1000)*0.05)+((0.072*0.022)*2)+((0.05*0.022)*2),IF(ISERROR(FIND(""Pelmet"",A127))=FALSE,((C127/1000)*0.05)+((C127/1000)*0.068)+((0.05*0.018)*4)+(((C127/1000)*0.018))*2))))))))))))))))))))))))))))"),"")</f>
        <v/>
      </c>
      <c r="N127" s="152" t="str">
        <f>IF(M127="","",IF(AND(ISERROR(FIND("carcass",A127))=TRUE,ISERROR(FIND("unit",A127))=TRUE,ISERROR(FIND("insert",A127))=TRUE,ISERROR(FIND("rack",A127))=TRUE,ISERROR(FIND("box",A127))=TRUE,ISERROR(FIND("shelf",#REF!))=TRUE),VLOOKUP(KitchenDoorFinish,Finishing!$A$2:$K$10,9,0)*M127,VLOOKUP(KitchenCarcassFinish,Finishing!$A$2:$K$40,9,0)*M127))</f>
        <v/>
      </c>
      <c r="O127" s="155"/>
      <c r="P127" s="155"/>
      <c r="Q127" s="152" t="str">
        <f>IF(OR(O127="",P127=""),"",((O127*X127)*(VLOOKUP("Workshop",Labour!$A$3:$E$20,4,0)/8))+((P127*AE127)*(VLOOKUP("Finishing",Labour!$A$3:$E$20,4,0)/8)))</f>
        <v/>
      </c>
      <c r="R127" s="152" t="str">
        <f t="shared" si="4"/>
        <v/>
      </c>
      <c r="S127" s="156" t="str">
        <f>IF(OR(O127="",P127=""),"",IF(OR(ISERROR(FIND("carcass",$A127))=FALSE,ISERROR(FIND("unit",$A127))=FALSE),VLOOKUP(KitchenCarcassMaterial,FixedListsCarcassMaterial,2,0),0))</f>
        <v/>
      </c>
      <c r="T127" s="156" t="str">
        <f>IF(OR(O127="",P127=""),"",IF(ISERROR(FIND("door",$A127))=FALSE,VLOOKUP(KitchenDoorStyle,FixedListsDoorStyle,2,0),0))</f>
        <v/>
      </c>
      <c r="U127" s="156" t="str">
        <f>IF(OR(O127="",P127=""),"",IF(ISERROR(FIND("door",$A127))=FALSE,VLOOKUP(KitchenDoorMaterial,FixedListsDoorMaterial,2,0),0))</f>
        <v/>
      </c>
      <c r="V127" s="156" t="str">
        <f>IF(OR(O127="",P127=""),"",IF(ISERROR(FIND("drawer",$A127))=FALSE,VLOOKUP(KitchenDrawerType,FixedListsDrawerType,2,0),0))</f>
        <v/>
      </c>
      <c r="W127" s="156" t="str">
        <f>IF(OR(O127="",P127=""),"",IF(OR(S127&gt;0, T127&gt;0,V127&gt;0),VLOOKUP(KitchenHandleType,FixedListsHandleType,2,FALSE)*IF(KitchenHandleType="Simple",0,IF(S127&gt;0,VLOOKUP(KitchenHandleType,FixedListsHandleType,4,FALSE),IF(OR(T127&gt;0,V127&gt;0),1-VLOOKUP(KitchenHandleType,FixedListsHandleType,4,FALSE),"Error"))),0))</f>
        <v/>
      </c>
      <c r="X127" s="156" t="str">
        <f t="shared" si="5"/>
        <v/>
      </c>
      <c r="Y127" s="156" t="str">
        <f>IF(OR(O127="",P127=""),"",IF(OR(ISERROR(FIND("carcass",$A127))=FALSE,ISERROR(FIND("unit",$A127))=FALSE),VLOOKUP(KitchenCarcassMaterial,FixedListsCarcassMaterial,3,0),0))</f>
        <v/>
      </c>
      <c r="Z127" s="156" t="str">
        <f>IF(OR(O127="",P127=""),"",IF(ISERROR(FIND("door",$A127))=FALSE,VLOOKUP(KitchenDoorStyle,FixedListsDoorStyle,3,0),0))</f>
        <v/>
      </c>
      <c r="AA127" s="156" t="str">
        <f>IF(OR(O127="",P127=""),"",IF(ISERROR(FIND("door",$A127))=FALSE,VLOOKUP(KitchenDoorMaterial,FixedListsDoorMaterial,3,0),0))</f>
        <v/>
      </c>
      <c r="AB127" s="156" t="str">
        <f>IF(OR(O127="",P127=""),"",IF(ISERROR(FIND("drawer",$A127))=FALSE,VLOOKUP(KitchenDrawerType,FixedListsDrawerType,3,0),0))</f>
        <v/>
      </c>
      <c r="AC127" s="156" t="str">
        <f>IF(OR(O127="",P127=""),"",IF(OR(Y127&gt;0,Z127&gt;0,AB127&gt;0),VLOOKUP(KitchenHandleType,FixedListsHandleType,3,FALSE),0))</f>
        <v/>
      </c>
      <c r="AD127" s="156" t="str">
        <f>IF(OR(O127="",P127=""),"",IF(OR(ISERROR(FIND("carcass",$A127))=FALSE,ISERROR(FIND("unit",$A127))=FALSE),VLOOKUP(KitchenCarcassFinish,FixedListsFinishes,3,0),IF(OR(ISERROR(FIND("door",$A127))=FALSE,ISERROR(FIND("Plinth",$A127))=FALSE,ISERROR(FIND("Cornice",$A127))=FALSE,ISERROR(FIND("Fillers",$A127))=FALSE,ISERROR(FIND("Pelmet",$A127))=FALSE,ISERROR(FIND("panel",$A127))=FALSE,ISERROR(FIND("post",$A127))=FALSE),VLOOKUP(KitchenDoorFinish,FixedListsFinishes,3,0),IF(OR(ISERROR(FIND("drawer",$A127))=FALSE,ISERROR(FIND("insert",$A127))=FALSE,ISERROR(FIND("rck",$A127))=FALSE),VLOOKUP(KitchenCarcassFinish,FixedListsFinishes,3,0),0))))</f>
        <v/>
      </c>
      <c r="AE127" s="156" t="str">
        <f t="shared" si="6"/>
        <v/>
      </c>
      <c r="AF127" s="157" t="str">
        <f>IF(AND(KitchenHandleType="Channel",OR(ISERROR(FIND("arcass",$A127))=FALSE,ISERROR(FIND("unit",$A127))=FALSE)),IF(ISERROR(FIND("Tower",$A127))=TRUE,IF(KitchenHandleFinish="Match carcass",IF(ISERROR(FIND("Walnut",KitchenCarcassMaterial))=FALSE,(0.035*0.075*($C127/1000))*VLOOKUP("Walnut (solid m3)",SolidData,4,FALSE),IF(ISERROR(FIND("Oak",KitchenCarcassMaterial))=FALSE,(0.035*0.075*($C127/1000))*VLOOKUP("Oak (solid m3)",SolidData,4,FALSE),IF(ISERROR(FIND("ply",KitchenCarcassMaterial))=FALSE,(0.1*($C127/1000))*VLOOKUP("Birch ply (24mm)",SheetsData,7,FALSE),IF(ISERROR(FIND("H/F",KitchenCarcassMaterial))=FALSE,(0.1*($C127/1000))*VLOOKUP("H/F (22mm)",SheetsData,7,FALSE),"Carcass - not tower - new material")))),IF(KitchenHandleFinish="Match door",IF(ISERROR(FIND("Walnut",KitchenDoorMaterial))=FALSE,(0.035*0.075*($C127/1000))*VLOOKUP("Walnut (solid m3)",SolidData,4,FALSE),IF(ISERROR(FIND("Oak",KitchenDoorMaterial))=FALSE,(0.035*0.075*($C127/1000))*VLOOKUP("Oak (solid m3)",SolidData,4,FALSE),IF(ISERROR(FIND("ply",KitchenDoorMaterial))=FALSE,(0.1*($C127/1000))*VLOOKUP("Birch ply (24mm)",SheetsData,7,FALSE),IF(ISERROR(FIND("H/F",KitchenCarcassMaterial))=FALSE,(0.1*($C127/1000))*VLOOKUP("H/F (22mm)",SheetsData,7,FALSE),"Door - not tower - new material")))),"Channel - not tower - handle set to other")),IF(ISERROR(FIND("Tower",$A127))=FALSE,IF(KitchenHandleFinish="Match carcass",IF(ISERROR(FIND("Walnut",KitchenCarcassMaterial))=FALSE,(0.035*0.075*($B127/1000))*VLOOKUP("Walnut (solid m3)",SolidData,4,FALSE),IF(ISERROR(FIND("Oak",KitchenCarcassMaterial))=FALSE,(0.035*0.075*($B127/1000))*VLOOKUP("Oak (solid m3)",SolidData,4,FALSE),IF(ISERROR(FIND("ply",KitchenCarcassMaterial))=FALSE,(0.1*($B127/1000))*VLOOKUP("Birch ply (24mm)",SheetsData,7,FALSE),IF(ISERROR(FIND("H/F",KitchenCarcassMaterial))=FALSE,(0.1*($C127/1000))*VLOOKUP("H/F (22mm)",SheetsData,7,FALSE),"Carcass - tower - new material")))),IF(KitchenHandleFinish="Match door",IF(ISERROR(FIND("Walnut",KitchenDoorMaterial))=FALSE,(0.035*0.075*($B127/1000))*VLOOKUP("Walnut (solid m3)",SolidData,4,FALSE),IF(ISERROR(FIND("Oak",KitchenDoorMaterial))=FALSE,(0.035*0.075*($B127/1000))*VLOOKUP("Oak (solid m3)",SolidData,4,FALSE),IF(ISERROR(FIND("ply",KitchenDoorMaterial))=FALSE,(0.1*($B127/1000))*VLOOKUP("Birch ply (24mm)",SheetData,7,FALSE),IF(ISERROR(FIND("H/F",KitchenCarcassMaterial))=FALSE,(0.1*($C127/1000))*VLOOKUP("H/F (22mm)",SheetsData,7,FALSE),"Door - tower - new material")))),"Channel - tower - handle set to other")))),"")</f>
        <v/>
      </c>
    </row>
    <row r="128">
      <c r="A128" s="150"/>
      <c r="B128" s="115" t="str">
        <f t="shared" si="1"/>
        <v/>
      </c>
      <c r="C128" s="115" t="str">
        <f>IFERROR(__xludf.DUMMYFUNCTION("IF(A128="""","""",IF(OR(RIGHT(A128,LEN(A128)-len(regexextract(A128,"".* "")))=""1200"",RIGHT(A128,LEN(A128)-len(regexextract(A128,"".* "")))=""600"",RIGHT(A128,LEN(A128)-len(regexextract(A128,"".* "")))=""400"",RIGHT(A128,LEN(A128)-len(regexextract(A128,"&amp;""".* "")))=""300"",RIGHT(A128,LEN(A128)-len(regexextract(A128,"".* "")))=""700"",RIGHT(A128,LEN(A128)-len(regexextract(A128,"".* "")))=""2400"",RIGHT(A128,LEN(A128)-len(regexextract(A128,"".* "")))=""650"",RIGHT(A128,LEN(A128)-len(regexextract(A128,"".* "&amp;""")))=""350"",RIGHT(A128,LEN(A128)-len(regexextract(A128,"".* "")))=""50""),RIGHT(A128,LEN(A128)-len(regexextract(A128,"".* ""))),IF(OR(ISERROR(FIND(""spacer"",A128))=FALSE,ISERROR(FIND(""filler panel"",A128))=FALSE),""1000"",""Unexpected size in descript"&amp;"ion"")))"),"")</f>
        <v/>
      </c>
      <c r="D128" s="151" t="str">
        <f t="shared" si="2"/>
        <v/>
      </c>
      <c r="E128" s="152" t="str">
        <f>IFERROR(__xludf.DUMMYFUNCTION("IF(OR(A128="""",AND(ISERROR(FIND(""drawer box"",A128))=FALSE,KitchenDrawerType="""")),"""",IF(OR(ISERROR(FIND(""larder"",A128))=FALSE,ISERROR(FIND(""fridge/freezer"",A128))=FALSE,ISERROR(FIND(""double oven"",A128))=FALSE,ISERROR(FIND(""single oven"",A128)"&amp;")=FALSE),VLOOKUP(LEFT(A128,FIND("" "",A128))&amp;""carcass ""&amp;RIGHT(A128,LEN(A128)-(LEN(A128)-3)),KitchensData,5,0),IF(ISERROR(FIND(""sink"",A128))=FALSE,VLOOKUP(LEFT(A128,FIND("" "",A128))&amp;""carcass ""&amp;VALUE(REGEXREPLACE(A128,""[^[:digit:]]"", """")),Kitchen"&amp;"sData,5,0)+(((C128/1000)*(300/1000))*VLOOKUP(KitchenCarcassMaterial,SheetsData,8,0)),IF(ISERROR(FIND(""bins"",A128))=FALSE,IF(ISERROR(FIND(""veneer"",KitchenCarcassMaterial))=FALSE,VLOOKUP(""Base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600"",A128))=FALSE,IF(ISERR"&amp;"OR(FIND(""veneer"",KitchenCarcassMaterial))=FALSE,0.54*(VLOOKUP(LEFT(KitchenCarcassMaterial,FIND(""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1"&amp;"200"",A128))=FALSE,IF(ISERROR(FIND(""veneer"",KitchenCarcassMaterial))=FALSE,0.84*(VLOOKUP(LEFT(KitchenCarcassMaterial,FIND(""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600"",A128))=FALSE,IF(ISERROR(FIND(""veneer"",KitchenCarcassMaterial))=FALSE,1.44*(VLOOKUP(LEFT(KitchenCarcassMaterial,FIND(""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1200"",A128))=FALSE,IF(ISERROR(FIND(""veneer"",KitchenCarcassMaterial))=FALSE,2.7*(VLOOKUP(LEFT(KitchenCarcassMaterial,FIND(""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front"",A128))=FALSE,((B128/1000)*(C128/1000))*VLOOKUP(KitchenDoorMaterial,SheetsData,8,0),IF(AND(KitchenDrawerType=""Match carcass"",ISERROR(FIND(""drawer box"",A128))=FALSE),(((((B128/10"&amp;"00)*(C128/1000))+((B128/1000)*(D128/1000)))*2)*VLOOKUP(KitchenCarcassMaterial,SheetsData,8,0))+(((C128/1000)*(D128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box"",A128))=FALSE),(((((B128/1000)*(C128/1000))+((B128/1000)*(D128/1000)))*2)*(16/1000)*VLOOKUP(L"&amp;"EFT(KitchenCarcassMaterial,FIND("" "",KitchenCarcassMaterial))&amp;""(solid m3)"",SolidData,5,0))+(((C128/1000)*(D128/1000))*VLOOKUP(LEFT(KitchenCarcassMaterial,FIND(""("",KitchenCarcassMaterial)-1)&amp;IF(OR(ISERROR(FIND(""ply"",KitchenCarcassMaterial))=FALSE,IS"&amp;"ERROR(FIND(""H/F"",KitchenCarcassMaterial))=FALSE),""(9mm)"",""(10mm)""),SheetsData,8,0)),IF(ISERROR(FIND(""spacer"",A128))=FALSE,((D128/1000)*(C128/1000))*VLOOKUP(""Poplar ply (18mm)"",SheetsData,8,0),IF(ISERROR(FIND(""filler panel"",A128))=FALSE,((B128/"&amp;"1000)*(C128/1000))*VLOOKUP(KitchenDoorMaterial,SheetsData,8,0),IF(ISERROR(FIND(""shelf"",A128))=FALSE,((D128/1000)*(C128/1000))*VLOOKUP(KitchenCarcassMaterial,SheetsData,8,0),IF(ISERROR(FIND(""lost corner"",A128))=FALSE,VLOOKUP(LEFT(A128,FIND("" "",A128))"&amp;"&amp;""carcass ""&amp;VALUE(REGEXREPLACE(A128,""[^[:digit:]]"", """")),KitchensData,5,0)+((((B128/1000)*(C128/1000))+((B128/1000)*(60/1000)))*VLOOKUP(KitchenCarcassMaterial,SheetsData,8,0)),IF(ISERROR(FIND(""carcass"",A128))=FALSE,(((((B128/1000)*2)*(D128/1000))+"&amp;"(((C128/1000)*2)*(D128/1000)))*VLOOKUP(KitchenCarcassMaterial,SheetsData,8,0))+((B128/1000)*(C128/1000))*VLOOKUP(LEFT(KitchenCarcassMaterial,FIND(""("",KitchenCarcassMaterial)-1)&amp;IF(OR(ISERROR(FIND(""ply"",KitchenCarcassMaterial))=FALSE,ISERROR(FIND(""H/F"&amp;""",KitchenCarcassMaterial))=FALSE),""(9mm)"",""(10mm)""),SheetsData,8,0),IF(OR(ISERROR(FIND(""Plinth"",A128))=FALSE,ISERROR(FIND(""Cornice (flat)"",A128))=FALSE),((B128/1000)*(C128/1000))*VLOOKUP(""H/F (18mm)"",SheetsData,8,0),IF(ISERROR(FIND(""Cornice (s"&amp;"tacked)"",A128))=FALSE,((0.08*(C128/1000))*2)*VLOOKUP(""H/F (22mm)"",SheetsData,8,0),IF(ISERROR(FIND(""Base end panel"",A128))=FALSE,VLOOKUP(KitchenDoorMaterial,SheetsData,5,0)/3,IF(ISERROR(FIND(""Wall end panel"",A128))=FALSE,VLOOKUP(KitchenDoorMaterial,"&amp;"SheetsData,5,0)/9,IF(ISERROR(FIND(""Tower end panel"",A128))=FALSE,VLOOKUP(KitchenDoorMaterial,SheetsData,5,0),IF(ISERROR(FIND(""Fillers"",A128))=FALSE,(((0.06*(C128/1000))*2)*VLOOKUP(""H/F (18mm)"",SheetsData,8,0))+(((0.06*(C128/1000))*2)*VLOOKUP(""H/F ("&amp;"9mm)"",SheetsData,8,0)),IF(ISERROR(FIND(""corner post"",A128))=FALSE,(((B128/1000)*0.05)*2)*VLOOKUP(KitchenDoorMaterial,SheetsData,8,0),IF(ISERROR(FIND(""Pelmet"",A128))=FALSE,((((B128/1000)*(C128/1000))*2)*VLOOKUP(""H/F (18mm)"",SheetsData,8,0)),IF(ISERR"&amp;"OR(FIND(""door"",A128))=TRUE,""Check description"",IF(KitchenDoorStyle=""Flat"",((B128/1000)*(C128/1000))*VLOOKUP(KitchenDoorMaterial,SheetsData,8,0),IF(LEFT(KitchenDoorStyle,5)=""Panel"",(((((B128/1000)*2)*0.08)+((((C128/1000)-0.16)*2)*0.08))*VLOOKUP(""H"&amp;"/F (22mm)"",SheetsData,8,0))+(((B128/1000)-0.14)*((C128/1000)-0.14)*VLOOKUP(""H/F (9mm)"",SheetsData,8,0)),IF(KitchenDoorStyle=""In-frame flat"",((((((B128/1000)*0.019)*0.038)+((((C128-38)/1000)*0.038)*0.038))*2)*VLOOKUP(""Tulip (solid m3)"",SolidData,5,0"&amp;"))+(((B128-76)/1000)*((C128-38)/1000))*VLOOKUP(""H/F (22mm)"",SheetsData,8,0),IF(LEFT(KitchenDoorStyle,14)=""In-frame panel"",(((((((B128/1000)*0.019)*0.038)+((((C128-38)/1000)*0.038)*0.038))*2)*VLOOKUP(""Tulip (solid m3)"",SolidData,5,0))+(((((((B128-76)"&amp;"/1000)*2)*0.08)+(((((C128-198)/1000)*2)*0.08)))*VLOOKUP(""H/F (22mm)"",SheetsData,8,0))+(((B128-216)/1000)*((C128-178)/1000)*VLOOKUP(""H/F (9mm)"",SheetsData,8,0)))))))))))))))))))))))))))))))))"),"")</f>
        <v/>
      </c>
      <c r="F128" s="152" t="str">
        <f>IFERROR(__xludf.DUMMYFUNCTION("IF(OR(A128="""",AND(ISERROR(FIND(""drawer box"",A128))=FALSE,KitchenDrawerType=""Solid dovetail"")),"""",IF(ISERROR(FIND(""bins"",A128))=FALSE,VLOOKUP(""Base carcass 600"",KitchensData,6,0),IF(OR(ISERROR(FIND(""larder"",A128))=FALSE,ISERROR(FIND(""unit"","&amp;"A128))=FALSE),VLOOKUP(LEFT(A128,FIND("" "",A128))&amp;""carcass ""&amp;RIGHT(A128,LEN(A128)-len(regexextract(A128,"".* ""))),KitchensData,6,0),IF(ISERROR(FIND(""drawer front"",A128))=FALSE,IF(ISERROR(FIND(""veneer"",KitchenCarcassMaterial))=TRUE,0,(((B128+C128)/1"&amp;"000)*2)*VLOOKUP(""Edge banding (per M)"",SheetsData,5,0)),IF(ISERROR(FIND(""drawer box"",A128))=FALSE,IF(ISERROR(FIND(""veneer"",KitchenCarcassMaterial))=TRUE,0,(((C128+D128)/1000)*2)*VLOOKUP(""Edge banding (per M)"",SheetsData,5,0)),IF(ISERROR(FIND(""she"&amp;"lf"",A128))=FALSE,IF(ISERROR(FIND(""veneer"",KitchenCarcassMaterial))=TRUE,0,(C128/1000)*VLOOKUP(""Edge banding (per M)"",SheetsData,5,0)),IF(AND(ISERROR(FIND(""carcass"",A128))=FALSE,ISERROR(FIND(""shelf"",A128))=TRUE),IF(ISERROR(FIND(""veneer"",KitchenC"&amp;"arcassMaterial))=TRUE,0,((2*(B128+C128))/1000)*VLOOKUP(""Edge banding (per M)"",SheetsData,5,0)),IF(ISERROR(FIND(""door"",A128))=TRUE,"""",IF(ISERROR(FIND(""veneer"",KitchenDoorMaterial))=TRUE,"""",((2*(B128+C128))/1000)*VLOOKUP(""Edge banding (per M)"",S"&amp;"heetsData,5,0))))))))))"),"")</f>
        <v/>
      </c>
      <c r="G128" s="153" t="str">
        <f>IF(A128="","",IF(ISERROR(FIND("bins",A128))=FALSE,VLOOKUP("Base carcass 600",KitchensData,7,0),IF(OR(ISERROR(FIND("larder",A128))=FALSE,ISERROR(FIND("fridge/freezer",A128))=FALSE,ISERROR(FIND("double oven",A128))=FALSE,ISERROR(FIND("single oven",A128))=FALSE),VLOOKUP(LEFT(A128,FIND(" ",A128))&amp;"carcass "&amp;RIGHT(A128,LEN(A128)-(LEN(A128)-3)),KitchensData,7,0),IF(AND(ISERROR(FIND("carcass",A128))=FALSE,ISERROR(FIND("shelf",A128))=TRUE),IF(OR(ISERROR(FIND("Base",A128))=FALSE,ISERROR(FIND("Tower",A128))=FALSE),IF(OR(ISERROR(FIND("1200",A128))=FALSE, ISERROR(FIND("lost corner",A128))=FALSE),6*VLOOKUP("Plinth foot (2 Parts 80mm)",FurnitureData,5,0),4*VLOOKUP("Plinth foot (2 Parts 80mm)",FurnitureData,5,0)),""),""))))</f>
        <v/>
      </c>
      <c r="H128" s="115" t="str">
        <f>IF(OR(A128="",ISERROR(FIND("door",A128))=TRUE),"",IF(ISERROR(FIND("Wall",A128))=FALSE,VLOOKUP("Hinges &amp; plates (Hettich thick door)",FurnitureData,5,0)*2,IF(ISERROR(FIND("Base",A128))=FALSE,VLOOKUP("Hinges &amp; plates (Hettich thick door)",FurnitureData,5,0)*3,IF(ISERROR(FIND("Boiler",A128))=FALSE,VLOOKUP("Hinges &amp; plates (Hettich thick door)",FurnitureData,5,0)*4,IF(ISERROR(FIND("Tower",A128))=FALSE,VLOOKUP("Hinges &amp; plates (Hettich thick door)",FurnitureData,5,0)*5)))))</f>
        <v/>
      </c>
      <c r="I128" s="115" t="str">
        <f>IF(ISERROR(FIND("shelf",A128))=FALSE,(VLOOKUP("Shelf pegs",FurnitureData,5,0)/100)*4,"")</f>
        <v/>
      </c>
      <c r="J128" s="152" t="str">
        <f>IF(OR(ISERROR(FIND("fridge/freezer",A128))=FALSE,ISERROR(FIND("larder",A128))=FALSE,AND(ISERROR(FIND("Base",A128))=FALSE,ISERROR(FIND("bins",A128))=TRUE,ISERROR(FIND("no shelves",A128))=TRUE,OR(ISERROR(FIND("carcass",A128))=FALSE,ISERROR(FIND("unit",A128))=FALSE))),VLOOKUP("Deep shelf "&amp;C128,KitchensData,18,0),IF(AND(ISERROR(FIND("Wall",A128))=FALSE,ISERROR(FIND("carcass",A128))=FALSE),2*VLOOKUP("Shallow shelf "&amp;C128,KitchensData,18,0),IF(AND(ISERROR(FIND("Tower",A128))=FALSE,ISERROR(FIND("oven",A128))=FALSE),4*VLOOKUP("Deep shelf "&amp;C128,KitchensData,18,0),IF(AND(ISERROR(FIND("Tower",A128))=FALSE,ISERROR(FIND("carcass",A128))=FALSE),5*VLOOKUP("Deep shelf "&amp;C128,KitchensData,18,0),""))))</f>
        <v/>
      </c>
      <c r="K128" s="152" t="str">
        <f>IF(ISERROR(FIND("sink",A128))=FALSE,VLOOKUP("Sink liner - Aluminium "&amp;RIGHT(A128,LEN(A128)-22)&amp;"mm",ExceptionalData,5,0),IF(ISERROR(FIND("bins",A128))=FALSE,VLOOKUP("Drawer runners and clip set for bin unit (500) Dynapro",FurnitureData,5,0)+(2*VLOOKUP("Bin (42L Anthracite)",FurnitureData,5,0)),IF(ISERROR(FIND("larder",A128))=FALSE,VLOOKUP("Pull out larder unit 600mm",FurnitureData,5,0),IF(AND(ISERROR(FIND("drawer box",A128))=FALSE,ISERROR(FIND("internal",A128))=TRUE),VLOOKUP("Drawer runners and clip set (550) Dynapro",FurnitureData,5,0),IF(ISERROR(FIND("internal drawer box",A128))=FALSE,VLOOKUP("Drawer runners and clip set (450) Dynapro",FurnitureData,5,0),"")))))</f>
        <v/>
      </c>
      <c r="L128" s="152" t="str">
        <f t="shared" si="3"/>
        <v/>
      </c>
      <c r="M128" s="154" t="str">
        <f>IFERROR(__xludf.DUMMYFUNCTION("IF(A128="""","""",IF(OR(ISERROR(FIND(""larder"",A128))=FALSE,ISERROR(FIND(""unit"",A128))=FALSE),VLOOKUP(LEFT(A128,FIND("" "",A128))&amp;""carcass ""&amp;RIGHT(A128,LEN(A128)-len(regexextract(A128,"".* ""))),KitchensData,13,0),IF(ISERROR(FIND(""bins"",A128))=FALS"&amp;"E,0.95,IF(ISERROR(FIND(""Cutlery insert 600"",A128))=FALSE,1.3,IF(ISERROR(FIND(""Cutlery insert 1200"",A128))=FALSE,2,IF(ISERROR(FIND(""Pan/tray rack 600"",A128))=FALSE,3.25,IF(ISERROR(FIND(""Pan/tray rack 1200"",A128))=FALSE,5.9,IF(ISERROR(FIND(""split"""&amp;",A128))=FALSE,(((C128/1000)*0.022)*2)+VLOOKUP(SUBSTITUTE(A128,"" split"",""""),KitchensData,13,0),IF(AND(ISERROR(FIND(""drawer front"",A128))=FALSE,KitchenDoorStyle=""Flat""),(((B128/1000)*(C128/1000))*2)+((((B128+C128)/1000)*2)*0.022),IF(AND(ISERROR(FIND"&amp;"(""drawer front"",A128))=FALSE,LEFT(KitchenDoorStyle,5)=""Panel""),(((B128/1000)*(C128/1000))*2)+((((B128+C128)/1000)*2)*0.022)+((((C128/1000)-0.16)*0.013)*2)+((((D128/1000)-0.16)*0.013)*2),IF(AND(ISERROR(FIND(""drawer front"",A128))=FALSE,KitchenDoorStyl"&amp;"e=""In-frame flat""),((((B128-76)/1000)*((C128-38)/1000))*2)+(MID(KitchenDoorMaterial,FIND(""("",KitchenDoorMaterial)+1,2)/1000)*((((B128-76)+(C128-38))/1000)*2)+(((B128/1000)*0.032)*2)+((((B128-76)/1000)*0.032)*2)+(((B128/1000)*0.019)*4)+(((C128/1000)*0."&amp;"032)*2)+((((C128-38)/1000)*0.032)*2)+(((C128/1000)*0.038)*4),IF(AND(ISERROR(FIND(""drawer front"",A128))=FALSE,LEFT(KitchenDoorStyle,14)=""In-frame panel""),((((B128-76)/1000)*((C128-38)/1000))*2)+((MID(KitchenDoorMaterial,FIND(""("",KitchenDoorMaterial)+"&amp;"1,2)/1000)*((((B128-76)+(C128-38))/1000)*2))+((((B128-236)/1000)+((C128-198)/1000)*2)*0.013)+(((B128/1000)*0.032)*2)+((((B128-76)/1000)*0.032)*2)+(((B128/1000)*0.019)*4)+(((C128/1000)*0.032)*2)+((((C128-38)/1000)*0.032)*2)+(((C128/1000)*0.038)*4),IF(ISERR"&amp;"OR(FIND(""drawer box"",A128))=FALSE,((((B128/1000)*(D128/1000))+((B128/1000)*(C128/1000)))*4)+((((D128/1000)+(C128/1000))*0.016)*4)+(((C128/1000)*(D128/1000))*2),IF(OR(ISERROR(FIND(""shelf"",A128))=FALSE,ISERROR(FIND(""spacer"",A128))=FALSE,,ISERROR(FIND("&amp;"""filler panel"",A128))=FALSE),(((C128/1000)*(D128/1000))*2)+((((C128+D128)*2)/1000)*0.022),IF(ISERROR(FIND(""lost corner"",A128))=FALSE,(((B128/1000)*(C128/1000))*2)+((B128/1000)*(C128/1000))+((B128/1000)*((C128/2)/1000))+((((B128/1000)*0.025)+((C128/100"&amp;"0)*0.025))*2),IF(ISERROR(FIND(""carcass"",A128))=FALSE,(((C128/1000)*(D128/1000))*2)+(((B128/1000)*(D128/1000))*2)+((B128/1000)*(C128/1000))+((((B128/1000)*0.025)+((C128/1000)*0.025))*2),IF(AND(ISERROR(FIND(""door"",A128))=FALSE,KitchenDoorStyle=""Flat"")"&amp;",(((B128/1000)*(C128/1000))*2)+(MID(KitchenDoorMaterial,FIND(""("",KitchenDoorMaterial)+1,2)/1000)*(((B128+C128)/1000)*2),IF(AND(ISERROR(FIND(""door"",A128))=FALSE,LEFT(KitchenDoorStyle,5)=""Panel""),(((B128/1000)*(C128/1000))*2)+((MID(KitchenDoorMaterial"&amp;",FIND(""("",KitchenDoorMaterial)+1,2)/1000)*(((B128+C128)/1000)*2))+(((((B128-160)+(C128-160))*2)/1000)*(0.013)),IF(AND(ISERROR(FIND(""door"",A128))=FALSE,KitchenDoorStyle=""In-frame flat""),((((B128-76)/1000)*((C128-38)/1000))*2)+(MID(KitchenDoorMaterial"&amp;",FIND(""("",KitchenDoorMaterial)+1,2)/1000)*((((B128-76)+(C128-38))/1000)*2)+(((B128/1000)*0.032)*2)+((((B128-76)/1000)*0.032)*2)+(((B128/1000)*0.019)*4)+(((C128/1000)*0.032)*2)+((((C128-38)/1000)*0.032)*2)+(((C128/1000)*0.038)*4),IF(AND(ISERROR(FIND(""do"&amp;"or"",A128))=FALSE,LEFT(KitchenDoorStyle,14)=""In-frame panel""),((((B128-76)/1000)*((C128-38)/1000))*2)+((MID(KitchenDoorMaterial,FIND(""("",KitchenDoorMaterial)+1,2)/1000)*((((B128-76)+(C128-38))/1000)*2))+((((B128-236)/1000)+((C128-198)/1000)*2)*0.013)+"&amp;"(((B128/1000)*0.032)*2)+((((B128-76)/1000)*0.032)*2)+(((B128/1000)*0.019)*4)+(((C128/1000)*0.032)*2)+((((C128-38)/1000)*0.032)*2)+(((C128/1000)*0.038)*4),IF(ISERROR(FIND(""Plinth"",A128))=FALSE,((B128/1000)*(C128/1000))+(((C128/1000)*0.018)*2)+(((B128/100"&amp;"0)*0.018)*2),IF(ISERROR(FIND(""Cornice"",A128))=FALSE,(((C128/1000)*0.1)*2)+(((C128/1000)*0.044)*2)+(((B128/1000)*0.08)*2),IF(ISERROR(FIND(""Base end panel"",A128))=FALSE,((B128/1000)*(C128/1000))+(0.022*((B128/1000)+((C128/1000)*2)))+((B128/1000)*0.05),I"&amp;"F(ISERROR(FIND(""Wall end panel"",A128))=FALSE,((B128/1000)*(C128/1000))+(0.022*((B128/1000)+((C128/1000)*2)))+((B128/1000)*0.05),IF(ISERROR(FIND(""Tower end panel"",A128))=FALSE,((B128/1000)*(C128/1000))+(0.022*((B128/1000)+((C128/1000)*2)))+((B128/1000)"&amp;"*0.05),IF(ISERROR(FIND(""Fillers"",A128))=FALSE,((C128/1000)*0.06)+((C128/1000)*0.069)+((0.06*0.018)*2)+((0.06*0.009)*2)+((C128/1000)*0.009)+((C128/1000)*0.018),IF(ISERROR(FIND(""corner post"",A128))=FALSE,(((B128/1000*0.05)*2)+((B128/1000)*0.022)*2)+((B1"&amp;"28/1000)*0.072)+((B128/1000)*0.05)+((0.072*0.022)*2)+((0.05*0.022)*2),IF(ISERROR(FIND(""Pelmet"",A128))=FALSE,((C128/1000)*0.05)+((C128/1000)*0.068)+((0.05*0.018)*4)+(((C128/1000)*0.018))*2))))))))))))))))))))))))))))"),"")</f>
        <v/>
      </c>
      <c r="N128" s="152" t="str">
        <f>IF(M128="","",IF(AND(ISERROR(FIND("carcass",A128))=TRUE,ISERROR(FIND("unit",A128))=TRUE,ISERROR(FIND("insert",A128))=TRUE,ISERROR(FIND("rack",A128))=TRUE,ISERROR(FIND("box",A128))=TRUE,ISERROR(FIND("shelf",#REF!))=TRUE),VLOOKUP(KitchenDoorFinish,Finishing!$A$2:$K$10,9,0)*M128,VLOOKUP(KitchenCarcassFinish,Finishing!$A$2:$K$40,9,0)*M128))</f>
        <v/>
      </c>
      <c r="O128" s="155"/>
      <c r="P128" s="155"/>
      <c r="Q128" s="152" t="str">
        <f>IF(OR(O128="",P128=""),"",((O128*X128)*(VLOOKUP("Workshop",Labour!$A$3:$E$20,4,0)/8))+((P128*AE128)*(VLOOKUP("Finishing",Labour!$A$3:$E$20,4,0)/8)))</f>
        <v/>
      </c>
      <c r="R128" s="152" t="str">
        <f t="shared" si="4"/>
        <v/>
      </c>
      <c r="S128" s="156" t="str">
        <f>IF(OR(O128="",P128=""),"",IF(OR(ISERROR(FIND("carcass",$A128))=FALSE,ISERROR(FIND("unit",$A128))=FALSE),VLOOKUP(KitchenCarcassMaterial,FixedListsCarcassMaterial,2,0),0))</f>
        <v/>
      </c>
      <c r="T128" s="156" t="str">
        <f>IF(OR(O128="",P128=""),"",IF(ISERROR(FIND("door",$A128))=FALSE,VLOOKUP(KitchenDoorStyle,FixedListsDoorStyle,2,0),0))</f>
        <v/>
      </c>
      <c r="U128" s="156" t="str">
        <f>IF(OR(O128="",P128=""),"",IF(ISERROR(FIND("door",$A128))=FALSE,VLOOKUP(KitchenDoorMaterial,FixedListsDoorMaterial,2,0),0))</f>
        <v/>
      </c>
      <c r="V128" s="156" t="str">
        <f>IF(OR(O128="",P128=""),"",IF(ISERROR(FIND("drawer",$A128))=FALSE,VLOOKUP(KitchenDrawerType,FixedListsDrawerType,2,0),0))</f>
        <v/>
      </c>
      <c r="W128" s="156" t="str">
        <f>IF(OR(O128="",P128=""),"",IF(OR(S128&gt;0, T128&gt;0,V128&gt;0),VLOOKUP(KitchenHandleType,FixedListsHandleType,2,FALSE)*IF(KitchenHandleType="Simple",0,IF(S128&gt;0,VLOOKUP(KitchenHandleType,FixedListsHandleType,4,FALSE),IF(OR(T128&gt;0,V128&gt;0),1-VLOOKUP(KitchenHandleType,FixedListsHandleType,4,FALSE),"Error"))),0))</f>
        <v/>
      </c>
      <c r="X128" s="156" t="str">
        <f t="shared" si="5"/>
        <v/>
      </c>
      <c r="Y128" s="156" t="str">
        <f>IF(OR(O128="",P128=""),"",IF(OR(ISERROR(FIND("carcass",$A128))=FALSE,ISERROR(FIND("unit",$A128))=FALSE),VLOOKUP(KitchenCarcassMaterial,FixedListsCarcassMaterial,3,0),0))</f>
        <v/>
      </c>
      <c r="Z128" s="156" t="str">
        <f>IF(OR(O128="",P128=""),"",IF(ISERROR(FIND("door",$A128))=FALSE,VLOOKUP(KitchenDoorStyle,FixedListsDoorStyle,3,0),0))</f>
        <v/>
      </c>
      <c r="AA128" s="156" t="str">
        <f>IF(OR(O128="",P128=""),"",IF(ISERROR(FIND("door",$A128))=FALSE,VLOOKUP(KitchenDoorMaterial,FixedListsDoorMaterial,3,0),0))</f>
        <v/>
      </c>
      <c r="AB128" s="156" t="str">
        <f>IF(OR(O128="",P128=""),"",IF(ISERROR(FIND("drawer",$A128))=FALSE,VLOOKUP(KitchenDrawerType,FixedListsDrawerType,3,0),0))</f>
        <v/>
      </c>
      <c r="AC128" s="156" t="str">
        <f>IF(OR(O128="",P128=""),"",IF(OR(Y128&gt;0,Z128&gt;0,AB128&gt;0),VLOOKUP(KitchenHandleType,FixedListsHandleType,3,FALSE),0))</f>
        <v/>
      </c>
      <c r="AD128" s="156" t="str">
        <f>IF(OR(O128="",P128=""),"",IF(OR(ISERROR(FIND("carcass",$A128))=FALSE,ISERROR(FIND("unit",$A128))=FALSE),VLOOKUP(KitchenCarcassFinish,FixedListsFinishes,3,0),IF(OR(ISERROR(FIND("door",$A128))=FALSE,ISERROR(FIND("Plinth",$A128))=FALSE,ISERROR(FIND("Cornice",$A128))=FALSE,ISERROR(FIND("Fillers",$A128))=FALSE,ISERROR(FIND("Pelmet",$A128))=FALSE,ISERROR(FIND("panel",$A128))=FALSE,ISERROR(FIND("post",$A128))=FALSE),VLOOKUP(KitchenDoorFinish,FixedListsFinishes,3,0),IF(OR(ISERROR(FIND("drawer",$A128))=FALSE,ISERROR(FIND("insert",$A128))=FALSE,ISERROR(FIND("rck",$A128))=FALSE),VLOOKUP(KitchenCarcassFinish,FixedListsFinishes,3,0),0))))</f>
        <v/>
      </c>
      <c r="AE128" s="156" t="str">
        <f t="shared" si="6"/>
        <v/>
      </c>
      <c r="AF128" s="157" t="str">
        <f>IF(AND(KitchenHandleType="Channel",OR(ISERROR(FIND("arcass",$A128))=FALSE,ISERROR(FIND("unit",$A128))=FALSE)),IF(ISERROR(FIND("Tower",$A128))=TRUE,IF(KitchenHandleFinish="Match carcass",IF(ISERROR(FIND("Walnut",KitchenCarcassMaterial))=FALSE,(0.035*0.075*($C128/1000))*VLOOKUP("Walnut (solid m3)",SolidData,4,FALSE),IF(ISERROR(FIND("Oak",KitchenCarcassMaterial))=FALSE,(0.035*0.075*($C128/1000))*VLOOKUP("Oak (solid m3)",SolidData,4,FALSE),IF(ISERROR(FIND("ply",KitchenCarcassMaterial))=FALSE,(0.1*($C128/1000))*VLOOKUP("Birch ply (24mm)",SheetsData,7,FALSE),IF(ISERROR(FIND("H/F",KitchenCarcassMaterial))=FALSE,(0.1*($C128/1000))*VLOOKUP("H/F (22mm)",SheetsData,7,FALSE),"Carcass - not tower - new material")))),IF(KitchenHandleFinish="Match door",IF(ISERROR(FIND("Walnut",KitchenDoorMaterial))=FALSE,(0.035*0.075*($C128/1000))*VLOOKUP("Walnut (solid m3)",SolidData,4,FALSE),IF(ISERROR(FIND("Oak",KitchenDoorMaterial))=FALSE,(0.035*0.075*($C128/1000))*VLOOKUP("Oak (solid m3)",SolidData,4,FALSE),IF(ISERROR(FIND("ply",KitchenDoorMaterial))=FALSE,(0.1*($C128/1000))*VLOOKUP("Birch ply (24mm)",SheetsData,7,FALSE),IF(ISERROR(FIND("H/F",KitchenCarcassMaterial))=FALSE,(0.1*($C128/1000))*VLOOKUP("H/F (22mm)",SheetsData,7,FALSE),"Door - not tower - new material")))),"Channel - not tower - handle set to other")),IF(ISERROR(FIND("Tower",$A128))=FALSE,IF(KitchenHandleFinish="Match carcass",IF(ISERROR(FIND("Walnut",KitchenCarcassMaterial))=FALSE,(0.035*0.075*($B128/1000))*VLOOKUP("Walnut (solid m3)",SolidData,4,FALSE),IF(ISERROR(FIND("Oak",KitchenCarcassMaterial))=FALSE,(0.035*0.075*($B128/1000))*VLOOKUP("Oak (solid m3)",SolidData,4,FALSE),IF(ISERROR(FIND("ply",KitchenCarcassMaterial))=FALSE,(0.1*($B128/1000))*VLOOKUP("Birch ply (24mm)",SheetsData,7,FALSE),IF(ISERROR(FIND("H/F",KitchenCarcassMaterial))=FALSE,(0.1*($C128/1000))*VLOOKUP("H/F (22mm)",SheetsData,7,FALSE),"Carcass - tower - new material")))),IF(KitchenHandleFinish="Match door",IF(ISERROR(FIND("Walnut",KitchenDoorMaterial))=FALSE,(0.035*0.075*($B128/1000))*VLOOKUP("Walnut (solid m3)",SolidData,4,FALSE),IF(ISERROR(FIND("Oak",KitchenDoorMaterial))=FALSE,(0.035*0.075*($B128/1000))*VLOOKUP("Oak (solid m3)",SolidData,4,FALSE),IF(ISERROR(FIND("ply",KitchenDoorMaterial))=FALSE,(0.1*($B128/1000))*VLOOKUP("Birch ply (24mm)",SheetData,7,FALSE),IF(ISERROR(FIND("H/F",KitchenCarcassMaterial))=FALSE,(0.1*($C128/1000))*VLOOKUP("H/F (22mm)",SheetsData,7,FALSE),"Door - tower - new material")))),"Channel - tower - handle set to other")))),"")</f>
        <v/>
      </c>
    </row>
    <row r="129">
      <c r="A129" s="150"/>
      <c r="B129" s="115" t="str">
        <f t="shared" si="1"/>
        <v/>
      </c>
      <c r="C129" s="115" t="str">
        <f>IFERROR(__xludf.DUMMYFUNCTION("IF(A129="""","""",IF(OR(RIGHT(A129,LEN(A129)-len(regexextract(A129,"".* "")))=""1200"",RIGHT(A129,LEN(A129)-len(regexextract(A129,"".* "")))=""600"",RIGHT(A129,LEN(A129)-len(regexextract(A129,"".* "")))=""400"",RIGHT(A129,LEN(A129)-len(regexextract(A129,"&amp;""".* "")))=""300"",RIGHT(A129,LEN(A129)-len(regexextract(A129,"".* "")))=""700"",RIGHT(A129,LEN(A129)-len(regexextract(A129,"".* "")))=""2400"",RIGHT(A129,LEN(A129)-len(regexextract(A129,"".* "")))=""650"",RIGHT(A129,LEN(A129)-len(regexextract(A129,"".* "&amp;""")))=""350"",RIGHT(A129,LEN(A129)-len(regexextract(A129,"".* "")))=""50""),RIGHT(A129,LEN(A129)-len(regexextract(A129,"".* ""))),IF(OR(ISERROR(FIND(""spacer"",A129))=FALSE,ISERROR(FIND(""filler panel"",A129))=FALSE),""1000"",""Unexpected size in descript"&amp;"ion"")))"),"")</f>
        <v/>
      </c>
      <c r="D129" s="151" t="str">
        <f t="shared" si="2"/>
        <v/>
      </c>
      <c r="E129" s="152" t="str">
        <f>IFERROR(__xludf.DUMMYFUNCTION("IF(OR(A129="""",AND(ISERROR(FIND(""drawer box"",A129))=FALSE,KitchenDrawerType="""")),"""",IF(OR(ISERROR(FIND(""larder"",A129))=FALSE,ISERROR(FIND(""fridge/freezer"",A129))=FALSE,ISERROR(FIND(""double oven"",A129))=FALSE,ISERROR(FIND(""single oven"",A129)"&amp;")=FALSE),VLOOKUP(LEFT(A129,FIND("" "",A129))&amp;""carcass ""&amp;RIGHT(A129,LEN(A129)-(LEN(A129)-3)),KitchensData,5,0),IF(ISERROR(FIND(""sink"",A129))=FALSE,VLOOKUP(LEFT(A129,FIND("" "",A129))&amp;""carcass ""&amp;VALUE(REGEXREPLACE(A129,""[^[:digit:]]"", """")),Kitchen"&amp;"sData,5,0)+(((C129/1000)*(300/1000))*VLOOKUP(KitchenCarcassMaterial,SheetsData,8,0)),IF(ISERROR(FIND(""bins"",A129))=FALSE,IF(ISERROR(FIND(""veneer"",KitchenCarcassMaterial))=FALSE,VLOOKUP(""Base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600"",A129))=FALSE,IF(ISERR"&amp;"OR(FIND(""veneer"",KitchenCarcassMaterial))=FALSE,0.54*(VLOOKUP(LEFT(KitchenCarcassMaterial,FIND(""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1"&amp;"200"",A129))=FALSE,IF(ISERROR(FIND(""veneer"",KitchenCarcassMaterial))=FALSE,0.84*(VLOOKUP(LEFT(KitchenCarcassMaterial,FIND(""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600"",A129))=FALSE,IF(ISERROR(FIND(""veneer"",KitchenCarcassMaterial))=FALSE,1.44*(VLOOKUP(LEFT(KitchenCarcassMaterial,FIND(""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1200"",A129))=FALSE,IF(ISERROR(FIND(""veneer"",KitchenCarcassMaterial))=FALSE,2.7*(VLOOKUP(LEFT(KitchenCarcassMaterial,FIND(""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front"",A129))=FALSE,((B129/1000)*(C129/1000))*VLOOKUP(KitchenDoorMaterial,SheetsData,8,0),IF(AND(KitchenDrawerType=""Match carcass"",ISERROR(FIND(""drawer box"",A129))=FALSE),(((((B129/10"&amp;"00)*(C129/1000))+((B129/1000)*(D129/1000)))*2)*VLOOKUP(KitchenCarcassMaterial,SheetsData,8,0))+(((C129/1000)*(D129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box"",A129))=FALSE),(((((B129/1000)*(C129/1000))+((B129/1000)*(D129/1000)))*2)*(16/1000)*VLOOKUP(L"&amp;"EFT(KitchenCarcassMaterial,FIND("" "",KitchenCarcassMaterial))&amp;""(solid m3)"",SolidData,5,0))+(((C129/1000)*(D129/1000))*VLOOKUP(LEFT(KitchenCarcassMaterial,FIND(""("",KitchenCarcassMaterial)-1)&amp;IF(OR(ISERROR(FIND(""ply"",KitchenCarcassMaterial))=FALSE,IS"&amp;"ERROR(FIND(""H/F"",KitchenCarcassMaterial))=FALSE),""(9mm)"",""(10mm)""),SheetsData,8,0)),IF(ISERROR(FIND(""spacer"",A129))=FALSE,((D129/1000)*(C129/1000))*VLOOKUP(""Poplar ply (18mm)"",SheetsData,8,0),IF(ISERROR(FIND(""filler panel"",A129))=FALSE,((B129/"&amp;"1000)*(C129/1000))*VLOOKUP(KitchenDoorMaterial,SheetsData,8,0),IF(ISERROR(FIND(""shelf"",A129))=FALSE,((D129/1000)*(C129/1000))*VLOOKUP(KitchenCarcassMaterial,SheetsData,8,0),IF(ISERROR(FIND(""lost corner"",A129))=FALSE,VLOOKUP(LEFT(A129,FIND("" "",A129))"&amp;"&amp;""carcass ""&amp;VALUE(REGEXREPLACE(A129,""[^[:digit:]]"", """")),KitchensData,5,0)+((((B129/1000)*(C129/1000))+((B129/1000)*(60/1000)))*VLOOKUP(KitchenCarcassMaterial,SheetsData,8,0)),IF(ISERROR(FIND(""carcass"",A129))=FALSE,(((((B129/1000)*2)*(D129/1000))+"&amp;"(((C129/1000)*2)*(D129/1000)))*VLOOKUP(KitchenCarcassMaterial,SheetsData,8,0))+((B129/1000)*(C129/1000))*VLOOKUP(LEFT(KitchenCarcassMaterial,FIND(""("",KitchenCarcassMaterial)-1)&amp;IF(OR(ISERROR(FIND(""ply"",KitchenCarcassMaterial))=FALSE,ISERROR(FIND(""H/F"&amp;""",KitchenCarcassMaterial))=FALSE),""(9mm)"",""(10mm)""),SheetsData,8,0),IF(OR(ISERROR(FIND(""Plinth"",A129))=FALSE,ISERROR(FIND(""Cornice (flat)"",A129))=FALSE),((B129/1000)*(C129/1000))*VLOOKUP(""H/F (18mm)"",SheetsData,8,0),IF(ISERROR(FIND(""Cornice (s"&amp;"tacked)"",A129))=FALSE,((0.08*(C129/1000))*2)*VLOOKUP(""H/F (22mm)"",SheetsData,8,0),IF(ISERROR(FIND(""Base end panel"",A129))=FALSE,VLOOKUP(KitchenDoorMaterial,SheetsData,5,0)/3,IF(ISERROR(FIND(""Wall end panel"",A129))=FALSE,VLOOKUP(KitchenDoorMaterial,"&amp;"SheetsData,5,0)/9,IF(ISERROR(FIND(""Tower end panel"",A129))=FALSE,VLOOKUP(KitchenDoorMaterial,SheetsData,5,0),IF(ISERROR(FIND(""Fillers"",A129))=FALSE,(((0.06*(C129/1000))*2)*VLOOKUP(""H/F (18mm)"",SheetsData,8,0))+(((0.06*(C129/1000))*2)*VLOOKUP(""H/F ("&amp;"9mm)"",SheetsData,8,0)),IF(ISERROR(FIND(""corner post"",A129))=FALSE,(((B129/1000)*0.05)*2)*VLOOKUP(KitchenDoorMaterial,SheetsData,8,0),IF(ISERROR(FIND(""Pelmet"",A129))=FALSE,((((B129/1000)*(C129/1000))*2)*VLOOKUP(""H/F (18mm)"",SheetsData,8,0)),IF(ISERR"&amp;"OR(FIND(""door"",A129))=TRUE,""Check description"",IF(KitchenDoorStyle=""Flat"",((B129/1000)*(C129/1000))*VLOOKUP(KitchenDoorMaterial,SheetsData,8,0),IF(LEFT(KitchenDoorStyle,5)=""Panel"",(((((B129/1000)*2)*0.08)+((((C129/1000)-0.16)*2)*0.08))*VLOOKUP(""H"&amp;"/F (22mm)"",SheetsData,8,0))+(((B129/1000)-0.14)*((C129/1000)-0.14)*VLOOKUP(""H/F (9mm)"",SheetsData,8,0)),IF(KitchenDoorStyle=""In-frame flat"",((((((B129/1000)*0.019)*0.038)+((((C129-38)/1000)*0.038)*0.038))*2)*VLOOKUP(""Tulip (solid m3)"",SolidData,5,0"&amp;"))+(((B129-76)/1000)*((C129-38)/1000))*VLOOKUP(""H/F (22mm)"",SheetsData,8,0),IF(LEFT(KitchenDoorStyle,14)=""In-frame panel"",(((((((B129/1000)*0.019)*0.038)+((((C129-38)/1000)*0.038)*0.038))*2)*VLOOKUP(""Tulip (solid m3)"",SolidData,5,0))+(((((((B129-76)"&amp;"/1000)*2)*0.08)+(((((C129-198)/1000)*2)*0.08)))*VLOOKUP(""H/F (22mm)"",SheetsData,8,0))+(((B129-216)/1000)*((C129-178)/1000)*VLOOKUP(""H/F (9mm)"",SheetsData,8,0)))))))))))))))))))))))))))))))))"),"")</f>
        <v/>
      </c>
      <c r="F129" s="152" t="str">
        <f>IFERROR(__xludf.DUMMYFUNCTION("IF(OR(A129="""",AND(ISERROR(FIND(""drawer box"",A129))=FALSE,KitchenDrawerType=""Solid dovetail"")),"""",IF(ISERROR(FIND(""bins"",A129))=FALSE,VLOOKUP(""Base carcass 600"",KitchensData,6,0),IF(OR(ISERROR(FIND(""larder"",A129))=FALSE,ISERROR(FIND(""unit"","&amp;"A129))=FALSE),VLOOKUP(LEFT(A129,FIND("" "",A129))&amp;""carcass ""&amp;RIGHT(A129,LEN(A129)-len(regexextract(A129,"".* ""))),KitchensData,6,0),IF(ISERROR(FIND(""drawer front"",A129))=FALSE,IF(ISERROR(FIND(""veneer"",KitchenCarcassMaterial))=TRUE,0,(((B129+C129)/1"&amp;"000)*2)*VLOOKUP(""Edge banding (per M)"",SheetsData,5,0)),IF(ISERROR(FIND(""drawer box"",A129))=FALSE,IF(ISERROR(FIND(""veneer"",KitchenCarcassMaterial))=TRUE,0,(((C129+D129)/1000)*2)*VLOOKUP(""Edge banding (per M)"",SheetsData,5,0)),IF(ISERROR(FIND(""she"&amp;"lf"",A129))=FALSE,IF(ISERROR(FIND(""veneer"",KitchenCarcassMaterial))=TRUE,0,(C129/1000)*VLOOKUP(""Edge banding (per M)"",SheetsData,5,0)),IF(AND(ISERROR(FIND(""carcass"",A129))=FALSE,ISERROR(FIND(""shelf"",A129))=TRUE),IF(ISERROR(FIND(""veneer"",KitchenC"&amp;"arcassMaterial))=TRUE,0,((2*(B129+C129))/1000)*VLOOKUP(""Edge banding (per M)"",SheetsData,5,0)),IF(ISERROR(FIND(""door"",A129))=TRUE,"""",IF(ISERROR(FIND(""veneer"",KitchenDoorMaterial))=TRUE,"""",((2*(B129+C129))/1000)*VLOOKUP(""Edge banding (per M)"",S"&amp;"heetsData,5,0))))))))))"),"")</f>
        <v/>
      </c>
      <c r="G129" s="153" t="str">
        <f>IF(A129="","",IF(ISERROR(FIND("bins",A129))=FALSE,VLOOKUP("Base carcass 600",KitchensData,7,0),IF(OR(ISERROR(FIND("larder",A129))=FALSE,ISERROR(FIND("fridge/freezer",A129))=FALSE,ISERROR(FIND("double oven",A129))=FALSE,ISERROR(FIND("single oven",A129))=FALSE),VLOOKUP(LEFT(A129,FIND(" ",A129))&amp;"carcass "&amp;RIGHT(A129,LEN(A129)-(LEN(A129)-3)),KitchensData,7,0),IF(AND(ISERROR(FIND("carcass",A129))=FALSE,ISERROR(FIND("shelf",A129))=TRUE),IF(OR(ISERROR(FIND("Base",A129))=FALSE,ISERROR(FIND("Tower",A129))=FALSE),IF(OR(ISERROR(FIND("1200",A129))=FALSE, ISERROR(FIND("lost corner",A129))=FALSE),6*VLOOKUP("Plinth foot (2 Parts 80mm)",FurnitureData,5,0),4*VLOOKUP("Plinth foot (2 Parts 80mm)",FurnitureData,5,0)),""),""))))</f>
        <v/>
      </c>
      <c r="H129" s="115" t="str">
        <f>IF(OR(A129="",ISERROR(FIND("door",A129))=TRUE),"",IF(ISERROR(FIND("Wall",A129))=FALSE,VLOOKUP("Hinges &amp; plates (Hettich thick door)",FurnitureData,5,0)*2,IF(ISERROR(FIND("Base",A129))=FALSE,VLOOKUP("Hinges &amp; plates (Hettich thick door)",FurnitureData,5,0)*3,IF(ISERROR(FIND("Boiler",A129))=FALSE,VLOOKUP("Hinges &amp; plates (Hettich thick door)",FurnitureData,5,0)*4,IF(ISERROR(FIND("Tower",A129))=FALSE,VLOOKUP("Hinges &amp; plates (Hettich thick door)",FurnitureData,5,0)*5)))))</f>
        <v/>
      </c>
      <c r="I129" s="115" t="str">
        <f>IF(ISERROR(FIND("shelf",A129))=FALSE,(VLOOKUP("Shelf pegs",FurnitureData,5,0)/100)*4,"")</f>
        <v/>
      </c>
      <c r="J129" s="152" t="str">
        <f>IF(OR(ISERROR(FIND("fridge/freezer",A129))=FALSE,ISERROR(FIND("larder",A129))=FALSE,AND(ISERROR(FIND("Base",A129))=FALSE,ISERROR(FIND("bins",A129))=TRUE,ISERROR(FIND("no shelves",A129))=TRUE,OR(ISERROR(FIND("carcass",A129))=FALSE,ISERROR(FIND("unit",A129))=FALSE))),VLOOKUP("Deep shelf "&amp;C129,KitchensData,18,0),IF(AND(ISERROR(FIND("Wall",A129))=FALSE,ISERROR(FIND("carcass",A129))=FALSE),2*VLOOKUP("Shallow shelf "&amp;C129,KitchensData,18,0),IF(AND(ISERROR(FIND("Tower",A129))=FALSE,ISERROR(FIND("oven",A129))=FALSE),4*VLOOKUP("Deep shelf "&amp;C129,KitchensData,18,0),IF(AND(ISERROR(FIND("Tower",A129))=FALSE,ISERROR(FIND("carcass",A129))=FALSE),5*VLOOKUP("Deep shelf "&amp;C129,KitchensData,18,0),""))))</f>
        <v/>
      </c>
      <c r="K129" s="152" t="str">
        <f>IF(ISERROR(FIND("sink",A129))=FALSE,VLOOKUP("Sink liner - Aluminium "&amp;RIGHT(A129,LEN(A129)-22)&amp;"mm",ExceptionalData,5,0),IF(ISERROR(FIND("bins",A129))=FALSE,VLOOKUP("Drawer runners and clip set for bin unit (500) Dynapro",FurnitureData,5,0)+(2*VLOOKUP("Bin (42L Anthracite)",FurnitureData,5,0)),IF(ISERROR(FIND("larder",A129))=FALSE,VLOOKUP("Pull out larder unit 600mm",FurnitureData,5,0),IF(AND(ISERROR(FIND("drawer box",A129))=FALSE,ISERROR(FIND("internal",A129))=TRUE),VLOOKUP("Drawer runners and clip set (550) Dynapro",FurnitureData,5,0),IF(ISERROR(FIND("internal drawer box",A129))=FALSE,VLOOKUP("Drawer runners and clip set (450) Dynapro",FurnitureData,5,0),"")))))</f>
        <v/>
      </c>
      <c r="L129" s="152" t="str">
        <f t="shared" si="3"/>
        <v/>
      </c>
      <c r="M129" s="154" t="str">
        <f>IFERROR(__xludf.DUMMYFUNCTION("IF(A129="""","""",IF(OR(ISERROR(FIND(""larder"",A129))=FALSE,ISERROR(FIND(""unit"",A129))=FALSE),VLOOKUP(LEFT(A129,FIND("" "",A129))&amp;""carcass ""&amp;RIGHT(A129,LEN(A129)-len(regexextract(A129,"".* ""))),KitchensData,13,0),IF(ISERROR(FIND(""bins"",A129))=FALS"&amp;"E,0.95,IF(ISERROR(FIND(""Cutlery insert 600"",A129))=FALSE,1.3,IF(ISERROR(FIND(""Cutlery insert 1200"",A129))=FALSE,2,IF(ISERROR(FIND(""Pan/tray rack 600"",A129))=FALSE,3.25,IF(ISERROR(FIND(""Pan/tray rack 1200"",A129))=FALSE,5.9,IF(ISERROR(FIND(""split"""&amp;",A129))=FALSE,(((C129/1000)*0.022)*2)+VLOOKUP(SUBSTITUTE(A129,"" split"",""""),KitchensData,13,0),IF(AND(ISERROR(FIND(""drawer front"",A129))=FALSE,KitchenDoorStyle=""Flat""),(((B129/1000)*(C129/1000))*2)+((((B129+C129)/1000)*2)*0.022),IF(AND(ISERROR(FIND"&amp;"(""drawer front"",A129))=FALSE,LEFT(KitchenDoorStyle,5)=""Panel""),(((B129/1000)*(C129/1000))*2)+((((B129+C129)/1000)*2)*0.022)+((((C129/1000)-0.16)*0.013)*2)+((((D129/1000)-0.16)*0.013)*2),IF(AND(ISERROR(FIND(""drawer front"",A129))=FALSE,KitchenDoorStyl"&amp;"e=""In-frame flat""),((((B129-76)/1000)*((C129-38)/1000))*2)+(MID(KitchenDoorMaterial,FIND(""("",KitchenDoorMaterial)+1,2)/1000)*((((B129-76)+(C129-38))/1000)*2)+(((B129/1000)*0.032)*2)+((((B129-76)/1000)*0.032)*2)+(((B129/1000)*0.019)*4)+(((C129/1000)*0."&amp;"032)*2)+((((C129-38)/1000)*0.032)*2)+(((C129/1000)*0.038)*4),IF(AND(ISERROR(FIND(""drawer front"",A129))=FALSE,LEFT(KitchenDoorStyle,14)=""In-frame panel""),((((B129-76)/1000)*((C129-38)/1000))*2)+((MID(KitchenDoorMaterial,FIND(""("",KitchenDoorMaterial)+"&amp;"1,2)/1000)*((((B129-76)+(C129-38))/1000)*2))+((((B129-236)/1000)+((C129-198)/1000)*2)*0.013)+(((B129/1000)*0.032)*2)+((((B129-76)/1000)*0.032)*2)+(((B129/1000)*0.019)*4)+(((C129/1000)*0.032)*2)+((((C129-38)/1000)*0.032)*2)+(((C129/1000)*0.038)*4),IF(ISERR"&amp;"OR(FIND(""drawer box"",A129))=FALSE,((((B129/1000)*(D129/1000))+((B129/1000)*(C129/1000)))*4)+((((D129/1000)+(C129/1000))*0.016)*4)+(((C129/1000)*(D129/1000))*2),IF(OR(ISERROR(FIND(""shelf"",A129))=FALSE,ISERROR(FIND(""spacer"",A129))=FALSE,,ISERROR(FIND("&amp;"""filler panel"",A129))=FALSE),(((C129/1000)*(D129/1000))*2)+((((C129+D129)*2)/1000)*0.022),IF(ISERROR(FIND(""lost corner"",A129))=FALSE,(((B129/1000)*(C129/1000))*2)+((B129/1000)*(C129/1000))+((B129/1000)*((C129/2)/1000))+((((B129/1000)*0.025)+((C129/100"&amp;"0)*0.025))*2),IF(ISERROR(FIND(""carcass"",A129))=FALSE,(((C129/1000)*(D129/1000))*2)+(((B129/1000)*(D129/1000))*2)+((B129/1000)*(C129/1000))+((((B129/1000)*0.025)+((C129/1000)*0.025))*2),IF(AND(ISERROR(FIND(""door"",A129))=FALSE,KitchenDoorStyle=""Flat"")"&amp;",(((B129/1000)*(C129/1000))*2)+(MID(KitchenDoorMaterial,FIND(""("",KitchenDoorMaterial)+1,2)/1000)*(((B129+C129)/1000)*2),IF(AND(ISERROR(FIND(""door"",A129))=FALSE,LEFT(KitchenDoorStyle,5)=""Panel""),(((B129/1000)*(C129/1000))*2)+((MID(KitchenDoorMaterial"&amp;",FIND(""("",KitchenDoorMaterial)+1,2)/1000)*(((B129+C129)/1000)*2))+(((((B129-160)+(C129-160))*2)/1000)*(0.013)),IF(AND(ISERROR(FIND(""door"",A129))=FALSE,KitchenDoorStyle=""In-frame flat""),((((B129-76)/1000)*((C129-38)/1000))*2)+(MID(KitchenDoorMaterial"&amp;",FIND(""("",KitchenDoorMaterial)+1,2)/1000)*((((B129-76)+(C129-38))/1000)*2)+(((B129/1000)*0.032)*2)+((((B129-76)/1000)*0.032)*2)+(((B129/1000)*0.019)*4)+(((C129/1000)*0.032)*2)+((((C129-38)/1000)*0.032)*2)+(((C129/1000)*0.038)*4),IF(AND(ISERROR(FIND(""do"&amp;"or"",A129))=FALSE,LEFT(KitchenDoorStyle,14)=""In-frame panel""),((((B129-76)/1000)*((C129-38)/1000))*2)+((MID(KitchenDoorMaterial,FIND(""("",KitchenDoorMaterial)+1,2)/1000)*((((B129-76)+(C129-38))/1000)*2))+((((B129-236)/1000)+((C129-198)/1000)*2)*0.013)+"&amp;"(((B129/1000)*0.032)*2)+((((B129-76)/1000)*0.032)*2)+(((B129/1000)*0.019)*4)+(((C129/1000)*0.032)*2)+((((C129-38)/1000)*0.032)*2)+(((C129/1000)*0.038)*4),IF(ISERROR(FIND(""Plinth"",A129))=FALSE,((B129/1000)*(C129/1000))+(((C129/1000)*0.018)*2)+(((B129/100"&amp;"0)*0.018)*2),IF(ISERROR(FIND(""Cornice"",A129))=FALSE,(((C129/1000)*0.1)*2)+(((C129/1000)*0.044)*2)+(((B129/1000)*0.08)*2),IF(ISERROR(FIND(""Base end panel"",A129))=FALSE,((B129/1000)*(C129/1000))+(0.022*((B129/1000)+((C129/1000)*2)))+((B129/1000)*0.05),I"&amp;"F(ISERROR(FIND(""Wall end panel"",A129))=FALSE,((B129/1000)*(C129/1000))+(0.022*((B129/1000)+((C129/1000)*2)))+((B129/1000)*0.05),IF(ISERROR(FIND(""Tower end panel"",A129))=FALSE,((B129/1000)*(C129/1000))+(0.022*((B129/1000)+((C129/1000)*2)))+((B129/1000)"&amp;"*0.05),IF(ISERROR(FIND(""Fillers"",A129))=FALSE,((C129/1000)*0.06)+((C129/1000)*0.069)+((0.06*0.018)*2)+((0.06*0.009)*2)+((C129/1000)*0.009)+((C129/1000)*0.018),IF(ISERROR(FIND(""corner post"",A129))=FALSE,(((B129/1000*0.05)*2)+((B129/1000)*0.022)*2)+((B1"&amp;"29/1000)*0.072)+((B129/1000)*0.05)+((0.072*0.022)*2)+((0.05*0.022)*2),IF(ISERROR(FIND(""Pelmet"",A129))=FALSE,((C129/1000)*0.05)+((C129/1000)*0.068)+((0.05*0.018)*4)+(((C129/1000)*0.018))*2))))))))))))))))))))))))))))"),"")</f>
        <v/>
      </c>
      <c r="N129" s="152" t="str">
        <f>IF(M129="","",IF(AND(ISERROR(FIND("carcass",A129))=TRUE,ISERROR(FIND("unit",A129))=TRUE,ISERROR(FIND("insert",A129))=TRUE,ISERROR(FIND("rack",A129))=TRUE,ISERROR(FIND("box",A129))=TRUE,ISERROR(FIND("shelf",#REF!))=TRUE),VLOOKUP(KitchenDoorFinish,Finishing!$A$2:$K$10,9,0)*M129,VLOOKUP(KitchenCarcassFinish,Finishing!$A$2:$K$40,9,0)*M129))</f>
        <v/>
      </c>
      <c r="O129" s="155"/>
      <c r="P129" s="155"/>
      <c r="Q129" s="152" t="str">
        <f>IF(OR(O129="",P129=""),"",((O129*X129)*(VLOOKUP("Workshop",Labour!$A$3:$E$20,4,0)/8))+((P129*AE129)*(VLOOKUP("Finishing",Labour!$A$3:$E$20,4,0)/8)))</f>
        <v/>
      </c>
      <c r="R129" s="152" t="str">
        <f t="shared" si="4"/>
        <v/>
      </c>
      <c r="S129" s="156" t="str">
        <f>IF(OR(O129="",P129=""),"",IF(OR(ISERROR(FIND("carcass",$A129))=FALSE,ISERROR(FIND("unit",$A129))=FALSE),VLOOKUP(KitchenCarcassMaterial,FixedListsCarcassMaterial,2,0),0))</f>
        <v/>
      </c>
      <c r="T129" s="156" t="str">
        <f>IF(OR(O129="",P129=""),"",IF(ISERROR(FIND("door",$A129))=FALSE,VLOOKUP(KitchenDoorStyle,FixedListsDoorStyle,2,0),0))</f>
        <v/>
      </c>
      <c r="U129" s="156" t="str">
        <f>IF(OR(O129="",P129=""),"",IF(ISERROR(FIND("door",$A129))=FALSE,VLOOKUP(KitchenDoorMaterial,FixedListsDoorMaterial,2,0),0))</f>
        <v/>
      </c>
      <c r="V129" s="156" t="str">
        <f>IF(OR(O129="",P129=""),"",IF(ISERROR(FIND("drawer",$A129))=FALSE,VLOOKUP(KitchenDrawerType,FixedListsDrawerType,2,0),0))</f>
        <v/>
      </c>
      <c r="W129" s="156" t="str">
        <f>IF(OR(O129="",P129=""),"",IF(OR(S129&gt;0, T129&gt;0,V129&gt;0),VLOOKUP(KitchenHandleType,FixedListsHandleType,2,FALSE)*IF(KitchenHandleType="Simple",0,IF(S129&gt;0,VLOOKUP(KitchenHandleType,FixedListsHandleType,4,FALSE),IF(OR(T129&gt;0,V129&gt;0),1-VLOOKUP(KitchenHandleType,FixedListsHandleType,4,FALSE),"Error"))),0))</f>
        <v/>
      </c>
      <c r="X129" s="156" t="str">
        <f t="shared" si="5"/>
        <v/>
      </c>
      <c r="Y129" s="156" t="str">
        <f>IF(OR(O129="",P129=""),"",IF(OR(ISERROR(FIND("carcass",$A129))=FALSE,ISERROR(FIND("unit",$A129))=FALSE),VLOOKUP(KitchenCarcassMaterial,FixedListsCarcassMaterial,3,0),0))</f>
        <v/>
      </c>
      <c r="Z129" s="156" t="str">
        <f>IF(OR(O129="",P129=""),"",IF(ISERROR(FIND("door",$A129))=FALSE,VLOOKUP(KitchenDoorStyle,FixedListsDoorStyle,3,0),0))</f>
        <v/>
      </c>
      <c r="AA129" s="156" t="str">
        <f>IF(OR(O129="",P129=""),"",IF(ISERROR(FIND("door",$A129))=FALSE,VLOOKUP(KitchenDoorMaterial,FixedListsDoorMaterial,3,0),0))</f>
        <v/>
      </c>
      <c r="AB129" s="156" t="str">
        <f>IF(OR(O129="",P129=""),"",IF(ISERROR(FIND("drawer",$A129))=FALSE,VLOOKUP(KitchenDrawerType,FixedListsDrawerType,3,0),0))</f>
        <v/>
      </c>
      <c r="AC129" s="156" t="str">
        <f>IF(OR(O129="",P129=""),"",IF(OR(Y129&gt;0,Z129&gt;0,AB129&gt;0),VLOOKUP(KitchenHandleType,FixedListsHandleType,3,FALSE),0))</f>
        <v/>
      </c>
      <c r="AD129" s="156" t="str">
        <f>IF(OR(O129="",P129=""),"",IF(OR(ISERROR(FIND("carcass",$A129))=FALSE,ISERROR(FIND("unit",$A129))=FALSE),VLOOKUP(KitchenCarcassFinish,FixedListsFinishes,3,0),IF(OR(ISERROR(FIND("door",$A129))=FALSE,ISERROR(FIND("Plinth",$A129))=FALSE,ISERROR(FIND("Cornice",$A129))=FALSE,ISERROR(FIND("Fillers",$A129))=FALSE,ISERROR(FIND("Pelmet",$A129))=FALSE,ISERROR(FIND("panel",$A129))=FALSE,ISERROR(FIND("post",$A129))=FALSE),VLOOKUP(KitchenDoorFinish,FixedListsFinishes,3,0),IF(OR(ISERROR(FIND("drawer",$A129))=FALSE,ISERROR(FIND("insert",$A129))=FALSE,ISERROR(FIND("rck",$A129))=FALSE),VLOOKUP(KitchenCarcassFinish,FixedListsFinishes,3,0),0))))</f>
        <v/>
      </c>
      <c r="AE129" s="156" t="str">
        <f t="shared" si="6"/>
        <v/>
      </c>
      <c r="AF129" s="157" t="str">
        <f>IF(AND(KitchenHandleType="Channel",OR(ISERROR(FIND("arcass",$A129))=FALSE,ISERROR(FIND("unit",$A129))=FALSE)),IF(ISERROR(FIND("Tower",$A129))=TRUE,IF(KitchenHandleFinish="Match carcass",IF(ISERROR(FIND("Walnut",KitchenCarcassMaterial))=FALSE,(0.035*0.075*($C129/1000))*VLOOKUP("Walnut (solid m3)",SolidData,4,FALSE),IF(ISERROR(FIND("Oak",KitchenCarcassMaterial))=FALSE,(0.035*0.075*($C129/1000))*VLOOKUP("Oak (solid m3)",SolidData,4,FALSE),IF(ISERROR(FIND("ply",KitchenCarcassMaterial))=FALSE,(0.1*($C129/1000))*VLOOKUP("Birch ply (24mm)",SheetsData,7,FALSE),IF(ISERROR(FIND("H/F",KitchenCarcassMaterial))=FALSE,(0.1*($C129/1000))*VLOOKUP("H/F (22mm)",SheetsData,7,FALSE),"Carcass - not tower - new material")))),IF(KitchenHandleFinish="Match door",IF(ISERROR(FIND("Walnut",KitchenDoorMaterial))=FALSE,(0.035*0.075*($C129/1000))*VLOOKUP("Walnut (solid m3)",SolidData,4,FALSE),IF(ISERROR(FIND("Oak",KitchenDoorMaterial))=FALSE,(0.035*0.075*($C129/1000))*VLOOKUP("Oak (solid m3)",SolidData,4,FALSE),IF(ISERROR(FIND("ply",KitchenDoorMaterial))=FALSE,(0.1*($C129/1000))*VLOOKUP("Birch ply (24mm)",SheetsData,7,FALSE),IF(ISERROR(FIND("H/F",KitchenCarcassMaterial))=FALSE,(0.1*($C129/1000))*VLOOKUP("H/F (22mm)",SheetsData,7,FALSE),"Door - not tower - new material")))),"Channel - not tower - handle set to other")),IF(ISERROR(FIND("Tower",$A129))=FALSE,IF(KitchenHandleFinish="Match carcass",IF(ISERROR(FIND("Walnut",KitchenCarcassMaterial))=FALSE,(0.035*0.075*($B129/1000))*VLOOKUP("Walnut (solid m3)",SolidData,4,FALSE),IF(ISERROR(FIND("Oak",KitchenCarcassMaterial))=FALSE,(0.035*0.075*($B129/1000))*VLOOKUP("Oak (solid m3)",SolidData,4,FALSE),IF(ISERROR(FIND("ply",KitchenCarcassMaterial))=FALSE,(0.1*($B129/1000))*VLOOKUP("Birch ply (24mm)",SheetsData,7,FALSE),IF(ISERROR(FIND("H/F",KitchenCarcassMaterial))=FALSE,(0.1*($C129/1000))*VLOOKUP("H/F (22mm)",SheetsData,7,FALSE),"Carcass - tower - new material")))),IF(KitchenHandleFinish="Match door",IF(ISERROR(FIND("Walnut",KitchenDoorMaterial))=FALSE,(0.035*0.075*($B129/1000))*VLOOKUP("Walnut (solid m3)",SolidData,4,FALSE),IF(ISERROR(FIND("Oak",KitchenDoorMaterial))=FALSE,(0.035*0.075*($B129/1000))*VLOOKUP("Oak (solid m3)",SolidData,4,FALSE),IF(ISERROR(FIND("ply",KitchenDoorMaterial))=FALSE,(0.1*($B129/1000))*VLOOKUP("Birch ply (24mm)",SheetData,7,FALSE),IF(ISERROR(FIND("H/F",KitchenCarcassMaterial))=FALSE,(0.1*($C129/1000))*VLOOKUP("H/F (22mm)",SheetsData,7,FALSE),"Door - tower - new material")))),"Channel - tower - handle set to other")))),"")</f>
        <v/>
      </c>
    </row>
    <row r="130">
      <c r="A130" s="150"/>
      <c r="B130" s="115" t="str">
        <f t="shared" si="1"/>
        <v/>
      </c>
      <c r="C130" s="115" t="str">
        <f>IFERROR(__xludf.DUMMYFUNCTION("IF(A130="""","""",IF(OR(RIGHT(A130,LEN(A130)-len(regexextract(A130,"".* "")))=""1200"",RIGHT(A130,LEN(A130)-len(regexextract(A130,"".* "")))=""600"",RIGHT(A130,LEN(A130)-len(regexextract(A130,"".* "")))=""400"",RIGHT(A130,LEN(A130)-len(regexextract(A130,"&amp;""".* "")))=""300"",RIGHT(A130,LEN(A130)-len(regexextract(A130,"".* "")))=""700"",RIGHT(A130,LEN(A130)-len(regexextract(A130,"".* "")))=""2400"",RIGHT(A130,LEN(A130)-len(regexextract(A130,"".* "")))=""650"",RIGHT(A130,LEN(A130)-len(regexextract(A130,"".* "&amp;""")))=""350"",RIGHT(A130,LEN(A130)-len(regexextract(A130,"".* "")))=""50""),RIGHT(A130,LEN(A130)-len(regexextract(A130,"".* ""))),IF(OR(ISERROR(FIND(""spacer"",A130))=FALSE,ISERROR(FIND(""filler panel"",A130))=FALSE),""1000"",""Unexpected size in descript"&amp;"ion"")))"),"")</f>
        <v/>
      </c>
      <c r="D130" s="151" t="str">
        <f t="shared" si="2"/>
        <v/>
      </c>
      <c r="E130" s="152" t="str">
        <f>IFERROR(__xludf.DUMMYFUNCTION("IF(OR(A130="""",AND(ISERROR(FIND(""drawer box"",A130))=FALSE,KitchenDrawerType="""")),"""",IF(OR(ISERROR(FIND(""larder"",A130))=FALSE,ISERROR(FIND(""fridge/freezer"",A130))=FALSE,ISERROR(FIND(""double oven"",A130))=FALSE,ISERROR(FIND(""single oven"",A130)"&amp;")=FALSE),VLOOKUP(LEFT(A130,FIND("" "",A130))&amp;""carcass ""&amp;RIGHT(A130,LEN(A130)-(LEN(A130)-3)),KitchensData,5,0),IF(ISERROR(FIND(""sink"",A130))=FALSE,VLOOKUP(LEFT(A130,FIND("" "",A130))&amp;""carcass ""&amp;VALUE(REGEXREPLACE(A130,""[^[:digit:]]"", """")),Kitchen"&amp;"sData,5,0)+(((C130/1000)*(300/1000))*VLOOKUP(KitchenCarcassMaterial,SheetsData,8,0)),IF(ISERROR(FIND(""bins"",A130))=FALSE,IF(ISERROR(FIND(""veneer"",KitchenCarcassMaterial))=FALSE,VLOOKUP(""Base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600"",A130))=FALSE,IF(ISERR"&amp;"OR(FIND(""veneer"",KitchenCarcassMaterial))=FALSE,0.54*(VLOOKUP(LEFT(KitchenCarcassMaterial,FIND(""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1"&amp;"200"",A130))=FALSE,IF(ISERROR(FIND(""veneer"",KitchenCarcassMaterial))=FALSE,0.84*(VLOOKUP(LEFT(KitchenCarcassMaterial,FIND(""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600"",A130))=FALSE,IF(ISERROR(FIND(""veneer"",KitchenCarcassMaterial))=FALSE,1.44*(VLOOKUP(LEFT(KitchenCarcassMaterial,FIND(""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1200"",A130))=FALSE,IF(ISERROR(FIND(""veneer"",KitchenCarcassMaterial))=FALSE,2.7*(VLOOKUP(LEFT(KitchenCarcassMaterial,FIND(""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front"",A130))=FALSE,((B130/1000)*(C130/1000))*VLOOKUP(KitchenDoorMaterial,SheetsData,8,0),IF(AND(KitchenDrawerType=""Match carcass"",ISERROR(FIND(""drawer box"",A130))=FALSE),(((((B130/10"&amp;"00)*(C130/1000))+((B130/1000)*(D130/1000)))*2)*VLOOKUP(KitchenCarcassMaterial,SheetsData,8,0))+(((C130/1000)*(D130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box"",A130))=FALSE),(((((B130/1000)*(C130/1000))+((B130/1000)*(D130/1000)))*2)*(16/1000)*VLOOKUP(L"&amp;"EFT(KitchenCarcassMaterial,FIND("" "",KitchenCarcassMaterial))&amp;""(solid m3)"",SolidData,5,0))+(((C130/1000)*(D130/1000))*VLOOKUP(LEFT(KitchenCarcassMaterial,FIND(""("",KitchenCarcassMaterial)-1)&amp;IF(OR(ISERROR(FIND(""ply"",KitchenCarcassMaterial))=FALSE,IS"&amp;"ERROR(FIND(""H/F"",KitchenCarcassMaterial))=FALSE),""(9mm)"",""(10mm)""),SheetsData,8,0)),IF(ISERROR(FIND(""spacer"",A130))=FALSE,((D130/1000)*(C130/1000))*VLOOKUP(""Poplar ply (18mm)"",SheetsData,8,0),IF(ISERROR(FIND(""filler panel"",A130))=FALSE,((B130/"&amp;"1000)*(C130/1000))*VLOOKUP(KitchenDoorMaterial,SheetsData,8,0),IF(ISERROR(FIND(""shelf"",A130))=FALSE,((D130/1000)*(C130/1000))*VLOOKUP(KitchenCarcassMaterial,SheetsData,8,0),IF(ISERROR(FIND(""lost corner"",A130))=FALSE,VLOOKUP(LEFT(A130,FIND("" "",A130))"&amp;"&amp;""carcass ""&amp;VALUE(REGEXREPLACE(A130,""[^[:digit:]]"", """")),KitchensData,5,0)+((((B130/1000)*(C130/1000))+((B130/1000)*(60/1000)))*VLOOKUP(KitchenCarcassMaterial,SheetsData,8,0)),IF(ISERROR(FIND(""carcass"",A130))=FALSE,(((((B130/1000)*2)*(D130/1000))+"&amp;"(((C130/1000)*2)*(D130/1000)))*VLOOKUP(KitchenCarcassMaterial,SheetsData,8,0))+((B130/1000)*(C130/1000))*VLOOKUP(LEFT(KitchenCarcassMaterial,FIND(""("",KitchenCarcassMaterial)-1)&amp;IF(OR(ISERROR(FIND(""ply"",KitchenCarcassMaterial))=FALSE,ISERROR(FIND(""H/F"&amp;""",KitchenCarcassMaterial))=FALSE),""(9mm)"",""(10mm)""),SheetsData,8,0),IF(OR(ISERROR(FIND(""Plinth"",A130))=FALSE,ISERROR(FIND(""Cornice (flat)"",A130))=FALSE),((B130/1000)*(C130/1000))*VLOOKUP(""H/F (18mm)"",SheetsData,8,0),IF(ISERROR(FIND(""Cornice (s"&amp;"tacked)"",A130))=FALSE,((0.08*(C130/1000))*2)*VLOOKUP(""H/F (22mm)"",SheetsData,8,0),IF(ISERROR(FIND(""Base end panel"",A130))=FALSE,VLOOKUP(KitchenDoorMaterial,SheetsData,5,0)/3,IF(ISERROR(FIND(""Wall end panel"",A130))=FALSE,VLOOKUP(KitchenDoorMaterial,"&amp;"SheetsData,5,0)/9,IF(ISERROR(FIND(""Tower end panel"",A130))=FALSE,VLOOKUP(KitchenDoorMaterial,SheetsData,5,0),IF(ISERROR(FIND(""Fillers"",A130))=FALSE,(((0.06*(C130/1000))*2)*VLOOKUP(""H/F (18mm)"",SheetsData,8,0))+(((0.06*(C130/1000))*2)*VLOOKUP(""H/F ("&amp;"9mm)"",SheetsData,8,0)),IF(ISERROR(FIND(""corner post"",A130))=FALSE,(((B130/1000)*0.05)*2)*VLOOKUP(KitchenDoorMaterial,SheetsData,8,0),IF(ISERROR(FIND(""Pelmet"",A130))=FALSE,((((B130/1000)*(C130/1000))*2)*VLOOKUP(""H/F (18mm)"",SheetsData,8,0)),IF(ISERR"&amp;"OR(FIND(""door"",A130))=TRUE,""Check description"",IF(KitchenDoorStyle=""Flat"",((B130/1000)*(C130/1000))*VLOOKUP(KitchenDoorMaterial,SheetsData,8,0),IF(LEFT(KitchenDoorStyle,5)=""Panel"",(((((B130/1000)*2)*0.08)+((((C130/1000)-0.16)*2)*0.08))*VLOOKUP(""H"&amp;"/F (22mm)"",SheetsData,8,0))+(((B130/1000)-0.14)*((C130/1000)-0.14)*VLOOKUP(""H/F (9mm)"",SheetsData,8,0)),IF(KitchenDoorStyle=""In-frame flat"",((((((B130/1000)*0.019)*0.038)+((((C130-38)/1000)*0.038)*0.038))*2)*VLOOKUP(""Tulip (solid m3)"",SolidData,5,0"&amp;"))+(((B130-76)/1000)*((C130-38)/1000))*VLOOKUP(""H/F (22mm)"",SheetsData,8,0),IF(LEFT(KitchenDoorStyle,14)=""In-frame panel"",(((((((B130/1000)*0.019)*0.038)+((((C130-38)/1000)*0.038)*0.038))*2)*VLOOKUP(""Tulip (solid m3)"",SolidData,5,0))+(((((((B130-76)"&amp;"/1000)*2)*0.08)+(((((C130-198)/1000)*2)*0.08)))*VLOOKUP(""H/F (22mm)"",SheetsData,8,0))+(((B130-216)/1000)*((C130-178)/1000)*VLOOKUP(""H/F (9mm)"",SheetsData,8,0)))))))))))))))))))))))))))))))))"),"")</f>
        <v/>
      </c>
      <c r="F130" s="152" t="str">
        <f>IFERROR(__xludf.DUMMYFUNCTION("IF(OR(A130="""",AND(ISERROR(FIND(""drawer box"",A130))=FALSE,KitchenDrawerType=""Solid dovetail"")),"""",IF(ISERROR(FIND(""bins"",A130))=FALSE,VLOOKUP(""Base carcass 600"",KitchensData,6,0),IF(OR(ISERROR(FIND(""larder"",A130))=FALSE,ISERROR(FIND(""unit"","&amp;"A130))=FALSE),VLOOKUP(LEFT(A130,FIND("" "",A130))&amp;""carcass ""&amp;RIGHT(A130,LEN(A130)-len(regexextract(A130,"".* ""))),KitchensData,6,0),IF(ISERROR(FIND(""drawer front"",A130))=FALSE,IF(ISERROR(FIND(""veneer"",KitchenCarcassMaterial))=TRUE,0,(((B130+C130)/1"&amp;"000)*2)*VLOOKUP(""Edge banding (per M)"",SheetsData,5,0)),IF(ISERROR(FIND(""drawer box"",A130))=FALSE,IF(ISERROR(FIND(""veneer"",KitchenCarcassMaterial))=TRUE,0,(((C130+D130)/1000)*2)*VLOOKUP(""Edge banding (per M)"",SheetsData,5,0)),IF(ISERROR(FIND(""she"&amp;"lf"",A130))=FALSE,IF(ISERROR(FIND(""veneer"",KitchenCarcassMaterial))=TRUE,0,(C130/1000)*VLOOKUP(""Edge banding (per M)"",SheetsData,5,0)),IF(AND(ISERROR(FIND(""carcass"",A130))=FALSE,ISERROR(FIND(""shelf"",A130))=TRUE),IF(ISERROR(FIND(""veneer"",KitchenC"&amp;"arcassMaterial))=TRUE,0,((2*(B130+C130))/1000)*VLOOKUP(""Edge banding (per M)"",SheetsData,5,0)),IF(ISERROR(FIND(""door"",A130))=TRUE,"""",IF(ISERROR(FIND(""veneer"",KitchenDoorMaterial))=TRUE,"""",((2*(B130+C130))/1000)*VLOOKUP(""Edge banding (per M)"",S"&amp;"heetsData,5,0))))))))))"),"")</f>
        <v/>
      </c>
      <c r="G130" s="153" t="str">
        <f>IF(A130="","",IF(ISERROR(FIND("bins",A130))=FALSE,VLOOKUP("Base carcass 600",KitchensData,7,0),IF(OR(ISERROR(FIND("larder",A130))=FALSE,ISERROR(FIND("fridge/freezer",A130))=FALSE,ISERROR(FIND("double oven",A130))=FALSE,ISERROR(FIND("single oven",A130))=FALSE),VLOOKUP(LEFT(A130,FIND(" ",A130))&amp;"carcass "&amp;RIGHT(A130,LEN(A130)-(LEN(A130)-3)),KitchensData,7,0),IF(AND(ISERROR(FIND("carcass",A130))=FALSE,ISERROR(FIND("shelf",A130))=TRUE),IF(OR(ISERROR(FIND("Base",A130))=FALSE,ISERROR(FIND("Tower",A130))=FALSE),IF(OR(ISERROR(FIND("1200",A130))=FALSE, ISERROR(FIND("lost corner",A130))=FALSE),6*VLOOKUP("Plinth foot (2 Parts 80mm)",FurnitureData,5,0),4*VLOOKUP("Plinth foot (2 Parts 80mm)",FurnitureData,5,0)),""),""))))</f>
        <v/>
      </c>
      <c r="H130" s="115" t="str">
        <f>IF(OR(A130="",ISERROR(FIND("door",A130))=TRUE),"",IF(ISERROR(FIND("Wall",A130))=FALSE,VLOOKUP("Hinges &amp; plates (Hettich thick door)",FurnitureData,5,0)*2,IF(ISERROR(FIND("Base",A130))=FALSE,VLOOKUP("Hinges &amp; plates (Hettich thick door)",FurnitureData,5,0)*3,IF(ISERROR(FIND("Boiler",A130))=FALSE,VLOOKUP("Hinges &amp; plates (Hettich thick door)",FurnitureData,5,0)*4,IF(ISERROR(FIND("Tower",A130))=FALSE,VLOOKUP("Hinges &amp; plates (Hettich thick door)",FurnitureData,5,0)*5)))))</f>
        <v/>
      </c>
      <c r="I130" s="115" t="str">
        <f>IF(ISERROR(FIND("shelf",A130))=FALSE,(VLOOKUP("Shelf pegs",FurnitureData,5,0)/100)*4,"")</f>
        <v/>
      </c>
      <c r="J130" s="152" t="str">
        <f>IF(OR(ISERROR(FIND("fridge/freezer",A130))=FALSE,ISERROR(FIND("larder",A130))=FALSE,AND(ISERROR(FIND("Base",A130))=FALSE,ISERROR(FIND("bins",A130))=TRUE,ISERROR(FIND("no shelves",A130))=TRUE,OR(ISERROR(FIND("carcass",A130))=FALSE,ISERROR(FIND("unit",A130))=FALSE))),VLOOKUP("Deep shelf "&amp;C130,KitchensData,18,0),IF(AND(ISERROR(FIND("Wall",A130))=FALSE,ISERROR(FIND("carcass",A130))=FALSE),2*VLOOKUP("Shallow shelf "&amp;C130,KitchensData,18,0),IF(AND(ISERROR(FIND("Tower",A130))=FALSE,ISERROR(FIND("oven",A130))=FALSE),4*VLOOKUP("Deep shelf "&amp;C130,KitchensData,18,0),IF(AND(ISERROR(FIND("Tower",A130))=FALSE,ISERROR(FIND("carcass",A130))=FALSE),5*VLOOKUP("Deep shelf "&amp;C130,KitchensData,18,0),""))))</f>
        <v/>
      </c>
      <c r="K130" s="152" t="str">
        <f>IF(ISERROR(FIND("sink",A130))=FALSE,VLOOKUP("Sink liner - Aluminium "&amp;RIGHT(A130,LEN(A130)-22)&amp;"mm",ExceptionalData,5,0),IF(ISERROR(FIND("bins",A130))=FALSE,VLOOKUP("Drawer runners and clip set for bin unit (500) Dynapro",FurnitureData,5,0)+(2*VLOOKUP("Bin (42L Anthracite)",FurnitureData,5,0)),IF(ISERROR(FIND("larder",A130))=FALSE,VLOOKUP("Pull out larder unit 600mm",FurnitureData,5,0),IF(AND(ISERROR(FIND("drawer box",A130))=FALSE,ISERROR(FIND("internal",A130))=TRUE),VLOOKUP("Drawer runners and clip set (550) Dynapro",FurnitureData,5,0),IF(ISERROR(FIND("internal drawer box",A130))=FALSE,VLOOKUP("Drawer runners and clip set (450) Dynapro",FurnitureData,5,0),"")))))</f>
        <v/>
      </c>
      <c r="L130" s="152" t="str">
        <f t="shared" si="3"/>
        <v/>
      </c>
      <c r="M130" s="154" t="str">
        <f>IFERROR(__xludf.DUMMYFUNCTION("IF(A130="""","""",IF(OR(ISERROR(FIND(""larder"",A130))=FALSE,ISERROR(FIND(""unit"",A130))=FALSE),VLOOKUP(LEFT(A130,FIND("" "",A130))&amp;""carcass ""&amp;RIGHT(A130,LEN(A130)-len(regexextract(A130,"".* ""))),KitchensData,13,0),IF(ISERROR(FIND(""bins"",A130))=FALS"&amp;"E,0.95,IF(ISERROR(FIND(""Cutlery insert 600"",A130))=FALSE,1.3,IF(ISERROR(FIND(""Cutlery insert 1200"",A130))=FALSE,2,IF(ISERROR(FIND(""Pan/tray rack 600"",A130))=FALSE,3.25,IF(ISERROR(FIND(""Pan/tray rack 1200"",A130))=FALSE,5.9,IF(ISERROR(FIND(""split"""&amp;",A130))=FALSE,(((C130/1000)*0.022)*2)+VLOOKUP(SUBSTITUTE(A130,"" split"",""""),KitchensData,13,0),IF(AND(ISERROR(FIND(""drawer front"",A130))=FALSE,KitchenDoorStyle=""Flat""),(((B130/1000)*(C130/1000))*2)+((((B130+C130)/1000)*2)*0.022),IF(AND(ISERROR(FIND"&amp;"(""drawer front"",A130))=FALSE,LEFT(KitchenDoorStyle,5)=""Panel""),(((B130/1000)*(C130/1000))*2)+((((B130+C130)/1000)*2)*0.022)+((((C130/1000)-0.16)*0.013)*2)+((((D130/1000)-0.16)*0.013)*2),IF(AND(ISERROR(FIND(""drawer front"",A130))=FALSE,KitchenDoorStyl"&amp;"e=""In-frame flat""),((((B130-76)/1000)*((C130-38)/1000))*2)+(MID(KitchenDoorMaterial,FIND(""("",KitchenDoorMaterial)+1,2)/1000)*((((B130-76)+(C130-38))/1000)*2)+(((B130/1000)*0.032)*2)+((((B130-76)/1000)*0.032)*2)+(((B130/1000)*0.019)*4)+(((C130/1000)*0."&amp;"032)*2)+((((C130-38)/1000)*0.032)*2)+(((C130/1000)*0.038)*4),IF(AND(ISERROR(FIND(""drawer front"",A130))=FALSE,LEFT(KitchenDoorStyle,14)=""In-frame panel""),((((B130-76)/1000)*((C130-38)/1000))*2)+((MID(KitchenDoorMaterial,FIND(""("",KitchenDoorMaterial)+"&amp;"1,2)/1000)*((((B130-76)+(C130-38))/1000)*2))+((((B130-236)/1000)+((C130-198)/1000)*2)*0.013)+(((B130/1000)*0.032)*2)+((((B130-76)/1000)*0.032)*2)+(((B130/1000)*0.019)*4)+(((C130/1000)*0.032)*2)+((((C130-38)/1000)*0.032)*2)+(((C130/1000)*0.038)*4),IF(ISERR"&amp;"OR(FIND(""drawer box"",A130))=FALSE,((((B130/1000)*(D130/1000))+((B130/1000)*(C130/1000)))*4)+((((D130/1000)+(C130/1000))*0.016)*4)+(((C130/1000)*(D130/1000))*2),IF(OR(ISERROR(FIND(""shelf"",A130))=FALSE,ISERROR(FIND(""spacer"",A130))=FALSE,,ISERROR(FIND("&amp;"""filler panel"",A130))=FALSE),(((C130/1000)*(D130/1000))*2)+((((C130+D130)*2)/1000)*0.022),IF(ISERROR(FIND(""lost corner"",A130))=FALSE,(((B130/1000)*(C130/1000))*2)+((B130/1000)*(C130/1000))+((B130/1000)*((C130/2)/1000))+((((B130/1000)*0.025)+((C130/100"&amp;"0)*0.025))*2),IF(ISERROR(FIND(""carcass"",A130))=FALSE,(((C130/1000)*(D130/1000))*2)+(((B130/1000)*(D130/1000))*2)+((B130/1000)*(C130/1000))+((((B130/1000)*0.025)+((C130/1000)*0.025))*2),IF(AND(ISERROR(FIND(""door"",A130))=FALSE,KitchenDoorStyle=""Flat"")"&amp;",(((B130/1000)*(C130/1000))*2)+(MID(KitchenDoorMaterial,FIND(""("",KitchenDoorMaterial)+1,2)/1000)*(((B130+C130)/1000)*2),IF(AND(ISERROR(FIND(""door"",A130))=FALSE,LEFT(KitchenDoorStyle,5)=""Panel""),(((B130/1000)*(C130/1000))*2)+((MID(KitchenDoorMaterial"&amp;",FIND(""("",KitchenDoorMaterial)+1,2)/1000)*(((B130+C130)/1000)*2))+(((((B130-160)+(C130-160))*2)/1000)*(0.013)),IF(AND(ISERROR(FIND(""door"",A130))=FALSE,KitchenDoorStyle=""In-frame flat""),((((B130-76)/1000)*((C130-38)/1000))*2)+(MID(KitchenDoorMaterial"&amp;",FIND(""("",KitchenDoorMaterial)+1,2)/1000)*((((B130-76)+(C130-38))/1000)*2)+(((B130/1000)*0.032)*2)+((((B130-76)/1000)*0.032)*2)+(((B130/1000)*0.019)*4)+(((C130/1000)*0.032)*2)+((((C130-38)/1000)*0.032)*2)+(((C130/1000)*0.038)*4),IF(AND(ISERROR(FIND(""do"&amp;"or"",A130))=FALSE,LEFT(KitchenDoorStyle,14)=""In-frame panel""),((((B130-76)/1000)*((C130-38)/1000))*2)+((MID(KitchenDoorMaterial,FIND(""("",KitchenDoorMaterial)+1,2)/1000)*((((B130-76)+(C130-38))/1000)*2))+((((B130-236)/1000)+((C130-198)/1000)*2)*0.013)+"&amp;"(((B130/1000)*0.032)*2)+((((B130-76)/1000)*0.032)*2)+(((B130/1000)*0.019)*4)+(((C130/1000)*0.032)*2)+((((C130-38)/1000)*0.032)*2)+(((C130/1000)*0.038)*4),IF(ISERROR(FIND(""Plinth"",A130))=FALSE,((B130/1000)*(C130/1000))+(((C130/1000)*0.018)*2)+(((B130/100"&amp;"0)*0.018)*2),IF(ISERROR(FIND(""Cornice"",A130))=FALSE,(((C130/1000)*0.1)*2)+(((C130/1000)*0.044)*2)+(((B130/1000)*0.08)*2),IF(ISERROR(FIND(""Base end panel"",A130))=FALSE,((B130/1000)*(C130/1000))+(0.022*((B130/1000)+((C130/1000)*2)))+((B130/1000)*0.05),I"&amp;"F(ISERROR(FIND(""Wall end panel"",A130))=FALSE,((B130/1000)*(C130/1000))+(0.022*((B130/1000)+((C130/1000)*2)))+((B130/1000)*0.05),IF(ISERROR(FIND(""Tower end panel"",A130))=FALSE,((B130/1000)*(C130/1000))+(0.022*((B130/1000)+((C130/1000)*2)))+((B130/1000)"&amp;"*0.05),IF(ISERROR(FIND(""Fillers"",A130))=FALSE,((C130/1000)*0.06)+((C130/1000)*0.069)+((0.06*0.018)*2)+((0.06*0.009)*2)+((C130/1000)*0.009)+((C130/1000)*0.018),IF(ISERROR(FIND(""corner post"",A130))=FALSE,(((B130/1000*0.05)*2)+((B130/1000)*0.022)*2)+((B1"&amp;"30/1000)*0.072)+((B130/1000)*0.05)+((0.072*0.022)*2)+((0.05*0.022)*2),IF(ISERROR(FIND(""Pelmet"",A130))=FALSE,((C130/1000)*0.05)+((C130/1000)*0.068)+((0.05*0.018)*4)+(((C130/1000)*0.018))*2))))))))))))))))))))))))))))"),"")</f>
        <v/>
      </c>
      <c r="N130" s="152" t="str">
        <f>IF(M130="","",IF(AND(ISERROR(FIND("carcass",A130))=TRUE,ISERROR(FIND("unit",A130))=TRUE,ISERROR(FIND("insert",A130))=TRUE,ISERROR(FIND("rack",A130))=TRUE,ISERROR(FIND("box",A130))=TRUE,ISERROR(FIND("shelf",#REF!))=TRUE),VLOOKUP(KitchenDoorFinish,Finishing!$A$2:$K$10,9,0)*M130,VLOOKUP(KitchenCarcassFinish,Finishing!$A$2:$K$40,9,0)*M130))</f>
        <v/>
      </c>
      <c r="O130" s="155"/>
      <c r="P130" s="155"/>
      <c r="Q130" s="152" t="str">
        <f>IF(OR(O130="",P130=""),"",((O130*X130)*(VLOOKUP("Workshop",Labour!$A$3:$E$20,4,0)/8))+((P130*AE130)*(VLOOKUP("Finishing",Labour!$A$3:$E$20,4,0)/8)))</f>
        <v/>
      </c>
      <c r="R130" s="152" t="str">
        <f t="shared" si="4"/>
        <v/>
      </c>
      <c r="S130" s="156" t="str">
        <f>IF(OR(O130="",P130=""),"",IF(OR(ISERROR(FIND("carcass",$A130))=FALSE,ISERROR(FIND("unit",$A130))=FALSE),VLOOKUP(KitchenCarcassMaterial,FixedListsCarcassMaterial,2,0),0))</f>
        <v/>
      </c>
      <c r="T130" s="156" t="str">
        <f>IF(OR(O130="",P130=""),"",IF(ISERROR(FIND("door",$A130))=FALSE,VLOOKUP(KitchenDoorStyle,FixedListsDoorStyle,2,0),0))</f>
        <v/>
      </c>
      <c r="U130" s="156" t="str">
        <f>IF(OR(O130="",P130=""),"",IF(ISERROR(FIND("door",$A130))=FALSE,VLOOKUP(KitchenDoorMaterial,FixedListsDoorMaterial,2,0),0))</f>
        <v/>
      </c>
      <c r="V130" s="156" t="str">
        <f>IF(OR(O130="",P130=""),"",IF(ISERROR(FIND("drawer",$A130))=FALSE,VLOOKUP(KitchenDrawerType,FixedListsDrawerType,2,0),0))</f>
        <v/>
      </c>
      <c r="W130" s="156" t="str">
        <f>IF(OR(O130="",P130=""),"",IF(OR(S130&gt;0, T130&gt;0,V130&gt;0),VLOOKUP(KitchenHandleType,FixedListsHandleType,2,FALSE)*IF(KitchenHandleType="Simple",0,IF(S130&gt;0,VLOOKUP(KitchenHandleType,FixedListsHandleType,4,FALSE),IF(OR(T130&gt;0,V130&gt;0),1-VLOOKUP(KitchenHandleType,FixedListsHandleType,4,FALSE),"Error"))),0))</f>
        <v/>
      </c>
      <c r="X130" s="156" t="str">
        <f t="shared" si="5"/>
        <v/>
      </c>
      <c r="Y130" s="156" t="str">
        <f>IF(OR(O130="",P130=""),"",IF(OR(ISERROR(FIND("carcass",$A130))=FALSE,ISERROR(FIND("unit",$A130))=FALSE),VLOOKUP(KitchenCarcassMaterial,FixedListsCarcassMaterial,3,0),0))</f>
        <v/>
      </c>
      <c r="Z130" s="156" t="str">
        <f>IF(OR(O130="",P130=""),"",IF(ISERROR(FIND("door",$A130))=FALSE,VLOOKUP(KitchenDoorStyle,FixedListsDoorStyle,3,0),0))</f>
        <v/>
      </c>
      <c r="AA130" s="156" t="str">
        <f>IF(OR(O130="",P130=""),"",IF(ISERROR(FIND("door",$A130))=FALSE,VLOOKUP(KitchenDoorMaterial,FixedListsDoorMaterial,3,0),0))</f>
        <v/>
      </c>
      <c r="AB130" s="156" t="str">
        <f>IF(OR(O130="",P130=""),"",IF(ISERROR(FIND("drawer",$A130))=FALSE,VLOOKUP(KitchenDrawerType,FixedListsDrawerType,3,0),0))</f>
        <v/>
      </c>
      <c r="AC130" s="156" t="str">
        <f>IF(OR(O130="",P130=""),"",IF(OR(Y130&gt;0,Z130&gt;0,AB130&gt;0),VLOOKUP(KitchenHandleType,FixedListsHandleType,3,FALSE),0))</f>
        <v/>
      </c>
      <c r="AD130" s="156" t="str">
        <f>IF(OR(O130="",P130=""),"",IF(OR(ISERROR(FIND("carcass",$A130))=FALSE,ISERROR(FIND("unit",$A130))=FALSE),VLOOKUP(KitchenCarcassFinish,FixedListsFinishes,3,0),IF(OR(ISERROR(FIND("door",$A130))=FALSE,ISERROR(FIND("Plinth",$A130))=FALSE,ISERROR(FIND("Cornice",$A130))=FALSE,ISERROR(FIND("Fillers",$A130))=FALSE,ISERROR(FIND("Pelmet",$A130))=FALSE,ISERROR(FIND("panel",$A130))=FALSE,ISERROR(FIND("post",$A130))=FALSE),VLOOKUP(KitchenDoorFinish,FixedListsFinishes,3,0),IF(OR(ISERROR(FIND("drawer",$A130))=FALSE,ISERROR(FIND("insert",$A130))=FALSE,ISERROR(FIND("rck",$A130))=FALSE),VLOOKUP(KitchenCarcassFinish,FixedListsFinishes,3,0),0))))</f>
        <v/>
      </c>
      <c r="AE130" s="156" t="str">
        <f t="shared" si="6"/>
        <v/>
      </c>
      <c r="AF130" s="157" t="str">
        <f>IF(AND(KitchenHandleType="Channel",OR(ISERROR(FIND("arcass",$A130))=FALSE,ISERROR(FIND("unit",$A130))=FALSE)),IF(ISERROR(FIND("Tower",$A130))=TRUE,IF(KitchenHandleFinish="Match carcass",IF(ISERROR(FIND("Walnut",KitchenCarcassMaterial))=FALSE,(0.035*0.075*($C130/1000))*VLOOKUP("Walnut (solid m3)",SolidData,4,FALSE),IF(ISERROR(FIND("Oak",KitchenCarcassMaterial))=FALSE,(0.035*0.075*($C130/1000))*VLOOKUP("Oak (solid m3)",SolidData,4,FALSE),IF(ISERROR(FIND("ply",KitchenCarcassMaterial))=FALSE,(0.1*($C130/1000))*VLOOKUP("Birch ply (24mm)",SheetsData,7,FALSE),IF(ISERROR(FIND("H/F",KitchenCarcassMaterial))=FALSE,(0.1*($C130/1000))*VLOOKUP("H/F (22mm)",SheetsData,7,FALSE),"Carcass - not tower - new material")))),IF(KitchenHandleFinish="Match door",IF(ISERROR(FIND("Walnut",KitchenDoorMaterial))=FALSE,(0.035*0.075*($C130/1000))*VLOOKUP("Walnut (solid m3)",SolidData,4,FALSE),IF(ISERROR(FIND("Oak",KitchenDoorMaterial))=FALSE,(0.035*0.075*($C130/1000))*VLOOKUP("Oak (solid m3)",SolidData,4,FALSE),IF(ISERROR(FIND("ply",KitchenDoorMaterial))=FALSE,(0.1*($C130/1000))*VLOOKUP("Birch ply (24mm)",SheetsData,7,FALSE),IF(ISERROR(FIND("H/F",KitchenCarcassMaterial))=FALSE,(0.1*($C130/1000))*VLOOKUP("H/F (22mm)",SheetsData,7,FALSE),"Door - not tower - new material")))),"Channel - not tower - handle set to other")),IF(ISERROR(FIND("Tower",$A130))=FALSE,IF(KitchenHandleFinish="Match carcass",IF(ISERROR(FIND("Walnut",KitchenCarcassMaterial))=FALSE,(0.035*0.075*($B130/1000))*VLOOKUP("Walnut (solid m3)",SolidData,4,FALSE),IF(ISERROR(FIND("Oak",KitchenCarcassMaterial))=FALSE,(0.035*0.075*($B130/1000))*VLOOKUP("Oak (solid m3)",SolidData,4,FALSE),IF(ISERROR(FIND("ply",KitchenCarcassMaterial))=FALSE,(0.1*($B130/1000))*VLOOKUP("Birch ply (24mm)",SheetsData,7,FALSE),IF(ISERROR(FIND("H/F",KitchenCarcassMaterial))=FALSE,(0.1*($C130/1000))*VLOOKUP("H/F (22mm)",SheetsData,7,FALSE),"Carcass - tower - new material")))),IF(KitchenHandleFinish="Match door",IF(ISERROR(FIND("Walnut",KitchenDoorMaterial))=FALSE,(0.035*0.075*($B130/1000))*VLOOKUP("Walnut (solid m3)",SolidData,4,FALSE),IF(ISERROR(FIND("Oak",KitchenDoorMaterial))=FALSE,(0.035*0.075*($B130/1000))*VLOOKUP("Oak (solid m3)",SolidData,4,FALSE),IF(ISERROR(FIND("ply",KitchenDoorMaterial))=FALSE,(0.1*($B130/1000))*VLOOKUP("Birch ply (24mm)",SheetData,7,FALSE),IF(ISERROR(FIND("H/F",KitchenCarcassMaterial))=FALSE,(0.1*($C130/1000))*VLOOKUP("H/F (22mm)",SheetsData,7,FALSE),"Door - tower - new material")))),"Channel - tower - handle set to other")))),"")</f>
        <v/>
      </c>
    </row>
    <row r="131">
      <c r="A131" s="150"/>
      <c r="B131" s="115" t="str">
        <f t="shared" si="1"/>
        <v/>
      </c>
      <c r="C131" s="115" t="str">
        <f>IFERROR(__xludf.DUMMYFUNCTION("IF(A131="""","""",IF(OR(RIGHT(A131,LEN(A131)-len(regexextract(A131,"".* "")))=""1200"",RIGHT(A131,LEN(A131)-len(regexextract(A131,"".* "")))=""600"",RIGHT(A131,LEN(A131)-len(regexextract(A131,"".* "")))=""400"",RIGHT(A131,LEN(A131)-len(regexextract(A131,"&amp;""".* "")))=""300"",RIGHT(A131,LEN(A131)-len(regexextract(A131,"".* "")))=""700"",RIGHT(A131,LEN(A131)-len(regexextract(A131,"".* "")))=""2400"",RIGHT(A131,LEN(A131)-len(regexextract(A131,"".* "")))=""650"",RIGHT(A131,LEN(A131)-len(regexextract(A131,"".* "&amp;""")))=""350"",RIGHT(A131,LEN(A131)-len(regexextract(A131,"".* "")))=""50""),RIGHT(A131,LEN(A131)-len(regexextract(A131,"".* ""))),IF(OR(ISERROR(FIND(""spacer"",A131))=FALSE,ISERROR(FIND(""filler panel"",A131))=FALSE),""1000"",""Unexpected size in descript"&amp;"ion"")))"),"")</f>
        <v/>
      </c>
      <c r="D131" s="151" t="str">
        <f t="shared" si="2"/>
        <v/>
      </c>
      <c r="E131" s="152" t="str">
        <f>IFERROR(__xludf.DUMMYFUNCTION("IF(OR(A131="""",AND(ISERROR(FIND(""drawer box"",A131))=FALSE,KitchenDrawerType="""")),"""",IF(OR(ISERROR(FIND(""larder"",A131))=FALSE,ISERROR(FIND(""fridge/freezer"",A131))=FALSE,ISERROR(FIND(""double oven"",A131))=FALSE,ISERROR(FIND(""single oven"",A131)"&amp;")=FALSE),VLOOKUP(LEFT(A131,FIND("" "",A131))&amp;""carcass ""&amp;RIGHT(A131,LEN(A131)-(LEN(A131)-3)),KitchensData,5,0),IF(ISERROR(FIND(""sink"",A131))=FALSE,VLOOKUP(LEFT(A131,FIND("" "",A131))&amp;""carcass ""&amp;VALUE(REGEXREPLACE(A131,""[^[:digit:]]"", """")),Kitchen"&amp;"sData,5,0)+(((C131/1000)*(300/1000))*VLOOKUP(KitchenCarcassMaterial,SheetsData,8,0)),IF(ISERROR(FIND(""bins"",A131))=FALSE,IF(ISERROR(FIND(""veneer"",KitchenCarcassMaterial))=FALSE,VLOOKUP(""Base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600"",A131))=FALSE,IF(ISERR"&amp;"OR(FIND(""veneer"",KitchenCarcassMaterial))=FALSE,0.54*(VLOOKUP(LEFT(KitchenCarcassMaterial,FIND(""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1"&amp;"200"",A131))=FALSE,IF(ISERROR(FIND(""veneer"",KitchenCarcassMaterial))=FALSE,0.84*(VLOOKUP(LEFT(KitchenCarcassMaterial,FIND(""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600"",A131))=FALSE,IF(ISERROR(FIND(""veneer"",KitchenCarcassMaterial))=FALSE,1.44*(VLOOKUP(LEFT(KitchenCarcassMaterial,FIND(""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1200"",A131))=FALSE,IF(ISERROR(FIND(""veneer"",KitchenCarcassMaterial))=FALSE,2.7*(VLOOKUP(LEFT(KitchenCarcassMaterial,FIND(""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front"",A131))=FALSE,((B131/1000)*(C131/1000))*VLOOKUP(KitchenDoorMaterial,SheetsData,8,0),IF(AND(KitchenDrawerType=""Match carcass"",ISERROR(FIND(""drawer box"",A131))=FALSE),(((((B131/10"&amp;"00)*(C131/1000))+((B131/1000)*(D131/1000)))*2)*VLOOKUP(KitchenCarcassMaterial,SheetsData,8,0))+(((C131/1000)*(D131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box"",A131))=FALSE),(((((B131/1000)*(C131/1000))+((B131/1000)*(D131/1000)))*2)*(16/1000)*VLOOKUP(L"&amp;"EFT(KitchenCarcassMaterial,FIND("" "",KitchenCarcassMaterial))&amp;""(solid m3)"",SolidData,5,0))+(((C131/1000)*(D131/1000))*VLOOKUP(LEFT(KitchenCarcassMaterial,FIND(""("",KitchenCarcassMaterial)-1)&amp;IF(OR(ISERROR(FIND(""ply"",KitchenCarcassMaterial))=FALSE,IS"&amp;"ERROR(FIND(""H/F"",KitchenCarcassMaterial))=FALSE),""(9mm)"",""(10mm)""),SheetsData,8,0)),IF(ISERROR(FIND(""spacer"",A131))=FALSE,((D131/1000)*(C131/1000))*VLOOKUP(""Poplar ply (18mm)"",SheetsData,8,0),IF(ISERROR(FIND(""filler panel"",A131))=FALSE,((B131/"&amp;"1000)*(C131/1000))*VLOOKUP(KitchenDoorMaterial,SheetsData,8,0),IF(ISERROR(FIND(""shelf"",A131))=FALSE,((D131/1000)*(C131/1000))*VLOOKUP(KitchenCarcassMaterial,SheetsData,8,0),IF(ISERROR(FIND(""lost corner"",A131))=FALSE,VLOOKUP(LEFT(A131,FIND("" "",A131))"&amp;"&amp;""carcass ""&amp;VALUE(REGEXREPLACE(A131,""[^[:digit:]]"", """")),KitchensData,5,0)+((((B131/1000)*(C131/1000))+((B131/1000)*(60/1000)))*VLOOKUP(KitchenCarcassMaterial,SheetsData,8,0)),IF(ISERROR(FIND(""carcass"",A131))=FALSE,(((((B131/1000)*2)*(D131/1000))+"&amp;"(((C131/1000)*2)*(D131/1000)))*VLOOKUP(KitchenCarcassMaterial,SheetsData,8,0))+((B131/1000)*(C131/1000))*VLOOKUP(LEFT(KitchenCarcassMaterial,FIND(""("",KitchenCarcassMaterial)-1)&amp;IF(OR(ISERROR(FIND(""ply"",KitchenCarcassMaterial))=FALSE,ISERROR(FIND(""H/F"&amp;""",KitchenCarcassMaterial))=FALSE),""(9mm)"",""(10mm)""),SheetsData,8,0),IF(OR(ISERROR(FIND(""Plinth"",A131))=FALSE,ISERROR(FIND(""Cornice (flat)"",A131))=FALSE),((B131/1000)*(C131/1000))*VLOOKUP(""H/F (18mm)"",SheetsData,8,0),IF(ISERROR(FIND(""Cornice (s"&amp;"tacked)"",A131))=FALSE,((0.08*(C131/1000))*2)*VLOOKUP(""H/F (22mm)"",SheetsData,8,0),IF(ISERROR(FIND(""Base end panel"",A131))=FALSE,VLOOKUP(KitchenDoorMaterial,SheetsData,5,0)/3,IF(ISERROR(FIND(""Wall end panel"",A131))=FALSE,VLOOKUP(KitchenDoorMaterial,"&amp;"SheetsData,5,0)/9,IF(ISERROR(FIND(""Tower end panel"",A131))=FALSE,VLOOKUP(KitchenDoorMaterial,SheetsData,5,0),IF(ISERROR(FIND(""Fillers"",A131))=FALSE,(((0.06*(C131/1000))*2)*VLOOKUP(""H/F (18mm)"",SheetsData,8,0))+(((0.06*(C131/1000))*2)*VLOOKUP(""H/F ("&amp;"9mm)"",SheetsData,8,0)),IF(ISERROR(FIND(""corner post"",A131))=FALSE,(((B131/1000)*0.05)*2)*VLOOKUP(KitchenDoorMaterial,SheetsData,8,0),IF(ISERROR(FIND(""Pelmet"",A131))=FALSE,((((B131/1000)*(C131/1000))*2)*VLOOKUP(""H/F (18mm)"",SheetsData,8,0)),IF(ISERR"&amp;"OR(FIND(""door"",A131))=TRUE,""Check description"",IF(KitchenDoorStyle=""Flat"",((B131/1000)*(C131/1000))*VLOOKUP(KitchenDoorMaterial,SheetsData,8,0),IF(LEFT(KitchenDoorStyle,5)=""Panel"",(((((B131/1000)*2)*0.08)+((((C131/1000)-0.16)*2)*0.08))*VLOOKUP(""H"&amp;"/F (22mm)"",SheetsData,8,0))+(((B131/1000)-0.14)*((C131/1000)-0.14)*VLOOKUP(""H/F (9mm)"",SheetsData,8,0)),IF(KitchenDoorStyle=""In-frame flat"",((((((B131/1000)*0.019)*0.038)+((((C131-38)/1000)*0.038)*0.038))*2)*VLOOKUP(""Tulip (solid m3)"",SolidData,5,0"&amp;"))+(((B131-76)/1000)*((C131-38)/1000))*VLOOKUP(""H/F (22mm)"",SheetsData,8,0),IF(LEFT(KitchenDoorStyle,14)=""In-frame panel"",(((((((B131/1000)*0.019)*0.038)+((((C131-38)/1000)*0.038)*0.038))*2)*VLOOKUP(""Tulip (solid m3)"",SolidData,5,0))+(((((((B131-76)"&amp;"/1000)*2)*0.08)+(((((C131-198)/1000)*2)*0.08)))*VLOOKUP(""H/F (22mm)"",SheetsData,8,0))+(((B131-216)/1000)*((C131-178)/1000)*VLOOKUP(""H/F (9mm)"",SheetsData,8,0)))))))))))))))))))))))))))))))))"),"")</f>
        <v/>
      </c>
      <c r="F131" s="152" t="str">
        <f>IFERROR(__xludf.DUMMYFUNCTION("IF(OR(A131="""",AND(ISERROR(FIND(""drawer box"",A131))=FALSE,KitchenDrawerType=""Solid dovetail"")),"""",IF(ISERROR(FIND(""bins"",A131))=FALSE,VLOOKUP(""Base carcass 600"",KitchensData,6,0),IF(OR(ISERROR(FIND(""larder"",A131))=FALSE,ISERROR(FIND(""unit"","&amp;"A131))=FALSE),VLOOKUP(LEFT(A131,FIND("" "",A131))&amp;""carcass ""&amp;RIGHT(A131,LEN(A131)-len(regexextract(A131,"".* ""))),KitchensData,6,0),IF(ISERROR(FIND(""drawer front"",A131))=FALSE,IF(ISERROR(FIND(""veneer"",KitchenCarcassMaterial))=TRUE,0,(((B131+C131)/1"&amp;"000)*2)*VLOOKUP(""Edge banding (per M)"",SheetsData,5,0)),IF(ISERROR(FIND(""drawer box"",A131))=FALSE,IF(ISERROR(FIND(""veneer"",KitchenCarcassMaterial))=TRUE,0,(((C131+D131)/1000)*2)*VLOOKUP(""Edge banding (per M)"",SheetsData,5,0)),IF(ISERROR(FIND(""she"&amp;"lf"",A131))=FALSE,IF(ISERROR(FIND(""veneer"",KitchenCarcassMaterial))=TRUE,0,(C131/1000)*VLOOKUP(""Edge banding (per M)"",SheetsData,5,0)),IF(AND(ISERROR(FIND(""carcass"",A131))=FALSE,ISERROR(FIND(""shelf"",A131))=TRUE),IF(ISERROR(FIND(""veneer"",KitchenC"&amp;"arcassMaterial))=TRUE,0,((2*(B131+C131))/1000)*VLOOKUP(""Edge banding (per M)"",SheetsData,5,0)),IF(ISERROR(FIND(""door"",A131))=TRUE,"""",IF(ISERROR(FIND(""veneer"",KitchenDoorMaterial))=TRUE,"""",((2*(B131+C131))/1000)*VLOOKUP(""Edge banding (per M)"",S"&amp;"heetsData,5,0))))))))))"),"")</f>
        <v/>
      </c>
      <c r="G131" s="153" t="str">
        <f>IF(A131="","",IF(ISERROR(FIND("bins",A131))=FALSE,VLOOKUP("Base carcass 600",KitchensData,7,0),IF(OR(ISERROR(FIND("larder",A131))=FALSE,ISERROR(FIND("fridge/freezer",A131))=FALSE,ISERROR(FIND("double oven",A131))=FALSE,ISERROR(FIND("single oven",A131))=FALSE),VLOOKUP(LEFT(A131,FIND(" ",A131))&amp;"carcass "&amp;RIGHT(A131,LEN(A131)-(LEN(A131)-3)),KitchensData,7,0),IF(AND(ISERROR(FIND("carcass",A131))=FALSE,ISERROR(FIND("shelf",A131))=TRUE),IF(OR(ISERROR(FIND("Base",A131))=FALSE,ISERROR(FIND("Tower",A131))=FALSE),IF(OR(ISERROR(FIND("1200",A131))=FALSE, ISERROR(FIND("lost corner",A131))=FALSE),6*VLOOKUP("Plinth foot (2 Parts 80mm)",FurnitureData,5,0),4*VLOOKUP("Plinth foot (2 Parts 80mm)",FurnitureData,5,0)),""),""))))</f>
        <v/>
      </c>
      <c r="H131" s="115" t="str">
        <f>IF(OR(A131="",ISERROR(FIND("door",A131))=TRUE),"",IF(ISERROR(FIND("Wall",A131))=FALSE,VLOOKUP("Hinges &amp; plates (Hettich thick door)",FurnitureData,5,0)*2,IF(ISERROR(FIND("Base",A131))=FALSE,VLOOKUP("Hinges &amp; plates (Hettich thick door)",FurnitureData,5,0)*3,IF(ISERROR(FIND("Boiler",A131))=FALSE,VLOOKUP("Hinges &amp; plates (Hettich thick door)",FurnitureData,5,0)*4,IF(ISERROR(FIND("Tower",A131))=FALSE,VLOOKUP("Hinges &amp; plates (Hettich thick door)",FurnitureData,5,0)*5)))))</f>
        <v/>
      </c>
      <c r="I131" s="115" t="str">
        <f>IF(ISERROR(FIND("shelf",A131))=FALSE,(VLOOKUP("Shelf pegs",FurnitureData,5,0)/100)*4,"")</f>
        <v/>
      </c>
      <c r="J131" s="152" t="str">
        <f>IF(OR(ISERROR(FIND("fridge/freezer",A131))=FALSE,ISERROR(FIND("larder",A131))=FALSE,AND(ISERROR(FIND("Base",A131))=FALSE,ISERROR(FIND("bins",A131))=TRUE,ISERROR(FIND("no shelves",A131))=TRUE,OR(ISERROR(FIND("carcass",A131))=FALSE,ISERROR(FIND("unit",A131))=FALSE))),VLOOKUP("Deep shelf "&amp;C131,KitchensData,18,0),IF(AND(ISERROR(FIND("Wall",A131))=FALSE,ISERROR(FIND("carcass",A131))=FALSE),2*VLOOKUP("Shallow shelf "&amp;C131,KitchensData,18,0),IF(AND(ISERROR(FIND("Tower",A131))=FALSE,ISERROR(FIND("oven",A131))=FALSE),4*VLOOKUP("Deep shelf "&amp;C131,KitchensData,18,0),IF(AND(ISERROR(FIND("Tower",A131))=FALSE,ISERROR(FIND("carcass",A131))=FALSE),5*VLOOKUP("Deep shelf "&amp;C131,KitchensData,18,0),""))))</f>
        <v/>
      </c>
      <c r="K131" s="152" t="str">
        <f>IF(ISERROR(FIND("sink",A131))=FALSE,VLOOKUP("Sink liner - Aluminium "&amp;RIGHT(A131,LEN(A131)-22)&amp;"mm",ExceptionalData,5,0),IF(ISERROR(FIND("bins",A131))=FALSE,VLOOKUP("Drawer runners and clip set for bin unit (500) Dynapro",FurnitureData,5,0)+(2*VLOOKUP("Bin (42L Anthracite)",FurnitureData,5,0)),IF(ISERROR(FIND("larder",A131))=FALSE,VLOOKUP("Pull out larder unit 600mm",FurnitureData,5,0),IF(AND(ISERROR(FIND("drawer box",A131))=FALSE,ISERROR(FIND("internal",A131))=TRUE),VLOOKUP("Drawer runners and clip set (550) Dynapro",FurnitureData,5,0),IF(ISERROR(FIND("internal drawer box",A131))=FALSE,VLOOKUP("Drawer runners and clip set (450) Dynapro",FurnitureData,5,0),"")))))</f>
        <v/>
      </c>
      <c r="L131" s="152" t="str">
        <f t="shared" si="3"/>
        <v/>
      </c>
      <c r="M131" s="154" t="str">
        <f>IFERROR(__xludf.DUMMYFUNCTION("IF(A131="""","""",IF(OR(ISERROR(FIND(""larder"",A131))=FALSE,ISERROR(FIND(""unit"",A131))=FALSE),VLOOKUP(LEFT(A131,FIND("" "",A131))&amp;""carcass ""&amp;RIGHT(A131,LEN(A131)-len(regexextract(A131,"".* ""))),KitchensData,13,0),IF(ISERROR(FIND(""bins"",A131))=FALS"&amp;"E,0.95,IF(ISERROR(FIND(""Cutlery insert 600"",A131))=FALSE,1.3,IF(ISERROR(FIND(""Cutlery insert 1200"",A131))=FALSE,2,IF(ISERROR(FIND(""Pan/tray rack 600"",A131))=FALSE,3.25,IF(ISERROR(FIND(""Pan/tray rack 1200"",A131))=FALSE,5.9,IF(ISERROR(FIND(""split"""&amp;",A131))=FALSE,(((C131/1000)*0.022)*2)+VLOOKUP(SUBSTITUTE(A131,"" split"",""""),KitchensData,13,0),IF(AND(ISERROR(FIND(""drawer front"",A131))=FALSE,KitchenDoorStyle=""Flat""),(((B131/1000)*(C131/1000))*2)+((((B131+C131)/1000)*2)*0.022),IF(AND(ISERROR(FIND"&amp;"(""drawer front"",A131))=FALSE,LEFT(KitchenDoorStyle,5)=""Panel""),(((B131/1000)*(C131/1000))*2)+((((B131+C131)/1000)*2)*0.022)+((((C131/1000)-0.16)*0.013)*2)+((((D131/1000)-0.16)*0.013)*2),IF(AND(ISERROR(FIND(""drawer front"",A131))=FALSE,KitchenDoorStyl"&amp;"e=""In-frame flat""),((((B131-76)/1000)*((C131-38)/1000))*2)+(MID(KitchenDoorMaterial,FIND(""("",KitchenDoorMaterial)+1,2)/1000)*((((B131-76)+(C131-38))/1000)*2)+(((B131/1000)*0.032)*2)+((((B131-76)/1000)*0.032)*2)+(((B131/1000)*0.019)*4)+(((C131/1000)*0."&amp;"032)*2)+((((C131-38)/1000)*0.032)*2)+(((C131/1000)*0.038)*4),IF(AND(ISERROR(FIND(""drawer front"",A131))=FALSE,LEFT(KitchenDoorStyle,14)=""In-frame panel""),((((B131-76)/1000)*((C131-38)/1000))*2)+((MID(KitchenDoorMaterial,FIND(""("",KitchenDoorMaterial)+"&amp;"1,2)/1000)*((((B131-76)+(C131-38))/1000)*2))+((((B131-236)/1000)+((C131-198)/1000)*2)*0.013)+(((B131/1000)*0.032)*2)+((((B131-76)/1000)*0.032)*2)+(((B131/1000)*0.019)*4)+(((C131/1000)*0.032)*2)+((((C131-38)/1000)*0.032)*2)+(((C131/1000)*0.038)*4),IF(ISERR"&amp;"OR(FIND(""drawer box"",A131))=FALSE,((((B131/1000)*(D131/1000))+((B131/1000)*(C131/1000)))*4)+((((D131/1000)+(C131/1000))*0.016)*4)+(((C131/1000)*(D131/1000))*2),IF(OR(ISERROR(FIND(""shelf"",A131))=FALSE,ISERROR(FIND(""spacer"",A131))=FALSE,,ISERROR(FIND("&amp;"""filler panel"",A131))=FALSE),(((C131/1000)*(D131/1000))*2)+((((C131+D131)*2)/1000)*0.022),IF(ISERROR(FIND(""lost corner"",A131))=FALSE,(((B131/1000)*(C131/1000))*2)+((B131/1000)*(C131/1000))+((B131/1000)*((C131/2)/1000))+((((B131/1000)*0.025)+((C131/100"&amp;"0)*0.025))*2),IF(ISERROR(FIND(""carcass"",A131))=FALSE,(((C131/1000)*(D131/1000))*2)+(((B131/1000)*(D131/1000))*2)+((B131/1000)*(C131/1000))+((((B131/1000)*0.025)+((C131/1000)*0.025))*2),IF(AND(ISERROR(FIND(""door"",A131))=FALSE,KitchenDoorStyle=""Flat"")"&amp;",(((B131/1000)*(C131/1000))*2)+(MID(KitchenDoorMaterial,FIND(""("",KitchenDoorMaterial)+1,2)/1000)*(((B131+C131)/1000)*2),IF(AND(ISERROR(FIND(""door"",A131))=FALSE,LEFT(KitchenDoorStyle,5)=""Panel""),(((B131/1000)*(C131/1000))*2)+((MID(KitchenDoorMaterial"&amp;",FIND(""("",KitchenDoorMaterial)+1,2)/1000)*(((B131+C131)/1000)*2))+(((((B131-160)+(C131-160))*2)/1000)*(0.013)),IF(AND(ISERROR(FIND(""door"",A131))=FALSE,KitchenDoorStyle=""In-frame flat""),((((B131-76)/1000)*((C131-38)/1000))*2)+(MID(KitchenDoorMaterial"&amp;",FIND(""("",KitchenDoorMaterial)+1,2)/1000)*((((B131-76)+(C131-38))/1000)*2)+(((B131/1000)*0.032)*2)+((((B131-76)/1000)*0.032)*2)+(((B131/1000)*0.019)*4)+(((C131/1000)*0.032)*2)+((((C131-38)/1000)*0.032)*2)+(((C131/1000)*0.038)*4),IF(AND(ISERROR(FIND(""do"&amp;"or"",A131))=FALSE,LEFT(KitchenDoorStyle,14)=""In-frame panel""),((((B131-76)/1000)*((C131-38)/1000))*2)+((MID(KitchenDoorMaterial,FIND(""("",KitchenDoorMaterial)+1,2)/1000)*((((B131-76)+(C131-38))/1000)*2))+((((B131-236)/1000)+((C131-198)/1000)*2)*0.013)+"&amp;"(((B131/1000)*0.032)*2)+((((B131-76)/1000)*0.032)*2)+(((B131/1000)*0.019)*4)+(((C131/1000)*0.032)*2)+((((C131-38)/1000)*0.032)*2)+(((C131/1000)*0.038)*4),IF(ISERROR(FIND(""Plinth"",A131))=FALSE,((B131/1000)*(C131/1000))+(((C131/1000)*0.018)*2)+(((B131/100"&amp;"0)*0.018)*2),IF(ISERROR(FIND(""Cornice"",A131))=FALSE,(((C131/1000)*0.1)*2)+(((C131/1000)*0.044)*2)+(((B131/1000)*0.08)*2),IF(ISERROR(FIND(""Base end panel"",A131))=FALSE,((B131/1000)*(C131/1000))+(0.022*((B131/1000)+((C131/1000)*2)))+((B131/1000)*0.05),I"&amp;"F(ISERROR(FIND(""Wall end panel"",A131))=FALSE,((B131/1000)*(C131/1000))+(0.022*((B131/1000)+((C131/1000)*2)))+((B131/1000)*0.05),IF(ISERROR(FIND(""Tower end panel"",A131))=FALSE,((B131/1000)*(C131/1000))+(0.022*((B131/1000)+((C131/1000)*2)))+((B131/1000)"&amp;"*0.05),IF(ISERROR(FIND(""Fillers"",A131))=FALSE,((C131/1000)*0.06)+((C131/1000)*0.069)+((0.06*0.018)*2)+((0.06*0.009)*2)+((C131/1000)*0.009)+((C131/1000)*0.018),IF(ISERROR(FIND(""corner post"",A131))=FALSE,(((B131/1000*0.05)*2)+((B131/1000)*0.022)*2)+((B1"&amp;"31/1000)*0.072)+((B131/1000)*0.05)+((0.072*0.022)*2)+((0.05*0.022)*2),IF(ISERROR(FIND(""Pelmet"",A131))=FALSE,((C131/1000)*0.05)+((C131/1000)*0.068)+((0.05*0.018)*4)+(((C131/1000)*0.018))*2))))))))))))))))))))))))))))"),"")</f>
        <v/>
      </c>
      <c r="N131" s="152" t="str">
        <f>IF(M131="","",IF(AND(ISERROR(FIND("carcass",A131))=TRUE,ISERROR(FIND("unit",A131))=TRUE,ISERROR(FIND("insert",A131))=TRUE,ISERROR(FIND("rack",A131))=TRUE,ISERROR(FIND("box",A131))=TRUE,ISERROR(FIND("shelf",#REF!))=TRUE),VLOOKUP(KitchenDoorFinish,Finishing!$A$2:$K$10,9,0)*M131,VLOOKUP(KitchenCarcassFinish,Finishing!$A$2:$K$40,9,0)*M131))</f>
        <v/>
      </c>
      <c r="O131" s="155"/>
      <c r="P131" s="155"/>
      <c r="Q131" s="152" t="str">
        <f>IF(OR(O131="",P131=""),"",((O131*X131)*(VLOOKUP("Workshop",Labour!$A$3:$E$20,4,0)/8))+((P131*AE131)*(VLOOKUP("Finishing",Labour!$A$3:$E$20,4,0)/8)))</f>
        <v/>
      </c>
      <c r="R131" s="152" t="str">
        <f t="shared" si="4"/>
        <v/>
      </c>
      <c r="S131" s="156" t="str">
        <f>IF(OR(O131="",P131=""),"",IF(OR(ISERROR(FIND("carcass",$A131))=FALSE,ISERROR(FIND("unit",$A131))=FALSE),VLOOKUP(KitchenCarcassMaterial,FixedListsCarcassMaterial,2,0),0))</f>
        <v/>
      </c>
      <c r="T131" s="156" t="str">
        <f>IF(OR(O131="",P131=""),"",IF(ISERROR(FIND("door",$A131))=FALSE,VLOOKUP(KitchenDoorStyle,FixedListsDoorStyle,2,0),0))</f>
        <v/>
      </c>
      <c r="U131" s="156" t="str">
        <f>IF(OR(O131="",P131=""),"",IF(ISERROR(FIND("door",$A131))=FALSE,VLOOKUP(KitchenDoorMaterial,FixedListsDoorMaterial,2,0),0))</f>
        <v/>
      </c>
      <c r="V131" s="156" t="str">
        <f>IF(OR(O131="",P131=""),"",IF(ISERROR(FIND("drawer",$A131))=FALSE,VLOOKUP(KitchenDrawerType,FixedListsDrawerType,2,0),0))</f>
        <v/>
      </c>
      <c r="W131" s="156" t="str">
        <f>IF(OR(O131="",P131=""),"",IF(OR(S131&gt;0, T131&gt;0,V131&gt;0),VLOOKUP(KitchenHandleType,FixedListsHandleType,2,FALSE)*IF(KitchenHandleType="Simple",0,IF(S131&gt;0,VLOOKUP(KitchenHandleType,FixedListsHandleType,4,FALSE),IF(OR(T131&gt;0,V131&gt;0),1-VLOOKUP(KitchenHandleType,FixedListsHandleType,4,FALSE),"Error"))),0))</f>
        <v/>
      </c>
      <c r="X131" s="156" t="str">
        <f t="shared" si="5"/>
        <v/>
      </c>
      <c r="Y131" s="156" t="str">
        <f>IF(OR(O131="",P131=""),"",IF(OR(ISERROR(FIND("carcass",$A131))=FALSE,ISERROR(FIND("unit",$A131))=FALSE),VLOOKUP(KitchenCarcassMaterial,FixedListsCarcassMaterial,3,0),0))</f>
        <v/>
      </c>
      <c r="Z131" s="156" t="str">
        <f>IF(OR(O131="",P131=""),"",IF(ISERROR(FIND("door",$A131))=FALSE,VLOOKUP(KitchenDoorStyle,FixedListsDoorStyle,3,0),0))</f>
        <v/>
      </c>
      <c r="AA131" s="156" t="str">
        <f>IF(OR(O131="",P131=""),"",IF(ISERROR(FIND("door",$A131))=FALSE,VLOOKUP(KitchenDoorMaterial,FixedListsDoorMaterial,3,0),0))</f>
        <v/>
      </c>
      <c r="AB131" s="156" t="str">
        <f>IF(OR(O131="",P131=""),"",IF(ISERROR(FIND("drawer",$A131))=FALSE,VLOOKUP(KitchenDrawerType,FixedListsDrawerType,3,0),0))</f>
        <v/>
      </c>
      <c r="AC131" s="156" t="str">
        <f>IF(OR(O131="",P131=""),"",IF(OR(Y131&gt;0,Z131&gt;0,AB131&gt;0),VLOOKUP(KitchenHandleType,FixedListsHandleType,3,FALSE),0))</f>
        <v/>
      </c>
      <c r="AD131" s="156" t="str">
        <f>IF(OR(O131="",P131=""),"",IF(OR(ISERROR(FIND("carcass",$A131))=FALSE,ISERROR(FIND("unit",$A131))=FALSE),VLOOKUP(KitchenCarcassFinish,FixedListsFinishes,3,0),IF(OR(ISERROR(FIND("door",$A131))=FALSE,ISERROR(FIND("Plinth",$A131))=FALSE,ISERROR(FIND("Cornice",$A131))=FALSE,ISERROR(FIND("Fillers",$A131))=FALSE,ISERROR(FIND("Pelmet",$A131))=FALSE,ISERROR(FIND("panel",$A131))=FALSE,ISERROR(FIND("post",$A131))=FALSE),VLOOKUP(KitchenDoorFinish,FixedListsFinishes,3,0),IF(OR(ISERROR(FIND("drawer",$A131))=FALSE,ISERROR(FIND("insert",$A131))=FALSE,ISERROR(FIND("rck",$A131))=FALSE),VLOOKUP(KitchenCarcassFinish,FixedListsFinishes,3,0),0))))</f>
        <v/>
      </c>
      <c r="AE131" s="156" t="str">
        <f t="shared" si="6"/>
        <v/>
      </c>
      <c r="AF131" s="157" t="str">
        <f>IF(AND(KitchenHandleType="Channel",OR(ISERROR(FIND("arcass",$A131))=FALSE,ISERROR(FIND("unit",$A131))=FALSE)),IF(ISERROR(FIND("Tower",$A131))=TRUE,IF(KitchenHandleFinish="Match carcass",IF(ISERROR(FIND("Walnut",KitchenCarcassMaterial))=FALSE,(0.035*0.075*($C131/1000))*VLOOKUP("Walnut (solid m3)",SolidData,4,FALSE),IF(ISERROR(FIND("Oak",KitchenCarcassMaterial))=FALSE,(0.035*0.075*($C131/1000))*VLOOKUP("Oak (solid m3)",SolidData,4,FALSE),IF(ISERROR(FIND("ply",KitchenCarcassMaterial))=FALSE,(0.1*($C131/1000))*VLOOKUP("Birch ply (24mm)",SheetsData,7,FALSE),IF(ISERROR(FIND("H/F",KitchenCarcassMaterial))=FALSE,(0.1*($C131/1000))*VLOOKUP("H/F (22mm)",SheetsData,7,FALSE),"Carcass - not tower - new material")))),IF(KitchenHandleFinish="Match door",IF(ISERROR(FIND("Walnut",KitchenDoorMaterial))=FALSE,(0.035*0.075*($C131/1000))*VLOOKUP("Walnut (solid m3)",SolidData,4,FALSE),IF(ISERROR(FIND("Oak",KitchenDoorMaterial))=FALSE,(0.035*0.075*($C131/1000))*VLOOKUP("Oak (solid m3)",SolidData,4,FALSE),IF(ISERROR(FIND("ply",KitchenDoorMaterial))=FALSE,(0.1*($C131/1000))*VLOOKUP("Birch ply (24mm)",SheetsData,7,FALSE),IF(ISERROR(FIND("H/F",KitchenCarcassMaterial))=FALSE,(0.1*($C131/1000))*VLOOKUP("H/F (22mm)",SheetsData,7,FALSE),"Door - not tower - new material")))),"Channel - not tower - handle set to other")),IF(ISERROR(FIND("Tower",$A131))=FALSE,IF(KitchenHandleFinish="Match carcass",IF(ISERROR(FIND("Walnut",KitchenCarcassMaterial))=FALSE,(0.035*0.075*($B131/1000))*VLOOKUP("Walnut (solid m3)",SolidData,4,FALSE),IF(ISERROR(FIND("Oak",KitchenCarcassMaterial))=FALSE,(0.035*0.075*($B131/1000))*VLOOKUP("Oak (solid m3)",SolidData,4,FALSE),IF(ISERROR(FIND("ply",KitchenCarcassMaterial))=FALSE,(0.1*($B131/1000))*VLOOKUP("Birch ply (24mm)",SheetsData,7,FALSE),IF(ISERROR(FIND("H/F",KitchenCarcassMaterial))=FALSE,(0.1*($C131/1000))*VLOOKUP("H/F (22mm)",SheetsData,7,FALSE),"Carcass - tower - new material")))),IF(KitchenHandleFinish="Match door",IF(ISERROR(FIND("Walnut",KitchenDoorMaterial))=FALSE,(0.035*0.075*($B131/1000))*VLOOKUP("Walnut (solid m3)",SolidData,4,FALSE),IF(ISERROR(FIND("Oak",KitchenDoorMaterial))=FALSE,(0.035*0.075*($B131/1000))*VLOOKUP("Oak (solid m3)",SolidData,4,FALSE),IF(ISERROR(FIND("ply",KitchenDoorMaterial))=FALSE,(0.1*($B131/1000))*VLOOKUP("Birch ply (24mm)",SheetData,7,FALSE),IF(ISERROR(FIND("H/F",KitchenCarcassMaterial))=FALSE,(0.1*($C131/1000))*VLOOKUP("H/F (22mm)",SheetsData,7,FALSE),"Door - tower - new material")))),"Channel - tower - handle set to other")))),"")</f>
        <v/>
      </c>
    </row>
    <row r="132">
      <c r="A132" s="150"/>
      <c r="B132" s="115" t="str">
        <f t="shared" si="1"/>
        <v/>
      </c>
      <c r="C132" s="115" t="str">
        <f>IFERROR(__xludf.DUMMYFUNCTION("IF(A132="""","""",IF(OR(RIGHT(A132,LEN(A132)-len(regexextract(A132,"".* "")))=""1200"",RIGHT(A132,LEN(A132)-len(regexextract(A132,"".* "")))=""600"",RIGHT(A132,LEN(A132)-len(regexextract(A132,"".* "")))=""400"",RIGHT(A132,LEN(A132)-len(regexextract(A132,"&amp;""".* "")))=""300"",RIGHT(A132,LEN(A132)-len(regexextract(A132,"".* "")))=""700"",RIGHT(A132,LEN(A132)-len(regexextract(A132,"".* "")))=""2400"",RIGHT(A132,LEN(A132)-len(regexextract(A132,"".* "")))=""650"",RIGHT(A132,LEN(A132)-len(regexextract(A132,"".* "&amp;""")))=""350"",RIGHT(A132,LEN(A132)-len(regexextract(A132,"".* "")))=""50""),RIGHT(A132,LEN(A132)-len(regexextract(A132,"".* ""))),IF(OR(ISERROR(FIND(""spacer"",A132))=FALSE,ISERROR(FIND(""filler panel"",A132))=FALSE),""1000"",""Unexpected size in descript"&amp;"ion"")))"),"")</f>
        <v/>
      </c>
      <c r="D132" s="151" t="str">
        <f t="shared" si="2"/>
        <v/>
      </c>
      <c r="E132" s="152" t="str">
        <f>IFERROR(__xludf.DUMMYFUNCTION("IF(OR(A132="""",AND(ISERROR(FIND(""drawer box"",A132))=FALSE,KitchenDrawerType="""")),"""",IF(OR(ISERROR(FIND(""larder"",A132))=FALSE,ISERROR(FIND(""fridge/freezer"",A132))=FALSE,ISERROR(FIND(""double oven"",A132))=FALSE,ISERROR(FIND(""single oven"",A132)"&amp;")=FALSE),VLOOKUP(LEFT(A132,FIND("" "",A132))&amp;""carcass ""&amp;RIGHT(A132,LEN(A132)-(LEN(A132)-3)),KitchensData,5,0),IF(ISERROR(FIND(""sink"",A132))=FALSE,VLOOKUP(LEFT(A132,FIND("" "",A132))&amp;""carcass ""&amp;VALUE(REGEXREPLACE(A132,""[^[:digit:]]"", """")),Kitchen"&amp;"sData,5,0)+(((C132/1000)*(300/1000))*VLOOKUP(KitchenCarcassMaterial,SheetsData,8,0)),IF(ISERROR(FIND(""bins"",A132))=FALSE,IF(ISERROR(FIND(""veneer"",KitchenCarcassMaterial))=FALSE,VLOOKUP(""Base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600"",A132))=FALSE,IF(ISERR"&amp;"OR(FIND(""veneer"",KitchenCarcassMaterial))=FALSE,0.54*(VLOOKUP(LEFT(KitchenCarcassMaterial,FIND(""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1"&amp;"200"",A132))=FALSE,IF(ISERROR(FIND(""veneer"",KitchenCarcassMaterial))=FALSE,0.84*(VLOOKUP(LEFT(KitchenCarcassMaterial,FIND(""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600"",A132))=FALSE,IF(ISERROR(FIND(""veneer"",KitchenCarcassMaterial))=FALSE,1.44*(VLOOKUP(LEFT(KitchenCarcassMaterial,FIND(""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1200"",A132))=FALSE,IF(ISERROR(FIND(""veneer"",KitchenCarcassMaterial))=FALSE,2.7*(VLOOKUP(LEFT(KitchenCarcassMaterial,FIND(""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front"",A132))=FALSE,((B132/1000)*(C132/1000))*VLOOKUP(KitchenDoorMaterial,SheetsData,8,0),IF(AND(KitchenDrawerType=""Match carcass"",ISERROR(FIND(""drawer box"",A132))=FALSE),(((((B132/10"&amp;"00)*(C132/1000))+((B132/1000)*(D132/1000)))*2)*VLOOKUP(KitchenCarcassMaterial,SheetsData,8,0))+(((C132/1000)*(D132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box"",A132))=FALSE),(((((B132/1000)*(C132/1000))+((B132/1000)*(D132/1000)))*2)*(16/1000)*VLOOKUP(L"&amp;"EFT(KitchenCarcassMaterial,FIND("" "",KitchenCarcassMaterial))&amp;""(solid m3)"",SolidData,5,0))+(((C132/1000)*(D132/1000))*VLOOKUP(LEFT(KitchenCarcassMaterial,FIND(""("",KitchenCarcassMaterial)-1)&amp;IF(OR(ISERROR(FIND(""ply"",KitchenCarcassMaterial))=FALSE,IS"&amp;"ERROR(FIND(""H/F"",KitchenCarcassMaterial))=FALSE),""(9mm)"",""(10mm)""),SheetsData,8,0)),IF(ISERROR(FIND(""spacer"",A132))=FALSE,((D132/1000)*(C132/1000))*VLOOKUP(""Poplar ply (18mm)"",SheetsData,8,0),IF(ISERROR(FIND(""filler panel"",A132))=FALSE,((B132/"&amp;"1000)*(C132/1000))*VLOOKUP(KitchenDoorMaterial,SheetsData,8,0),IF(ISERROR(FIND(""shelf"",A132))=FALSE,((D132/1000)*(C132/1000))*VLOOKUP(KitchenCarcassMaterial,SheetsData,8,0),IF(ISERROR(FIND(""lost corner"",A132))=FALSE,VLOOKUP(LEFT(A132,FIND("" "",A132))"&amp;"&amp;""carcass ""&amp;VALUE(REGEXREPLACE(A132,""[^[:digit:]]"", """")),KitchensData,5,0)+((((B132/1000)*(C132/1000))+((B132/1000)*(60/1000)))*VLOOKUP(KitchenCarcassMaterial,SheetsData,8,0)),IF(ISERROR(FIND(""carcass"",A132))=FALSE,(((((B132/1000)*2)*(D132/1000))+"&amp;"(((C132/1000)*2)*(D132/1000)))*VLOOKUP(KitchenCarcassMaterial,SheetsData,8,0))+((B132/1000)*(C132/1000))*VLOOKUP(LEFT(KitchenCarcassMaterial,FIND(""("",KitchenCarcassMaterial)-1)&amp;IF(OR(ISERROR(FIND(""ply"",KitchenCarcassMaterial))=FALSE,ISERROR(FIND(""H/F"&amp;""",KitchenCarcassMaterial))=FALSE),""(9mm)"",""(10mm)""),SheetsData,8,0),IF(OR(ISERROR(FIND(""Plinth"",A132))=FALSE,ISERROR(FIND(""Cornice (flat)"",A132))=FALSE),((B132/1000)*(C132/1000))*VLOOKUP(""H/F (18mm)"",SheetsData,8,0),IF(ISERROR(FIND(""Cornice (s"&amp;"tacked)"",A132))=FALSE,((0.08*(C132/1000))*2)*VLOOKUP(""H/F (22mm)"",SheetsData,8,0),IF(ISERROR(FIND(""Base end panel"",A132))=FALSE,VLOOKUP(KitchenDoorMaterial,SheetsData,5,0)/3,IF(ISERROR(FIND(""Wall end panel"",A132))=FALSE,VLOOKUP(KitchenDoorMaterial,"&amp;"SheetsData,5,0)/9,IF(ISERROR(FIND(""Tower end panel"",A132))=FALSE,VLOOKUP(KitchenDoorMaterial,SheetsData,5,0),IF(ISERROR(FIND(""Fillers"",A132))=FALSE,(((0.06*(C132/1000))*2)*VLOOKUP(""H/F (18mm)"",SheetsData,8,0))+(((0.06*(C132/1000))*2)*VLOOKUP(""H/F ("&amp;"9mm)"",SheetsData,8,0)),IF(ISERROR(FIND(""corner post"",A132))=FALSE,(((B132/1000)*0.05)*2)*VLOOKUP(KitchenDoorMaterial,SheetsData,8,0),IF(ISERROR(FIND(""Pelmet"",A132))=FALSE,((((B132/1000)*(C132/1000))*2)*VLOOKUP(""H/F (18mm)"",SheetsData,8,0)),IF(ISERR"&amp;"OR(FIND(""door"",A132))=TRUE,""Check description"",IF(KitchenDoorStyle=""Flat"",((B132/1000)*(C132/1000))*VLOOKUP(KitchenDoorMaterial,SheetsData,8,0),IF(LEFT(KitchenDoorStyle,5)=""Panel"",(((((B132/1000)*2)*0.08)+((((C132/1000)-0.16)*2)*0.08))*VLOOKUP(""H"&amp;"/F (22mm)"",SheetsData,8,0))+(((B132/1000)-0.14)*((C132/1000)-0.14)*VLOOKUP(""H/F (9mm)"",SheetsData,8,0)),IF(KitchenDoorStyle=""In-frame flat"",((((((B132/1000)*0.019)*0.038)+((((C132-38)/1000)*0.038)*0.038))*2)*VLOOKUP(""Tulip (solid m3)"",SolidData,5,0"&amp;"))+(((B132-76)/1000)*((C132-38)/1000))*VLOOKUP(""H/F (22mm)"",SheetsData,8,0),IF(LEFT(KitchenDoorStyle,14)=""In-frame panel"",(((((((B132/1000)*0.019)*0.038)+((((C132-38)/1000)*0.038)*0.038))*2)*VLOOKUP(""Tulip (solid m3)"",SolidData,5,0))+(((((((B132-76)"&amp;"/1000)*2)*0.08)+(((((C132-198)/1000)*2)*0.08)))*VLOOKUP(""H/F (22mm)"",SheetsData,8,0))+(((B132-216)/1000)*((C132-178)/1000)*VLOOKUP(""H/F (9mm)"",SheetsData,8,0)))))))))))))))))))))))))))))))))"),"")</f>
        <v/>
      </c>
      <c r="F132" s="152" t="str">
        <f>IFERROR(__xludf.DUMMYFUNCTION("IF(OR(A132="""",AND(ISERROR(FIND(""drawer box"",A132))=FALSE,KitchenDrawerType=""Solid dovetail"")),"""",IF(ISERROR(FIND(""bins"",A132))=FALSE,VLOOKUP(""Base carcass 600"",KitchensData,6,0),IF(OR(ISERROR(FIND(""larder"",A132))=FALSE,ISERROR(FIND(""unit"","&amp;"A132))=FALSE),VLOOKUP(LEFT(A132,FIND("" "",A132))&amp;""carcass ""&amp;RIGHT(A132,LEN(A132)-len(regexextract(A132,"".* ""))),KitchensData,6,0),IF(ISERROR(FIND(""drawer front"",A132))=FALSE,IF(ISERROR(FIND(""veneer"",KitchenCarcassMaterial))=TRUE,0,(((B132+C132)/1"&amp;"000)*2)*VLOOKUP(""Edge banding (per M)"",SheetsData,5,0)),IF(ISERROR(FIND(""drawer box"",A132))=FALSE,IF(ISERROR(FIND(""veneer"",KitchenCarcassMaterial))=TRUE,0,(((C132+D132)/1000)*2)*VLOOKUP(""Edge banding (per M)"",SheetsData,5,0)),IF(ISERROR(FIND(""she"&amp;"lf"",A132))=FALSE,IF(ISERROR(FIND(""veneer"",KitchenCarcassMaterial))=TRUE,0,(C132/1000)*VLOOKUP(""Edge banding (per M)"",SheetsData,5,0)),IF(AND(ISERROR(FIND(""carcass"",A132))=FALSE,ISERROR(FIND(""shelf"",A132))=TRUE),IF(ISERROR(FIND(""veneer"",KitchenC"&amp;"arcassMaterial))=TRUE,0,((2*(B132+C132))/1000)*VLOOKUP(""Edge banding (per M)"",SheetsData,5,0)),IF(ISERROR(FIND(""door"",A132))=TRUE,"""",IF(ISERROR(FIND(""veneer"",KitchenDoorMaterial))=TRUE,"""",((2*(B132+C132))/1000)*VLOOKUP(""Edge banding (per M)"",S"&amp;"heetsData,5,0))))))))))"),"")</f>
        <v/>
      </c>
      <c r="G132" s="153" t="str">
        <f>IF(A132="","",IF(ISERROR(FIND("bins",A132))=FALSE,VLOOKUP("Base carcass 600",KitchensData,7,0),IF(OR(ISERROR(FIND("larder",A132))=FALSE,ISERROR(FIND("fridge/freezer",A132))=FALSE,ISERROR(FIND("double oven",A132))=FALSE,ISERROR(FIND("single oven",A132))=FALSE),VLOOKUP(LEFT(A132,FIND(" ",A132))&amp;"carcass "&amp;RIGHT(A132,LEN(A132)-(LEN(A132)-3)),KitchensData,7,0),IF(AND(ISERROR(FIND("carcass",A132))=FALSE,ISERROR(FIND("shelf",A132))=TRUE),IF(OR(ISERROR(FIND("Base",A132))=FALSE,ISERROR(FIND("Tower",A132))=FALSE),IF(OR(ISERROR(FIND("1200",A132))=FALSE, ISERROR(FIND("lost corner",A132))=FALSE),6*VLOOKUP("Plinth foot (2 Parts 80mm)",FurnitureData,5,0),4*VLOOKUP("Plinth foot (2 Parts 80mm)",FurnitureData,5,0)),""),""))))</f>
        <v/>
      </c>
      <c r="H132" s="115" t="str">
        <f>IF(OR(A132="",ISERROR(FIND("door",A132))=TRUE),"",IF(ISERROR(FIND("Wall",A132))=FALSE,VLOOKUP("Hinges &amp; plates (Hettich thick door)",FurnitureData,5,0)*2,IF(ISERROR(FIND("Base",A132))=FALSE,VLOOKUP("Hinges &amp; plates (Hettich thick door)",FurnitureData,5,0)*3,IF(ISERROR(FIND("Boiler",A132))=FALSE,VLOOKUP("Hinges &amp; plates (Hettich thick door)",FurnitureData,5,0)*4,IF(ISERROR(FIND("Tower",A132))=FALSE,VLOOKUP("Hinges &amp; plates (Hettich thick door)",FurnitureData,5,0)*5)))))</f>
        <v/>
      </c>
      <c r="I132" s="115" t="str">
        <f>IF(ISERROR(FIND("shelf",A132))=FALSE,(VLOOKUP("Shelf pegs",FurnitureData,5,0)/100)*4,"")</f>
        <v/>
      </c>
      <c r="J132" s="152" t="str">
        <f>IF(OR(ISERROR(FIND("fridge/freezer",A132))=FALSE,ISERROR(FIND("larder",A132))=FALSE,AND(ISERROR(FIND("Base",A132))=FALSE,ISERROR(FIND("bins",A132))=TRUE,ISERROR(FIND("no shelves",A132))=TRUE,OR(ISERROR(FIND("carcass",A132))=FALSE,ISERROR(FIND("unit",A132))=FALSE))),VLOOKUP("Deep shelf "&amp;C132,KitchensData,18,0),IF(AND(ISERROR(FIND("Wall",A132))=FALSE,ISERROR(FIND("carcass",A132))=FALSE),2*VLOOKUP("Shallow shelf "&amp;C132,KitchensData,18,0),IF(AND(ISERROR(FIND("Tower",A132))=FALSE,ISERROR(FIND("oven",A132))=FALSE),4*VLOOKUP("Deep shelf "&amp;C132,KitchensData,18,0),IF(AND(ISERROR(FIND("Tower",A132))=FALSE,ISERROR(FIND("carcass",A132))=FALSE),5*VLOOKUP("Deep shelf "&amp;C132,KitchensData,18,0),""))))</f>
        <v/>
      </c>
      <c r="K132" s="152" t="str">
        <f>IF(ISERROR(FIND("sink",A132))=FALSE,VLOOKUP("Sink liner - Aluminium "&amp;RIGHT(A132,LEN(A132)-22)&amp;"mm",ExceptionalData,5,0),IF(ISERROR(FIND("bins",A132))=FALSE,VLOOKUP("Drawer runners and clip set for bin unit (500) Dynapro",FurnitureData,5,0)+(2*VLOOKUP("Bin (42L Anthracite)",FurnitureData,5,0)),IF(ISERROR(FIND("larder",A132))=FALSE,VLOOKUP("Pull out larder unit 600mm",FurnitureData,5,0),IF(AND(ISERROR(FIND("drawer box",A132))=FALSE,ISERROR(FIND("internal",A132))=TRUE),VLOOKUP("Drawer runners and clip set (550) Dynapro",FurnitureData,5,0),IF(ISERROR(FIND("internal drawer box",A132))=FALSE,VLOOKUP("Drawer runners and clip set (450) Dynapro",FurnitureData,5,0),"")))))</f>
        <v/>
      </c>
      <c r="L132" s="152" t="str">
        <f t="shared" si="3"/>
        <v/>
      </c>
      <c r="M132" s="154" t="str">
        <f>IFERROR(__xludf.DUMMYFUNCTION("IF(A132="""","""",IF(OR(ISERROR(FIND(""larder"",A132))=FALSE,ISERROR(FIND(""unit"",A132))=FALSE),VLOOKUP(LEFT(A132,FIND("" "",A132))&amp;""carcass ""&amp;RIGHT(A132,LEN(A132)-len(regexextract(A132,"".* ""))),KitchensData,13,0),IF(ISERROR(FIND(""bins"",A132))=FALS"&amp;"E,0.95,IF(ISERROR(FIND(""Cutlery insert 600"",A132))=FALSE,1.3,IF(ISERROR(FIND(""Cutlery insert 1200"",A132))=FALSE,2,IF(ISERROR(FIND(""Pan/tray rack 600"",A132))=FALSE,3.25,IF(ISERROR(FIND(""Pan/tray rack 1200"",A132))=FALSE,5.9,IF(ISERROR(FIND(""split"""&amp;",A132))=FALSE,(((C132/1000)*0.022)*2)+VLOOKUP(SUBSTITUTE(A132,"" split"",""""),KitchensData,13,0),IF(AND(ISERROR(FIND(""drawer front"",A132))=FALSE,KitchenDoorStyle=""Flat""),(((B132/1000)*(C132/1000))*2)+((((B132+C132)/1000)*2)*0.022),IF(AND(ISERROR(FIND"&amp;"(""drawer front"",A132))=FALSE,LEFT(KitchenDoorStyle,5)=""Panel""),(((B132/1000)*(C132/1000))*2)+((((B132+C132)/1000)*2)*0.022)+((((C132/1000)-0.16)*0.013)*2)+((((D132/1000)-0.16)*0.013)*2),IF(AND(ISERROR(FIND(""drawer front"",A132))=FALSE,KitchenDoorStyl"&amp;"e=""In-frame flat""),((((B132-76)/1000)*((C132-38)/1000))*2)+(MID(KitchenDoorMaterial,FIND(""("",KitchenDoorMaterial)+1,2)/1000)*((((B132-76)+(C132-38))/1000)*2)+(((B132/1000)*0.032)*2)+((((B132-76)/1000)*0.032)*2)+(((B132/1000)*0.019)*4)+(((C132/1000)*0."&amp;"032)*2)+((((C132-38)/1000)*0.032)*2)+(((C132/1000)*0.038)*4),IF(AND(ISERROR(FIND(""drawer front"",A132))=FALSE,LEFT(KitchenDoorStyle,14)=""In-frame panel""),((((B132-76)/1000)*((C132-38)/1000))*2)+((MID(KitchenDoorMaterial,FIND(""("",KitchenDoorMaterial)+"&amp;"1,2)/1000)*((((B132-76)+(C132-38))/1000)*2))+((((B132-236)/1000)+((C132-198)/1000)*2)*0.013)+(((B132/1000)*0.032)*2)+((((B132-76)/1000)*0.032)*2)+(((B132/1000)*0.019)*4)+(((C132/1000)*0.032)*2)+((((C132-38)/1000)*0.032)*2)+(((C132/1000)*0.038)*4),IF(ISERR"&amp;"OR(FIND(""drawer box"",A132))=FALSE,((((B132/1000)*(D132/1000))+((B132/1000)*(C132/1000)))*4)+((((D132/1000)+(C132/1000))*0.016)*4)+(((C132/1000)*(D132/1000))*2),IF(OR(ISERROR(FIND(""shelf"",A132))=FALSE,ISERROR(FIND(""spacer"",A132))=FALSE,,ISERROR(FIND("&amp;"""filler panel"",A132))=FALSE),(((C132/1000)*(D132/1000))*2)+((((C132+D132)*2)/1000)*0.022),IF(ISERROR(FIND(""lost corner"",A132))=FALSE,(((B132/1000)*(C132/1000))*2)+((B132/1000)*(C132/1000))+((B132/1000)*((C132/2)/1000))+((((B132/1000)*0.025)+((C132/100"&amp;"0)*0.025))*2),IF(ISERROR(FIND(""carcass"",A132))=FALSE,(((C132/1000)*(D132/1000))*2)+(((B132/1000)*(D132/1000))*2)+((B132/1000)*(C132/1000))+((((B132/1000)*0.025)+((C132/1000)*0.025))*2),IF(AND(ISERROR(FIND(""door"",A132))=FALSE,KitchenDoorStyle=""Flat"")"&amp;",(((B132/1000)*(C132/1000))*2)+(MID(KitchenDoorMaterial,FIND(""("",KitchenDoorMaterial)+1,2)/1000)*(((B132+C132)/1000)*2),IF(AND(ISERROR(FIND(""door"",A132))=FALSE,LEFT(KitchenDoorStyle,5)=""Panel""),(((B132/1000)*(C132/1000))*2)+((MID(KitchenDoorMaterial"&amp;",FIND(""("",KitchenDoorMaterial)+1,2)/1000)*(((B132+C132)/1000)*2))+(((((B132-160)+(C132-160))*2)/1000)*(0.013)),IF(AND(ISERROR(FIND(""door"",A132))=FALSE,KitchenDoorStyle=""In-frame flat""),((((B132-76)/1000)*((C132-38)/1000))*2)+(MID(KitchenDoorMaterial"&amp;",FIND(""("",KitchenDoorMaterial)+1,2)/1000)*((((B132-76)+(C132-38))/1000)*2)+(((B132/1000)*0.032)*2)+((((B132-76)/1000)*0.032)*2)+(((B132/1000)*0.019)*4)+(((C132/1000)*0.032)*2)+((((C132-38)/1000)*0.032)*2)+(((C132/1000)*0.038)*4),IF(AND(ISERROR(FIND(""do"&amp;"or"",A132))=FALSE,LEFT(KitchenDoorStyle,14)=""In-frame panel""),((((B132-76)/1000)*((C132-38)/1000))*2)+((MID(KitchenDoorMaterial,FIND(""("",KitchenDoorMaterial)+1,2)/1000)*((((B132-76)+(C132-38))/1000)*2))+((((B132-236)/1000)+((C132-198)/1000)*2)*0.013)+"&amp;"(((B132/1000)*0.032)*2)+((((B132-76)/1000)*0.032)*2)+(((B132/1000)*0.019)*4)+(((C132/1000)*0.032)*2)+((((C132-38)/1000)*0.032)*2)+(((C132/1000)*0.038)*4),IF(ISERROR(FIND(""Plinth"",A132))=FALSE,((B132/1000)*(C132/1000))+(((C132/1000)*0.018)*2)+(((B132/100"&amp;"0)*0.018)*2),IF(ISERROR(FIND(""Cornice"",A132))=FALSE,(((C132/1000)*0.1)*2)+(((C132/1000)*0.044)*2)+(((B132/1000)*0.08)*2),IF(ISERROR(FIND(""Base end panel"",A132))=FALSE,((B132/1000)*(C132/1000))+(0.022*((B132/1000)+((C132/1000)*2)))+((B132/1000)*0.05),I"&amp;"F(ISERROR(FIND(""Wall end panel"",A132))=FALSE,((B132/1000)*(C132/1000))+(0.022*((B132/1000)+((C132/1000)*2)))+((B132/1000)*0.05),IF(ISERROR(FIND(""Tower end panel"",A132))=FALSE,((B132/1000)*(C132/1000))+(0.022*((B132/1000)+((C132/1000)*2)))+((B132/1000)"&amp;"*0.05),IF(ISERROR(FIND(""Fillers"",A132))=FALSE,((C132/1000)*0.06)+((C132/1000)*0.069)+((0.06*0.018)*2)+((0.06*0.009)*2)+((C132/1000)*0.009)+((C132/1000)*0.018),IF(ISERROR(FIND(""corner post"",A132))=FALSE,(((B132/1000*0.05)*2)+((B132/1000)*0.022)*2)+((B1"&amp;"32/1000)*0.072)+((B132/1000)*0.05)+((0.072*0.022)*2)+((0.05*0.022)*2),IF(ISERROR(FIND(""Pelmet"",A132))=FALSE,((C132/1000)*0.05)+((C132/1000)*0.068)+((0.05*0.018)*4)+(((C132/1000)*0.018))*2))))))))))))))))))))))))))))"),"")</f>
        <v/>
      </c>
      <c r="N132" s="152" t="str">
        <f>IF(M132="","",IF(AND(ISERROR(FIND("carcass",A132))=TRUE,ISERROR(FIND("unit",A132))=TRUE,ISERROR(FIND("insert",A132))=TRUE,ISERROR(FIND("rack",A132))=TRUE,ISERROR(FIND("box",A132))=TRUE,ISERROR(FIND("shelf",#REF!))=TRUE),VLOOKUP(KitchenDoorFinish,Finishing!$A$2:$K$10,9,0)*M132,VLOOKUP(KitchenCarcassFinish,Finishing!$A$2:$K$40,9,0)*M132))</f>
        <v/>
      </c>
      <c r="O132" s="155"/>
      <c r="P132" s="155"/>
      <c r="Q132" s="152" t="str">
        <f>IF(OR(O132="",P132=""),"",((O132*X132)*(VLOOKUP("Workshop",Labour!$A$3:$E$20,4,0)/8))+((P132*AE132)*(VLOOKUP("Finishing",Labour!$A$3:$E$20,4,0)/8)))</f>
        <v/>
      </c>
      <c r="R132" s="152" t="str">
        <f t="shared" si="4"/>
        <v/>
      </c>
      <c r="S132" s="156" t="str">
        <f>IF(OR(O132="",P132=""),"",IF(OR(ISERROR(FIND("carcass",$A132))=FALSE,ISERROR(FIND("unit",$A132))=FALSE),VLOOKUP(KitchenCarcassMaterial,FixedListsCarcassMaterial,2,0),0))</f>
        <v/>
      </c>
      <c r="T132" s="156" t="str">
        <f>IF(OR(O132="",P132=""),"",IF(ISERROR(FIND("door",$A132))=FALSE,VLOOKUP(KitchenDoorStyle,FixedListsDoorStyle,2,0),0))</f>
        <v/>
      </c>
      <c r="U132" s="156" t="str">
        <f>IF(OR(O132="",P132=""),"",IF(ISERROR(FIND("door",$A132))=FALSE,VLOOKUP(KitchenDoorMaterial,FixedListsDoorMaterial,2,0),0))</f>
        <v/>
      </c>
      <c r="V132" s="156" t="str">
        <f>IF(OR(O132="",P132=""),"",IF(ISERROR(FIND("drawer",$A132))=FALSE,VLOOKUP(KitchenDrawerType,FixedListsDrawerType,2,0),0))</f>
        <v/>
      </c>
      <c r="W132" s="156" t="str">
        <f>IF(OR(O132="",P132=""),"",IF(OR(S132&gt;0, T132&gt;0,V132&gt;0),VLOOKUP(KitchenHandleType,FixedListsHandleType,2,FALSE)*IF(KitchenHandleType="Simple",0,IF(S132&gt;0,VLOOKUP(KitchenHandleType,FixedListsHandleType,4,FALSE),IF(OR(T132&gt;0,V132&gt;0),1-VLOOKUP(KitchenHandleType,FixedListsHandleType,4,FALSE),"Error"))),0))</f>
        <v/>
      </c>
      <c r="X132" s="156" t="str">
        <f t="shared" si="5"/>
        <v/>
      </c>
      <c r="Y132" s="156" t="str">
        <f>IF(OR(O132="",P132=""),"",IF(OR(ISERROR(FIND("carcass",$A132))=FALSE,ISERROR(FIND("unit",$A132))=FALSE),VLOOKUP(KitchenCarcassMaterial,FixedListsCarcassMaterial,3,0),0))</f>
        <v/>
      </c>
      <c r="Z132" s="156" t="str">
        <f>IF(OR(O132="",P132=""),"",IF(ISERROR(FIND("door",$A132))=FALSE,VLOOKUP(KitchenDoorStyle,FixedListsDoorStyle,3,0),0))</f>
        <v/>
      </c>
      <c r="AA132" s="156" t="str">
        <f>IF(OR(O132="",P132=""),"",IF(ISERROR(FIND("door",$A132))=FALSE,VLOOKUP(KitchenDoorMaterial,FixedListsDoorMaterial,3,0),0))</f>
        <v/>
      </c>
      <c r="AB132" s="156" t="str">
        <f>IF(OR(O132="",P132=""),"",IF(ISERROR(FIND("drawer",$A132))=FALSE,VLOOKUP(KitchenDrawerType,FixedListsDrawerType,3,0),0))</f>
        <v/>
      </c>
      <c r="AC132" s="156" t="str">
        <f>IF(OR(O132="",P132=""),"",IF(OR(Y132&gt;0,Z132&gt;0,AB132&gt;0),VLOOKUP(KitchenHandleType,FixedListsHandleType,3,FALSE),0))</f>
        <v/>
      </c>
      <c r="AD132" s="156" t="str">
        <f>IF(OR(O132="",P132=""),"",IF(OR(ISERROR(FIND("carcass",$A132))=FALSE,ISERROR(FIND("unit",$A132))=FALSE),VLOOKUP(KitchenCarcassFinish,FixedListsFinishes,3,0),IF(OR(ISERROR(FIND("door",$A132))=FALSE,ISERROR(FIND("Plinth",$A132))=FALSE,ISERROR(FIND("Cornice",$A132))=FALSE,ISERROR(FIND("Fillers",$A132))=FALSE,ISERROR(FIND("Pelmet",$A132))=FALSE,ISERROR(FIND("panel",$A132))=FALSE,ISERROR(FIND("post",$A132))=FALSE),VLOOKUP(KitchenDoorFinish,FixedListsFinishes,3,0),IF(OR(ISERROR(FIND("drawer",$A132))=FALSE,ISERROR(FIND("insert",$A132))=FALSE,ISERROR(FIND("rck",$A132))=FALSE),VLOOKUP(KitchenCarcassFinish,FixedListsFinishes,3,0),0))))</f>
        <v/>
      </c>
      <c r="AE132" s="156" t="str">
        <f t="shared" si="6"/>
        <v/>
      </c>
      <c r="AF132" s="157" t="str">
        <f>IF(AND(KitchenHandleType="Channel",OR(ISERROR(FIND("arcass",$A132))=FALSE,ISERROR(FIND("unit",$A132))=FALSE)),IF(ISERROR(FIND("Tower",$A132))=TRUE,IF(KitchenHandleFinish="Match carcass",IF(ISERROR(FIND("Walnut",KitchenCarcassMaterial))=FALSE,(0.035*0.075*($C132/1000))*VLOOKUP("Walnut (solid m3)",SolidData,4,FALSE),IF(ISERROR(FIND("Oak",KitchenCarcassMaterial))=FALSE,(0.035*0.075*($C132/1000))*VLOOKUP("Oak (solid m3)",SolidData,4,FALSE),IF(ISERROR(FIND("ply",KitchenCarcassMaterial))=FALSE,(0.1*($C132/1000))*VLOOKUP("Birch ply (24mm)",SheetsData,7,FALSE),IF(ISERROR(FIND("H/F",KitchenCarcassMaterial))=FALSE,(0.1*($C132/1000))*VLOOKUP("H/F (22mm)",SheetsData,7,FALSE),"Carcass - not tower - new material")))),IF(KitchenHandleFinish="Match door",IF(ISERROR(FIND("Walnut",KitchenDoorMaterial))=FALSE,(0.035*0.075*($C132/1000))*VLOOKUP("Walnut (solid m3)",SolidData,4,FALSE),IF(ISERROR(FIND("Oak",KitchenDoorMaterial))=FALSE,(0.035*0.075*($C132/1000))*VLOOKUP("Oak (solid m3)",SolidData,4,FALSE),IF(ISERROR(FIND("ply",KitchenDoorMaterial))=FALSE,(0.1*($C132/1000))*VLOOKUP("Birch ply (24mm)",SheetsData,7,FALSE),IF(ISERROR(FIND("H/F",KitchenCarcassMaterial))=FALSE,(0.1*($C132/1000))*VLOOKUP("H/F (22mm)",SheetsData,7,FALSE),"Door - not tower - new material")))),"Channel - not tower - handle set to other")),IF(ISERROR(FIND("Tower",$A132))=FALSE,IF(KitchenHandleFinish="Match carcass",IF(ISERROR(FIND("Walnut",KitchenCarcassMaterial))=FALSE,(0.035*0.075*($B132/1000))*VLOOKUP("Walnut (solid m3)",SolidData,4,FALSE),IF(ISERROR(FIND("Oak",KitchenCarcassMaterial))=FALSE,(0.035*0.075*($B132/1000))*VLOOKUP("Oak (solid m3)",SolidData,4,FALSE),IF(ISERROR(FIND("ply",KitchenCarcassMaterial))=FALSE,(0.1*($B132/1000))*VLOOKUP("Birch ply (24mm)",SheetsData,7,FALSE),IF(ISERROR(FIND("H/F",KitchenCarcassMaterial))=FALSE,(0.1*($C132/1000))*VLOOKUP("H/F (22mm)",SheetsData,7,FALSE),"Carcass - tower - new material")))),IF(KitchenHandleFinish="Match door",IF(ISERROR(FIND("Walnut",KitchenDoorMaterial))=FALSE,(0.035*0.075*($B132/1000))*VLOOKUP("Walnut (solid m3)",SolidData,4,FALSE),IF(ISERROR(FIND("Oak",KitchenDoorMaterial))=FALSE,(0.035*0.075*($B132/1000))*VLOOKUP("Oak (solid m3)",SolidData,4,FALSE),IF(ISERROR(FIND("ply",KitchenDoorMaterial))=FALSE,(0.1*($B132/1000))*VLOOKUP("Birch ply (24mm)",SheetData,7,FALSE),IF(ISERROR(FIND("H/F",KitchenCarcassMaterial))=FALSE,(0.1*($C132/1000))*VLOOKUP("H/F (22mm)",SheetsData,7,FALSE),"Door - tower - new material")))),"Channel - tower - handle set to other")))),"")</f>
        <v/>
      </c>
    </row>
    <row r="133">
      <c r="A133" s="150"/>
      <c r="B133" s="115" t="str">
        <f t="shared" si="1"/>
        <v/>
      </c>
      <c r="C133" s="115" t="str">
        <f>IFERROR(__xludf.DUMMYFUNCTION("IF(A133="""","""",IF(OR(RIGHT(A133,LEN(A133)-len(regexextract(A133,"".* "")))=""1200"",RIGHT(A133,LEN(A133)-len(regexextract(A133,"".* "")))=""600"",RIGHT(A133,LEN(A133)-len(regexextract(A133,"".* "")))=""400"",RIGHT(A133,LEN(A133)-len(regexextract(A133,"&amp;""".* "")))=""300"",RIGHT(A133,LEN(A133)-len(regexextract(A133,"".* "")))=""700"",RIGHT(A133,LEN(A133)-len(regexextract(A133,"".* "")))=""2400"",RIGHT(A133,LEN(A133)-len(regexextract(A133,"".* "")))=""650"",RIGHT(A133,LEN(A133)-len(regexextract(A133,"".* "&amp;""")))=""350"",RIGHT(A133,LEN(A133)-len(regexextract(A133,"".* "")))=""50""),RIGHT(A133,LEN(A133)-len(regexextract(A133,"".* ""))),IF(OR(ISERROR(FIND(""spacer"",A133))=FALSE,ISERROR(FIND(""filler panel"",A133))=FALSE),""1000"",""Unexpected size in descript"&amp;"ion"")))"),"")</f>
        <v/>
      </c>
      <c r="D133" s="151" t="str">
        <f t="shared" si="2"/>
        <v/>
      </c>
      <c r="E133" s="152" t="str">
        <f>IFERROR(__xludf.DUMMYFUNCTION("IF(OR(A133="""",AND(ISERROR(FIND(""drawer box"",A133))=FALSE,KitchenDrawerType="""")),"""",IF(OR(ISERROR(FIND(""larder"",A133))=FALSE,ISERROR(FIND(""fridge/freezer"",A133))=FALSE,ISERROR(FIND(""double oven"",A133))=FALSE,ISERROR(FIND(""single oven"",A133)"&amp;")=FALSE),VLOOKUP(LEFT(A133,FIND("" "",A133))&amp;""carcass ""&amp;RIGHT(A133,LEN(A133)-(LEN(A133)-3)),KitchensData,5,0),IF(ISERROR(FIND(""sink"",A133))=FALSE,VLOOKUP(LEFT(A133,FIND("" "",A133))&amp;""carcass ""&amp;VALUE(REGEXREPLACE(A133,""[^[:digit:]]"", """")),Kitchen"&amp;"sData,5,0)+(((C133/1000)*(300/1000))*VLOOKUP(KitchenCarcassMaterial,SheetsData,8,0)),IF(ISERROR(FIND(""bins"",A133))=FALSE,IF(ISERROR(FIND(""veneer"",KitchenCarcassMaterial))=FALSE,VLOOKUP(""Base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600"",A133))=FALSE,IF(ISERR"&amp;"OR(FIND(""veneer"",KitchenCarcassMaterial))=FALSE,0.54*(VLOOKUP(LEFT(KitchenCarcassMaterial,FIND(""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1"&amp;"200"",A133))=FALSE,IF(ISERROR(FIND(""veneer"",KitchenCarcassMaterial))=FALSE,0.84*(VLOOKUP(LEFT(KitchenCarcassMaterial,FIND(""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600"",A133))=FALSE,IF(ISERROR(FIND(""veneer"",KitchenCarcassMaterial))=FALSE,1.44*(VLOOKUP(LEFT(KitchenCarcassMaterial,FIND(""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1200"",A133))=FALSE,IF(ISERROR(FIND(""veneer"",KitchenCarcassMaterial))=FALSE,2.7*(VLOOKUP(LEFT(KitchenCarcassMaterial,FIND(""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front"",A133))=FALSE,((B133/1000)*(C133/1000))*VLOOKUP(KitchenDoorMaterial,SheetsData,8,0),IF(AND(KitchenDrawerType=""Match carcass"",ISERROR(FIND(""drawer box"",A133))=FALSE),(((((B133/10"&amp;"00)*(C133/1000))+((B133/1000)*(D133/1000)))*2)*VLOOKUP(KitchenCarcassMaterial,SheetsData,8,0))+(((C133/1000)*(D133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box"",A133))=FALSE),(((((B133/1000)*(C133/1000))+((B133/1000)*(D133/1000)))*2)*(16/1000)*VLOOKUP(L"&amp;"EFT(KitchenCarcassMaterial,FIND("" "",KitchenCarcassMaterial))&amp;""(solid m3)"",SolidData,5,0))+(((C133/1000)*(D133/1000))*VLOOKUP(LEFT(KitchenCarcassMaterial,FIND(""("",KitchenCarcassMaterial)-1)&amp;IF(OR(ISERROR(FIND(""ply"",KitchenCarcassMaterial))=FALSE,IS"&amp;"ERROR(FIND(""H/F"",KitchenCarcassMaterial))=FALSE),""(9mm)"",""(10mm)""),SheetsData,8,0)),IF(ISERROR(FIND(""spacer"",A133))=FALSE,((D133/1000)*(C133/1000))*VLOOKUP(""Poplar ply (18mm)"",SheetsData,8,0),IF(ISERROR(FIND(""filler panel"",A133))=FALSE,((B133/"&amp;"1000)*(C133/1000))*VLOOKUP(KitchenDoorMaterial,SheetsData,8,0),IF(ISERROR(FIND(""shelf"",A133))=FALSE,((D133/1000)*(C133/1000))*VLOOKUP(KitchenCarcassMaterial,SheetsData,8,0),IF(ISERROR(FIND(""lost corner"",A133))=FALSE,VLOOKUP(LEFT(A133,FIND("" "",A133))"&amp;"&amp;""carcass ""&amp;VALUE(REGEXREPLACE(A133,""[^[:digit:]]"", """")),KitchensData,5,0)+((((B133/1000)*(C133/1000))+((B133/1000)*(60/1000)))*VLOOKUP(KitchenCarcassMaterial,SheetsData,8,0)),IF(ISERROR(FIND(""carcass"",A133))=FALSE,(((((B133/1000)*2)*(D133/1000))+"&amp;"(((C133/1000)*2)*(D133/1000)))*VLOOKUP(KitchenCarcassMaterial,SheetsData,8,0))+((B133/1000)*(C133/1000))*VLOOKUP(LEFT(KitchenCarcassMaterial,FIND(""("",KitchenCarcassMaterial)-1)&amp;IF(OR(ISERROR(FIND(""ply"",KitchenCarcassMaterial))=FALSE,ISERROR(FIND(""H/F"&amp;""",KitchenCarcassMaterial))=FALSE),""(9mm)"",""(10mm)""),SheetsData,8,0),IF(OR(ISERROR(FIND(""Plinth"",A133))=FALSE,ISERROR(FIND(""Cornice (flat)"",A133))=FALSE),((B133/1000)*(C133/1000))*VLOOKUP(""H/F (18mm)"",SheetsData,8,0),IF(ISERROR(FIND(""Cornice (s"&amp;"tacked)"",A133))=FALSE,((0.08*(C133/1000))*2)*VLOOKUP(""H/F (22mm)"",SheetsData,8,0),IF(ISERROR(FIND(""Base end panel"",A133))=FALSE,VLOOKUP(KitchenDoorMaterial,SheetsData,5,0)/3,IF(ISERROR(FIND(""Wall end panel"",A133))=FALSE,VLOOKUP(KitchenDoorMaterial,"&amp;"SheetsData,5,0)/9,IF(ISERROR(FIND(""Tower end panel"",A133))=FALSE,VLOOKUP(KitchenDoorMaterial,SheetsData,5,0),IF(ISERROR(FIND(""Fillers"",A133))=FALSE,(((0.06*(C133/1000))*2)*VLOOKUP(""H/F (18mm)"",SheetsData,8,0))+(((0.06*(C133/1000))*2)*VLOOKUP(""H/F ("&amp;"9mm)"",SheetsData,8,0)),IF(ISERROR(FIND(""corner post"",A133))=FALSE,(((B133/1000)*0.05)*2)*VLOOKUP(KitchenDoorMaterial,SheetsData,8,0),IF(ISERROR(FIND(""Pelmet"",A133))=FALSE,((((B133/1000)*(C133/1000))*2)*VLOOKUP(""H/F (18mm)"",SheetsData,8,0)),IF(ISERR"&amp;"OR(FIND(""door"",A133))=TRUE,""Check description"",IF(KitchenDoorStyle=""Flat"",((B133/1000)*(C133/1000))*VLOOKUP(KitchenDoorMaterial,SheetsData,8,0),IF(LEFT(KitchenDoorStyle,5)=""Panel"",(((((B133/1000)*2)*0.08)+((((C133/1000)-0.16)*2)*0.08))*VLOOKUP(""H"&amp;"/F (22mm)"",SheetsData,8,0))+(((B133/1000)-0.14)*((C133/1000)-0.14)*VLOOKUP(""H/F (9mm)"",SheetsData,8,0)),IF(KitchenDoorStyle=""In-frame flat"",((((((B133/1000)*0.019)*0.038)+((((C133-38)/1000)*0.038)*0.038))*2)*VLOOKUP(""Tulip (solid m3)"",SolidData,5,0"&amp;"))+(((B133-76)/1000)*((C133-38)/1000))*VLOOKUP(""H/F (22mm)"",SheetsData,8,0),IF(LEFT(KitchenDoorStyle,14)=""In-frame panel"",(((((((B133/1000)*0.019)*0.038)+((((C133-38)/1000)*0.038)*0.038))*2)*VLOOKUP(""Tulip (solid m3)"",SolidData,5,0))+(((((((B133-76)"&amp;"/1000)*2)*0.08)+(((((C133-198)/1000)*2)*0.08)))*VLOOKUP(""H/F (22mm)"",SheetsData,8,0))+(((B133-216)/1000)*((C133-178)/1000)*VLOOKUP(""H/F (9mm)"",SheetsData,8,0)))))))))))))))))))))))))))))))))"),"")</f>
        <v/>
      </c>
      <c r="F133" s="152" t="str">
        <f>IFERROR(__xludf.DUMMYFUNCTION("IF(OR(A133="""",AND(ISERROR(FIND(""drawer box"",A133))=FALSE,KitchenDrawerType=""Solid dovetail"")),"""",IF(ISERROR(FIND(""bins"",A133))=FALSE,VLOOKUP(""Base carcass 600"",KitchensData,6,0),IF(OR(ISERROR(FIND(""larder"",A133))=FALSE,ISERROR(FIND(""unit"","&amp;"A133))=FALSE),VLOOKUP(LEFT(A133,FIND("" "",A133))&amp;""carcass ""&amp;RIGHT(A133,LEN(A133)-len(regexextract(A133,"".* ""))),KitchensData,6,0),IF(ISERROR(FIND(""drawer front"",A133))=FALSE,IF(ISERROR(FIND(""veneer"",KitchenCarcassMaterial))=TRUE,0,(((B133+C133)/1"&amp;"000)*2)*VLOOKUP(""Edge banding (per M)"",SheetsData,5,0)),IF(ISERROR(FIND(""drawer box"",A133))=FALSE,IF(ISERROR(FIND(""veneer"",KitchenCarcassMaterial))=TRUE,0,(((C133+D133)/1000)*2)*VLOOKUP(""Edge banding (per M)"",SheetsData,5,0)),IF(ISERROR(FIND(""she"&amp;"lf"",A133))=FALSE,IF(ISERROR(FIND(""veneer"",KitchenCarcassMaterial))=TRUE,0,(C133/1000)*VLOOKUP(""Edge banding (per M)"",SheetsData,5,0)),IF(AND(ISERROR(FIND(""carcass"",A133))=FALSE,ISERROR(FIND(""shelf"",A133))=TRUE),IF(ISERROR(FIND(""veneer"",KitchenC"&amp;"arcassMaterial))=TRUE,0,((2*(B133+C133))/1000)*VLOOKUP(""Edge banding (per M)"",SheetsData,5,0)),IF(ISERROR(FIND(""door"",A133))=TRUE,"""",IF(ISERROR(FIND(""veneer"",KitchenDoorMaterial))=TRUE,"""",((2*(B133+C133))/1000)*VLOOKUP(""Edge banding (per M)"",S"&amp;"heetsData,5,0))))))))))"),"")</f>
        <v/>
      </c>
      <c r="G133" s="153" t="str">
        <f>IF(A133="","",IF(ISERROR(FIND("bins",A133))=FALSE,VLOOKUP("Base carcass 600",KitchensData,7,0),IF(OR(ISERROR(FIND("larder",A133))=FALSE,ISERROR(FIND("fridge/freezer",A133))=FALSE,ISERROR(FIND("double oven",A133))=FALSE,ISERROR(FIND("single oven",A133))=FALSE),VLOOKUP(LEFT(A133,FIND(" ",A133))&amp;"carcass "&amp;RIGHT(A133,LEN(A133)-(LEN(A133)-3)),KitchensData,7,0),IF(AND(ISERROR(FIND("carcass",A133))=FALSE,ISERROR(FIND("shelf",A133))=TRUE),IF(OR(ISERROR(FIND("Base",A133))=FALSE,ISERROR(FIND("Tower",A133))=FALSE),IF(OR(ISERROR(FIND("1200",A133))=FALSE, ISERROR(FIND("lost corner",A133))=FALSE),6*VLOOKUP("Plinth foot (2 Parts 80mm)",FurnitureData,5,0),4*VLOOKUP("Plinth foot (2 Parts 80mm)",FurnitureData,5,0)),""),""))))</f>
        <v/>
      </c>
      <c r="H133" s="115" t="str">
        <f>IF(OR(A133="",ISERROR(FIND("door",A133))=TRUE),"",IF(ISERROR(FIND("Wall",A133))=FALSE,VLOOKUP("Hinges &amp; plates (Hettich thick door)",FurnitureData,5,0)*2,IF(ISERROR(FIND("Base",A133))=FALSE,VLOOKUP("Hinges &amp; plates (Hettich thick door)",FurnitureData,5,0)*3,IF(ISERROR(FIND("Boiler",A133))=FALSE,VLOOKUP("Hinges &amp; plates (Hettich thick door)",FurnitureData,5,0)*4,IF(ISERROR(FIND("Tower",A133))=FALSE,VLOOKUP("Hinges &amp; plates (Hettich thick door)",FurnitureData,5,0)*5)))))</f>
        <v/>
      </c>
      <c r="I133" s="115" t="str">
        <f>IF(ISERROR(FIND("shelf",A133))=FALSE,(VLOOKUP("Shelf pegs",FurnitureData,5,0)/100)*4,"")</f>
        <v/>
      </c>
      <c r="J133" s="152" t="str">
        <f>IF(OR(ISERROR(FIND("fridge/freezer",A133))=FALSE,ISERROR(FIND("larder",A133))=FALSE,AND(ISERROR(FIND("Base",A133))=FALSE,ISERROR(FIND("bins",A133))=TRUE,ISERROR(FIND("no shelves",A133))=TRUE,OR(ISERROR(FIND("carcass",A133))=FALSE,ISERROR(FIND("unit",A133))=FALSE))),VLOOKUP("Deep shelf "&amp;C133,KitchensData,18,0),IF(AND(ISERROR(FIND("Wall",A133))=FALSE,ISERROR(FIND("carcass",A133))=FALSE),2*VLOOKUP("Shallow shelf "&amp;C133,KitchensData,18,0),IF(AND(ISERROR(FIND("Tower",A133))=FALSE,ISERROR(FIND("oven",A133))=FALSE),4*VLOOKUP("Deep shelf "&amp;C133,KitchensData,18,0),IF(AND(ISERROR(FIND("Tower",A133))=FALSE,ISERROR(FIND("carcass",A133))=FALSE),5*VLOOKUP("Deep shelf "&amp;C133,KitchensData,18,0),""))))</f>
        <v/>
      </c>
      <c r="K133" s="152" t="str">
        <f>IF(ISERROR(FIND("sink",A133))=FALSE,VLOOKUP("Sink liner - Aluminium "&amp;RIGHT(A133,LEN(A133)-22)&amp;"mm",ExceptionalData,5,0),IF(ISERROR(FIND("bins",A133))=FALSE,VLOOKUP("Drawer runners and clip set for bin unit (500) Dynapro",FurnitureData,5,0)+(2*VLOOKUP("Bin (42L Anthracite)",FurnitureData,5,0)),IF(ISERROR(FIND("larder",A133))=FALSE,VLOOKUP("Pull out larder unit 600mm",FurnitureData,5,0),IF(AND(ISERROR(FIND("drawer box",A133))=FALSE,ISERROR(FIND("internal",A133))=TRUE),VLOOKUP("Drawer runners and clip set (550) Dynapro",FurnitureData,5,0),IF(ISERROR(FIND("internal drawer box",A133))=FALSE,VLOOKUP("Drawer runners and clip set (450) Dynapro",FurnitureData,5,0),"")))))</f>
        <v/>
      </c>
      <c r="L133" s="152" t="str">
        <f t="shared" si="3"/>
        <v/>
      </c>
      <c r="M133" s="154" t="str">
        <f>IFERROR(__xludf.DUMMYFUNCTION("IF(A133="""","""",IF(OR(ISERROR(FIND(""larder"",A133))=FALSE,ISERROR(FIND(""unit"",A133))=FALSE),VLOOKUP(LEFT(A133,FIND("" "",A133))&amp;""carcass ""&amp;RIGHT(A133,LEN(A133)-len(regexextract(A133,"".* ""))),KitchensData,13,0),IF(ISERROR(FIND(""bins"",A133))=FALS"&amp;"E,0.95,IF(ISERROR(FIND(""Cutlery insert 600"",A133))=FALSE,1.3,IF(ISERROR(FIND(""Cutlery insert 1200"",A133))=FALSE,2,IF(ISERROR(FIND(""Pan/tray rack 600"",A133))=FALSE,3.25,IF(ISERROR(FIND(""Pan/tray rack 1200"",A133))=FALSE,5.9,IF(ISERROR(FIND(""split"""&amp;",A133))=FALSE,(((C133/1000)*0.022)*2)+VLOOKUP(SUBSTITUTE(A133,"" split"",""""),KitchensData,13,0),IF(AND(ISERROR(FIND(""drawer front"",A133))=FALSE,KitchenDoorStyle=""Flat""),(((B133/1000)*(C133/1000))*2)+((((B133+C133)/1000)*2)*0.022),IF(AND(ISERROR(FIND"&amp;"(""drawer front"",A133))=FALSE,LEFT(KitchenDoorStyle,5)=""Panel""),(((B133/1000)*(C133/1000))*2)+((((B133+C133)/1000)*2)*0.022)+((((C133/1000)-0.16)*0.013)*2)+((((D133/1000)-0.16)*0.013)*2),IF(AND(ISERROR(FIND(""drawer front"",A133))=FALSE,KitchenDoorStyl"&amp;"e=""In-frame flat""),((((B133-76)/1000)*((C133-38)/1000))*2)+(MID(KitchenDoorMaterial,FIND(""("",KitchenDoorMaterial)+1,2)/1000)*((((B133-76)+(C133-38))/1000)*2)+(((B133/1000)*0.032)*2)+((((B133-76)/1000)*0.032)*2)+(((B133/1000)*0.019)*4)+(((C133/1000)*0."&amp;"032)*2)+((((C133-38)/1000)*0.032)*2)+(((C133/1000)*0.038)*4),IF(AND(ISERROR(FIND(""drawer front"",A133))=FALSE,LEFT(KitchenDoorStyle,14)=""In-frame panel""),((((B133-76)/1000)*((C133-38)/1000))*2)+((MID(KitchenDoorMaterial,FIND(""("",KitchenDoorMaterial)+"&amp;"1,2)/1000)*((((B133-76)+(C133-38))/1000)*2))+((((B133-236)/1000)+((C133-198)/1000)*2)*0.013)+(((B133/1000)*0.032)*2)+((((B133-76)/1000)*0.032)*2)+(((B133/1000)*0.019)*4)+(((C133/1000)*0.032)*2)+((((C133-38)/1000)*0.032)*2)+(((C133/1000)*0.038)*4),IF(ISERR"&amp;"OR(FIND(""drawer box"",A133))=FALSE,((((B133/1000)*(D133/1000))+((B133/1000)*(C133/1000)))*4)+((((D133/1000)+(C133/1000))*0.016)*4)+(((C133/1000)*(D133/1000))*2),IF(OR(ISERROR(FIND(""shelf"",A133))=FALSE,ISERROR(FIND(""spacer"",A133))=FALSE,,ISERROR(FIND("&amp;"""filler panel"",A133))=FALSE),(((C133/1000)*(D133/1000))*2)+((((C133+D133)*2)/1000)*0.022),IF(ISERROR(FIND(""lost corner"",A133))=FALSE,(((B133/1000)*(C133/1000))*2)+((B133/1000)*(C133/1000))+((B133/1000)*((C133/2)/1000))+((((B133/1000)*0.025)+((C133/100"&amp;"0)*0.025))*2),IF(ISERROR(FIND(""carcass"",A133))=FALSE,(((C133/1000)*(D133/1000))*2)+(((B133/1000)*(D133/1000))*2)+((B133/1000)*(C133/1000))+((((B133/1000)*0.025)+((C133/1000)*0.025))*2),IF(AND(ISERROR(FIND(""door"",A133))=FALSE,KitchenDoorStyle=""Flat"")"&amp;",(((B133/1000)*(C133/1000))*2)+(MID(KitchenDoorMaterial,FIND(""("",KitchenDoorMaterial)+1,2)/1000)*(((B133+C133)/1000)*2),IF(AND(ISERROR(FIND(""door"",A133))=FALSE,LEFT(KitchenDoorStyle,5)=""Panel""),(((B133/1000)*(C133/1000))*2)+((MID(KitchenDoorMaterial"&amp;",FIND(""("",KitchenDoorMaterial)+1,2)/1000)*(((B133+C133)/1000)*2))+(((((B133-160)+(C133-160))*2)/1000)*(0.013)),IF(AND(ISERROR(FIND(""door"",A133))=FALSE,KitchenDoorStyle=""In-frame flat""),((((B133-76)/1000)*((C133-38)/1000))*2)+(MID(KitchenDoorMaterial"&amp;",FIND(""("",KitchenDoorMaterial)+1,2)/1000)*((((B133-76)+(C133-38))/1000)*2)+(((B133/1000)*0.032)*2)+((((B133-76)/1000)*0.032)*2)+(((B133/1000)*0.019)*4)+(((C133/1000)*0.032)*2)+((((C133-38)/1000)*0.032)*2)+(((C133/1000)*0.038)*4),IF(AND(ISERROR(FIND(""do"&amp;"or"",A133))=FALSE,LEFT(KitchenDoorStyle,14)=""In-frame panel""),((((B133-76)/1000)*((C133-38)/1000))*2)+((MID(KitchenDoorMaterial,FIND(""("",KitchenDoorMaterial)+1,2)/1000)*((((B133-76)+(C133-38))/1000)*2))+((((B133-236)/1000)+((C133-198)/1000)*2)*0.013)+"&amp;"(((B133/1000)*0.032)*2)+((((B133-76)/1000)*0.032)*2)+(((B133/1000)*0.019)*4)+(((C133/1000)*0.032)*2)+((((C133-38)/1000)*0.032)*2)+(((C133/1000)*0.038)*4),IF(ISERROR(FIND(""Plinth"",A133))=FALSE,((B133/1000)*(C133/1000))+(((C133/1000)*0.018)*2)+(((B133/100"&amp;"0)*0.018)*2),IF(ISERROR(FIND(""Cornice"",A133))=FALSE,(((C133/1000)*0.1)*2)+(((C133/1000)*0.044)*2)+(((B133/1000)*0.08)*2),IF(ISERROR(FIND(""Base end panel"",A133))=FALSE,((B133/1000)*(C133/1000))+(0.022*((B133/1000)+((C133/1000)*2)))+((B133/1000)*0.05),I"&amp;"F(ISERROR(FIND(""Wall end panel"",A133))=FALSE,((B133/1000)*(C133/1000))+(0.022*((B133/1000)+((C133/1000)*2)))+((B133/1000)*0.05),IF(ISERROR(FIND(""Tower end panel"",A133))=FALSE,((B133/1000)*(C133/1000))+(0.022*((B133/1000)+((C133/1000)*2)))+((B133/1000)"&amp;"*0.05),IF(ISERROR(FIND(""Fillers"",A133))=FALSE,((C133/1000)*0.06)+((C133/1000)*0.069)+((0.06*0.018)*2)+((0.06*0.009)*2)+((C133/1000)*0.009)+((C133/1000)*0.018),IF(ISERROR(FIND(""corner post"",A133))=FALSE,(((B133/1000*0.05)*2)+((B133/1000)*0.022)*2)+((B1"&amp;"33/1000)*0.072)+((B133/1000)*0.05)+((0.072*0.022)*2)+((0.05*0.022)*2),IF(ISERROR(FIND(""Pelmet"",A133))=FALSE,((C133/1000)*0.05)+((C133/1000)*0.068)+((0.05*0.018)*4)+(((C133/1000)*0.018))*2))))))))))))))))))))))))))))"),"")</f>
        <v/>
      </c>
      <c r="N133" s="152" t="str">
        <f>IF(M133="","",IF(AND(ISERROR(FIND("carcass",A133))=TRUE,ISERROR(FIND("unit",A133))=TRUE,ISERROR(FIND("insert",A133))=TRUE,ISERROR(FIND("rack",A133))=TRUE,ISERROR(FIND("box",A133))=TRUE,ISERROR(FIND("shelf",#REF!))=TRUE),VLOOKUP(KitchenDoorFinish,Finishing!$A$2:$K$10,9,0)*M133,VLOOKUP(KitchenCarcassFinish,Finishing!$A$2:$K$40,9,0)*M133))</f>
        <v/>
      </c>
      <c r="O133" s="155"/>
      <c r="P133" s="155"/>
      <c r="Q133" s="152" t="str">
        <f>IF(OR(O133="",P133=""),"",((O133*X133)*(VLOOKUP("Workshop",Labour!$A$3:$E$20,4,0)/8))+((P133*AE133)*(VLOOKUP("Finishing",Labour!$A$3:$E$20,4,0)/8)))</f>
        <v/>
      </c>
      <c r="R133" s="152" t="str">
        <f t="shared" si="4"/>
        <v/>
      </c>
      <c r="S133" s="156" t="str">
        <f>IF(OR(O133="",P133=""),"",IF(OR(ISERROR(FIND("carcass",$A133))=FALSE,ISERROR(FIND("unit",$A133))=FALSE),VLOOKUP(KitchenCarcassMaterial,FixedListsCarcassMaterial,2,0),0))</f>
        <v/>
      </c>
      <c r="T133" s="156" t="str">
        <f>IF(OR(O133="",P133=""),"",IF(ISERROR(FIND("door",$A133))=FALSE,VLOOKUP(KitchenDoorStyle,FixedListsDoorStyle,2,0),0))</f>
        <v/>
      </c>
      <c r="U133" s="156" t="str">
        <f>IF(OR(O133="",P133=""),"",IF(ISERROR(FIND("door",$A133))=FALSE,VLOOKUP(KitchenDoorMaterial,FixedListsDoorMaterial,2,0),0))</f>
        <v/>
      </c>
      <c r="V133" s="156" t="str">
        <f>IF(OR(O133="",P133=""),"",IF(ISERROR(FIND("drawer",$A133))=FALSE,VLOOKUP(KitchenDrawerType,FixedListsDrawerType,2,0),0))</f>
        <v/>
      </c>
      <c r="W133" s="156" t="str">
        <f>IF(OR(O133="",P133=""),"",IF(OR(S133&gt;0, T133&gt;0,V133&gt;0),VLOOKUP(KitchenHandleType,FixedListsHandleType,2,FALSE)*IF(KitchenHandleType="Simple",0,IF(S133&gt;0,VLOOKUP(KitchenHandleType,FixedListsHandleType,4,FALSE),IF(OR(T133&gt;0,V133&gt;0),1-VLOOKUP(KitchenHandleType,FixedListsHandleType,4,FALSE),"Error"))),0))</f>
        <v/>
      </c>
      <c r="X133" s="156" t="str">
        <f t="shared" si="5"/>
        <v/>
      </c>
      <c r="Y133" s="156" t="str">
        <f>IF(OR(O133="",P133=""),"",IF(OR(ISERROR(FIND("carcass",$A133))=FALSE,ISERROR(FIND("unit",$A133))=FALSE),VLOOKUP(KitchenCarcassMaterial,FixedListsCarcassMaterial,3,0),0))</f>
        <v/>
      </c>
      <c r="Z133" s="156" t="str">
        <f>IF(OR(O133="",P133=""),"",IF(ISERROR(FIND("door",$A133))=FALSE,VLOOKUP(KitchenDoorStyle,FixedListsDoorStyle,3,0),0))</f>
        <v/>
      </c>
      <c r="AA133" s="156" t="str">
        <f>IF(OR(O133="",P133=""),"",IF(ISERROR(FIND("door",$A133))=FALSE,VLOOKUP(KitchenDoorMaterial,FixedListsDoorMaterial,3,0),0))</f>
        <v/>
      </c>
      <c r="AB133" s="156" t="str">
        <f>IF(OR(O133="",P133=""),"",IF(ISERROR(FIND("drawer",$A133))=FALSE,VLOOKUP(KitchenDrawerType,FixedListsDrawerType,3,0),0))</f>
        <v/>
      </c>
      <c r="AC133" s="156" t="str">
        <f>IF(OR(O133="",P133=""),"",IF(OR(Y133&gt;0,Z133&gt;0,AB133&gt;0),VLOOKUP(KitchenHandleType,FixedListsHandleType,3,FALSE),0))</f>
        <v/>
      </c>
      <c r="AD133" s="156" t="str">
        <f>IF(OR(O133="",P133=""),"",IF(OR(ISERROR(FIND("carcass",$A133))=FALSE,ISERROR(FIND("unit",$A133))=FALSE),VLOOKUP(KitchenCarcassFinish,FixedListsFinishes,3,0),IF(OR(ISERROR(FIND("door",$A133))=FALSE,ISERROR(FIND("Plinth",$A133))=FALSE,ISERROR(FIND("Cornice",$A133))=FALSE,ISERROR(FIND("Fillers",$A133))=FALSE,ISERROR(FIND("Pelmet",$A133))=FALSE,ISERROR(FIND("panel",$A133))=FALSE,ISERROR(FIND("post",$A133))=FALSE),VLOOKUP(KitchenDoorFinish,FixedListsFinishes,3,0),IF(OR(ISERROR(FIND("drawer",$A133))=FALSE,ISERROR(FIND("insert",$A133))=FALSE,ISERROR(FIND("rck",$A133))=FALSE),VLOOKUP(KitchenCarcassFinish,FixedListsFinishes,3,0),0))))</f>
        <v/>
      </c>
      <c r="AE133" s="156" t="str">
        <f t="shared" si="6"/>
        <v/>
      </c>
      <c r="AF133" s="157" t="str">
        <f>IF(AND(KitchenHandleType="Channel",OR(ISERROR(FIND("arcass",$A133))=FALSE,ISERROR(FIND("unit",$A133))=FALSE)),IF(ISERROR(FIND("Tower",$A133))=TRUE,IF(KitchenHandleFinish="Match carcass",IF(ISERROR(FIND("Walnut",KitchenCarcassMaterial))=FALSE,(0.035*0.075*($C133/1000))*VLOOKUP("Walnut (solid m3)",SolidData,4,FALSE),IF(ISERROR(FIND("Oak",KitchenCarcassMaterial))=FALSE,(0.035*0.075*($C133/1000))*VLOOKUP("Oak (solid m3)",SolidData,4,FALSE),IF(ISERROR(FIND("ply",KitchenCarcassMaterial))=FALSE,(0.1*($C133/1000))*VLOOKUP("Birch ply (24mm)",SheetsData,7,FALSE),IF(ISERROR(FIND("H/F",KitchenCarcassMaterial))=FALSE,(0.1*($C133/1000))*VLOOKUP("H/F (22mm)",SheetsData,7,FALSE),"Carcass - not tower - new material")))),IF(KitchenHandleFinish="Match door",IF(ISERROR(FIND("Walnut",KitchenDoorMaterial))=FALSE,(0.035*0.075*($C133/1000))*VLOOKUP("Walnut (solid m3)",SolidData,4,FALSE),IF(ISERROR(FIND("Oak",KitchenDoorMaterial))=FALSE,(0.035*0.075*($C133/1000))*VLOOKUP("Oak (solid m3)",SolidData,4,FALSE),IF(ISERROR(FIND("ply",KitchenDoorMaterial))=FALSE,(0.1*($C133/1000))*VLOOKUP("Birch ply (24mm)",SheetsData,7,FALSE),IF(ISERROR(FIND("H/F",KitchenCarcassMaterial))=FALSE,(0.1*($C133/1000))*VLOOKUP("H/F (22mm)",SheetsData,7,FALSE),"Door - not tower - new material")))),"Channel - not tower - handle set to other")),IF(ISERROR(FIND("Tower",$A133))=FALSE,IF(KitchenHandleFinish="Match carcass",IF(ISERROR(FIND("Walnut",KitchenCarcassMaterial))=FALSE,(0.035*0.075*($B133/1000))*VLOOKUP("Walnut (solid m3)",SolidData,4,FALSE),IF(ISERROR(FIND("Oak",KitchenCarcassMaterial))=FALSE,(0.035*0.075*($B133/1000))*VLOOKUP("Oak (solid m3)",SolidData,4,FALSE),IF(ISERROR(FIND("ply",KitchenCarcassMaterial))=FALSE,(0.1*($B133/1000))*VLOOKUP("Birch ply (24mm)",SheetsData,7,FALSE),IF(ISERROR(FIND("H/F",KitchenCarcassMaterial))=FALSE,(0.1*($C133/1000))*VLOOKUP("H/F (22mm)",SheetsData,7,FALSE),"Carcass - tower - new material")))),IF(KitchenHandleFinish="Match door",IF(ISERROR(FIND("Walnut",KitchenDoorMaterial))=FALSE,(0.035*0.075*($B133/1000))*VLOOKUP("Walnut (solid m3)",SolidData,4,FALSE),IF(ISERROR(FIND("Oak",KitchenDoorMaterial))=FALSE,(0.035*0.075*($B133/1000))*VLOOKUP("Oak (solid m3)",SolidData,4,FALSE),IF(ISERROR(FIND("ply",KitchenDoorMaterial))=FALSE,(0.1*($B133/1000))*VLOOKUP("Birch ply (24mm)",SheetData,7,FALSE),IF(ISERROR(FIND("H/F",KitchenCarcassMaterial))=FALSE,(0.1*($C133/1000))*VLOOKUP("H/F (22mm)",SheetsData,7,FALSE),"Door - tower - new material")))),"Channel - tower - handle set to other")))),"")</f>
        <v/>
      </c>
    </row>
    <row r="134">
      <c r="A134" s="150"/>
      <c r="B134" s="115" t="str">
        <f t="shared" si="1"/>
        <v/>
      </c>
      <c r="C134" s="115" t="str">
        <f>IFERROR(__xludf.DUMMYFUNCTION("IF(A134="""","""",IF(OR(RIGHT(A134,LEN(A134)-len(regexextract(A134,"".* "")))=""1200"",RIGHT(A134,LEN(A134)-len(regexextract(A134,"".* "")))=""600"",RIGHT(A134,LEN(A134)-len(regexextract(A134,"".* "")))=""400"",RIGHT(A134,LEN(A134)-len(regexextract(A134,"&amp;""".* "")))=""300"",RIGHT(A134,LEN(A134)-len(regexextract(A134,"".* "")))=""700"",RIGHT(A134,LEN(A134)-len(regexextract(A134,"".* "")))=""2400"",RIGHT(A134,LEN(A134)-len(regexextract(A134,"".* "")))=""650"",RIGHT(A134,LEN(A134)-len(regexextract(A134,"".* "&amp;""")))=""350"",RIGHT(A134,LEN(A134)-len(regexextract(A134,"".* "")))=""50""),RIGHT(A134,LEN(A134)-len(regexextract(A134,"".* ""))),IF(OR(ISERROR(FIND(""spacer"",A134))=FALSE,ISERROR(FIND(""filler panel"",A134))=FALSE),""1000"",""Unexpected size in descript"&amp;"ion"")))"),"")</f>
        <v/>
      </c>
      <c r="D134" s="151" t="str">
        <f t="shared" si="2"/>
        <v/>
      </c>
      <c r="E134" s="152" t="str">
        <f>IFERROR(__xludf.DUMMYFUNCTION("IF(OR(A134="""",AND(ISERROR(FIND(""drawer box"",A134))=FALSE,KitchenDrawerType="""")),"""",IF(OR(ISERROR(FIND(""larder"",A134))=FALSE,ISERROR(FIND(""fridge/freezer"",A134))=FALSE,ISERROR(FIND(""double oven"",A134))=FALSE,ISERROR(FIND(""single oven"",A134)"&amp;")=FALSE),VLOOKUP(LEFT(A134,FIND("" "",A134))&amp;""carcass ""&amp;RIGHT(A134,LEN(A134)-(LEN(A134)-3)),KitchensData,5,0),IF(ISERROR(FIND(""sink"",A134))=FALSE,VLOOKUP(LEFT(A134,FIND("" "",A134))&amp;""carcass ""&amp;VALUE(REGEXREPLACE(A134,""[^[:digit:]]"", """")),Kitchen"&amp;"sData,5,0)+(((C134/1000)*(300/1000))*VLOOKUP(KitchenCarcassMaterial,SheetsData,8,0)),IF(ISERROR(FIND(""bins"",A134))=FALSE,IF(ISERROR(FIND(""veneer"",KitchenCarcassMaterial))=FALSE,VLOOKUP(""Base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600"",A134))=FALSE,IF(ISERR"&amp;"OR(FIND(""veneer"",KitchenCarcassMaterial))=FALSE,0.54*(VLOOKUP(LEFT(KitchenCarcassMaterial,FIND(""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1"&amp;"200"",A134))=FALSE,IF(ISERROR(FIND(""veneer"",KitchenCarcassMaterial))=FALSE,0.84*(VLOOKUP(LEFT(KitchenCarcassMaterial,FIND(""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600"",A134))=FALSE,IF(ISERROR(FIND(""veneer"",KitchenCarcassMaterial))=FALSE,1.44*(VLOOKUP(LEFT(KitchenCarcassMaterial,FIND(""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1200"",A134))=FALSE,IF(ISERROR(FIND(""veneer"",KitchenCarcassMaterial))=FALSE,2.7*(VLOOKUP(LEFT(KitchenCarcassMaterial,FIND(""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front"",A134))=FALSE,((B134/1000)*(C134/1000))*VLOOKUP(KitchenDoorMaterial,SheetsData,8,0),IF(AND(KitchenDrawerType=""Match carcass"",ISERROR(FIND(""drawer box"",A134))=FALSE),(((((B134/10"&amp;"00)*(C134/1000))+((B134/1000)*(D134/1000)))*2)*VLOOKUP(KitchenCarcassMaterial,SheetsData,8,0))+(((C134/1000)*(D134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box"",A134))=FALSE),(((((B134/1000)*(C134/1000))+((B134/1000)*(D134/1000)))*2)*(16/1000)*VLOOKUP(L"&amp;"EFT(KitchenCarcassMaterial,FIND("" "",KitchenCarcassMaterial))&amp;""(solid m3)"",SolidData,5,0))+(((C134/1000)*(D134/1000))*VLOOKUP(LEFT(KitchenCarcassMaterial,FIND(""("",KitchenCarcassMaterial)-1)&amp;IF(OR(ISERROR(FIND(""ply"",KitchenCarcassMaterial))=FALSE,IS"&amp;"ERROR(FIND(""H/F"",KitchenCarcassMaterial))=FALSE),""(9mm)"",""(10mm)""),SheetsData,8,0)),IF(ISERROR(FIND(""spacer"",A134))=FALSE,((D134/1000)*(C134/1000))*VLOOKUP(""Poplar ply (18mm)"",SheetsData,8,0),IF(ISERROR(FIND(""filler panel"",A134))=FALSE,((B134/"&amp;"1000)*(C134/1000))*VLOOKUP(KitchenDoorMaterial,SheetsData,8,0),IF(ISERROR(FIND(""shelf"",A134))=FALSE,((D134/1000)*(C134/1000))*VLOOKUP(KitchenCarcassMaterial,SheetsData,8,0),IF(ISERROR(FIND(""lost corner"",A134))=FALSE,VLOOKUP(LEFT(A134,FIND("" "",A134))"&amp;"&amp;""carcass ""&amp;VALUE(REGEXREPLACE(A134,""[^[:digit:]]"", """")),KitchensData,5,0)+((((B134/1000)*(C134/1000))+((B134/1000)*(60/1000)))*VLOOKUP(KitchenCarcassMaterial,SheetsData,8,0)),IF(ISERROR(FIND(""carcass"",A134))=FALSE,(((((B134/1000)*2)*(D134/1000))+"&amp;"(((C134/1000)*2)*(D134/1000)))*VLOOKUP(KitchenCarcassMaterial,SheetsData,8,0))+((B134/1000)*(C134/1000))*VLOOKUP(LEFT(KitchenCarcassMaterial,FIND(""("",KitchenCarcassMaterial)-1)&amp;IF(OR(ISERROR(FIND(""ply"",KitchenCarcassMaterial))=FALSE,ISERROR(FIND(""H/F"&amp;""",KitchenCarcassMaterial))=FALSE),""(9mm)"",""(10mm)""),SheetsData,8,0),IF(OR(ISERROR(FIND(""Plinth"",A134))=FALSE,ISERROR(FIND(""Cornice (flat)"",A134))=FALSE),((B134/1000)*(C134/1000))*VLOOKUP(""H/F (18mm)"",SheetsData,8,0),IF(ISERROR(FIND(""Cornice (s"&amp;"tacked)"",A134))=FALSE,((0.08*(C134/1000))*2)*VLOOKUP(""H/F (22mm)"",SheetsData,8,0),IF(ISERROR(FIND(""Base end panel"",A134))=FALSE,VLOOKUP(KitchenDoorMaterial,SheetsData,5,0)/3,IF(ISERROR(FIND(""Wall end panel"",A134))=FALSE,VLOOKUP(KitchenDoorMaterial,"&amp;"SheetsData,5,0)/9,IF(ISERROR(FIND(""Tower end panel"",A134))=FALSE,VLOOKUP(KitchenDoorMaterial,SheetsData,5,0),IF(ISERROR(FIND(""Fillers"",A134))=FALSE,(((0.06*(C134/1000))*2)*VLOOKUP(""H/F (18mm)"",SheetsData,8,0))+(((0.06*(C134/1000))*2)*VLOOKUP(""H/F ("&amp;"9mm)"",SheetsData,8,0)),IF(ISERROR(FIND(""corner post"",A134))=FALSE,(((B134/1000)*0.05)*2)*VLOOKUP(KitchenDoorMaterial,SheetsData,8,0),IF(ISERROR(FIND(""Pelmet"",A134))=FALSE,((((B134/1000)*(C134/1000))*2)*VLOOKUP(""H/F (18mm)"",SheetsData,8,0)),IF(ISERR"&amp;"OR(FIND(""door"",A134))=TRUE,""Check description"",IF(KitchenDoorStyle=""Flat"",((B134/1000)*(C134/1000))*VLOOKUP(KitchenDoorMaterial,SheetsData,8,0),IF(LEFT(KitchenDoorStyle,5)=""Panel"",(((((B134/1000)*2)*0.08)+((((C134/1000)-0.16)*2)*0.08))*VLOOKUP(""H"&amp;"/F (22mm)"",SheetsData,8,0))+(((B134/1000)-0.14)*((C134/1000)-0.14)*VLOOKUP(""H/F (9mm)"",SheetsData,8,0)),IF(KitchenDoorStyle=""In-frame flat"",((((((B134/1000)*0.019)*0.038)+((((C134-38)/1000)*0.038)*0.038))*2)*VLOOKUP(""Tulip (solid m3)"",SolidData,5,0"&amp;"))+(((B134-76)/1000)*((C134-38)/1000))*VLOOKUP(""H/F (22mm)"",SheetsData,8,0),IF(LEFT(KitchenDoorStyle,14)=""In-frame panel"",(((((((B134/1000)*0.019)*0.038)+((((C134-38)/1000)*0.038)*0.038))*2)*VLOOKUP(""Tulip (solid m3)"",SolidData,5,0))+(((((((B134-76)"&amp;"/1000)*2)*0.08)+(((((C134-198)/1000)*2)*0.08)))*VLOOKUP(""H/F (22mm)"",SheetsData,8,0))+(((B134-216)/1000)*((C134-178)/1000)*VLOOKUP(""H/F (9mm)"",SheetsData,8,0)))))))))))))))))))))))))))))))))"),"")</f>
        <v/>
      </c>
      <c r="F134" s="152" t="str">
        <f>IFERROR(__xludf.DUMMYFUNCTION("IF(OR(A134="""",AND(ISERROR(FIND(""drawer box"",A134))=FALSE,KitchenDrawerType=""Solid dovetail"")),"""",IF(ISERROR(FIND(""bins"",A134))=FALSE,VLOOKUP(""Base carcass 600"",KitchensData,6,0),IF(OR(ISERROR(FIND(""larder"",A134))=FALSE,ISERROR(FIND(""unit"","&amp;"A134))=FALSE),VLOOKUP(LEFT(A134,FIND("" "",A134))&amp;""carcass ""&amp;RIGHT(A134,LEN(A134)-len(regexextract(A134,"".* ""))),KitchensData,6,0),IF(ISERROR(FIND(""drawer front"",A134))=FALSE,IF(ISERROR(FIND(""veneer"",KitchenCarcassMaterial))=TRUE,0,(((B134+C134)/1"&amp;"000)*2)*VLOOKUP(""Edge banding (per M)"",SheetsData,5,0)),IF(ISERROR(FIND(""drawer box"",A134))=FALSE,IF(ISERROR(FIND(""veneer"",KitchenCarcassMaterial))=TRUE,0,(((C134+D134)/1000)*2)*VLOOKUP(""Edge banding (per M)"",SheetsData,5,0)),IF(ISERROR(FIND(""she"&amp;"lf"",A134))=FALSE,IF(ISERROR(FIND(""veneer"",KitchenCarcassMaterial))=TRUE,0,(C134/1000)*VLOOKUP(""Edge banding (per M)"",SheetsData,5,0)),IF(AND(ISERROR(FIND(""carcass"",A134))=FALSE,ISERROR(FIND(""shelf"",A134))=TRUE),IF(ISERROR(FIND(""veneer"",KitchenC"&amp;"arcassMaterial))=TRUE,0,((2*(B134+C134))/1000)*VLOOKUP(""Edge banding (per M)"",SheetsData,5,0)),IF(ISERROR(FIND(""door"",A134))=TRUE,"""",IF(ISERROR(FIND(""veneer"",KitchenDoorMaterial))=TRUE,"""",((2*(B134+C134))/1000)*VLOOKUP(""Edge banding (per M)"",S"&amp;"heetsData,5,0))))))))))"),"")</f>
        <v/>
      </c>
      <c r="G134" s="153" t="str">
        <f>IF(A134="","",IF(ISERROR(FIND("bins",A134))=FALSE,VLOOKUP("Base carcass 600",KitchensData,7,0),IF(OR(ISERROR(FIND("larder",A134))=FALSE,ISERROR(FIND("fridge/freezer",A134))=FALSE,ISERROR(FIND("double oven",A134))=FALSE,ISERROR(FIND("single oven",A134))=FALSE),VLOOKUP(LEFT(A134,FIND(" ",A134))&amp;"carcass "&amp;RIGHT(A134,LEN(A134)-(LEN(A134)-3)),KitchensData,7,0),IF(AND(ISERROR(FIND("carcass",A134))=FALSE,ISERROR(FIND("shelf",A134))=TRUE),IF(OR(ISERROR(FIND("Base",A134))=FALSE,ISERROR(FIND("Tower",A134))=FALSE),IF(OR(ISERROR(FIND("1200",A134))=FALSE, ISERROR(FIND("lost corner",A134))=FALSE),6*VLOOKUP("Plinth foot (2 Parts 80mm)",FurnitureData,5,0),4*VLOOKUP("Plinth foot (2 Parts 80mm)",FurnitureData,5,0)),""),""))))</f>
        <v/>
      </c>
      <c r="H134" s="115" t="str">
        <f>IF(OR(A134="",ISERROR(FIND("door",A134))=TRUE),"",IF(ISERROR(FIND("Wall",A134))=FALSE,VLOOKUP("Hinges &amp; plates (Hettich thick door)",FurnitureData,5,0)*2,IF(ISERROR(FIND("Base",A134))=FALSE,VLOOKUP("Hinges &amp; plates (Hettich thick door)",FurnitureData,5,0)*3,IF(ISERROR(FIND("Boiler",A134))=FALSE,VLOOKUP("Hinges &amp; plates (Hettich thick door)",FurnitureData,5,0)*4,IF(ISERROR(FIND("Tower",A134))=FALSE,VLOOKUP("Hinges &amp; plates (Hettich thick door)",FurnitureData,5,0)*5)))))</f>
        <v/>
      </c>
      <c r="I134" s="115" t="str">
        <f>IF(ISERROR(FIND("shelf",A134))=FALSE,(VLOOKUP("Shelf pegs",FurnitureData,5,0)/100)*4,"")</f>
        <v/>
      </c>
      <c r="J134" s="152" t="str">
        <f>IF(OR(ISERROR(FIND("fridge/freezer",A134))=FALSE,ISERROR(FIND("larder",A134))=FALSE,AND(ISERROR(FIND("Base",A134))=FALSE,ISERROR(FIND("bins",A134))=TRUE,ISERROR(FIND("no shelves",A134))=TRUE,OR(ISERROR(FIND("carcass",A134))=FALSE,ISERROR(FIND("unit",A134))=FALSE))),VLOOKUP("Deep shelf "&amp;C134,KitchensData,18,0),IF(AND(ISERROR(FIND("Wall",A134))=FALSE,ISERROR(FIND("carcass",A134))=FALSE),2*VLOOKUP("Shallow shelf "&amp;C134,KitchensData,18,0),IF(AND(ISERROR(FIND("Tower",A134))=FALSE,ISERROR(FIND("oven",A134))=FALSE),4*VLOOKUP("Deep shelf "&amp;C134,KitchensData,18,0),IF(AND(ISERROR(FIND("Tower",A134))=FALSE,ISERROR(FIND("carcass",A134))=FALSE),5*VLOOKUP("Deep shelf "&amp;C134,KitchensData,18,0),""))))</f>
        <v/>
      </c>
      <c r="K134" s="152" t="str">
        <f>IF(ISERROR(FIND("sink",A134))=FALSE,VLOOKUP("Sink liner - Aluminium "&amp;RIGHT(A134,LEN(A134)-22)&amp;"mm",ExceptionalData,5,0),IF(ISERROR(FIND("bins",A134))=FALSE,VLOOKUP("Drawer runners and clip set for bin unit (500) Dynapro",FurnitureData,5,0)+(2*VLOOKUP("Bin (42L Anthracite)",FurnitureData,5,0)),IF(ISERROR(FIND("larder",A134))=FALSE,VLOOKUP("Pull out larder unit 600mm",FurnitureData,5,0),IF(AND(ISERROR(FIND("drawer box",A134))=FALSE,ISERROR(FIND("internal",A134))=TRUE),VLOOKUP("Drawer runners and clip set (550) Dynapro",FurnitureData,5,0),IF(ISERROR(FIND("internal drawer box",A134))=FALSE,VLOOKUP("Drawer runners and clip set (450) Dynapro",FurnitureData,5,0),"")))))</f>
        <v/>
      </c>
      <c r="L134" s="152" t="str">
        <f t="shared" si="3"/>
        <v/>
      </c>
      <c r="M134" s="154" t="str">
        <f>IFERROR(__xludf.DUMMYFUNCTION("IF(A134="""","""",IF(OR(ISERROR(FIND(""larder"",A134))=FALSE,ISERROR(FIND(""unit"",A134))=FALSE),VLOOKUP(LEFT(A134,FIND("" "",A134))&amp;""carcass ""&amp;RIGHT(A134,LEN(A134)-len(regexextract(A134,"".* ""))),KitchensData,13,0),IF(ISERROR(FIND(""bins"",A134))=FALS"&amp;"E,0.95,IF(ISERROR(FIND(""Cutlery insert 600"",A134))=FALSE,1.3,IF(ISERROR(FIND(""Cutlery insert 1200"",A134))=FALSE,2,IF(ISERROR(FIND(""Pan/tray rack 600"",A134))=FALSE,3.25,IF(ISERROR(FIND(""Pan/tray rack 1200"",A134))=FALSE,5.9,IF(ISERROR(FIND(""split"""&amp;",A134))=FALSE,(((C134/1000)*0.022)*2)+VLOOKUP(SUBSTITUTE(A134,"" split"",""""),KitchensData,13,0),IF(AND(ISERROR(FIND(""drawer front"",A134))=FALSE,KitchenDoorStyle=""Flat""),(((B134/1000)*(C134/1000))*2)+((((B134+C134)/1000)*2)*0.022),IF(AND(ISERROR(FIND"&amp;"(""drawer front"",A134))=FALSE,LEFT(KitchenDoorStyle,5)=""Panel""),(((B134/1000)*(C134/1000))*2)+((((B134+C134)/1000)*2)*0.022)+((((C134/1000)-0.16)*0.013)*2)+((((D134/1000)-0.16)*0.013)*2),IF(AND(ISERROR(FIND(""drawer front"",A134))=FALSE,KitchenDoorStyl"&amp;"e=""In-frame flat""),((((B134-76)/1000)*((C134-38)/1000))*2)+(MID(KitchenDoorMaterial,FIND(""("",KitchenDoorMaterial)+1,2)/1000)*((((B134-76)+(C134-38))/1000)*2)+(((B134/1000)*0.032)*2)+((((B134-76)/1000)*0.032)*2)+(((B134/1000)*0.019)*4)+(((C134/1000)*0."&amp;"032)*2)+((((C134-38)/1000)*0.032)*2)+(((C134/1000)*0.038)*4),IF(AND(ISERROR(FIND(""drawer front"",A134))=FALSE,LEFT(KitchenDoorStyle,14)=""In-frame panel""),((((B134-76)/1000)*((C134-38)/1000))*2)+((MID(KitchenDoorMaterial,FIND(""("",KitchenDoorMaterial)+"&amp;"1,2)/1000)*((((B134-76)+(C134-38))/1000)*2))+((((B134-236)/1000)+((C134-198)/1000)*2)*0.013)+(((B134/1000)*0.032)*2)+((((B134-76)/1000)*0.032)*2)+(((B134/1000)*0.019)*4)+(((C134/1000)*0.032)*2)+((((C134-38)/1000)*0.032)*2)+(((C134/1000)*0.038)*4),IF(ISERR"&amp;"OR(FIND(""drawer box"",A134))=FALSE,((((B134/1000)*(D134/1000))+((B134/1000)*(C134/1000)))*4)+((((D134/1000)+(C134/1000))*0.016)*4)+(((C134/1000)*(D134/1000))*2),IF(OR(ISERROR(FIND(""shelf"",A134))=FALSE,ISERROR(FIND(""spacer"",A134))=FALSE,,ISERROR(FIND("&amp;"""filler panel"",A134))=FALSE),(((C134/1000)*(D134/1000))*2)+((((C134+D134)*2)/1000)*0.022),IF(ISERROR(FIND(""lost corner"",A134))=FALSE,(((B134/1000)*(C134/1000))*2)+((B134/1000)*(C134/1000))+((B134/1000)*((C134/2)/1000))+((((B134/1000)*0.025)+((C134/100"&amp;"0)*0.025))*2),IF(ISERROR(FIND(""carcass"",A134))=FALSE,(((C134/1000)*(D134/1000))*2)+(((B134/1000)*(D134/1000))*2)+((B134/1000)*(C134/1000))+((((B134/1000)*0.025)+((C134/1000)*0.025))*2),IF(AND(ISERROR(FIND(""door"",A134))=FALSE,KitchenDoorStyle=""Flat"")"&amp;",(((B134/1000)*(C134/1000))*2)+(MID(KitchenDoorMaterial,FIND(""("",KitchenDoorMaterial)+1,2)/1000)*(((B134+C134)/1000)*2),IF(AND(ISERROR(FIND(""door"",A134))=FALSE,LEFT(KitchenDoorStyle,5)=""Panel""),(((B134/1000)*(C134/1000))*2)+((MID(KitchenDoorMaterial"&amp;",FIND(""("",KitchenDoorMaterial)+1,2)/1000)*(((B134+C134)/1000)*2))+(((((B134-160)+(C134-160))*2)/1000)*(0.013)),IF(AND(ISERROR(FIND(""door"",A134))=FALSE,KitchenDoorStyle=""In-frame flat""),((((B134-76)/1000)*((C134-38)/1000))*2)+(MID(KitchenDoorMaterial"&amp;",FIND(""("",KitchenDoorMaterial)+1,2)/1000)*((((B134-76)+(C134-38))/1000)*2)+(((B134/1000)*0.032)*2)+((((B134-76)/1000)*0.032)*2)+(((B134/1000)*0.019)*4)+(((C134/1000)*0.032)*2)+((((C134-38)/1000)*0.032)*2)+(((C134/1000)*0.038)*4),IF(AND(ISERROR(FIND(""do"&amp;"or"",A134))=FALSE,LEFT(KitchenDoorStyle,14)=""In-frame panel""),((((B134-76)/1000)*((C134-38)/1000))*2)+((MID(KitchenDoorMaterial,FIND(""("",KitchenDoorMaterial)+1,2)/1000)*((((B134-76)+(C134-38))/1000)*2))+((((B134-236)/1000)+((C134-198)/1000)*2)*0.013)+"&amp;"(((B134/1000)*0.032)*2)+((((B134-76)/1000)*0.032)*2)+(((B134/1000)*0.019)*4)+(((C134/1000)*0.032)*2)+((((C134-38)/1000)*0.032)*2)+(((C134/1000)*0.038)*4),IF(ISERROR(FIND(""Plinth"",A134))=FALSE,((B134/1000)*(C134/1000))+(((C134/1000)*0.018)*2)+(((B134/100"&amp;"0)*0.018)*2),IF(ISERROR(FIND(""Cornice"",A134))=FALSE,(((C134/1000)*0.1)*2)+(((C134/1000)*0.044)*2)+(((B134/1000)*0.08)*2),IF(ISERROR(FIND(""Base end panel"",A134))=FALSE,((B134/1000)*(C134/1000))+(0.022*((B134/1000)+((C134/1000)*2)))+((B134/1000)*0.05),I"&amp;"F(ISERROR(FIND(""Wall end panel"",A134))=FALSE,((B134/1000)*(C134/1000))+(0.022*((B134/1000)+((C134/1000)*2)))+((B134/1000)*0.05),IF(ISERROR(FIND(""Tower end panel"",A134))=FALSE,((B134/1000)*(C134/1000))+(0.022*((B134/1000)+((C134/1000)*2)))+((B134/1000)"&amp;"*0.05),IF(ISERROR(FIND(""Fillers"",A134))=FALSE,((C134/1000)*0.06)+((C134/1000)*0.069)+((0.06*0.018)*2)+((0.06*0.009)*2)+((C134/1000)*0.009)+((C134/1000)*0.018),IF(ISERROR(FIND(""corner post"",A134))=FALSE,(((B134/1000*0.05)*2)+((B134/1000)*0.022)*2)+((B1"&amp;"34/1000)*0.072)+((B134/1000)*0.05)+((0.072*0.022)*2)+((0.05*0.022)*2),IF(ISERROR(FIND(""Pelmet"",A134))=FALSE,((C134/1000)*0.05)+((C134/1000)*0.068)+((0.05*0.018)*4)+(((C134/1000)*0.018))*2))))))))))))))))))))))))))))"),"")</f>
        <v/>
      </c>
      <c r="N134" s="152" t="str">
        <f>IF(M134="","",IF(AND(ISERROR(FIND("carcass",A134))=TRUE,ISERROR(FIND("unit",A134))=TRUE,ISERROR(FIND("insert",A134))=TRUE,ISERROR(FIND("rack",A134))=TRUE,ISERROR(FIND("box",A134))=TRUE,ISERROR(FIND("shelf",#REF!))=TRUE),VLOOKUP(KitchenDoorFinish,Finishing!$A$2:$K$10,9,0)*M134,VLOOKUP(KitchenCarcassFinish,Finishing!$A$2:$K$40,9,0)*M134))</f>
        <v/>
      </c>
      <c r="O134" s="155"/>
      <c r="P134" s="155"/>
      <c r="Q134" s="152" t="str">
        <f>IF(OR(O134="",P134=""),"",((O134*X134)*(VLOOKUP("Workshop",Labour!$A$3:$E$20,4,0)/8))+((P134*AE134)*(VLOOKUP("Finishing",Labour!$A$3:$E$20,4,0)/8)))</f>
        <v/>
      </c>
      <c r="R134" s="152" t="str">
        <f t="shared" si="4"/>
        <v/>
      </c>
      <c r="S134" s="156" t="str">
        <f>IF(OR(O134="",P134=""),"",IF(OR(ISERROR(FIND("carcass",$A134))=FALSE,ISERROR(FIND("unit",$A134))=FALSE),VLOOKUP(KitchenCarcassMaterial,FixedListsCarcassMaterial,2,0),0))</f>
        <v/>
      </c>
      <c r="T134" s="156" t="str">
        <f>IF(OR(O134="",P134=""),"",IF(ISERROR(FIND("door",$A134))=FALSE,VLOOKUP(KitchenDoorStyle,FixedListsDoorStyle,2,0),0))</f>
        <v/>
      </c>
      <c r="U134" s="156" t="str">
        <f>IF(OR(O134="",P134=""),"",IF(ISERROR(FIND("door",$A134))=FALSE,VLOOKUP(KitchenDoorMaterial,FixedListsDoorMaterial,2,0),0))</f>
        <v/>
      </c>
      <c r="V134" s="156" t="str">
        <f>IF(OR(O134="",P134=""),"",IF(ISERROR(FIND("drawer",$A134))=FALSE,VLOOKUP(KitchenDrawerType,FixedListsDrawerType,2,0),0))</f>
        <v/>
      </c>
      <c r="W134" s="156" t="str">
        <f>IF(OR(O134="",P134=""),"",IF(OR(S134&gt;0, T134&gt;0,V134&gt;0),VLOOKUP(KitchenHandleType,FixedListsHandleType,2,FALSE)*IF(KitchenHandleType="Simple",0,IF(S134&gt;0,VLOOKUP(KitchenHandleType,FixedListsHandleType,4,FALSE),IF(OR(T134&gt;0,V134&gt;0),1-VLOOKUP(KitchenHandleType,FixedListsHandleType,4,FALSE),"Error"))),0))</f>
        <v/>
      </c>
      <c r="X134" s="156" t="str">
        <f t="shared" si="5"/>
        <v/>
      </c>
      <c r="Y134" s="156" t="str">
        <f>IF(OR(O134="",P134=""),"",IF(OR(ISERROR(FIND("carcass",$A134))=FALSE,ISERROR(FIND("unit",$A134))=FALSE),VLOOKUP(KitchenCarcassMaterial,FixedListsCarcassMaterial,3,0),0))</f>
        <v/>
      </c>
      <c r="Z134" s="156" t="str">
        <f>IF(OR(O134="",P134=""),"",IF(ISERROR(FIND("door",$A134))=FALSE,VLOOKUP(KitchenDoorStyle,FixedListsDoorStyle,3,0),0))</f>
        <v/>
      </c>
      <c r="AA134" s="156" t="str">
        <f>IF(OR(O134="",P134=""),"",IF(ISERROR(FIND("door",$A134))=FALSE,VLOOKUP(KitchenDoorMaterial,FixedListsDoorMaterial,3,0),0))</f>
        <v/>
      </c>
      <c r="AB134" s="156" t="str">
        <f>IF(OR(O134="",P134=""),"",IF(ISERROR(FIND("drawer",$A134))=FALSE,VLOOKUP(KitchenDrawerType,FixedListsDrawerType,3,0),0))</f>
        <v/>
      </c>
      <c r="AC134" s="156" t="str">
        <f>IF(OR(O134="",P134=""),"",IF(OR(Y134&gt;0,Z134&gt;0,AB134&gt;0),VLOOKUP(KitchenHandleType,FixedListsHandleType,3,FALSE),0))</f>
        <v/>
      </c>
      <c r="AD134" s="156" t="str">
        <f>IF(OR(O134="",P134=""),"",IF(OR(ISERROR(FIND("carcass",$A134))=FALSE,ISERROR(FIND("unit",$A134))=FALSE),VLOOKUP(KitchenCarcassFinish,FixedListsFinishes,3,0),IF(OR(ISERROR(FIND("door",$A134))=FALSE,ISERROR(FIND("Plinth",$A134))=FALSE,ISERROR(FIND("Cornice",$A134))=FALSE,ISERROR(FIND("Fillers",$A134))=FALSE,ISERROR(FIND("Pelmet",$A134))=FALSE,ISERROR(FIND("panel",$A134))=FALSE,ISERROR(FIND("post",$A134))=FALSE),VLOOKUP(KitchenDoorFinish,FixedListsFinishes,3,0),IF(OR(ISERROR(FIND("drawer",$A134))=FALSE,ISERROR(FIND("insert",$A134))=FALSE,ISERROR(FIND("rck",$A134))=FALSE),VLOOKUP(KitchenCarcassFinish,FixedListsFinishes,3,0),0))))</f>
        <v/>
      </c>
      <c r="AE134" s="156" t="str">
        <f t="shared" si="6"/>
        <v/>
      </c>
      <c r="AF134" s="157" t="str">
        <f>IF(AND(KitchenHandleType="Channel",OR(ISERROR(FIND("arcass",$A134))=FALSE,ISERROR(FIND("unit",$A134))=FALSE)),IF(ISERROR(FIND("Tower",$A134))=TRUE,IF(KitchenHandleFinish="Match carcass",IF(ISERROR(FIND("Walnut",KitchenCarcassMaterial))=FALSE,(0.035*0.075*($C134/1000))*VLOOKUP("Walnut (solid m3)",SolidData,4,FALSE),IF(ISERROR(FIND("Oak",KitchenCarcassMaterial))=FALSE,(0.035*0.075*($C134/1000))*VLOOKUP("Oak (solid m3)",SolidData,4,FALSE),IF(ISERROR(FIND("ply",KitchenCarcassMaterial))=FALSE,(0.1*($C134/1000))*VLOOKUP("Birch ply (24mm)",SheetsData,7,FALSE),IF(ISERROR(FIND("H/F",KitchenCarcassMaterial))=FALSE,(0.1*($C134/1000))*VLOOKUP("H/F (22mm)",SheetsData,7,FALSE),"Carcass - not tower - new material")))),IF(KitchenHandleFinish="Match door",IF(ISERROR(FIND("Walnut",KitchenDoorMaterial))=FALSE,(0.035*0.075*($C134/1000))*VLOOKUP("Walnut (solid m3)",SolidData,4,FALSE),IF(ISERROR(FIND("Oak",KitchenDoorMaterial))=FALSE,(0.035*0.075*($C134/1000))*VLOOKUP("Oak (solid m3)",SolidData,4,FALSE),IF(ISERROR(FIND("ply",KitchenDoorMaterial))=FALSE,(0.1*($C134/1000))*VLOOKUP("Birch ply (24mm)",SheetsData,7,FALSE),IF(ISERROR(FIND("H/F",KitchenCarcassMaterial))=FALSE,(0.1*($C134/1000))*VLOOKUP("H/F (22mm)",SheetsData,7,FALSE),"Door - not tower - new material")))),"Channel - not tower - handle set to other")),IF(ISERROR(FIND("Tower",$A134))=FALSE,IF(KitchenHandleFinish="Match carcass",IF(ISERROR(FIND("Walnut",KitchenCarcassMaterial))=FALSE,(0.035*0.075*($B134/1000))*VLOOKUP("Walnut (solid m3)",SolidData,4,FALSE),IF(ISERROR(FIND("Oak",KitchenCarcassMaterial))=FALSE,(0.035*0.075*($B134/1000))*VLOOKUP("Oak (solid m3)",SolidData,4,FALSE),IF(ISERROR(FIND("ply",KitchenCarcassMaterial))=FALSE,(0.1*($B134/1000))*VLOOKUP("Birch ply (24mm)",SheetsData,7,FALSE),IF(ISERROR(FIND("H/F",KitchenCarcassMaterial))=FALSE,(0.1*($C134/1000))*VLOOKUP("H/F (22mm)",SheetsData,7,FALSE),"Carcass - tower - new material")))),IF(KitchenHandleFinish="Match door",IF(ISERROR(FIND("Walnut",KitchenDoorMaterial))=FALSE,(0.035*0.075*($B134/1000))*VLOOKUP("Walnut (solid m3)",SolidData,4,FALSE),IF(ISERROR(FIND("Oak",KitchenDoorMaterial))=FALSE,(0.035*0.075*($B134/1000))*VLOOKUP("Oak (solid m3)",SolidData,4,FALSE),IF(ISERROR(FIND("ply",KitchenDoorMaterial))=FALSE,(0.1*($B134/1000))*VLOOKUP("Birch ply (24mm)",SheetData,7,FALSE),IF(ISERROR(FIND("H/F",KitchenCarcassMaterial))=FALSE,(0.1*($C134/1000))*VLOOKUP("H/F (22mm)",SheetsData,7,FALSE),"Door - tower - new material")))),"Channel - tower - handle set to other")))),"")</f>
        <v/>
      </c>
    </row>
    <row r="135">
      <c r="A135" s="150"/>
      <c r="B135" s="115" t="str">
        <f t="shared" si="1"/>
        <v/>
      </c>
      <c r="C135" s="115" t="str">
        <f>IFERROR(__xludf.DUMMYFUNCTION("IF(A135="""","""",IF(OR(RIGHT(A135,LEN(A135)-len(regexextract(A135,"".* "")))=""1200"",RIGHT(A135,LEN(A135)-len(regexextract(A135,"".* "")))=""600"",RIGHT(A135,LEN(A135)-len(regexextract(A135,"".* "")))=""400"",RIGHT(A135,LEN(A135)-len(regexextract(A135,"&amp;""".* "")))=""300"",RIGHT(A135,LEN(A135)-len(regexextract(A135,"".* "")))=""700"",RIGHT(A135,LEN(A135)-len(regexextract(A135,"".* "")))=""2400"",RIGHT(A135,LEN(A135)-len(regexextract(A135,"".* "")))=""650"",RIGHT(A135,LEN(A135)-len(regexextract(A135,"".* "&amp;""")))=""350"",RIGHT(A135,LEN(A135)-len(regexextract(A135,"".* "")))=""50""),RIGHT(A135,LEN(A135)-len(regexextract(A135,"".* ""))),IF(OR(ISERROR(FIND(""spacer"",A135))=FALSE,ISERROR(FIND(""filler panel"",A135))=FALSE),""1000"",""Unexpected size in descript"&amp;"ion"")))"),"")</f>
        <v/>
      </c>
      <c r="D135" s="151" t="str">
        <f t="shared" si="2"/>
        <v/>
      </c>
      <c r="E135" s="152" t="str">
        <f>IFERROR(__xludf.DUMMYFUNCTION("IF(OR(A135="""",AND(ISERROR(FIND(""drawer box"",A135))=FALSE,KitchenDrawerType="""")),"""",IF(OR(ISERROR(FIND(""larder"",A135))=FALSE,ISERROR(FIND(""fridge/freezer"",A135))=FALSE,ISERROR(FIND(""double oven"",A135))=FALSE,ISERROR(FIND(""single oven"",A135)"&amp;")=FALSE),VLOOKUP(LEFT(A135,FIND("" "",A135))&amp;""carcass ""&amp;RIGHT(A135,LEN(A135)-(LEN(A135)-3)),KitchensData,5,0),IF(ISERROR(FIND(""sink"",A135))=FALSE,VLOOKUP(LEFT(A135,FIND("" "",A135))&amp;""carcass ""&amp;VALUE(REGEXREPLACE(A135,""[^[:digit:]]"", """")),Kitchen"&amp;"sData,5,0)+(((C135/1000)*(300/1000))*VLOOKUP(KitchenCarcassMaterial,SheetsData,8,0)),IF(ISERROR(FIND(""bins"",A135))=FALSE,IF(ISERROR(FIND(""veneer"",KitchenCarcassMaterial))=FALSE,VLOOKUP(""Base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600"",A135))=FALSE,IF(ISERR"&amp;"OR(FIND(""veneer"",KitchenCarcassMaterial))=FALSE,0.54*(VLOOKUP(LEFT(KitchenCarcassMaterial,FIND(""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1"&amp;"200"",A135))=FALSE,IF(ISERROR(FIND(""veneer"",KitchenCarcassMaterial))=FALSE,0.84*(VLOOKUP(LEFT(KitchenCarcassMaterial,FIND(""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600"",A135))=FALSE,IF(ISERROR(FIND(""veneer"",KitchenCarcassMaterial))=FALSE,1.44*(VLOOKUP(LEFT(KitchenCarcassMaterial,FIND(""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1200"",A135))=FALSE,IF(ISERROR(FIND(""veneer"",KitchenCarcassMaterial))=FALSE,2.7*(VLOOKUP(LEFT(KitchenCarcassMaterial,FIND(""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front"",A135))=FALSE,((B135/1000)*(C135/1000))*VLOOKUP(KitchenDoorMaterial,SheetsData,8,0),IF(AND(KitchenDrawerType=""Match carcass"",ISERROR(FIND(""drawer box"",A135))=FALSE),(((((B135/10"&amp;"00)*(C135/1000))+((B135/1000)*(D135/1000)))*2)*VLOOKUP(KitchenCarcassMaterial,SheetsData,8,0))+(((C135/1000)*(D135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box"",A135))=FALSE),(((((B135/1000)*(C135/1000))+((B135/1000)*(D135/1000)))*2)*(16/1000)*VLOOKUP(L"&amp;"EFT(KitchenCarcassMaterial,FIND("" "",KitchenCarcassMaterial))&amp;""(solid m3)"",SolidData,5,0))+(((C135/1000)*(D135/1000))*VLOOKUP(LEFT(KitchenCarcassMaterial,FIND(""("",KitchenCarcassMaterial)-1)&amp;IF(OR(ISERROR(FIND(""ply"",KitchenCarcassMaterial))=FALSE,IS"&amp;"ERROR(FIND(""H/F"",KitchenCarcassMaterial))=FALSE),""(9mm)"",""(10mm)""),SheetsData,8,0)),IF(ISERROR(FIND(""spacer"",A135))=FALSE,((D135/1000)*(C135/1000))*VLOOKUP(""Poplar ply (18mm)"",SheetsData,8,0),IF(ISERROR(FIND(""filler panel"",A135))=FALSE,((B135/"&amp;"1000)*(C135/1000))*VLOOKUP(KitchenDoorMaterial,SheetsData,8,0),IF(ISERROR(FIND(""shelf"",A135))=FALSE,((D135/1000)*(C135/1000))*VLOOKUP(KitchenCarcassMaterial,SheetsData,8,0),IF(ISERROR(FIND(""lost corner"",A135))=FALSE,VLOOKUP(LEFT(A135,FIND("" "",A135))"&amp;"&amp;""carcass ""&amp;VALUE(REGEXREPLACE(A135,""[^[:digit:]]"", """")),KitchensData,5,0)+((((B135/1000)*(C135/1000))+((B135/1000)*(60/1000)))*VLOOKUP(KitchenCarcassMaterial,SheetsData,8,0)),IF(ISERROR(FIND(""carcass"",A135))=FALSE,(((((B135/1000)*2)*(D135/1000))+"&amp;"(((C135/1000)*2)*(D135/1000)))*VLOOKUP(KitchenCarcassMaterial,SheetsData,8,0))+((B135/1000)*(C135/1000))*VLOOKUP(LEFT(KitchenCarcassMaterial,FIND(""("",KitchenCarcassMaterial)-1)&amp;IF(OR(ISERROR(FIND(""ply"",KitchenCarcassMaterial))=FALSE,ISERROR(FIND(""H/F"&amp;""",KitchenCarcassMaterial))=FALSE),""(9mm)"",""(10mm)""),SheetsData,8,0),IF(OR(ISERROR(FIND(""Plinth"",A135))=FALSE,ISERROR(FIND(""Cornice (flat)"",A135))=FALSE),((B135/1000)*(C135/1000))*VLOOKUP(""H/F (18mm)"",SheetsData,8,0),IF(ISERROR(FIND(""Cornice (s"&amp;"tacked)"",A135))=FALSE,((0.08*(C135/1000))*2)*VLOOKUP(""H/F (22mm)"",SheetsData,8,0),IF(ISERROR(FIND(""Base end panel"",A135))=FALSE,VLOOKUP(KitchenDoorMaterial,SheetsData,5,0)/3,IF(ISERROR(FIND(""Wall end panel"",A135))=FALSE,VLOOKUP(KitchenDoorMaterial,"&amp;"SheetsData,5,0)/9,IF(ISERROR(FIND(""Tower end panel"",A135))=FALSE,VLOOKUP(KitchenDoorMaterial,SheetsData,5,0),IF(ISERROR(FIND(""Fillers"",A135))=FALSE,(((0.06*(C135/1000))*2)*VLOOKUP(""H/F (18mm)"",SheetsData,8,0))+(((0.06*(C135/1000))*2)*VLOOKUP(""H/F ("&amp;"9mm)"",SheetsData,8,0)),IF(ISERROR(FIND(""corner post"",A135))=FALSE,(((B135/1000)*0.05)*2)*VLOOKUP(KitchenDoorMaterial,SheetsData,8,0),IF(ISERROR(FIND(""Pelmet"",A135))=FALSE,((((B135/1000)*(C135/1000))*2)*VLOOKUP(""H/F (18mm)"",SheetsData,8,0)),IF(ISERR"&amp;"OR(FIND(""door"",A135))=TRUE,""Check description"",IF(KitchenDoorStyle=""Flat"",((B135/1000)*(C135/1000))*VLOOKUP(KitchenDoorMaterial,SheetsData,8,0),IF(LEFT(KitchenDoorStyle,5)=""Panel"",(((((B135/1000)*2)*0.08)+((((C135/1000)-0.16)*2)*0.08))*VLOOKUP(""H"&amp;"/F (22mm)"",SheetsData,8,0))+(((B135/1000)-0.14)*((C135/1000)-0.14)*VLOOKUP(""H/F (9mm)"",SheetsData,8,0)),IF(KitchenDoorStyle=""In-frame flat"",((((((B135/1000)*0.019)*0.038)+((((C135-38)/1000)*0.038)*0.038))*2)*VLOOKUP(""Tulip (solid m3)"",SolidData,5,0"&amp;"))+(((B135-76)/1000)*((C135-38)/1000))*VLOOKUP(""H/F (22mm)"",SheetsData,8,0),IF(LEFT(KitchenDoorStyle,14)=""In-frame panel"",(((((((B135/1000)*0.019)*0.038)+((((C135-38)/1000)*0.038)*0.038))*2)*VLOOKUP(""Tulip (solid m3)"",SolidData,5,0))+(((((((B135-76)"&amp;"/1000)*2)*0.08)+(((((C135-198)/1000)*2)*0.08)))*VLOOKUP(""H/F (22mm)"",SheetsData,8,0))+(((B135-216)/1000)*((C135-178)/1000)*VLOOKUP(""H/F (9mm)"",SheetsData,8,0)))))))))))))))))))))))))))))))))"),"")</f>
        <v/>
      </c>
      <c r="F135" s="152" t="str">
        <f>IFERROR(__xludf.DUMMYFUNCTION("IF(OR(A135="""",AND(ISERROR(FIND(""drawer box"",A135))=FALSE,KitchenDrawerType=""Solid dovetail"")),"""",IF(ISERROR(FIND(""bins"",A135))=FALSE,VLOOKUP(""Base carcass 600"",KitchensData,6,0),IF(OR(ISERROR(FIND(""larder"",A135))=FALSE,ISERROR(FIND(""unit"","&amp;"A135))=FALSE),VLOOKUP(LEFT(A135,FIND("" "",A135))&amp;""carcass ""&amp;RIGHT(A135,LEN(A135)-len(regexextract(A135,"".* ""))),KitchensData,6,0),IF(ISERROR(FIND(""drawer front"",A135))=FALSE,IF(ISERROR(FIND(""veneer"",KitchenCarcassMaterial))=TRUE,0,(((B135+C135)/1"&amp;"000)*2)*VLOOKUP(""Edge banding (per M)"",SheetsData,5,0)),IF(ISERROR(FIND(""drawer box"",A135))=FALSE,IF(ISERROR(FIND(""veneer"",KitchenCarcassMaterial))=TRUE,0,(((C135+D135)/1000)*2)*VLOOKUP(""Edge banding (per M)"",SheetsData,5,0)),IF(ISERROR(FIND(""she"&amp;"lf"",A135))=FALSE,IF(ISERROR(FIND(""veneer"",KitchenCarcassMaterial))=TRUE,0,(C135/1000)*VLOOKUP(""Edge banding (per M)"",SheetsData,5,0)),IF(AND(ISERROR(FIND(""carcass"",A135))=FALSE,ISERROR(FIND(""shelf"",A135))=TRUE),IF(ISERROR(FIND(""veneer"",KitchenC"&amp;"arcassMaterial))=TRUE,0,((2*(B135+C135))/1000)*VLOOKUP(""Edge banding (per M)"",SheetsData,5,0)),IF(ISERROR(FIND(""door"",A135))=TRUE,"""",IF(ISERROR(FIND(""veneer"",KitchenDoorMaterial))=TRUE,"""",((2*(B135+C135))/1000)*VLOOKUP(""Edge banding (per M)"",S"&amp;"heetsData,5,0))))))))))"),"")</f>
        <v/>
      </c>
      <c r="G135" s="153" t="str">
        <f>IF(A135="","",IF(ISERROR(FIND("bins",A135))=FALSE,VLOOKUP("Base carcass 600",KitchensData,7,0),IF(OR(ISERROR(FIND("larder",A135))=FALSE,ISERROR(FIND("fridge/freezer",A135))=FALSE,ISERROR(FIND("double oven",A135))=FALSE,ISERROR(FIND("single oven",A135))=FALSE),VLOOKUP(LEFT(A135,FIND(" ",A135))&amp;"carcass "&amp;RIGHT(A135,LEN(A135)-(LEN(A135)-3)),KitchensData,7,0),IF(AND(ISERROR(FIND("carcass",A135))=FALSE,ISERROR(FIND("shelf",A135))=TRUE),IF(OR(ISERROR(FIND("Base",A135))=FALSE,ISERROR(FIND("Tower",A135))=FALSE),IF(OR(ISERROR(FIND("1200",A135))=FALSE, ISERROR(FIND("lost corner",A135))=FALSE),6*VLOOKUP("Plinth foot (2 Parts 80mm)",FurnitureData,5,0),4*VLOOKUP("Plinth foot (2 Parts 80mm)",FurnitureData,5,0)),""),""))))</f>
        <v/>
      </c>
      <c r="H135" s="115" t="str">
        <f>IF(OR(A135="",ISERROR(FIND("door",A135))=TRUE),"",IF(ISERROR(FIND("Wall",A135))=FALSE,VLOOKUP("Hinges &amp; plates (Hettich thick door)",FurnitureData,5,0)*2,IF(ISERROR(FIND("Base",A135))=FALSE,VLOOKUP("Hinges &amp; plates (Hettich thick door)",FurnitureData,5,0)*3,IF(ISERROR(FIND("Boiler",A135))=FALSE,VLOOKUP("Hinges &amp; plates (Hettich thick door)",FurnitureData,5,0)*4,IF(ISERROR(FIND("Tower",A135))=FALSE,VLOOKUP("Hinges &amp; plates (Hettich thick door)",FurnitureData,5,0)*5)))))</f>
        <v/>
      </c>
      <c r="I135" s="115" t="str">
        <f>IF(ISERROR(FIND("shelf",A135))=FALSE,(VLOOKUP("Shelf pegs",FurnitureData,5,0)/100)*4,"")</f>
        <v/>
      </c>
      <c r="J135" s="152" t="str">
        <f>IF(OR(ISERROR(FIND("fridge/freezer",A135))=FALSE,ISERROR(FIND("larder",A135))=FALSE,AND(ISERROR(FIND("Base",A135))=FALSE,ISERROR(FIND("bins",A135))=TRUE,ISERROR(FIND("no shelves",A135))=TRUE,OR(ISERROR(FIND("carcass",A135))=FALSE,ISERROR(FIND("unit",A135))=FALSE))),VLOOKUP("Deep shelf "&amp;C135,KitchensData,18,0),IF(AND(ISERROR(FIND("Wall",A135))=FALSE,ISERROR(FIND("carcass",A135))=FALSE),2*VLOOKUP("Shallow shelf "&amp;C135,KitchensData,18,0),IF(AND(ISERROR(FIND("Tower",A135))=FALSE,ISERROR(FIND("oven",A135))=FALSE),4*VLOOKUP("Deep shelf "&amp;C135,KitchensData,18,0),IF(AND(ISERROR(FIND("Tower",A135))=FALSE,ISERROR(FIND("carcass",A135))=FALSE),5*VLOOKUP("Deep shelf "&amp;C135,KitchensData,18,0),""))))</f>
        <v/>
      </c>
      <c r="K135" s="152" t="str">
        <f>IF(ISERROR(FIND("sink",A135))=FALSE,VLOOKUP("Sink liner - Aluminium "&amp;RIGHT(A135,LEN(A135)-22)&amp;"mm",ExceptionalData,5,0),IF(ISERROR(FIND("bins",A135))=FALSE,VLOOKUP("Drawer runners and clip set for bin unit (500) Dynapro",FurnitureData,5,0)+(2*VLOOKUP("Bin (42L Anthracite)",FurnitureData,5,0)),IF(ISERROR(FIND("larder",A135))=FALSE,VLOOKUP("Pull out larder unit 600mm",FurnitureData,5,0),IF(AND(ISERROR(FIND("drawer box",A135))=FALSE,ISERROR(FIND("internal",A135))=TRUE),VLOOKUP("Drawer runners and clip set (550) Dynapro",FurnitureData,5,0),IF(ISERROR(FIND("internal drawer box",A135))=FALSE,VLOOKUP("Drawer runners and clip set (450) Dynapro",FurnitureData,5,0),"")))))</f>
        <v/>
      </c>
      <c r="L135" s="152" t="str">
        <f t="shared" si="3"/>
        <v/>
      </c>
      <c r="M135" s="154" t="str">
        <f>IFERROR(__xludf.DUMMYFUNCTION("IF(A135="""","""",IF(OR(ISERROR(FIND(""larder"",A135))=FALSE,ISERROR(FIND(""unit"",A135))=FALSE),VLOOKUP(LEFT(A135,FIND("" "",A135))&amp;""carcass ""&amp;RIGHT(A135,LEN(A135)-len(regexextract(A135,"".* ""))),KitchensData,13,0),IF(ISERROR(FIND(""bins"",A135))=FALS"&amp;"E,0.95,IF(ISERROR(FIND(""Cutlery insert 600"",A135))=FALSE,1.3,IF(ISERROR(FIND(""Cutlery insert 1200"",A135))=FALSE,2,IF(ISERROR(FIND(""Pan/tray rack 600"",A135))=FALSE,3.25,IF(ISERROR(FIND(""Pan/tray rack 1200"",A135))=FALSE,5.9,IF(ISERROR(FIND(""split"""&amp;",A135))=FALSE,(((C135/1000)*0.022)*2)+VLOOKUP(SUBSTITUTE(A135,"" split"",""""),KitchensData,13,0),IF(AND(ISERROR(FIND(""drawer front"",A135))=FALSE,KitchenDoorStyle=""Flat""),(((B135/1000)*(C135/1000))*2)+((((B135+C135)/1000)*2)*0.022),IF(AND(ISERROR(FIND"&amp;"(""drawer front"",A135))=FALSE,LEFT(KitchenDoorStyle,5)=""Panel""),(((B135/1000)*(C135/1000))*2)+((((B135+C135)/1000)*2)*0.022)+((((C135/1000)-0.16)*0.013)*2)+((((D135/1000)-0.16)*0.013)*2),IF(AND(ISERROR(FIND(""drawer front"",A135))=FALSE,KitchenDoorStyl"&amp;"e=""In-frame flat""),((((B135-76)/1000)*((C135-38)/1000))*2)+(MID(KitchenDoorMaterial,FIND(""("",KitchenDoorMaterial)+1,2)/1000)*((((B135-76)+(C135-38))/1000)*2)+(((B135/1000)*0.032)*2)+((((B135-76)/1000)*0.032)*2)+(((B135/1000)*0.019)*4)+(((C135/1000)*0."&amp;"032)*2)+((((C135-38)/1000)*0.032)*2)+(((C135/1000)*0.038)*4),IF(AND(ISERROR(FIND(""drawer front"",A135))=FALSE,LEFT(KitchenDoorStyle,14)=""In-frame panel""),((((B135-76)/1000)*((C135-38)/1000))*2)+((MID(KitchenDoorMaterial,FIND(""("",KitchenDoorMaterial)+"&amp;"1,2)/1000)*((((B135-76)+(C135-38))/1000)*2))+((((B135-236)/1000)+((C135-198)/1000)*2)*0.013)+(((B135/1000)*0.032)*2)+((((B135-76)/1000)*0.032)*2)+(((B135/1000)*0.019)*4)+(((C135/1000)*0.032)*2)+((((C135-38)/1000)*0.032)*2)+(((C135/1000)*0.038)*4),IF(ISERR"&amp;"OR(FIND(""drawer box"",A135))=FALSE,((((B135/1000)*(D135/1000))+((B135/1000)*(C135/1000)))*4)+((((D135/1000)+(C135/1000))*0.016)*4)+(((C135/1000)*(D135/1000))*2),IF(OR(ISERROR(FIND(""shelf"",A135))=FALSE,ISERROR(FIND(""spacer"",A135))=FALSE,,ISERROR(FIND("&amp;"""filler panel"",A135))=FALSE),(((C135/1000)*(D135/1000))*2)+((((C135+D135)*2)/1000)*0.022),IF(ISERROR(FIND(""lost corner"",A135))=FALSE,(((B135/1000)*(C135/1000))*2)+((B135/1000)*(C135/1000))+((B135/1000)*((C135/2)/1000))+((((B135/1000)*0.025)+((C135/100"&amp;"0)*0.025))*2),IF(ISERROR(FIND(""carcass"",A135))=FALSE,(((C135/1000)*(D135/1000))*2)+(((B135/1000)*(D135/1000))*2)+((B135/1000)*(C135/1000))+((((B135/1000)*0.025)+((C135/1000)*0.025))*2),IF(AND(ISERROR(FIND(""door"",A135))=FALSE,KitchenDoorStyle=""Flat"")"&amp;",(((B135/1000)*(C135/1000))*2)+(MID(KitchenDoorMaterial,FIND(""("",KitchenDoorMaterial)+1,2)/1000)*(((B135+C135)/1000)*2),IF(AND(ISERROR(FIND(""door"",A135))=FALSE,LEFT(KitchenDoorStyle,5)=""Panel""),(((B135/1000)*(C135/1000))*2)+((MID(KitchenDoorMaterial"&amp;",FIND(""("",KitchenDoorMaterial)+1,2)/1000)*(((B135+C135)/1000)*2))+(((((B135-160)+(C135-160))*2)/1000)*(0.013)),IF(AND(ISERROR(FIND(""door"",A135))=FALSE,KitchenDoorStyle=""In-frame flat""),((((B135-76)/1000)*((C135-38)/1000))*2)+(MID(KitchenDoorMaterial"&amp;",FIND(""("",KitchenDoorMaterial)+1,2)/1000)*((((B135-76)+(C135-38))/1000)*2)+(((B135/1000)*0.032)*2)+((((B135-76)/1000)*0.032)*2)+(((B135/1000)*0.019)*4)+(((C135/1000)*0.032)*2)+((((C135-38)/1000)*0.032)*2)+(((C135/1000)*0.038)*4),IF(AND(ISERROR(FIND(""do"&amp;"or"",A135))=FALSE,LEFT(KitchenDoorStyle,14)=""In-frame panel""),((((B135-76)/1000)*((C135-38)/1000))*2)+((MID(KitchenDoorMaterial,FIND(""("",KitchenDoorMaterial)+1,2)/1000)*((((B135-76)+(C135-38))/1000)*2))+((((B135-236)/1000)+((C135-198)/1000)*2)*0.013)+"&amp;"(((B135/1000)*0.032)*2)+((((B135-76)/1000)*0.032)*2)+(((B135/1000)*0.019)*4)+(((C135/1000)*0.032)*2)+((((C135-38)/1000)*0.032)*2)+(((C135/1000)*0.038)*4),IF(ISERROR(FIND(""Plinth"",A135))=FALSE,((B135/1000)*(C135/1000))+(((C135/1000)*0.018)*2)+(((B135/100"&amp;"0)*0.018)*2),IF(ISERROR(FIND(""Cornice"",A135))=FALSE,(((C135/1000)*0.1)*2)+(((C135/1000)*0.044)*2)+(((B135/1000)*0.08)*2),IF(ISERROR(FIND(""Base end panel"",A135))=FALSE,((B135/1000)*(C135/1000))+(0.022*((B135/1000)+((C135/1000)*2)))+((B135/1000)*0.05),I"&amp;"F(ISERROR(FIND(""Wall end panel"",A135))=FALSE,((B135/1000)*(C135/1000))+(0.022*((B135/1000)+((C135/1000)*2)))+((B135/1000)*0.05),IF(ISERROR(FIND(""Tower end panel"",A135))=FALSE,((B135/1000)*(C135/1000))+(0.022*((B135/1000)+((C135/1000)*2)))+((B135/1000)"&amp;"*0.05),IF(ISERROR(FIND(""Fillers"",A135))=FALSE,((C135/1000)*0.06)+((C135/1000)*0.069)+((0.06*0.018)*2)+((0.06*0.009)*2)+((C135/1000)*0.009)+((C135/1000)*0.018),IF(ISERROR(FIND(""corner post"",A135))=FALSE,(((B135/1000*0.05)*2)+((B135/1000)*0.022)*2)+((B1"&amp;"35/1000)*0.072)+((B135/1000)*0.05)+((0.072*0.022)*2)+((0.05*0.022)*2),IF(ISERROR(FIND(""Pelmet"",A135))=FALSE,((C135/1000)*0.05)+((C135/1000)*0.068)+((0.05*0.018)*4)+(((C135/1000)*0.018))*2))))))))))))))))))))))))))))"),"")</f>
        <v/>
      </c>
      <c r="N135" s="152" t="str">
        <f>IF(M135="","",IF(AND(ISERROR(FIND("carcass",A135))=TRUE,ISERROR(FIND("unit",A135))=TRUE,ISERROR(FIND("insert",A135))=TRUE,ISERROR(FIND("rack",A135))=TRUE,ISERROR(FIND("box",A135))=TRUE,ISERROR(FIND("shelf",#REF!))=TRUE),VLOOKUP(KitchenDoorFinish,Finishing!$A$2:$K$10,9,0)*M135,VLOOKUP(KitchenCarcassFinish,Finishing!$A$2:$K$40,9,0)*M135))</f>
        <v/>
      </c>
      <c r="O135" s="155"/>
      <c r="P135" s="155"/>
      <c r="Q135" s="152" t="str">
        <f>IF(OR(O135="",P135=""),"",((O135*X135)*(VLOOKUP("Workshop",Labour!$A$3:$E$20,4,0)/8))+((P135*AE135)*(VLOOKUP("Finishing",Labour!$A$3:$E$20,4,0)/8)))</f>
        <v/>
      </c>
      <c r="R135" s="152" t="str">
        <f t="shared" si="4"/>
        <v/>
      </c>
      <c r="S135" s="156" t="str">
        <f>IF(OR(O135="",P135=""),"",IF(OR(ISERROR(FIND("carcass",$A135))=FALSE,ISERROR(FIND("unit",$A135))=FALSE),VLOOKUP(KitchenCarcassMaterial,FixedListsCarcassMaterial,2,0),0))</f>
        <v/>
      </c>
      <c r="T135" s="156" t="str">
        <f>IF(OR(O135="",P135=""),"",IF(ISERROR(FIND("door",$A135))=FALSE,VLOOKUP(KitchenDoorStyle,FixedListsDoorStyle,2,0),0))</f>
        <v/>
      </c>
      <c r="U135" s="156" t="str">
        <f>IF(OR(O135="",P135=""),"",IF(ISERROR(FIND("door",$A135))=FALSE,VLOOKUP(KitchenDoorMaterial,FixedListsDoorMaterial,2,0),0))</f>
        <v/>
      </c>
      <c r="V135" s="156" t="str">
        <f>IF(OR(O135="",P135=""),"",IF(ISERROR(FIND("drawer",$A135))=FALSE,VLOOKUP(KitchenDrawerType,FixedListsDrawerType,2,0),0))</f>
        <v/>
      </c>
      <c r="W135" s="156" t="str">
        <f>IF(OR(O135="",P135=""),"",IF(OR(S135&gt;0, T135&gt;0,V135&gt;0),VLOOKUP(KitchenHandleType,FixedListsHandleType,2,FALSE)*IF(KitchenHandleType="Simple",0,IF(S135&gt;0,VLOOKUP(KitchenHandleType,FixedListsHandleType,4,FALSE),IF(OR(T135&gt;0,V135&gt;0),1-VLOOKUP(KitchenHandleType,FixedListsHandleType,4,FALSE),"Error"))),0))</f>
        <v/>
      </c>
      <c r="X135" s="156" t="str">
        <f t="shared" si="5"/>
        <v/>
      </c>
      <c r="Y135" s="156" t="str">
        <f>IF(OR(O135="",P135=""),"",IF(OR(ISERROR(FIND("carcass",$A135))=FALSE,ISERROR(FIND("unit",$A135))=FALSE),VLOOKUP(KitchenCarcassMaterial,FixedListsCarcassMaterial,3,0),0))</f>
        <v/>
      </c>
      <c r="Z135" s="156" t="str">
        <f>IF(OR(O135="",P135=""),"",IF(ISERROR(FIND("door",$A135))=FALSE,VLOOKUP(KitchenDoorStyle,FixedListsDoorStyle,3,0),0))</f>
        <v/>
      </c>
      <c r="AA135" s="156" t="str">
        <f>IF(OR(O135="",P135=""),"",IF(ISERROR(FIND("door",$A135))=FALSE,VLOOKUP(KitchenDoorMaterial,FixedListsDoorMaterial,3,0),0))</f>
        <v/>
      </c>
      <c r="AB135" s="156" t="str">
        <f>IF(OR(O135="",P135=""),"",IF(ISERROR(FIND("drawer",$A135))=FALSE,VLOOKUP(KitchenDrawerType,FixedListsDrawerType,3,0),0))</f>
        <v/>
      </c>
      <c r="AC135" s="156" t="str">
        <f>IF(OR(O135="",P135=""),"",IF(OR(Y135&gt;0,Z135&gt;0,AB135&gt;0),VLOOKUP(KitchenHandleType,FixedListsHandleType,3,FALSE),0))</f>
        <v/>
      </c>
      <c r="AD135" s="156" t="str">
        <f>IF(OR(O135="",P135=""),"",IF(OR(ISERROR(FIND("carcass",$A135))=FALSE,ISERROR(FIND("unit",$A135))=FALSE),VLOOKUP(KitchenCarcassFinish,FixedListsFinishes,3,0),IF(OR(ISERROR(FIND("door",$A135))=FALSE,ISERROR(FIND("Plinth",$A135))=FALSE,ISERROR(FIND("Cornice",$A135))=FALSE,ISERROR(FIND("Fillers",$A135))=FALSE,ISERROR(FIND("Pelmet",$A135))=FALSE,ISERROR(FIND("panel",$A135))=FALSE,ISERROR(FIND("post",$A135))=FALSE),VLOOKUP(KitchenDoorFinish,FixedListsFinishes,3,0),IF(OR(ISERROR(FIND("drawer",$A135))=FALSE,ISERROR(FIND("insert",$A135))=FALSE,ISERROR(FIND("rck",$A135))=FALSE),VLOOKUP(KitchenCarcassFinish,FixedListsFinishes,3,0),0))))</f>
        <v/>
      </c>
      <c r="AE135" s="156" t="str">
        <f t="shared" si="6"/>
        <v/>
      </c>
      <c r="AF135" s="157" t="str">
        <f>IF(AND(KitchenHandleType="Channel",OR(ISERROR(FIND("arcass",$A135))=FALSE,ISERROR(FIND("unit",$A135))=FALSE)),IF(ISERROR(FIND("Tower",$A135))=TRUE,IF(KitchenHandleFinish="Match carcass",IF(ISERROR(FIND("Walnut",KitchenCarcassMaterial))=FALSE,(0.035*0.075*($C135/1000))*VLOOKUP("Walnut (solid m3)",SolidData,4,FALSE),IF(ISERROR(FIND("Oak",KitchenCarcassMaterial))=FALSE,(0.035*0.075*($C135/1000))*VLOOKUP("Oak (solid m3)",SolidData,4,FALSE),IF(ISERROR(FIND("ply",KitchenCarcassMaterial))=FALSE,(0.1*($C135/1000))*VLOOKUP("Birch ply (24mm)",SheetsData,7,FALSE),IF(ISERROR(FIND("H/F",KitchenCarcassMaterial))=FALSE,(0.1*($C135/1000))*VLOOKUP("H/F (22mm)",SheetsData,7,FALSE),"Carcass - not tower - new material")))),IF(KitchenHandleFinish="Match door",IF(ISERROR(FIND("Walnut",KitchenDoorMaterial))=FALSE,(0.035*0.075*($C135/1000))*VLOOKUP("Walnut (solid m3)",SolidData,4,FALSE),IF(ISERROR(FIND("Oak",KitchenDoorMaterial))=FALSE,(0.035*0.075*($C135/1000))*VLOOKUP("Oak (solid m3)",SolidData,4,FALSE),IF(ISERROR(FIND("ply",KitchenDoorMaterial))=FALSE,(0.1*($C135/1000))*VLOOKUP("Birch ply (24mm)",SheetsData,7,FALSE),IF(ISERROR(FIND("H/F",KitchenCarcassMaterial))=FALSE,(0.1*($C135/1000))*VLOOKUP("H/F (22mm)",SheetsData,7,FALSE),"Door - not tower - new material")))),"Channel - not tower - handle set to other")),IF(ISERROR(FIND("Tower",$A135))=FALSE,IF(KitchenHandleFinish="Match carcass",IF(ISERROR(FIND("Walnut",KitchenCarcassMaterial))=FALSE,(0.035*0.075*($B135/1000))*VLOOKUP("Walnut (solid m3)",SolidData,4,FALSE),IF(ISERROR(FIND("Oak",KitchenCarcassMaterial))=FALSE,(0.035*0.075*($B135/1000))*VLOOKUP("Oak (solid m3)",SolidData,4,FALSE),IF(ISERROR(FIND("ply",KitchenCarcassMaterial))=FALSE,(0.1*($B135/1000))*VLOOKUP("Birch ply (24mm)",SheetsData,7,FALSE),IF(ISERROR(FIND("H/F",KitchenCarcassMaterial))=FALSE,(0.1*($C135/1000))*VLOOKUP("H/F (22mm)",SheetsData,7,FALSE),"Carcass - tower - new material")))),IF(KitchenHandleFinish="Match door",IF(ISERROR(FIND("Walnut",KitchenDoorMaterial))=FALSE,(0.035*0.075*($B135/1000))*VLOOKUP("Walnut (solid m3)",SolidData,4,FALSE),IF(ISERROR(FIND("Oak",KitchenDoorMaterial))=FALSE,(0.035*0.075*($B135/1000))*VLOOKUP("Oak (solid m3)",SolidData,4,FALSE),IF(ISERROR(FIND("ply",KitchenDoorMaterial))=FALSE,(0.1*($B135/1000))*VLOOKUP("Birch ply (24mm)",SheetData,7,FALSE),IF(ISERROR(FIND("H/F",KitchenCarcassMaterial))=FALSE,(0.1*($C135/1000))*VLOOKUP("H/F (22mm)",SheetsData,7,FALSE),"Door - tower - new material")))),"Channel - tower - handle set to other")))),"")</f>
        <v/>
      </c>
    </row>
    <row r="136">
      <c r="A136" s="150"/>
      <c r="B136" s="115" t="str">
        <f t="shared" si="1"/>
        <v/>
      </c>
      <c r="C136" s="115" t="str">
        <f>IFERROR(__xludf.DUMMYFUNCTION("IF(A136="""","""",IF(OR(RIGHT(A136,LEN(A136)-len(regexextract(A136,"".* "")))=""1200"",RIGHT(A136,LEN(A136)-len(regexextract(A136,"".* "")))=""600"",RIGHT(A136,LEN(A136)-len(regexextract(A136,"".* "")))=""400"",RIGHT(A136,LEN(A136)-len(regexextract(A136,"&amp;""".* "")))=""300"",RIGHT(A136,LEN(A136)-len(regexextract(A136,"".* "")))=""700"",RIGHT(A136,LEN(A136)-len(regexextract(A136,"".* "")))=""2400"",RIGHT(A136,LEN(A136)-len(regexextract(A136,"".* "")))=""650"",RIGHT(A136,LEN(A136)-len(regexextract(A136,"".* "&amp;""")))=""350"",RIGHT(A136,LEN(A136)-len(regexextract(A136,"".* "")))=""50""),RIGHT(A136,LEN(A136)-len(regexextract(A136,"".* ""))),IF(OR(ISERROR(FIND(""spacer"",A136))=FALSE,ISERROR(FIND(""filler panel"",A136))=FALSE),""1000"",""Unexpected size in descript"&amp;"ion"")))"),"")</f>
        <v/>
      </c>
      <c r="D136" s="151" t="str">
        <f t="shared" si="2"/>
        <v/>
      </c>
      <c r="E136" s="152" t="str">
        <f>IFERROR(__xludf.DUMMYFUNCTION("IF(OR(A136="""",AND(ISERROR(FIND(""drawer box"",A136))=FALSE,KitchenDrawerType="""")),"""",IF(OR(ISERROR(FIND(""larder"",A136))=FALSE,ISERROR(FIND(""fridge/freezer"",A136))=FALSE,ISERROR(FIND(""double oven"",A136))=FALSE,ISERROR(FIND(""single oven"",A136)"&amp;")=FALSE),VLOOKUP(LEFT(A136,FIND("" "",A136))&amp;""carcass ""&amp;RIGHT(A136,LEN(A136)-(LEN(A136)-3)),KitchensData,5,0),IF(ISERROR(FIND(""sink"",A136))=FALSE,VLOOKUP(LEFT(A136,FIND("" "",A136))&amp;""carcass ""&amp;VALUE(REGEXREPLACE(A136,""[^[:digit:]]"", """")),Kitchen"&amp;"sData,5,0)+(((C136/1000)*(300/1000))*VLOOKUP(KitchenCarcassMaterial,SheetsData,8,0)),IF(ISERROR(FIND(""bins"",A136))=FALSE,IF(ISERROR(FIND(""veneer"",KitchenCarcassMaterial))=FALSE,VLOOKUP(""Base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600"",A136))=FALSE,IF(ISERR"&amp;"OR(FIND(""veneer"",KitchenCarcassMaterial))=FALSE,0.54*(VLOOKUP(LEFT(KitchenCarcassMaterial,FIND(""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1"&amp;"200"",A136))=FALSE,IF(ISERROR(FIND(""veneer"",KitchenCarcassMaterial))=FALSE,0.84*(VLOOKUP(LEFT(KitchenCarcassMaterial,FIND(""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600"",A136))=FALSE,IF(ISERROR(FIND(""veneer"",KitchenCarcassMaterial))=FALSE,1.44*(VLOOKUP(LEFT(KitchenCarcassMaterial,FIND(""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1200"",A136))=FALSE,IF(ISERROR(FIND(""veneer"",KitchenCarcassMaterial))=FALSE,2.7*(VLOOKUP(LEFT(KitchenCarcassMaterial,FIND(""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front"",A136))=FALSE,((B136/1000)*(C136/1000))*VLOOKUP(KitchenDoorMaterial,SheetsData,8,0),IF(AND(KitchenDrawerType=""Match carcass"",ISERROR(FIND(""drawer box"",A136))=FALSE),(((((B136/10"&amp;"00)*(C136/1000))+((B136/1000)*(D136/1000)))*2)*VLOOKUP(KitchenCarcassMaterial,SheetsData,8,0))+(((C136/1000)*(D136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box"",A136))=FALSE),(((((B136/1000)*(C136/1000))+((B136/1000)*(D136/1000)))*2)*(16/1000)*VLOOKUP(L"&amp;"EFT(KitchenCarcassMaterial,FIND("" "",KitchenCarcassMaterial))&amp;""(solid m3)"",SolidData,5,0))+(((C136/1000)*(D136/1000))*VLOOKUP(LEFT(KitchenCarcassMaterial,FIND(""("",KitchenCarcassMaterial)-1)&amp;IF(OR(ISERROR(FIND(""ply"",KitchenCarcassMaterial))=FALSE,IS"&amp;"ERROR(FIND(""H/F"",KitchenCarcassMaterial))=FALSE),""(9mm)"",""(10mm)""),SheetsData,8,0)),IF(ISERROR(FIND(""spacer"",A136))=FALSE,((D136/1000)*(C136/1000))*VLOOKUP(""Poplar ply (18mm)"",SheetsData,8,0),IF(ISERROR(FIND(""filler panel"",A136))=FALSE,((B136/"&amp;"1000)*(C136/1000))*VLOOKUP(KitchenDoorMaterial,SheetsData,8,0),IF(ISERROR(FIND(""shelf"",A136))=FALSE,((D136/1000)*(C136/1000))*VLOOKUP(KitchenCarcassMaterial,SheetsData,8,0),IF(ISERROR(FIND(""lost corner"",A136))=FALSE,VLOOKUP(LEFT(A136,FIND("" "",A136))"&amp;"&amp;""carcass ""&amp;VALUE(REGEXREPLACE(A136,""[^[:digit:]]"", """")),KitchensData,5,0)+((((B136/1000)*(C136/1000))+((B136/1000)*(60/1000)))*VLOOKUP(KitchenCarcassMaterial,SheetsData,8,0)),IF(ISERROR(FIND(""carcass"",A136))=FALSE,(((((B136/1000)*2)*(D136/1000))+"&amp;"(((C136/1000)*2)*(D136/1000)))*VLOOKUP(KitchenCarcassMaterial,SheetsData,8,0))+((B136/1000)*(C136/1000))*VLOOKUP(LEFT(KitchenCarcassMaterial,FIND(""("",KitchenCarcassMaterial)-1)&amp;IF(OR(ISERROR(FIND(""ply"",KitchenCarcassMaterial))=FALSE,ISERROR(FIND(""H/F"&amp;""",KitchenCarcassMaterial))=FALSE),""(9mm)"",""(10mm)""),SheetsData,8,0),IF(OR(ISERROR(FIND(""Plinth"",A136))=FALSE,ISERROR(FIND(""Cornice (flat)"",A136))=FALSE),((B136/1000)*(C136/1000))*VLOOKUP(""H/F (18mm)"",SheetsData,8,0),IF(ISERROR(FIND(""Cornice (s"&amp;"tacked)"",A136))=FALSE,((0.08*(C136/1000))*2)*VLOOKUP(""H/F (22mm)"",SheetsData,8,0),IF(ISERROR(FIND(""Base end panel"",A136))=FALSE,VLOOKUP(KitchenDoorMaterial,SheetsData,5,0)/3,IF(ISERROR(FIND(""Wall end panel"",A136))=FALSE,VLOOKUP(KitchenDoorMaterial,"&amp;"SheetsData,5,0)/9,IF(ISERROR(FIND(""Tower end panel"",A136))=FALSE,VLOOKUP(KitchenDoorMaterial,SheetsData,5,0),IF(ISERROR(FIND(""Fillers"",A136))=FALSE,(((0.06*(C136/1000))*2)*VLOOKUP(""H/F (18mm)"",SheetsData,8,0))+(((0.06*(C136/1000))*2)*VLOOKUP(""H/F ("&amp;"9mm)"",SheetsData,8,0)),IF(ISERROR(FIND(""corner post"",A136))=FALSE,(((B136/1000)*0.05)*2)*VLOOKUP(KitchenDoorMaterial,SheetsData,8,0),IF(ISERROR(FIND(""Pelmet"",A136))=FALSE,((((B136/1000)*(C136/1000))*2)*VLOOKUP(""H/F (18mm)"",SheetsData,8,0)),IF(ISERR"&amp;"OR(FIND(""door"",A136))=TRUE,""Check description"",IF(KitchenDoorStyle=""Flat"",((B136/1000)*(C136/1000))*VLOOKUP(KitchenDoorMaterial,SheetsData,8,0),IF(LEFT(KitchenDoorStyle,5)=""Panel"",(((((B136/1000)*2)*0.08)+((((C136/1000)-0.16)*2)*0.08))*VLOOKUP(""H"&amp;"/F (22mm)"",SheetsData,8,0))+(((B136/1000)-0.14)*((C136/1000)-0.14)*VLOOKUP(""H/F (9mm)"",SheetsData,8,0)),IF(KitchenDoorStyle=""In-frame flat"",((((((B136/1000)*0.019)*0.038)+((((C136-38)/1000)*0.038)*0.038))*2)*VLOOKUP(""Tulip (solid m3)"",SolidData,5,0"&amp;"))+(((B136-76)/1000)*((C136-38)/1000))*VLOOKUP(""H/F (22mm)"",SheetsData,8,0),IF(LEFT(KitchenDoorStyle,14)=""In-frame panel"",(((((((B136/1000)*0.019)*0.038)+((((C136-38)/1000)*0.038)*0.038))*2)*VLOOKUP(""Tulip (solid m3)"",SolidData,5,0))+(((((((B136-76)"&amp;"/1000)*2)*0.08)+(((((C136-198)/1000)*2)*0.08)))*VLOOKUP(""H/F (22mm)"",SheetsData,8,0))+(((B136-216)/1000)*((C136-178)/1000)*VLOOKUP(""H/F (9mm)"",SheetsData,8,0)))))))))))))))))))))))))))))))))"),"")</f>
        <v/>
      </c>
      <c r="F136" s="152" t="str">
        <f>IFERROR(__xludf.DUMMYFUNCTION("IF(OR(A136="""",AND(ISERROR(FIND(""drawer box"",A136))=FALSE,KitchenDrawerType=""Solid dovetail"")),"""",IF(ISERROR(FIND(""bins"",A136))=FALSE,VLOOKUP(""Base carcass 600"",KitchensData,6,0),IF(OR(ISERROR(FIND(""larder"",A136))=FALSE,ISERROR(FIND(""unit"","&amp;"A136))=FALSE),VLOOKUP(LEFT(A136,FIND("" "",A136))&amp;""carcass ""&amp;RIGHT(A136,LEN(A136)-len(regexextract(A136,"".* ""))),KitchensData,6,0),IF(ISERROR(FIND(""drawer front"",A136))=FALSE,IF(ISERROR(FIND(""veneer"",KitchenCarcassMaterial))=TRUE,0,(((B136+C136)/1"&amp;"000)*2)*VLOOKUP(""Edge banding (per M)"",SheetsData,5,0)),IF(ISERROR(FIND(""drawer box"",A136))=FALSE,IF(ISERROR(FIND(""veneer"",KitchenCarcassMaterial))=TRUE,0,(((C136+D136)/1000)*2)*VLOOKUP(""Edge banding (per M)"",SheetsData,5,0)),IF(ISERROR(FIND(""she"&amp;"lf"",A136))=FALSE,IF(ISERROR(FIND(""veneer"",KitchenCarcassMaterial))=TRUE,0,(C136/1000)*VLOOKUP(""Edge banding (per M)"",SheetsData,5,0)),IF(AND(ISERROR(FIND(""carcass"",A136))=FALSE,ISERROR(FIND(""shelf"",A136))=TRUE),IF(ISERROR(FIND(""veneer"",KitchenC"&amp;"arcassMaterial))=TRUE,0,((2*(B136+C136))/1000)*VLOOKUP(""Edge banding (per M)"",SheetsData,5,0)),IF(ISERROR(FIND(""door"",A136))=TRUE,"""",IF(ISERROR(FIND(""veneer"",KitchenDoorMaterial))=TRUE,"""",((2*(B136+C136))/1000)*VLOOKUP(""Edge banding (per M)"",S"&amp;"heetsData,5,0))))))))))"),"")</f>
        <v/>
      </c>
      <c r="G136" s="153" t="str">
        <f>IF(A136="","",IF(ISERROR(FIND("bins",A136))=FALSE,VLOOKUP("Base carcass 600",KitchensData,7,0),IF(OR(ISERROR(FIND("larder",A136))=FALSE,ISERROR(FIND("fridge/freezer",A136))=FALSE,ISERROR(FIND("double oven",A136))=FALSE,ISERROR(FIND("single oven",A136))=FALSE),VLOOKUP(LEFT(A136,FIND(" ",A136))&amp;"carcass "&amp;RIGHT(A136,LEN(A136)-(LEN(A136)-3)),KitchensData,7,0),IF(AND(ISERROR(FIND("carcass",A136))=FALSE,ISERROR(FIND("shelf",A136))=TRUE),IF(OR(ISERROR(FIND("Base",A136))=FALSE,ISERROR(FIND("Tower",A136))=FALSE),IF(OR(ISERROR(FIND("1200",A136))=FALSE, ISERROR(FIND("lost corner",A136))=FALSE),6*VLOOKUP("Plinth foot (2 Parts 80mm)",FurnitureData,5,0),4*VLOOKUP("Plinth foot (2 Parts 80mm)",FurnitureData,5,0)),""),""))))</f>
        <v/>
      </c>
      <c r="H136" s="115" t="str">
        <f>IF(OR(A136="",ISERROR(FIND("door",A136))=TRUE),"",IF(ISERROR(FIND("Wall",A136))=FALSE,VLOOKUP("Hinges &amp; plates (Hettich thick door)",FurnitureData,5,0)*2,IF(ISERROR(FIND("Base",A136))=FALSE,VLOOKUP("Hinges &amp; plates (Hettich thick door)",FurnitureData,5,0)*3,IF(ISERROR(FIND("Boiler",A136))=FALSE,VLOOKUP("Hinges &amp; plates (Hettich thick door)",FurnitureData,5,0)*4,IF(ISERROR(FIND("Tower",A136))=FALSE,VLOOKUP("Hinges &amp; plates (Hettich thick door)",FurnitureData,5,0)*5)))))</f>
        <v/>
      </c>
      <c r="I136" s="115" t="str">
        <f>IF(ISERROR(FIND("shelf",A136))=FALSE,(VLOOKUP("Shelf pegs",FurnitureData,5,0)/100)*4,"")</f>
        <v/>
      </c>
      <c r="J136" s="152" t="str">
        <f>IF(OR(ISERROR(FIND("fridge/freezer",A136))=FALSE,ISERROR(FIND("larder",A136))=FALSE,AND(ISERROR(FIND("Base",A136))=FALSE,ISERROR(FIND("bins",A136))=TRUE,ISERROR(FIND("no shelves",A136))=TRUE,OR(ISERROR(FIND("carcass",A136))=FALSE,ISERROR(FIND("unit",A136))=FALSE))),VLOOKUP("Deep shelf "&amp;C136,KitchensData,18,0),IF(AND(ISERROR(FIND("Wall",A136))=FALSE,ISERROR(FIND("carcass",A136))=FALSE),2*VLOOKUP("Shallow shelf "&amp;C136,KitchensData,18,0),IF(AND(ISERROR(FIND("Tower",A136))=FALSE,ISERROR(FIND("oven",A136))=FALSE),4*VLOOKUP("Deep shelf "&amp;C136,KitchensData,18,0),IF(AND(ISERROR(FIND("Tower",A136))=FALSE,ISERROR(FIND("carcass",A136))=FALSE),5*VLOOKUP("Deep shelf "&amp;C136,KitchensData,18,0),""))))</f>
        <v/>
      </c>
      <c r="K136" s="152" t="str">
        <f>IF(ISERROR(FIND("sink",A136))=FALSE,VLOOKUP("Sink liner - Aluminium "&amp;RIGHT(A136,LEN(A136)-22)&amp;"mm",ExceptionalData,5,0),IF(ISERROR(FIND("bins",A136))=FALSE,VLOOKUP("Drawer runners and clip set for bin unit (500) Dynapro",FurnitureData,5,0)+(2*VLOOKUP("Bin (42L Anthracite)",FurnitureData,5,0)),IF(ISERROR(FIND("larder",A136))=FALSE,VLOOKUP("Pull out larder unit 600mm",FurnitureData,5,0),IF(AND(ISERROR(FIND("drawer box",A136))=FALSE,ISERROR(FIND("internal",A136))=TRUE),VLOOKUP("Drawer runners and clip set (550) Dynapro",FurnitureData,5,0),IF(ISERROR(FIND("internal drawer box",A136))=FALSE,VLOOKUP("Drawer runners and clip set (450) Dynapro",FurnitureData,5,0),"")))))</f>
        <v/>
      </c>
      <c r="L136" s="152" t="str">
        <f t="shared" si="3"/>
        <v/>
      </c>
      <c r="M136" s="154" t="str">
        <f>IFERROR(__xludf.DUMMYFUNCTION("IF(A136="""","""",IF(OR(ISERROR(FIND(""larder"",A136))=FALSE,ISERROR(FIND(""unit"",A136))=FALSE),VLOOKUP(LEFT(A136,FIND("" "",A136))&amp;""carcass ""&amp;RIGHT(A136,LEN(A136)-len(regexextract(A136,"".* ""))),KitchensData,13,0),IF(ISERROR(FIND(""bins"",A136))=FALS"&amp;"E,0.95,IF(ISERROR(FIND(""Cutlery insert 600"",A136))=FALSE,1.3,IF(ISERROR(FIND(""Cutlery insert 1200"",A136))=FALSE,2,IF(ISERROR(FIND(""Pan/tray rack 600"",A136))=FALSE,3.25,IF(ISERROR(FIND(""Pan/tray rack 1200"",A136))=FALSE,5.9,IF(ISERROR(FIND(""split"""&amp;",A136))=FALSE,(((C136/1000)*0.022)*2)+VLOOKUP(SUBSTITUTE(A136,"" split"",""""),KitchensData,13,0),IF(AND(ISERROR(FIND(""drawer front"",A136))=FALSE,KitchenDoorStyle=""Flat""),(((B136/1000)*(C136/1000))*2)+((((B136+C136)/1000)*2)*0.022),IF(AND(ISERROR(FIND"&amp;"(""drawer front"",A136))=FALSE,LEFT(KitchenDoorStyle,5)=""Panel""),(((B136/1000)*(C136/1000))*2)+((((B136+C136)/1000)*2)*0.022)+((((C136/1000)-0.16)*0.013)*2)+((((D136/1000)-0.16)*0.013)*2),IF(AND(ISERROR(FIND(""drawer front"",A136))=FALSE,KitchenDoorStyl"&amp;"e=""In-frame flat""),((((B136-76)/1000)*((C136-38)/1000))*2)+(MID(KitchenDoorMaterial,FIND(""("",KitchenDoorMaterial)+1,2)/1000)*((((B136-76)+(C136-38))/1000)*2)+(((B136/1000)*0.032)*2)+((((B136-76)/1000)*0.032)*2)+(((B136/1000)*0.019)*4)+(((C136/1000)*0."&amp;"032)*2)+((((C136-38)/1000)*0.032)*2)+(((C136/1000)*0.038)*4),IF(AND(ISERROR(FIND(""drawer front"",A136))=FALSE,LEFT(KitchenDoorStyle,14)=""In-frame panel""),((((B136-76)/1000)*((C136-38)/1000))*2)+((MID(KitchenDoorMaterial,FIND(""("",KitchenDoorMaterial)+"&amp;"1,2)/1000)*((((B136-76)+(C136-38))/1000)*2))+((((B136-236)/1000)+((C136-198)/1000)*2)*0.013)+(((B136/1000)*0.032)*2)+((((B136-76)/1000)*0.032)*2)+(((B136/1000)*0.019)*4)+(((C136/1000)*0.032)*2)+((((C136-38)/1000)*0.032)*2)+(((C136/1000)*0.038)*4),IF(ISERR"&amp;"OR(FIND(""drawer box"",A136))=FALSE,((((B136/1000)*(D136/1000))+((B136/1000)*(C136/1000)))*4)+((((D136/1000)+(C136/1000))*0.016)*4)+(((C136/1000)*(D136/1000))*2),IF(OR(ISERROR(FIND(""shelf"",A136))=FALSE,ISERROR(FIND(""spacer"",A136))=FALSE,,ISERROR(FIND("&amp;"""filler panel"",A136))=FALSE),(((C136/1000)*(D136/1000))*2)+((((C136+D136)*2)/1000)*0.022),IF(ISERROR(FIND(""lost corner"",A136))=FALSE,(((B136/1000)*(C136/1000))*2)+((B136/1000)*(C136/1000))+((B136/1000)*((C136/2)/1000))+((((B136/1000)*0.025)+((C136/100"&amp;"0)*0.025))*2),IF(ISERROR(FIND(""carcass"",A136))=FALSE,(((C136/1000)*(D136/1000))*2)+(((B136/1000)*(D136/1000))*2)+((B136/1000)*(C136/1000))+((((B136/1000)*0.025)+((C136/1000)*0.025))*2),IF(AND(ISERROR(FIND(""door"",A136))=FALSE,KitchenDoorStyle=""Flat"")"&amp;",(((B136/1000)*(C136/1000))*2)+(MID(KitchenDoorMaterial,FIND(""("",KitchenDoorMaterial)+1,2)/1000)*(((B136+C136)/1000)*2),IF(AND(ISERROR(FIND(""door"",A136))=FALSE,LEFT(KitchenDoorStyle,5)=""Panel""),(((B136/1000)*(C136/1000))*2)+((MID(KitchenDoorMaterial"&amp;",FIND(""("",KitchenDoorMaterial)+1,2)/1000)*(((B136+C136)/1000)*2))+(((((B136-160)+(C136-160))*2)/1000)*(0.013)),IF(AND(ISERROR(FIND(""door"",A136))=FALSE,KitchenDoorStyle=""In-frame flat""),((((B136-76)/1000)*((C136-38)/1000))*2)+(MID(KitchenDoorMaterial"&amp;",FIND(""("",KitchenDoorMaterial)+1,2)/1000)*((((B136-76)+(C136-38))/1000)*2)+(((B136/1000)*0.032)*2)+((((B136-76)/1000)*0.032)*2)+(((B136/1000)*0.019)*4)+(((C136/1000)*0.032)*2)+((((C136-38)/1000)*0.032)*2)+(((C136/1000)*0.038)*4),IF(AND(ISERROR(FIND(""do"&amp;"or"",A136))=FALSE,LEFT(KitchenDoorStyle,14)=""In-frame panel""),((((B136-76)/1000)*((C136-38)/1000))*2)+((MID(KitchenDoorMaterial,FIND(""("",KitchenDoorMaterial)+1,2)/1000)*((((B136-76)+(C136-38))/1000)*2))+((((B136-236)/1000)+((C136-198)/1000)*2)*0.013)+"&amp;"(((B136/1000)*0.032)*2)+((((B136-76)/1000)*0.032)*2)+(((B136/1000)*0.019)*4)+(((C136/1000)*0.032)*2)+((((C136-38)/1000)*0.032)*2)+(((C136/1000)*0.038)*4),IF(ISERROR(FIND(""Plinth"",A136))=FALSE,((B136/1000)*(C136/1000))+(((C136/1000)*0.018)*2)+(((B136/100"&amp;"0)*0.018)*2),IF(ISERROR(FIND(""Cornice"",A136))=FALSE,(((C136/1000)*0.1)*2)+(((C136/1000)*0.044)*2)+(((B136/1000)*0.08)*2),IF(ISERROR(FIND(""Base end panel"",A136))=FALSE,((B136/1000)*(C136/1000))+(0.022*((B136/1000)+((C136/1000)*2)))+((B136/1000)*0.05),I"&amp;"F(ISERROR(FIND(""Wall end panel"",A136))=FALSE,((B136/1000)*(C136/1000))+(0.022*((B136/1000)+((C136/1000)*2)))+((B136/1000)*0.05),IF(ISERROR(FIND(""Tower end panel"",A136))=FALSE,((B136/1000)*(C136/1000))+(0.022*((B136/1000)+((C136/1000)*2)))+((B136/1000)"&amp;"*0.05),IF(ISERROR(FIND(""Fillers"",A136))=FALSE,((C136/1000)*0.06)+((C136/1000)*0.069)+((0.06*0.018)*2)+((0.06*0.009)*2)+((C136/1000)*0.009)+((C136/1000)*0.018),IF(ISERROR(FIND(""corner post"",A136))=FALSE,(((B136/1000*0.05)*2)+((B136/1000)*0.022)*2)+((B1"&amp;"36/1000)*0.072)+((B136/1000)*0.05)+((0.072*0.022)*2)+((0.05*0.022)*2),IF(ISERROR(FIND(""Pelmet"",A136))=FALSE,((C136/1000)*0.05)+((C136/1000)*0.068)+((0.05*0.018)*4)+(((C136/1000)*0.018))*2))))))))))))))))))))))))))))"),"")</f>
        <v/>
      </c>
      <c r="N136" s="152" t="str">
        <f>IF(M136="","",IF(AND(ISERROR(FIND("carcass",A136))=TRUE,ISERROR(FIND("unit",A136))=TRUE,ISERROR(FIND("insert",A136))=TRUE,ISERROR(FIND("rack",A136))=TRUE,ISERROR(FIND("box",A136))=TRUE,ISERROR(FIND("shelf",#REF!))=TRUE),VLOOKUP(KitchenDoorFinish,Finishing!$A$2:$K$10,9,0)*M136,VLOOKUP(KitchenCarcassFinish,Finishing!$A$2:$K$40,9,0)*M136))</f>
        <v/>
      </c>
      <c r="O136" s="155"/>
      <c r="P136" s="155"/>
      <c r="Q136" s="152" t="str">
        <f>IF(OR(O136="",P136=""),"",((O136*X136)*(VLOOKUP("Workshop",Labour!$A$3:$E$20,4,0)/8))+((P136*AE136)*(VLOOKUP("Finishing",Labour!$A$3:$E$20,4,0)/8)))</f>
        <v/>
      </c>
      <c r="R136" s="152" t="str">
        <f t="shared" si="4"/>
        <v/>
      </c>
      <c r="S136" s="156" t="str">
        <f>IF(OR(O136="",P136=""),"",IF(OR(ISERROR(FIND("carcass",$A136))=FALSE,ISERROR(FIND("unit",$A136))=FALSE),VLOOKUP(KitchenCarcassMaterial,FixedListsCarcassMaterial,2,0),0))</f>
        <v/>
      </c>
      <c r="T136" s="156" t="str">
        <f>IF(OR(O136="",P136=""),"",IF(ISERROR(FIND("door",$A136))=FALSE,VLOOKUP(KitchenDoorStyle,FixedListsDoorStyle,2,0),0))</f>
        <v/>
      </c>
      <c r="U136" s="156" t="str">
        <f>IF(OR(O136="",P136=""),"",IF(ISERROR(FIND("door",$A136))=FALSE,VLOOKUP(KitchenDoorMaterial,FixedListsDoorMaterial,2,0),0))</f>
        <v/>
      </c>
      <c r="V136" s="156" t="str">
        <f>IF(OR(O136="",P136=""),"",IF(ISERROR(FIND("drawer",$A136))=FALSE,VLOOKUP(KitchenDrawerType,FixedListsDrawerType,2,0),0))</f>
        <v/>
      </c>
      <c r="W136" s="156" t="str">
        <f>IF(OR(O136="",P136=""),"",IF(OR(S136&gt;0, T136&gt;0,V136&gt;0),VLOOKUP(KitchenHandleType,FixedListsHandleType,2,FALSE)*IF(KitchenHandleType="Simple",0,IF(S136&gt;0,VLOOKUP(KitchenHandleType,FixedListsHandleType,4,FALSE),IF(OR(T136&gt;0,V136&gt;0),1-VLOOKUP(KitchenHandleType,FixedListsHandleType,4,FALSE),"Error"))),0))</f>
        <v/>
      </c>
      <c r="X136" s="156" t="str">
        <f t="shared" si="5"/>
        <v/>
      </c>
      <c r="Y136" s="156" t="str">
        <f>IF(OR(O136="",P136=""),"",IF(OR(ISERROR(FIND("carcass",$A136))=FALSE,ISERROR(FIND("unit",$A136))=FALSE),VLOOKUP(KitchenCarcassMaterial,FixedListsCarcassMaterial,3,0),0))</f>
        <v/>
      </c>
      <c r="Z136" s="156" t="str">
        <f>IF(OR(O136="",P136=""),"",IF(ISERROR(FIND("door",$A136))=FALSE,VLOOKUP(KitchenDoorStyle,FixedListsDoorStyle,3,0),0))</f>
        <v/>
      </c>
      <c r="AA136" s="156" t="str">
        <f>IF(OR(O136="",P136=""),"",IF(ISERROR(FIND("door",$A136))=FALSE,VLOOKUP(KitchenDoorMaterial,FixedListsDoorMaterial,3,0),0))</f>
        <v/>
      </c>
      <c r="AB136" s="156" t="str">
        <f>IF(OR(O136="",P136=""),"",IF(ISERROR(FIND("drawer",$A136))=FALSE,VLOOKUP(KitchenDrawerType,FixedListsDrawerType,3,0),0))</f>
        <v/>
      </c>
      <c r="AC136" s="156" t="str">
        <f>IF(OR(O136="",P136=""),"",IF(OR(Y136&gt;0,Z136&gt;0,AB136&gt;0),VLOOKUP(KitchenHandleType,FixedListsHandleType,3,FALSE),0))</f>
        <v/>
      </c>
      <c r="AD136" s="156" t="str">
        <f>IF(OR(O136="",P136=""),"",IF(OR(ISERROR(FIND("carcass",$A136))=FALSE,ISERROR(FIND("unit",$A136))=FALSE),VLOOKUP(KitchenCarcassFinish,FixedListsFinishes,3,0),IF(OR(ISERROR(FIND("door",$A136))=FALSE,ISERROR(FIND("Plinth",$A136))=FALSE,ISERROR(FIND("Cornice",$A136))=FALSE,ISERROR(FIND("Fillers",$A136))=FALSE,ISERROR(FIND("Pelmet",$A136))=FALSE,ISERROR(FIND("panel",$A136))=FALSE,ISERROR(FIND("post",$A136))=FALSE),VLOOKUP(KitchenDoorFinish,FixedListsFinishes,3,0),IF(OR(ISERROR(FIND("drawer",$A136))=FALSE,ISERROR(FIND("insert",$A136))=FALSE,ISERROR(FIND("rck",$A136))=FALSE),VLOOKUP(KitchenCarcassFinish,FixedListsFinishes,3,0),0))))</f>
        <v/>
      </c>
      <c r="AE136" s="156" t="str">
        <f t="shared" si="6"/>
        <v/>
      </c>
      <c r="AF136" s="157" t="str">
        <f>IF(AND(KitchenHandleType="Channel",OR(ISERROR(FIND("arcass",$A136))=FALSE,ISERROR(FIND("unit",$A136))=FALSE)),IF(ISERROR(FIND("Tower",$A136))=TRUE,IF(KitchenHandleFinish="Match carcass",IF(ISERROR(FIND("Walnut",KitchenCarcassMaterial))=FALSE,(0.035*0.075*($C136/1000))*VLOOKUP("Walnut (solid m3)",SolidData,4,FALSE),IF(ISERROR(FIND("Oak",KitchenCarcassMaterial))=FALSE,(0.035*0.075*($C136/1000))*VLOOKUP("Oak (solid m3)",SolidData,4,FALSE),IF(ISERROR(FIND("ply",KitchenCarcassMaterial))=FALSE,(0.1*($C136/1000))*VLOOKUP("Birch ply (24mm)",SheetsData,7,FALSE),IF(ISERROR(FIND("H/F",KitchenCarcassMaterial))=FALSE,(0.1*($C136/1000))*VLOOKUP("H/F (22mm)",SheetsData,7,FALSE),"Carcass - not tower - new material")))),IF(KitchenHandleFinish="Match door",IF(ISERROR(FIND("Walnut",KitchenDoorMaterial))=FALSE,(0.035*0.075*($C136/1000))*VLOOKUP("Walnut (solid m3)",SolidData,4,FALSE),IF(ISERROR(FIND("Oak",KitchenDoorMaterial))=FALSE,(0.035*0.075*($C136/1000))*VLOOKUP("Oak (solid m3)",SolidData,4,FALSE),IF(ISERROR(FIND("ply",KitchenDoorMaterial))=FALSE,(0.1*($C136/1000))*VLOOKUP("Birch ply (24mm)",SheetsData,7,FALSE),IF(ISERROR(FIND("H/F",KitchenCarcassMaterial))=FALSE,(0.1*($C136/1000))*VLOOKUP("H/F (22mm)",SheetsData,7,FALSE),"Door - not tower - new material")))),"Channel - not tower - handle set to other")),IF(ISERROR(FIND("Tower",$A136))=FALSE,IF(KitchenHandleFinish="Match carcass",IF(ISERROR(FIND("Walnut",KitchenCarcassMaterial))=FALSE,(0.035*0.075*($B136/1000))*VLOOKUP("Walnut (solid m3)",SolidData,4,FALSE),IF(ISERROR(FIND("Oak",KitchenCarcassMaterial))=FALSE,(0.035*0.075*($B136/1000))*VLOOKUP("Oak (solid m3)",SolidData,4,FALSE),IF(ISERROR(FIND("ply",KitchenCarcassMaterial))=FALSE,(0.1*($B136/1000))*VLOOKUP("Birch ply (24mm)",SheetsData,7,FALSE),IF(ISERROR(FIND("H/F",KitchenCarcassMaterial))=FALSE,(0.1*($C136/1000))*VLOOKUP("H/F (22mm)",SheetsData,7,FALSE),"Carcass - tower - new material")))),IF(KitchenHandleFinish="Match door",IF(ISERROR(FIND("Walnut",KitchenDoorMaterial))=FALSE,(0.035*0.075*($B136/1000))*VLOOKUP("Walnut (solid m3)",SolidData,4,FALSE),IF(ISERROR(FIND("Oak",KitchenDoorMaterial))=FALSE,(0.035*0.075*($B136/1000))*VLOOKUP("Oak (solid m3)",SolidData,4,FALSE),IF(ISERROR(FIND("ply",KitchenDoorMaterial))=FALSE,(0.1*($B136/1000))*VLOOKUP("Birch ply (24mm)",SheetData,7,FALSE),IF(ISERROR(FIND("H/F",KitchenCarcassMaterial))=FALSE,(0.1*($C136/1000))*VLOOKUP("H/F (22mm)",SheetsData,7,FALSE),"Door - tower - new material")))),"Channel - tower - handle set to other")))),"")</f>
        <v/>
      </c>
    </row>
    <row r="137">
      <c r="A137" s="150"/>
      <c r="B137" s="115" t="str">
        <f t="shared" si="1"/>
        <v/>
      </c>
      <c r="C137" s="115" t="str">
        <f>IFERROR(__xludf.DUMMYFUNCTION("IF(A137="""","""",IF(OR(RIGHT(A137,LEN(A137)-len(regexextract(A137,"".* "")))=""1200"",RIGHT(A137,LEN(A137)-len(regexextract(A137,"".* "")))=""600"",RIGHT(A137,LEN(A137)-len(regexextract(A137,"".* "")))=""400"",RIGHT(A137,LEN(A137)-len(regexextract(A137,"&amp;""".* "")))=""300"",RIGHT(A137,LEN(A137)-len(regexextract(A137,"".* "")))=""700"",RIGHT(A137,LEN(A137)-len(regexextract(A137,"".* "")))=""2400"",RIGHT(A137,LEN(A137)-len(regexextract(A137,"".* "")))=""650"",RIGHT(A137,LEN(A137)-len(regexextract(A137,"".* "&amp;""")))=""350"",RIGHT(A137,LEN(A137)-len(regexextract(A137,"".* "")))=""50""),RIGHT(A137,LEN(A137)-len(regexextract(A137,"".* ""))),IF(OR(ISERROR(FIND(""spacer"",A137))=FALSE,ISERROR(FIND(""filler panel"",A137))=FALSE),""1000"",""Unexpected size in descript"&amp;"ion"")))"),"")</f>
        <v/>
      </c>
      <c r="D137" s="151" t="str">
        <f t="shared" si="2"/>
        <v/>
      </c>
      <c r="E137" s="152" t="str">
        <f>IFERROR(__xludf.DUMMYFUNCTION("IF(OR(A137="""",AND(ISERROR(FIND(""drawer box"",A137))=FALSE,KitchenDrawerType="""")),"""",IF(OR(ISERROR(FIND(""larder"",A137))=FALSE,ISERROR(FIND(""fridge/freezer"",A137))=FALSE,ISERROR(FIND(""double oven"",A137))=FALSE,ISERROR(FIND(""single oven"",A137)"&amp;")=FALSE),VLOOKUP(LEFT(A137,FIND("" "",A137))&amp;""carcass ""&amp;RIGHT(A137,LEN(A137)-(LEN(A137)-3)),KitchensData,5,0),IF(ISERROR(FIND(""sink"",A137))=FALSE,VLOOKUP(LEFT(A137,FIND("" "",A137))&amp;""carcass ""&amp;VALUE(REGEXREPLACE(A137,""[^[:digit:]]"", """")),Kitchen"&amp;"sData,5,0)+(((C137/1000)*(300/1000))*VLOOKUP(KitchenCarcassMaterial,SheetsData,8,0)),IF(ISERROR(FIND(""bins"",A137))=FALSE,IF(ISERROR(FIND(""veneer"",KitchenCarcassMaterial))=FALSE,VLOOKUP(""Base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600"",A137))=FALSE,IF(ISERR"&amp;"OR(FIND(""veneer"",KitchenCarcassMaterial))=FALSE,0.54*(VLOOKUP(LEFT(KitchenCarcassMaterial,FIND(""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1"&amp;"200"",A137))=FALSE,IF(ISERROR(FIND(""veneer"",KitchenCarcassMaterial))=FALSE,0.84*(VLOOKUP(LEFT(KitchenCarcassMaterial,FIND(""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600"",A137))=FALSE,IF(ISERROR(FIND(""veneer"",KitchenCarcassMaterial))=FALSE,1.44*(VLOOKUP(LEFT(KitchenCarcassMaterial,FIND(""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1200"",A137))=FALSE,IF(ISERROR(FIND(""veneer"",KitchenCarcassMaterial))=FALSE,2.7*(VLOOKUP(LEFT(KitchenCarcassMaterial,FIND(""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front"",A137))=FALSE,((B137/1000)*(C137/1000))*VLOOKUP(KitchenDoorMaterial,SheetsData,8,0),IF(AND(KitchenDrawerType=""Match carcass"",ISERROR(FIND(""drawer box"",A137))=FALSE),(((((B137/10"&amp;"00)*(C137/1000))+((B137/1000)*(D137/1000)))*2)*VLOOKUP(KitchenCarcassMaterial,SheetsData,8,0))+(((C137/1000)*(D137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box"",A137))=FALSE),(((((B137/1000)*(C137/1000))+((B137/1000)*(D137/1000)))*2)*(16/1000)*VLOOKUP(L"&amp;"EFT(KitchenCarcassMaterial,FIND("" "",KitchenCarcassMaterial))&amp;""(solid m3)"",SolidData,5,0))+(((C137/1000)*(D137/1000))*VLOOKUP(LEFT(KitchenCarcassMaterial,FIND(""("",KitchenCarcassMaterial)-1)&amp;IF(OR(ISERROR(FIND(""ply"",KitchenCarcassMaterial))=FALSE,IS"&amp;"ERROR(FIND(""H/F"",KitchenCarcassMaterial))=FALSE),""(9mm)"",""(10mm)""),SheetsData,8,0)),IF(ISERROR(FIND(""spacer"",A137))=FALSE,((D137/1000)*(C137/1000))*VLOOKUP(""Poplar ply (18mm)"",SheetsData,8,0),IF(ISERROR(FIND(""filler panel"",A137))=FALSE,((B137/"&amp;"1000)*(C137/1000))*VLOOKUP(KitchenDoorMaterial,SheetsData,8,0),IF(ISERROR(FIND(""shelf"",A137))=FALSE,((D137/1000)*(C137/1000))*VLOOKUP(KitchenCarcassMaterial,SheetsData,8,0),IF(ISERROR(FIND(""lost corner"",A137))=FALSE,VLOOKUP(LEFT(A137,FIND("" "",A137))"&amp;"&amp;""carcass ""&amp;VALUE(REGEXREPLACE(A137,""[^[:digit:]]"", """")),KitchensData,5,0)+((((B137/1000)*(C137/1000))+((B137/1000)*(60/1000)))*VLOOKUP(KitchenCarcassMaterial,SheetsData,8,0)),IF(ISERROR(FIND(""carcass"",A137))=FALSE,(((((B137/1000)*2)*(D137/1000))+"&amp;"(((C137/1000)*2)*(D137/1000)))*VLOOKUP(KitchenCarcassMaterial,SheetsData,8,0))+((B137/1000)*(C137/1000))*VLOOKUP(LEFT(KitchenCarcassMaterial,FIND(""("",KitchenCarcassMaterial)-1)&amp;IF(OR(ISERROR(FIND(""ply"",KitchenCarcassMaterial))=FALSE,ISERROR(FIND(""H/F"&amp;""",KitchenCarcassMaterial))=FALSE),""(9mm)"",""(10mm)""),SheetsData,8,0),IF(OR(ISERROR(FIND(""Plinth"",A137))=FALSE,ISERROR(FIND(""Cornice (flat)"",A137))=FALSE),((B137/1000)*(C137/1000))*VLOOKUP(""H/F (18mm)"",SheetsData,8,0),IF(ISERROR(FIND(""Cornice (s"&amp;"tacked)"",A137))=FALSE,((0.08*(C137/1000))*2)*VLOOKUP(""H/F (22mm)"",SheetsData,8,0),IF(ISERROR(FIND(""Base end panel"",A137))=FALSE,VLOOKUP(KitchenDoorMaterial,SheetsData,5,0)/3,IF(ISERROR(FIND(""Wall end panel"",A137))=FALSE,VLOOKUP(KitchenDoorMaterial,"&amp;"SheetsData,5,0)/9,IF(ISERROR(FIND(""Tower end panel"",A137))=FALSE,VLOOKUP(KitchenDoorMaterial,SheetsData,5,0),IF(ISERROR(FIND(""Fillers"",A137))=FALSE,(((0.06*(C137/1000))*2)*VLOOKUP(""H/F (18mm)"",SheetsData,8,0))+(((0.06*(C137/1000))*2)*VLOOKUP(""H/F ("&amp;"9mm)"",SheetsData,8,0)),IF(ISERROR(FIND(""corner post"",A137))=FALSE,(((B137/1000)*0.05)*2)*VLOOKUP(KitchenDoorMaterial,SheetsData,8,0),IF(ISERROR(FIND(""Pelmet"",A137))=FALSE,((((B137/1000)*(C137/1000))*2)*VLOOKUP(""H/F (18mm)"",SheetsData,8,0)),IF(ISERR"&amp;"OR(FIND(""door"",A137))=TRUE,""Check description"",IF(KitchenDoorStyle=""Flat"",((B137/1000)*(C137/1000))*VLOOKUP(KitchenDoorMaterial,SheetsData,8,0),IF(LEFT(KitchenDoorStyle,5)=""Panel"",(((((B137/1000)*2)*0.08)+((((C137/1000)-0.16)*2)*0.08))*VLOOKUP(""H"&amp;"/F (22mm)"",SheetsData,8,0))+(((B137/1000)-0.14)*((C137/1000)-0.14)*VLOOKUP(""H/F (9mm)"",SheetsData,8,0)),IF(KitchenDoorStyle=""In-frame flat"",((((((B137/1000)*0.019)*0.038)+((((C137-38)/1000)*0.038)*0.038))*2)*VLOOKUP(""Tulip (solid m3)"",SolidData,5,0"&amp;"))+(((B137-76)/1000)*((C137-38)/1000))*VLOOKUP(""H/F (22mm)"",SheetsData,8,0),IF(LEFT(KitchenDoorStyle,14)=""In-frame panel"",(((((((B137/1000)*0.019)*0.038)+((((C137-38)/1000)*0.038)*0.038))*2)*VLOOKUP(""Tulip (solid m3)"",SolidData,5,0))+(((((((B137-76)"&amp;"/1000)*2)*0.08)+(((((C137-198)/1000)*2)*0.08)))*VLOOKUP(""H/F (22mm)"",SheetsData,8,0))+(((B137-216)/1000)*((C137-178)/1000)*VLOOKUP(""H/F (9mm)"",SheetsData,8,0)))))))))))))))))))))))))))))))))"),"")</f>
        <v/>
      </c>
      <c r="F137" s="152" t="str">
        <f>IFERROR(__xludf.DUMMYFUNCTION("IF(OR(A137="""",AND(ISERROR(FIND(""drawer box"",A137))=FALSE,KitchenDrawerType=""Solid dovetail"")),"""",IF(ISERROR(FIND(""bins"",A137))=FALSE,VLOOKUP(""Base carcass 600"",KitchensData,6,0),IF(OR(ISERROR(FIND(""larder"",A137))=FALSE,ISERROR(FIND(""unit"","&amp;"A137))=FALSE),VLOOKUP(LEFT(A137,FIND("" "",A137))&amp;""carcass ""&amp;RIGHT(A137,LEN(A137)-len(regexextract(A137,"".* ""))),KitchensData,6,0),IF(ISERROR(FIND(""drawer front"",A137))=FALSE,IF(ISERROR(FIND(""veneer"",KitchenCarcassMaterial))=TRUE,0,(((B137+C137)/1"&amp;"000)*2)*VLOOKUP(""Edge banding (per M)"",SheetsData,5,0)),IF(ISERROR(FIND(""drawer box"",A137))=FALSE,IF(ISERROR(FIND(""veneer"",KitchenCarcassMaterial))=TRUE,0,(((C137+D137)/1000)*2)*VLOOKUP(""Edge banding (per M)"",SheetsData,5,0)),IF(ISERROR(FIND(""she"&amp;"lf"",A137))=FALSE,IF(ISERROR(FIND(""veneer"",KitchenCarcassMaterial))=TRUE,0,(C137/1000)*VLOOKUP(""Edge banding (per M)"",SheetsData,5,0)),IF(AND(ISERROR(FIND(""carcass"",A137))=FALSE,ISERROR(FIND(""shelf"",A137))=TRUE),IF(ISERROR(FIND(""veneer"",KitchenC"&amp;"arcassMaterial))=TRUE,0,((2*(B137+C137))/1000)*VLOOKUP(""Edge banding (per M)"",SheetsData,5,0)),IF(ISERROR(FIND(""door"",A137))=TRUE,"""",IF(ISERROR(FIND(""veneer"",KitchenDoorMaterial))=TRUE,"""",((2*(B137+C137))/1000)*VLOOKUP(""Edge banding (per M)"",S"&amp;"heetsData,5,0))))))))))"),"")</f>
        <v/>
      </c>
      <c r="G137" s="153" t="str">
        <f>IF(A137="","",IF(ISERROR(FIND("bins",A137))=FALSE,VLOOKUP("Base carcass 600",KitchensData,7,0),IF(OR(ISERROR(FIND("larder",A137))=FALSE,ISERROR(FIND("fridge/freezer",A137))=FALSE,ISERROR(FIND("double oven",A137))=FALSE,ISERROR(FIND("single oven",A137))=FALSE),VLOOKUP(LEFT(A137,FIND(" ",A137))&amp;"carcass "&amp;RIGHT(A137,LEN(A137)-(LEN(A137)-3)),KitchensData,7,0),IF(AND(ISERROR(FIND("carcass",A137))=FALSE,ISERROR(FIND("shelf",A137))=TRUE),IF(OR(ISERROR(FIND("Base",A137))=FALSE,ISERROR(FIND("Tower",A137))=FALSE),IF(OR(ISERROR(FIND("1200",A137))=FALSE, ISERROR(FIND("lost corner",A137))=FALSE),6*VLOOKUP("Plinth foot (2 Parts 80mm)",FurnitureData,5,0),4*VLOOKUP("Plinth foot (2 Parts 80mm)",FurnitureData,5,0)),""),""))))</f>
        <v/>
      </c>
      <c r="H137" s="115" t="str">
        <f>IF(OR(A137="",ISERROR(FIND("door",A137))=TRUE),"",IF(ISERROR(FIND("Wall",A137))=FALSE,VLOOKUP("Hinges &amp; plates (Hettich thick door)",FurnitureData,5,0)*2,IF(ISERROR(FIND("Base",A137))=FALSE,VLOOKUP("Hinges &amp; plates (Hettich thick door)",FurnitureData,5,0)*3,IF(ISERROR(FIND("Boiler",A137))=FALSE,VLOOKUP("Hinges &amp; plates (Hettich thick door)",FurnitureData,5,0)*4,IF(ISERROR(FIND("Tower",A137))=FALSE,VLOOKUP("Hinges &amp; plates (Hettich thick door)",FurnitureData,5,0)*5)))))</f>
        <v/>
      </c>
      <c r="I137" s="115" t="str">
        <f>IF(ISERROR(FIND("shelf",A137))=FALSE,(VLOOKUP("Shelf pegs",FurnitureData,5,0)/100)*4,"")</f>
        <v/>
      </c>
      <c r="J137" s="152" t="str">
        <f>IF(OR(ISERROR(FIND("fridge/freezer",A137))=FALSE,ISERROR(FIND("larder",A137))=FALSE,AND(ISERROR(FIND("Base",A137))=FALSE,ISERROR(FIND("bins",A137))=TRUE,ISERROR(FIND("no shelves",A137))=TRUE,OR(ISERROR(FIND("carcass",A137))=FALSE,ISERROR(FIND("unit",A137))=FALSE))),VLOOKUP("Deep shelf "&amp;C137,KitchensData,18,0),IF(AND(ISERROR(FIND("Wall",A137))=FALSE,ISERROR(FIND("carcass",A137))=FALSE),2*VLOOKUP("Shallow shelf "&amp;C137,KitchensData,18,0),IF(AND(ISERROR(FIND("Tower",A137))=FALSE,ISERROR(FIND("oven",A137))=FALSE),4*VLOOKUP("Deep shelf "&amp;C137,KitchensData,18,0),IF(AND(ISERROR(FIND("Tower",A137))=FALSE,ISERROR(FIND("carcass",A137))=FALSE),5*VLOOKUP("Deep shelf "&amp;C137,KitchensData,18,0),""))))</f>
        <v/>
      </c>
      <c r="K137" s="152" t="str">
        <f>IF(ISERROR(FIND("sink",A137))=FALSE,VLOOKUP("Sink liner - Aluminium "&amp;RIGHT(A137,LEN(A137)-22)&amp;"mm",ExceptionalData,5,0),IF(ISERROR(FIND("bins",A137))=FALSE,VLOOKUP("Drawer runners and clip set for bin unit (500) Dynapro",FurnitureData,5,0)+(2*VLOOKUP("Bin (42L Anthracite)",FurnitureData,5,0)),IF(ISERROR(FIND("larder",A137))=FALSE,VLOOKUP("Pull out larder unit 600mm",FurnitureData,5,0),IF(AND(ISERROR(FIND("drawer box",A137))=FALSE,ISERROR(FIND("internal",A137))=TRUE),VLOOKUP("Drawer runners and clip set (550) Dynapro",FurnitureData,5,0),IF(ISERROR(FIND("internal drawer box",A137))=FALSE,VLOOKUP("Drawer runners and clip set (450) Dynapro",FurnitureData,5,0),"")))))</f>
        <v/>
      </c>
      <c r="L137" s="152" t="str">
        <f t="shared" si="3"/>
        <v/>
      </c>
      <c r="M137" s="154" t="str">
        <f>IFERROR(__xludf.DUMMYFUNCTION("IF(A137="""","""",IF(OR(ISERROR(FIND(""larder"",A137))=FALSE,ISERROR(FIND(""unit"",A137))=FALSE),VLOOKUP(LEFT(A137,FIND("" "",A137))&amp;""carcass ""&amp;RIGHT(A137,LEN(A137)-len(regexextract(A137,"".* ""))),KitchensData,13,0),IF(ISERROR(FIND(""bins"",A137))=FALS"&amp;"E,0.95,IF(ISERROR(FIND(""Cutlery insert 600"",A137))=FALSE,1.3,IF(ISERROR(FIND(""Cutlery insert 1200"",A137))=FALSE,2,IF(ISERROR(FIND(""Pan/tray rack 600"",A137))=FALSE,3.25,IF(ISERROR(FIND(""Pan/tray rack 1200"",A137))=FALSE,5.9,IF(ISERROR(FIND(""split"""&amp;",A137))=FALSE,(((C137/1000)*0.022)*2)+VLOOKUP(SUBSTITUTE(A137,"" split"",""""),KitchensData,13,0),IF(AND(ISERROR(FIND(""drawer front"",A137))=FALSE,KitchenDoorStyle=""Flat""),(((B137/1000)*(C137/1000))*2)+((((B137+C137)/1000)*2)*0.022),IF(AND(ISERROR(FIND"&amp;"(""drawer front"",A137))=FALSE,LEFT(KitchenDoorStyle,5)=""Panel""),(((B137/1000)*(C137/1000))*2)+((((B137+C137)/1000)*2)*0.022)+((((C137/1000)-0.16)*0.013)*2)+((((D137/1000)-0.16)*0.013)*2),IF(AND(ISERROR(FIND(""drawer front"",A137))=FALSE,KitchenDoorStyl"&amp;"e=""In-frame flat""),((((B137-76)/1000)*((C137-38)/1000))*2)+(MID(KitchenDoorMaterial,FIND(""("",KitchenDoorMaterial)+1,2)/1000)*((((B137-76)+(C137-38))/1000)*2)+(((B137/1000)*0.032)*2)+((((B137-76)/1000)*0.032)*2)+(((B137/1000)*0.019)*4)+(((C137/1000)*0."&amp;"032)*2)+((((C137-38)/1000)*0.032)*2)+(((C137/1000)*0.038)*4),IF(AND(ISERROR(FIND(""drawer front"",A137))=FALSE,LEFT(KitchenDoorStyle,14)=""In-frame panel""),((((B137-76)/1000)*((C137-38)/1000))*2)+((MID(KitchenDoorMaterial,FIND(""("",KitchenDoorMaterial)+"&amp;"1,2)/1000)*((((B137-76)+(C137-38))/1000)*2))+((((B137-236)/1000)+((C137-198)/1000)*2)*0.013)+(((B137/1000)*0.032)*2)+((((B137-76)/1000)*0.032)*2)+(((B137/1000)*0.019)*4)+(((C137/1000)*0.032)*2)+((((C137-38)/1000)*0.032)*2)+(((C137/1000)*0.038)*4),IF(ISERR"&amp;"OR(FIND(""drawer box"",A137))=FALSE,((((B137/1000)*(D137/1000))+((B137/1000)*(C137/1000)))*4)+((((D137/1000)+(C137/1000))*0.016)*4)+(((C137/1000)*(D137/1000))*2),IF(OR(ISERROR(FIND(""shelf"",A137))=FALSE,ISERROR(FIND(""spacer"",A137))=FALSE,,ISERROR(FIND("&amp;"""filler panel"",A137))=FALSE),(((C137/1000)*(D137/1000))*2)+((((C137+D137)*2)/1000)*0.022),IF(ISERROR(FIND(""lost corner"",A137))=FALSE,(((B137/1000)*(C137/1000))*2)+((B137/1000)*(C137/1000))+((B137/1000)*((C137/2)/1000))+((((B137/1000)*0.025)+((C137/100"&amp;"0)*0.025))*2),IF(ISERROR(FIND(""carcass"",A137))=FALSE,(((C137/1000)*(D137/1000))*2)+(((B137/1000)*(D137/1000))*2)+((B137/1000)*(C137/1000))+((((B137/1000)*0.025)+((C137/1000)*0.025))*2),IF(AND(ISERROR(FIND(""door"",A137))=FALSE,KitchenDoorStyle=""Flat"")"&amp;",(((B137/1000)*(C137/1000))*2)+(MID(KitchenDoorMaterial,FIND(""("",KitchenDoorMaterial)+1,2)/1000)*(((B137+C137)/1000)*2),IF(AND(ISERROR(FIND(""door"",A137))=FALSE,LEFT(KitchenDoorStyle,5)=""Panel""),(((B137/1000)*(C137/1000))*2)+((MID(KitchenDoorMaterial"&amp;",FIND(""("",KitchenDoorMaterial)+1,2)/1000)*(((B137+C137)/1000)*2))+(((((B137-160)+(C137-160))*2)/1000)*(0.013)),IF(AND(ISERROR(FIND(""door"",A137))=FALSE,KitchenDoorStyle=""In-frame flat""),((((B137-76)/1000)*((C137-38)/1000))*2)+(MID(KitchenDoorMaterial"&amp;",FIND(""("",KitchenDoorMaterial)+1,2)/1000)*((((B137-76)+(C137-38))/1000)*2)+(((B137/1000)*0.032)*2)+((((B137-76)/1000)*0.032)*2)+(((B137/1000)*0.019)*4)+(((C137/1000)*0.032)*2)+((((C137-38)/1000)*0.032)*2)+(((C137/1000)*0.038)*4),IF(AND(ISERROR(FIND(""do"&amp;"or"",A137))=FALSE,LEFT(KitchenDoorStyle,14)=""In-frame panel""),((((B137-76)/1000)*((C137-38)/1000))*2)+((MID(KitchenDoorMaterial,FIND(""("",KitchenDoorMaterial)+1,2)/1000)*((((B137-76)+(C137-38))/1000)*2))+((((B137-236)/1000)+((C137-198)/1000)*2)*0.013)+"&amp;"(((B137/1000)*0.032)*2)+((((B137-76)/1000)*0.032)*2)+(((B137/1000)*0.019)*4)+(((C137/1000)*0.032)*2)+((((C137-38)/1000)*0.032)*2)+(((C137/1000)*0.038)*4),IF(ISERROR(FIND(""Plinth"",A137))=FALSE,((B137/1000)*(C137/1000))+(((C137/1000)*0.018)*2)+(((B137/100"&amp;"0)*0.018)*2),IF(ISERROR(FIND(""Cornice"",A137))=FALSE,(((C137/1000)*0.1)*2)+(((C137/1000)*0.044)*2)+(((B137/1000)*0.08)*2),IF(ISERROR(FIND(""Base end panel"",A137))=FALSE,((B137/1000)*(C137/1000))+(0.022*((B137/1000)+((C137/1000)*2)))+((B137/1000)*0.05),I"&amp;"F(ISERROR(FIND(""Wall end panel"",A137))=FALSE,((B137/1000)*(C137/1000))+(0.022*((B137/1000)+((C137/1000)*2)))+((B137/1000)*0.05),IF(ISERROR(FIND(""Tower end panel"",A137))=FALSE,((B137/1000)*(C137/1000))+(0.022*((B137/1000)+((C137/1000)*2)))+((B137/1000)"&amp;"*0.05),IF(ISERROR(FIND(""Fillers"",A137))=FALSE,((C137/1000)*0.06)+((C137/1000)*0.069)+((0.06*0.018)*2)+((0.06*0.009)*2)+((C137/1000)*0.009)+((C137/1000)*0.018),IF(ISERROR(FIND(""corner post"",A137))=FALSE,(((B137/1000*0.05)*2)+((B137/1000)*0.022)*2)+((B1"&amp;"37/1000)*0.072)+((B137/1000)*0.05)+((0.072*0.022)*2)+((0.05*0.022)*2),IF(ISERROR(FIND(""Pelmet"",A137))=FALSE,((C137/1000)*0.05)+((C137/1000)*0.068)+((0.05*0.018)*4)+(((C137/1000)*0.018))*2))))))))))))))))))))))))))))"),"")</f>
        <v/>
      </c>
      <c r="N137" s="152" t="str">
        <f>IF(M137="","",IF(AND(ISERROR(FIND("carcass",A137))=TRUE,ISERROR(FIND("unit",A137))=TRUE,ISERROR(FIND("insert",A137))=TRUE,ISERROR(FIND("rack",A137))=TRUE,ISERROR(FIND("box",A137))=TRUE,ISERROR(FIND("shelf",#REF!))=TRUE),VLOOKUP(KitchenDoorFinish,Finishing!$A$2:$K$10,9,0)*M137,VLOOKUP(KitchenCarcassFinish,Finishing!$A$2:$K$40,9,0)*M137))</f>
        <v/>
      </c>
      <c r="O137" s="155"/>
      <c r="P137" s="155"/>
      <c r="Q137" s="152" t="str">
        <f>IF(OR(O137="",P137=""),"",((O137*X137)*(VLOOKUP("Workshop",Labour!$A$3:$E$20,4,0)/8))+((P137*AE137)*(VLOOKUP("Finishing",Labour!$A$3:$E$20,4,0)/8)))</f>
        <v/>
      </c>
      <c r="R137" s="152" t="str">
        <f t="shared" si="4"/>
        <v/>
      </c>
      <c r="S137" s="156" t="str">
        <f>IF(OR(O137="",P137=""),"",IF(OR(ISERROR(FIND("carcass",$A137))=FALSE,ISERROR(FIND("unit",$A137))=FALSE),VLOOKUP(KitchenCarcassMaterial,FixedListsCarcassMaterial,2,0),0))</f>
        <v/>
      </c>
      <c r="T137" s="156" t="str">
        <f>IF(OR(O137="",P137=""),"",IF(ISERROR(FIND("door",$A137))=FALSE,VLOOKUP(KitchenDoorStyle,FixedListsDoorStyle,2,0),0))</f>
        <v/>
      </c>
      <c r="U137" s="156" t="str">
        <f>IF(OR(O137="",P137=""),"",IF(ISERROR(FIND("door",$A137))=FALSE,VLOOKUP(KitchenDoorMaterial,FixedListsDoorMaterial,2,0),0))</f>
        <v/>
      </c>
      <c r="V137" s="156" t="str">
        <f>IF(OR(O137="",P137=""),"",IF(ISERROR(FIND("drawer",$A137))=FALSE,VLOOKUP(KitchenDrawerType,FixedListsDrawerType,2,0),0))</f>
        <v/>
      </c>
      <c r="W137" s="156" t="str">
        <f>IF(OR(O137="",P137=""),"",IF(OR(S137&gt;0, T137&gt;0,V137&gt;0),VLOOKUP(KitchenHandleType,FixedListsHandleType,2,FALSE)*IF(KitchenHandleType="Simple",0,IF(S137&gt;0,VLOOKUP(KitchenHandleType,FixedListsHandleType,4,FALSE),IF(OR(T137&gt;0,V137&gt;0),1-VLOOKUP(KitchenHandleType,FixedListsHandleType,4,FALSE),"Error"))),0))</f>
        <v/>
      </c>
      <c r="X137" s="156" t="str">
        <f t="shared" si="5"/>
        <v/>
      </c>
      <c r="Y137" s="156" t="str">
        <f>IF(OR(O137="",P137=""),"",IF(OR(ISERROR(FIND("carcass",$A137))=FALSE,ISERROR(FIND("unit",$A137))=FALSE),VLOOKUP(KitchenCarcassMaterial,FixedListsCarcassMaterial,3,0),0))</f>
        <v/>
      </c>
      <c r="Z137" s="156" t="str">
        <f>IF(OR(O137="",P137=""),"",IF(ISERROR(FIND("door",$A137))=FALSE,VLOOKUP(KitchenDoorStyle,FixedListsDoorStyle,3,0),0))</f>
        <v/>
      </c>
      <c r="AA137" s="156" t="str">
        <f>IF(OR(O137="",P137=""),"",IF(ISERROR(FIND("door",$A137))=FALSE,VLOOKUP(KitchenDoorMaterial,FixedListsDoorMaterial,3,0),0))</f>
        <v/>
      </c>
      <c r="AB137" s="156" t="str">
        <f>IF(OR(O137="",P137=""),"",IF(ISERROR(FIND("drawer",$A137))=FALSE,VLOOKUP(KitchenDrawerType,FixedListsDrawerType,3,0),0))</f>
        <v/>
      </c>
      <c r="AC137" s="156" t="str">
        <f>IF(OR(O137="",P137=""),"",IF(OR(Y137&gt;0,Z137&gt;0,AB137&gt;0),VLOOKUP(KitchenHandleType,FixedListsHandleType,3,FALSE),0))</f>
        <v/>
      </c>
      <c r="AD137" s="156" t="str">
        <f>IF(OR(O137="",P137=""),"",IF(OR(ISERROR(FIND("carcass",$A137))=FALSE,ISERROR(FIND("unit",$A137))=FALSE),VLOOKUP(KitchenCarcassFinish,FixedListsFinishes,3,0),IF(OR(ISERROR(FIND("door",$A137))=FALSE,ISERROR(FIND("Plinth",$A137))=FALSE,ISERROR(FIND("Cornice",$A137))=FALSE,ISERROR(FIND("Fillers",$A137))=FALSE,ISERROR(FIND("Pelmet",$A137))=FALSE,ISERROR(FIND("panel",$A137))=FALSE,ISERROR(FIND("post",$A137))=FALSE),VLOOKUP(KitchenDoorFinish,FixedListsFinishes,3,0),IF(OR(ISERROR(FIND("drawer",$A137))=FALSE,ISERROR(FIND("insert",$A137))=FALSE,ISERROR(FIND("rck",$A137))=FALSE),VLOOKUP(KitchenCarcassFinish,FixedListsFinishes,3,0),0))))</f>
        <v/>
      </c>
      <c r="AE137" s="156" t="str">
        <f t="shared" si="6"/>
        <v/>
      </c>
      <c r="AF137" s="157" t="str">
        <f>IF(AND(KitchenHandleType="Channel",OR(ISERROR(FIND("arcass",$A137))=FALSE,ISERROR(FIND("unit",$A137))=FALSE)),IF(ISERROR(FIND("Tower",$A137))=TRUE,IF(KitchenHandleFinish="Match carcass",IF(ISERROR(FIND("Walnut",KitchenCarcassMaterial))=FALSE,(0.035*0.075*($C137/1000))*VLOOKUP("Walnut (solid m3)",SolidData,4,FALSE),IF(ISERROR(FIND("Oak",KitchenCarcassMaterial))=FALSE,(0.035*0.075*($C137/1000))*VLOOKUP("Oak (solid m3)",SolidData,4,FALSE),IF(ISERROR(FIND("ply",KitchenCarcassMaterial))=FALSE,(0.1*($C137/1000))*VLOOKUP("Birch ply (24mm)",SheetsData,7,FALSE),IF(ISERROR(FIND("H/F",KitchenCarcassMaterial))=FALSE,(0.1*($C137/1000))*VLOOKUP("H/F (22mm)",SheetsData,7,FALSE),"Carcass - not tower - new material")))),IF(KitchenHandleFinish="Match door",IF(ISERROR(FIND("Walnut",KitchenDoorMaterial))=FALSE,(0.035*0.075*($C137/1000))*VLOOKUP("Walnut (solid m3)",SolidData,4,FALSE),IF(ISERROR(FIND("Oak",KitchenDoorMaterial))=FALSE,(0.035*0.075*($C137/1000))*VLOOKUP("Oak (solid m3)",SolidData,4,FALSE),IF(ISERROR(FIND("ply",KitchenDoorMaterial))=FALSE,(0.1*($C137/1000))*VLOOKUP("Birch ply (24mm)",SheetsData,7,FALSE),IF(ISERROR(FIND("H/F",KitchenCarcassMaterial))=FALSE,(0.1*($C137/1000))*VLOOKUP("H/F (22mm)",SheetsData,7,FALSE),"Door - not tower - new material")))),"Channel - not tower - handle set to other")),IF(ISERROR(FIND("Tower",$A137))=FALSE,IF(KitchenHandleFinish="Match carcass",IF(ISERROR(FIND("Walnut",KitchenCarcassMaterial))=FALSE,(0.035*0.075*($B137/1000))*VLOOKUP("Walnut (solid m3)",SolidData,4,FALSE),IF(ISERROR(FIND("Oak",KitchenCarcassMaterial))=FALSE,(0.035*0.075*($B137/1000))*VLOOKUP("Oak (solid m3)",SolidData,4,FALSE),IF(ISERROR(FIND("ply",KitchenCarcassMaterial))=FALSE,(0.1*($B137/1000))*VLOOKUP("Birch ply (24mm)",SheetsData,7,FALSE),IF(ISERROR(FIND("H/F",KitchenCarcassMaterial))=FALSE,(0.1*($C137/1000))*VLOOKUP("H/F (22mm)",SheetsData,7,FALSE),"Carcass - tower - new material")))),IF(KitchenHandleFinish="Match door",IF(ISERROR(FIND("Walnut",KitchenDoorMaterial))=FALSE,(0.035*0.075*($B137/1000))*VLOOKUP("Walnut (solid m3)",SolidData,4,FALSE),IF(ISERROR(FIND("Oak",KitchenDoorMaterial))=FALSE,(0.035*0.075*($B137/1000))*VLOOKUP("Oak (solid m3)",SolidData,4,FALSE),IF(ISERROR(FIND("ply",KitchenDoorMaterial))=FALSE,(0.1*($B137/1000))*VLOOKUP("Birch ply (24mm)",SheetData,7,FALSE),IF(ISERROR(FIND("H/F",KitchenCarcassMaterial))=FALSE,(0.1*($C137/1000))*VLOOKUP("H/F (22mm)",SheetsData,7,FALSE),"Door - tower - new material")))),"Channel - tower - handle set to other")))),"")</f>
        <v/>
      </c>
    </row>
    <row r="138">
      <c r="A138" s="150"/>
      <c r="B138" s="115" t="str">
        <f t="shared" si="1"/>
        <v/>
      </c>
      <c r="C138" s="115" t="str">
        <f>IFERROR(__xludf.DUMMYFUNCTION("IF(A138="""","""",IF(OR(RIGHT(A138,LEN(A138)-len(regexextract(A138,"".* "")))=""1200"",RIGHT(A138,LEN(A138)-len(regexextract(A138,"".* "")))=""600"",RIGHT(A138,LEN(A138)-len(regexextract(A138,"".* "")))=""400"",RIGHT(A138,LEN(A138)-len(regexextract(A138,"&amp;""".* "")))=""300"",RIGHT(A138,LEN(A138)-len(regexextract(A138,"".* "")))=""700"",RIGHT(A138,LEN(A138)-len(regexextract(A138,"".* "")))=""2400"",RIGHT(A138,LEN(A138)-len(regexextract(A138,"".* "")))=""650"",RIGHT(A138,LEN(A138)-len(regexextract(A138,"".* "&amp;""")))=""350"",RIGHT(A138,LEN(A138)-len(regexextract(A138,"".* "")))=""50""),RIGHT(A138,LEN(A138)-len(regexextract(A138,"".* ""))),IF(OR(ISERROR(FIND(""spacer"",A138))=FALSE,ISERROR(FIND(""filler panel"",A138))=FALSE),""1000"",""Unexpected size in descript"&amp;"ion"")))"),"")</f>
        <v/>
      </c>
      <c r="D138" s="151" t="str">
        <f t="shared" si="2"/>
        <v/>
      </c>
      <c r="E138" s="152" t="str">
        <f>IFERROR(__xludf.DUMMYFUNCTION("IF(OR(A138="""",AND(ISERROR(FIND(""drawer box"",A138))=FALSE,KitchenDrawerType="""")),"""",IF(OR(ISERROR(FIND(""larder"",A138))=FALSE,ISERROR(FIND(""fridge/freezer"",A138))=FALSE,ISERROR(FIND(""double oven"",A138))=FALSE,ISERROR(FIND(""single oven"",A138)"&amp;")=FALSE),VLOOKUP(LEFT(A138,FIND("" "",A138))&amp;""carcass ""&amp;RIGHT(A138,LEN(A138)-(LEN(A138)-3)),KitchensData,5,0),IF(ISERROR(FIND(""sink"",A138))=FALSE,VLOOKUP(LEFT(A138,FIND("" "",A138))&amp;""carcass ""&amp;VALUE(REGEXREPLACE(A138,""[^[:digit:]]"", """")),Kitchen"&amp;"sData,5,0)+(((C138/1000)*(300/1000))*VLOOKUP(KitchenCarcassMaterial,SheetsData,8,0)),IF(ISERROR(FIND(""bins"",A138))=FALSE,IF(ISERROR(FIND(""veneer"",KitchenCarcassMaterial))=FALSE,VLOOKUP(""Base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600"",A138))=FALSE,IF(ISERR"&amp;"OR(FIND(""veneer"",KitchenCarcassMaterial))=FALSE,0.54*(VLOOKUP(LEFT(KitchenCarcassMaterial,FIND(""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1"&amp;"200"",A138))=FALSE,IF(ISERROR(FIND(""veneer"",KitchenCarcassMaterial))=FALSE,0.84*(VLOOKUP(LEFT(KitchenCarcassMaterial,FIND(""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600"",A138))=FALSE,IF(ISERROR(FIND(""veneer"",KitchenCarcassMaterial))=FALSE,1.44*(VLOOKUP(LEFT(KitchenCarcassMaterial,FIND(""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1200"",A138))=FALSE,IF(ISERROR(FIND(""veneer"",KitchenCarcassMaterial))=FALSE,2.7*(VLOOKUP(LEFT(KitchenCarcassMaterial,FIND(""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front"",A138))=FALSE,((B138/1000)*(C138/1000))*VLOOKUP(KitchenDoorMaterial,SheetsData,8,0),IF(AND(KitchenDrawerType=""Match carcass"",ISERROR(FIND(""drawer box"",A138))=FALSE),(((((B138/10"&amp;"00)*(C138/1000))+((B138/1000)*(D138/1000)))*2)*VLOOKUP(KitchenCarcassMaterial,SheetsData,8,0))+(((C138/1000)*(D138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box"",A138))=FALSE),(((((B138/1000)*(C138/1000))+((B138/1000)*(D138/1000)))*2)*(16/1000)*VLOOKUP(L"&amp;"EFT(KitchenCarcassMaterial,FIND("" "",KitchenCarcassMaterial))&amp;""(solid m3)"",SolidData,5,0))+(((C138/1000)*(D138/1000))*VLOOKUP(LEFT(KitchenCarcassMaterial,FIND(""("",KitchenCarcassMaterial)-1)&amp;IF(OR(ISERROR(FIND(""ply"",KitchenCarcassMaterial))=FALSE,IS"&amp;"ERROR(FIND(""H/F"",KitchenCarcassMaterial))=FALSE),""(9mm)"",""(10mm)""),SheetsData,8,0)),IF(ISERROR(FIND(""spacer"",A138))=FALSE,((D138/1000)*(C138/1000))*VLOOKUP(""Poplar ply (18mm)"",SheetsData,8,0),IF(ISERROR(FIND(""filler panel"",A138))=FALSE,((B138/"&amp;"1000)*(C138/1000))*VLOOKUP(KitchenDoorMaterial,SheetsData,8,0),IF(ISERROR(FIND(""shelf"",A138))=FALSE,((D138/1000)*(C138/1000))*VLOOKUP(KitchenCarcassMaterial,SheetsData,8,0),IF(ISERROR(FIND(""lost corner"",A138))=FALSE,VLOOKUP(LEFT(A138,FIND("" "",A138))"&amp;"&amp;""carcass ""&amp;VALUE(REGEXREPLACE(A138,""[^[:digit:]]"", """")),KitchensData,5,0)+((((B138/1000)*(C138/1000))+((B138/1000)*(60/1000)))*VLOOKUP(KitchenCarcassMaterial,SheetsData,8,0)),IF(ISERROR(FIND(""carcass"",A138))=FALSE,(((((B138/1000)*2)*(D138/1000))+"&amp;"(((C138/1000)*2)*(D138/1000)))*VLOOKUP(KitchenCarcassMaterial,SheetsData,8,0))+((B138/1000)*(C138/1000))*VLOOKUP(LEFT(KitchenCarcassMaterial,FIND(""("",KitchenCarcassMaterial)-1)&amp;IF(OR(ISERROR(FIND(""ply"",KitchenCarcassMaterial))=FALSE,ISERROR(FIND(""H/F"&amp;""",KitchenCarcassMaterial))=FALSE),""(9mm)"",""(10mm)""),SheetsData,8,0),IF(OR(ISERROR(FIND(""Plinth"",A138))=FALSE,ISERROR(FIND(""Cornice (flat)"",A138))=FALSE),((B138/1000)*(C138/1000))*VLOOKUP(""H/F (18mm)"",SheetsData,8,0),IF(ISERROR(FIND(""Cornice (s"&amp;"tacked)"",A138))=FALSE,((0.08*(C138/1000))*2)*VLOOKUP(""H/F (22mm)"",SheetsData,8,0),IF(ISERROR(FIND(""Base end panel"",A138))=FALSE,VLOOKUP(KitchenDoorMaterial,SheetsData,5,0)/3,IF(ISERROR(FIND(""Wall end panel"",A138))=FALSE,VLOOKUP(KitchenDoorMaterial,"&amp;"SheetsData,5,0)/9,IF(ISERROR(FIND(""Tower end panel"",A138))=FALSE,VLOOKUP(KitchenDoorMaterial,SheetsData,5,0),IF(ISERROR(FIND(""Fillers"",A138))=FALSE,(((0.06*(C138/1000))*2)*VLOOKUP(""H/F (18mm)"",SheetsData,8,0))+(((0.06*(C138/1000))*2)*VLOOKUP(""H/F ("&amp;"9mm)"",SheetsData,8,0)),IF(ISERROR(FIND(""corner post"",A138))=FALSE,(((B138/1000)*0.05)*2)*VLOOKUP(KitchenDoorMaterial,SheetsData,8,0),IF(ISERROR(FIND(""Pelmet"",A138))=FALSE,((((B138/1000)*(C138/1000))*2)*VLOOKUP(""H/F (18mm)"",SheetsData,8,0)),IF(ISERR"&amp;"OR(FIND(""door"",A138))=TRUE,""Check description"",IF(KitchenDoorStyle=""Flat"",((B138/1000)*(C138/1000))*VLOOKUP(KitchenDoorMaterial,SheetsData,8,0),IF(LEFT(KitchenDoorStyle,5)=""Panel"",(((((B138/1000)*2)*0.08)+((((C138/1000)-0.16)*2)*0.08))*VLOOKUP(""H"&amp;"/F (22mm)"",SheetsData,8,0))+(((B138/1000)-0.14)*((C138/1000)-0.14)*VLOOKUP(""H/F (9mm)"",SheetsData,8,0)),IF(KitchenDoorStyle=""In-frame flat"",((((((B138/1000)*0.019)*0.038)+((((C138-38)/1000)*0.038)*0.038))*2)*VLOOKUP(""Tulip (solid m3)"",SolidData,5,0"&amp;"))+(((B138-76)/1000)*((C138-38)/1000))*VLOOKUP(""H/F (22mm)"",SheetsData,8,0),IF(LEFT(KitchenDoorStyle,14)=""In-frame panel"",(((((((B138/1000)*0.019)*0.038)+((((C138-38)/1000)*0.038)*0.038))*2)*VLOOKUP(""Tulip (solid m3)"",SolidData,5,0))+(((((((B138-76)"&amp;"/1000)*2)*0.08)+(((((C138-198)/1000)*2)*0.08)))*VLOOKUP(""H/F (22mm)"",SheetsData,8,0))+(((B138-216)/1000)*((C138-178)/1000)*VLOOKUP(""H/F (9mm)"",SheetsData,8,0)))))))))))))))))))))))))))))))))"),"")</f>
        <v/>
      </c>
      <c r="F138" s="152" t="str">
        <f>IFERROR(__xludf.DUMMYFUNCTION("IF(OR(A138="""",AND(ISERROR(FIND(""drawer box"",A138))=FALSE,KitchenDrawerType=""Solid dovetail"")),"""",IF(ISERROR(FIND(""bins"",A138))=FALSE,VLOOKUP(""Base carcass 600"",KitchensData,6,0),IF(OR(ISERROR(FIND(""larder"",A138))=FALSE,ISERROR(FIND(""unit"","&amp;"A138))=FALSE),VLOOKUP(LEFT(A138,FIND("" "",A138))&amp;""carcass ""&amp;RIGHT(A138,LEN(A138)-len(regexextract(A138,"".* ""))),KitchensData,6,0),IF(ISERROR(FIND(""drawer front"",A138))=FALSE,IF(ISERROR(FIND(""veneer"",KitchenCarcassMaterial))=TRUE,0,(((B138+C138)/1"&amp;"000)*2)*VLOOKUP(""Edge banding (per M)"",SheetsData,5,0)),IF(ISERROR(FIND(""drawer box"",A138))=FALSE,IF(ISERROR(FIND(""veneer"",KitchenCarcassMaterial))=TRUE,0,(((C138+D138)/1000)*2)*VLOOKUP(""Edge banding (per M)"",SheetsData,5,0)),IF(ISERROR(FIND(""she"&amp;"lf"",A138))=FALSE,IF(ISERROR(FIND(""veneer"",KitchenCarcassMaterial))=TRUE,0,(C138/1000)*VLOOKUP(""Edge banding (per M)"",SheetsData,5,0)),IF(AND(ISERROR(FIND(""carcass"",A138))=FALSE,ISERROR(FIND(""shelf"",A138))=TRUE),IF(ISERROR(FIND(""veneer"",KitchenC"&amp;"arcassMaterial))=TRUE,0,((2*(B138+C138))/1000)*VLOOKUP(""Edge banding (per M)"",SheetsData,5,0)),IF(ISERROR(FIND(""door"",A138))=TRUE,"""",IF(ISERROR(FIND(""veneer"",KitchenDoorMaterial))=TRUE,"""",((2*(B138+C138))/1000)*VLOOKUP(""Edge banding (per M)"",S"&amp;"heetsData,5,0))))))))))"),"")</f>
        <v/>
      </c>
      <c r="G138" s="153" t="str">
        <f>IF(A138="","",IF(ISERROR(FIND("bins",A138))=FALSE,VLOOKUP("Base carcass 600",KitchensData,7,0),IF(OR(ISERROR(FIND("larder",A138))=FALSE,ISERROR(FIND("fridge/freezer",A138))=FALSE,ISERROR(FIND("double oven",A138))=FALSE,ISERROR(FIND("single oven",A138))=FALSE),VLOOKUP(LEFT(A138,FIND(" ",A138))&amp;"carcass "&amp;RIGHT(A138,LEN(A138)-(LEN(A138)-3)),KitchensData,7,0),IF(AND(ISERROR(FIND("carcass",A138))=FALSE,ISERROR(FIND("shelf",A138))=TRUE),IF(OR(ISERROR(FIND("Base",A138))=FALSE,ISERROR(FIND("Tower",A138))=FALSE),IF(OR(ISERROR(FIND("1200",A138))=FALSE, ISERROR(FIND("lost corner",A138))=FALSE),6*VLOOKUP("Plinth foot (2 Parts 80mm)",FurnitureData,5,0),4*VLOOKUP("Plinth foot (2 Parts 80mm)",FurnitureData,5,0)),""),""))))</f>
        <v/>
      </c>
      <c r="H138" s="115" t="str">
        <f>IF(OR(A138="",ISERROR(FIND("door",A138))=TRUE),"",IF(ISERROR(FIND("Wall",A138))=FALSE,VLOOKUP("Hinges &amp; plates (Hettich thick door)",FurnitureData,5,0)*2,IF(ISERROR(FIND("Base",A138))=FALSE,VLOOKUP("Hinges &amp; plates (Hettich thick door)",FurnitureData,5,0)*3,IF(ISERROR(FIND("Boiler",A138))=FALSE,VLOOKUP("Hinges &amp; plates (Hettich thick door)",FurnitureData,5,0)*4,IF(ISERROR(FIND("Tower",A138))=FALSE,VLOOKUP("Hinges &amp; plates (Hettich thick door)",FurnitureData,5,0)*5)))))</f>
        <v/>
      </c>
      <c r="I138" s="115" t="str">
        <f>IF(ISERROR(FIND("shelf",A138))=FALSE,(VLOOKUP("Shelf pegs",FurnitureData,5,0)/100)*4,"")</f>
        <v/>
      </c>
      <c r="J138" s="152" t="str">
        <f>IF(OR(ISERROR(FIND("fridge/freezer",A138))=FALSE,ISERROR(FIND("larder",A138))=FALSE,AND(ISERROR(FIND("Base",A138))=FALSE,ISERROR(FIND("bins",A138))=TRUE,ISERROR(FIND("no shelves",A138))=TRUE,OR(ISERROR(FIND("carcass",A138))=FALSE,ISERROR(FIND("unit",A138))=FALSE))),VLOOKUP("Deep shelf "&amp;C138,KitchensData,18,0),IF(AND(ISERROR(FIND("Wall",A138))=FALSE,ISERROR(FIND("carcass",A138))=FALSE),2*VLOOKUP("Shallow shelf "&amp;C138,KitchensData,18,0),IF(AND(ISERROR(FIND("Tower",A138))=FALSE,ISERROR(FIND("oven",A138))=FALSE),4*VLOOKUP("Deep shelf "&amp;C138,KitchensData,18,0),IF(AND(ISERROR(FIND("Tower",A138))=FALSE,ISERROR(FIND("carcass",A138))=FALSE),5*VLOOKUP("Deep shelf "&amp;C138,KitchensData,18,0),""))))</f>
        <v/>
      </c>
      <c r="K138" s="152" t="str">
        <f>IF(ISERROR(FIND("sink",A138))=FALSE,VLOOKUP("Sink liner - Aluminium "&amp;RIGHT(A138,LEN(A138)-22)&amp;"mm",ExceptionalData,5,0),IF(ISERROR(FIND("bins",A138))=FALSE,VLOOKUP("Drawer runners and clip set for bin unit (500) Dynapro",FurnitureData,5,0)+(2*VLOOKUP("Bin (42L Anthracite)",FurnitureData,5,0)),IF(ISERROR(FIND("larder",A138))=FALSE,VLOOKUP("Pull out larder unit 600mm",FurnitureData,5,0),IF(AND(ISERROR(FIND("drawer box",A138))=FALSE,ISERROR(FIND("internal",A138))=TRUE),VLOOKUP("Drawer runners and clip set (550) Dynapro",FurnitureData,5,0),IF(ISERROR(FIND("internal drawer box",A138))=FALSE,VLOOKUP("Drawer runners and clip set (450) Dynapro",FurnitureData,5,0),"")))))</f>
        <v/>
      </c>
      <c r="L138" s="152" t="str">
        <f t="shared" si="3"/>
        <v/>
      </c>
      <c r="M138" s="154" t="str">
        <f>IFERROR(__xludf.DUMMYFUNCTION("IF(A138="""","""",IF(OR(ISERROR(FIND(""larder"",A138))=FALSE,ISERROR(FIND(""unit"",A138))=FALSE),VLOOKUP(LEFT(A138,FIND("" "",A138))&amp;""carcass ""&amp;RIGHT(A138,LEN(A138)-len(regexextract(A138,"".* ""))),KitchensData,13,0),IF(ISERROR(FIND(""bins"",A138))=FALS"&amp;"E,0.95,IF(ISERROR(FIND(""Cutlery insert 600"",A138))=FALSE,1.3,IF(ISERROR(FIND(""Cutlery insert 1200"",A138))=FALSE,2,IF(ISERROR(FIND(""Pan/tray rack 600"",A138))=FALSE,3.25,IF(ISERROR(FIND(""Pan/tray rack 1200"",A138))=FALSE,5.9,IF(ISERROR(FIND(""split"""&amp;",A138))=FALSE,(((C138/1000)*0.022)*2)+VLOOKUP(SUBSTITUTE(A138,"" split"",""""),KitchensData,13,0),IF(AND(ISERROR(FIND(""drawer front"",A138))=FALSE,KitchenDoorStyle=""Flat""),(((B138/1000)*(C138/1000))*2)+((((B138+C138)/1000)*2)*0.022),IF(AND(ISERROR(FIND"&amp;"(""drawer front"",A138))=FALSE,LEFT(KitchenDoorStyle,5)=""Panel""),(((B138/1000)*(C138/1000))*2)+((((B138+C138)/1000)*2)*0.022)+((((C138/1000)-0.16)*0.013)*2)+((((D138/1000)-0.16)*0.013)*2),IF(AND(ISERROR(FIND(""drawer front"",A138))=FALSE,KitchenDoorStyl"&amp;"e=""In-frame flat""),((((B138-76)/1000)*((C138-38)/1000))*2)+(MID(KitchenDoorMaterial,FIND(""("",KitchenDoorMaterial)+1,2)/1000)*((((B138-76)+(C138-38))/1000)*2)+(((B138/1000)*0.032)*2)+((((B138-76)/1000)*0.032)*2)+(((B138/1000)*0.019)*4)+(((C138/1000)*0."&amp;"032)*2)+((((C138-38)/1000)*0.032)*2)+(((C138/1000)*0.038)*4),IF(AND(ISERROR(FIND(""drawer front"",A138))=FALSE,LEFT(KitchenDoorStyle,14)=""In-frame panel""),((((B138-76)/1000)*((C138-38)/1000))*2)+((MID(KitchenDoorMaterial,FIND(""("",KitchenDoorMaterial)+"&amp;"1,2)/1000)*((((B138-76)+(C138-38))/1000)*2))+((((B138-236)/1000)+((C138-198)/1000)*2)*0.013)+(((B138/1000)*0.032)*2)+((((B138-76)/1000)*0.032)*2)+(((B138/1000)*0.019)*4)+(((C138/1000)*0.032)*2)+((((C138-38)/1000)*0.032)*2)+(((C138/1000)*0.038)*4),IF(ISERR"&amp;"OR(FIND(""drawer box"",A138))=FALSE,((((B138/1000)*(D138/1000))+((B138/1000)*(C138/1000)))*4)+((((D138/1000)+(C138/1000))*0.016)*4)+(((C138/1000)*(D138/1000))*2),IF(OR(ISERROR(FIND(""shelf"",A138))=FALSE,ISERROR(FIND(""spacer"",A138))=FALSE,,ISERROR(FIND("&amp;"""filler panel"",A138))=FALSE),(((C138/1000)*(D138/1000))*2)+((((C138+D138)*2)/1000)*0.022),IF(ISERROR(FIND(""lost corner"",A138))=FALSE,(((B138/1000)*(C138/1000))*2)+((B138/1000)*(C138/1000))+((B138/1000)*((C138/2)/1000))+((((B138/1000)*0.025)+((C138/100"&amp;"0)*0.025))*2),IF(ISERROR(FIND(""carcass"",A138))=FALSE,(((C138/1000)*(D138/1000))*2)+(((B138/1000)*(D138/1000))*2)+((B138/1000)*(C138/1000))+((((B138/1000)*0.025)+((C138/1000)*0.025))*2),IF(AND(ISERROR(FIND(""door"",A138))=FALSE,KitchenDoorStyle=""Flat"")"&amp;",(((B138/1000)*(C138/1000))*2)+(MID(KitchenDoorMaterial,FIND(""("",KitchenDoorMaterial)+1,2)/1000)*(((B138+C138)/1000)*2),IF(AND(ISERROR(FIND(""door"",A138))=FALSE,LEFT(KitchenDoorStyle,5)=""Panel""),(((B138/1000)*(C138/1000))*2)+((MID(KitchenDoorMaterial"&amp;",FIND(""("",KitchenDoorMaterial)+1,2)/1000)*(((B138+C138)/1000)*2))+(((((B138-160)+(C138-160))*2)/1000)*(0.013)),IF(AND(ISERROR(FIND(""door"",A138))=FALSE,KitchenDoorStyle=""In-frame flat""),((((B138-76)/1000)*((C138-38)/1000))*2)+(MID(KitchenDoorMaterial"&amp;",FIND(""("",KitchenDoorMaterial)+1,2)/1000)*((((B138-76)+(C138-38))/1000)*2)+(((B138/1000)*0.032)*2)+((((B138-76)/1000)*0.032)*2)+(((B138/1000)*0.019)*4)+(((C138/1000)*0.032)*2)+((((C138-38)/1000)*0.032)*2)+(((C138/1000)*0.038)*4),IF(AND(ISERROR(FIND(""do"&amp;"or"",A138))=FALSE,LEFT(KitchenDoorStyle,14)=""In-frame panel""),((((B138-76)/1000)*((C138-38)/1000))*2)+((MID(KitchenDoorMaterial,FIND(""("",KitchenDoorMaterial)+1,2)/1000)*((((B138-76)+(C138-38))/1000)*2))+((((B138-236)/1000)+((C138-198)/1000)*2)*0.013)+"&amp;"(((B138/1000)*0.032)*2)+((((B138-76)/1000)*0.032)*2)+(((B138/1000)*0.019)*4)+(((C138/1000)*0.032)*2)+((((C138-38)/1000)*0.032)*2)+(((C138/1000)*0.038)*4),IF(ISERROR(FIND(""Plinth"",A138))=FALSE,((B138/1000)*(C138/1000))+(((C138/1000)*0.018)*2)+(((B138/100"&amp;"0)*0.018)*2),IF(ISERROR(FIND(""Cornice"",A138))=FALSE,(((C138/1000)*0.1)*2)+(((C138/1000)*0.044)*2)+(((B138/1000)*0.08)*2),IF(ISERROR(FIND(""Base end panel"",A138))=FALSE,((B138/1000)*(C138/1000))+(0.022*((B138/1000)+((C138/1000)*2)))+((B138/1000)*0.05),I"&amp;"F(ISERROR(FIND(""Wall end panel"",A138))=FALSE,((B138/1000)*(C138/1000))+(0.022*((B138/1000)+((C138/1000)*2)))+((B138/1000)*0.05),IF(ISERROR(FIND(""Tower end panel"",A138))=FALSE,((B138/1000)*(C138/1000))+(0.022*((B138/1000)+((C138/1000)*2)))+((B138/1000)"&amp;"*0.05),IF(ISERROR(FIND(""Fillers"",A138))=FALSE,((C138/1000)*0.06)+((C138/1000)*0.069)+((0.06*0.018)*2)+((0.06*0.009)*2)+((C138/1000)*0.009)+((C138/1000)*0.018),IF(ISERROR(FIND(""corner post"",A138))=FALSE,(((B138/1000*0.05)*2)+((B138/1000)*0.022)*2)+((B1"&amp;"38/1000)*0.072)+((B138/1000)*0.05)+((0.072*0.022)*2)+((0.05*0.022)*2),IF(ISERROR(FIND(""Pelmet"",A138))=FALSE,((C138/1000)*0.05)+((C138/1000)*0.068)+((0.05*0.018)*4)+(((C138/1000)*0.018))*2))))))))))))))))))))))))))))"),"")</f>
        <v/>
      </c>
      <c r="N138" s="152" t="str">
        <f>IF(M138="","",IF(AND(ISERROR(FIND("carcass",A138))=TRUE,ISERROR(FIND("unit",A138))=TRUE,ISERROR(FIND("insert",A138))=TRUE,ISERROR(FIND("rack",A138))=TRUE,ISERROR(FIND("box",A138))=TRUE,ISERROR(FIND("shelf",#REF!))=TRUE),VLOOKUP(KitchenDoorFinish,Finishing!$A$2:$K$10,9,0)*M138,VLOOKUP(KitchenCarcassFinish,Finishing!$A$2:$K$40,9,0)*M138))</f>
        <v/>
      </c>
      <c r="O138" s="155"/>
      <c r="P138" s="155"/>
      <c r="Q138" s="152" t="str">
        <f>IF(OR(O138="",P138=""),"",((O138*X138)*(VLOOKUP("Workshop",Labour!$A$3:$E$20,4,0)/8))+((P138*AE138)*(VLOOKUP("Finishing",Labour!$A$3:$E$20,4,0)/8)))</f>
        <v/>
      </c>
      <c r="R138" s="152" t="str">
        <f t="shared" si="4"/>
        <v/>
      </c>
      <c r="S138" s="156" t="str">
        <f>IF(OR(O138="",P138=""),"",IF(OR(ISERROR(FIND("carcass",$A138))=FALSE,ISERROR(FIND("unit",$A138))=FALSE),VLOOKUP(KitchenCarcassMaterial,FixedListsCarcassMaterial,2,0),0))</f>
        <v/>
      </c>
      <c r="T138" s="156" t="str">
        <f>IF(OR(O138="",P138=""),"",IF(ISERROR(FIND("door",$A138))=FALSE,VLOOKUP(KitchenDoorStyle,FixedListsDoorStyle,2,0),0))</f>
        <v/>
      </c>
      <c r="U138" s="156" t="str">
        <f>IF(OR(O138="",P138=""),"",IF(ISERROR(FIND("door",$A138))=FALSE,VLOOKUP(KitchenDoorMaterial,FixedListsDoorMaterial,2,0),0))</f>
        <v/>
      </c>
      <c r="V138" s="156" t="str">
        <f>IF(OR(O138="",P138=""),"",IF(ISERROR(FIND("drawer",$A138))=FALSE,VLOOKUP(KitchenDrawerType,FixedListsDrawerType,2,0),0))</f>
        <v/>
      </c>
      <c r="W138" s="156" t="str">
        <f>IF(OR(O138="",P138=""),"",IF(OR(S138&gt;0, T138&gt;0,V138&gt;0),VLOOKUP(KitchenHandleType,FixedListsHandleType,2,FALSE)*IF(KitchenHandleType="Simple",0,IF(S138&gt;0,VLOOKUP(KitchenHandleType,FixedListsHandleType,4,FALSE),IF(OR(T138&gt;0,V138&gt;0),1-VLOOKUP(KitchenHandleType,FixedListsHandleType,4,FALSE),"Error"))),0))</f>
        <v/>
      </c>
      <c r="X138" s="156" t="str">
        <f t="shared" si="5"/>
        <v/>
      </c>
      <c r="Y138" s="156" t="str">
        <f>IF(OR(O138="",P138=""),"",IF(OR(ISERROR(FIND("carcass",$A138))=FALSE,ISERROR(FIND("unit",$A138))=FALSE),VLOOKUP(KitchenCarcassMaterial,FixedListsCarcassMaterial,3,0),0))</f>
        <v/>
      </c>
      <c r="Z138" s="156" t="str">
        <f>IF(OR(O138="",P138=""),"",IF(ISERROR(FIND("door",$A138))=FALSE,VLOOKUP(KitchenDoorStyle,FixedListsDoorStyle,3,0),0))</f>
        <v/>
      </c>
      <c r="AA138" s="156" t="str">
        <f>IF(OR(O138="",P138=""),"",IF(ISERROR(FIND("door",$A138))=FALSE,VLOOKUP(KitchenDoorMaterial,FixedListsDoorMaterial,3,0),0))</f>
        <v/>
      </c>
      <c r="AB138" s="156" t="str">
        <f>IF(OR(O138="",P138=""),"",IF(ISERROR(FIND("drawer",$A138))=FALSE,VLOOKUP(KitchenDrawerType,FixedListsDrawerType,3,0),0))</f>
        <v/>
      </c>
      <c r="AC138" s="156" t="str">
        <f>IF(OR(O138="",P138=""),"",IF(OR(Y138&gt;0,Z138&gt;0,AB138&gt;0),VLOOKUP(KitchenHandleType,FixedListsHandleType,3,FALSE),0))</f>
        <v/>
      </c>
      <c r="AD138" s="156" t="str">
        <f>IF(OR(O138="",P138=""),"",IF(OR(ISERROR(FIND("carcass",$A138))=FALSE,ISERROR(FIND("unit",$A138))=FALSE),VLOOKUP(KitchenCarcassFinish,FixedListsFinishes,3,0),IF(OR(ISERROR(FIND("door",$A138))=FALSE,ISERROR(FIND("Plinth",$A138))=FALSE,ISERROR(FIND("Cornice",$A138))=FALSE,ISERROR(FIND("Fillers",$A138))=FALSE,ISERROR(FIND("Pelmet",$A138))=FALSE,ISERROR(FIND("panel",$A138))=FALSE,ISERROR(FIND("post",$A138))=FALSE),VLOOKUP(KitchenDoorFinish,FixedListsFinishes,3,0),IF(OR(ISERROR(FIND("drawer",$A138))=FALSE,ISERROR(FIND("insert",$A138))=FALSE,ISERROR(FIND("rck",$A138))=FALSE),VLOOKUP(KitchenCarcassFinish,FixedListsFinishes,3,0),0))))</f>
        <v/>
      </c>
      <c r="AE138" s="156" t="str">
        <f t="shared" si="6"/>
        <v/>
      </c>
      <c r="AF138" s="157" t="str">
        <f>IF(AND(KitchenHandleType="Channel",OR(ISERROR(FIND("arcass",$A138))=FALSE,ISERROR(FIND("unit",$A138))=FALSE)),IF(ISERROR(FIND("Tower",$A138))=TRUE,IF(KitchenHandleFinish="Match carcass",IF(ISERROR(FIND("Walnut",KitchenCarcassMaterial))=FALSE,(0.035*0.075*($C138/1000))*VLOOKUP("Walnut (solid m3)",SolidData,4,FALSE),IF(ISERROR(FIND("Oak",KitchenCarcassMaterial))=FALSE,(0.035*0.075*($C138/1000))*VLOOKUP("Oak (solid m3)",SolidData,4,FALSE),IF(ISERROR(FIND("ply",KitchenCarcassMaterial))=FALSE,(0.1*($C138/1000))*VLOOKUP("Birch ply (24mm)",SheetsData,7,FALSE),IF(ISERROR(FIND("H/F",KitchenCarcassMaterial))=FALSE,(0.1*($C138/1000))*VLOOKUP("H/F (22mm)",SheetsData,7,FALSE),"Carcass - not tower - new material")))),IF(KitchenHandleFinish="Match door",IF(ISERROR(FIND("Walnut",KitchenDoorMaterial))=FALSE,(0.035*0.075*($C138/1000))*VLOOKUP("Walnut (solid m3)",SolidData,4,FALSE),IF(ISERROR(FIND("Oak",KitchenDoorMaterial))=FALSE,(0.035*0.075*($C138/1000))*VLOOKUP("Oak (solid m3)",SolidData,4,FALSE),IF(ISERROR(FIND("ply",KitchenDoorMaterial))=FALSE,(0.1*($C138/1000))*VLOOKUP("Birch ply (24mm)",SheetsData,7,FALSE),IF(ISERROR(FIND("H/F",KitchenCarcassMaterial))=FALSE,(0.1*($C138/1000))*VLOOKUP("H/F (22mm)",SheetsData,7,FALSE),"Door - not tower - new material")))),"Channel - not tower - handle set to other")),IF(ISERROR(FIND("Tower",$A138))=FALSE,IF(KitchenHandleFinish="Match carcass",IF(ISERROR(FIND("Walnut",KitchenCarcassMaterial))=FALSE,(0.035*0.075*($B138/1000))*VLOOKUP("Walnut (solid m3)",SolidData,4,FALSE),IF(ISERROR(FIND("Oak",KitchenCarcassMaterial))=FALSE,(0.035*0.075*($B138/1000))*VLOOKUP("Oak (solid m3)",SolidData,4,FALSE),IF(ISERROR(FIND("ply",KitchenCarcassMaterial))=FALSE,(0.1*($B138/1000))*VLOOKUP("Birch ply (24mm)",SheetsData,7,FALSE),IF(ISERROR(FIND("H/F",KitchenCarcassMaterial))=FALSE,(0.1*($C138/1000))*VLOOKUP("H/F (22mm)",SheetsData,7,FALSE),"Carcass - tower - new material")))),IF(KitchenHandleFinish="Match door",IF(ISERROR(FIND("Walnut",KitchenDoorMaterial))=FALSE,(0.035*0.075*($B138/1000))*VLOOKUP("Walnut (solid m3)",SolidData,4,FALSE),IF(ISERROR(FIND("Oak",KitchenDoorMaterial))=FALSE,(0.035*0.075*($B138/1000))*VLOOKUP("Oak (solid m3)",SolidData,4,FALSE),IF(ISERROR(FIND("ply",KitchenDoorMaterial))=FALSE,(0.1*($B138/1000))*VLOOKUP("Birch ply (24mm)",SheetData,7,FALSE),IF(ISERROR(FIND("H/F",KitchenCarcassMaterial))=FALSE,(0.1*($C138/1000))*VLOOKUP("H/F (22mm)",SheetsData,7,FALSE),"Door - tower - new material")))),"Channel - tower - handle set to other")))),"")</f>
        <v/>
      </c>
    </row>
    <row r="139">
      <c r="A139" s="150"/>
      <c r="B139" s="115" t="str">
        <f t="shared" si="1"/>
        <v/>
      </c>
      <c r="C139" s="115" t="str">
        <f>IFERROR(__xludf.DUMMYFUNCTION("IF(A139="""","""",IF(OR(RIGHT(A139,LEN(A139)-len(regexextract(A139,"".* "")))=""1200"",RIGHT(A139,LEN(A139)-len(regexextract(A139,"".* "")))=""600"",RIGHT(A139,LEN(A139)-len(regexextract(A139,"".* "")))=""400"",RIGHT(A139,LEN(A139)-len(regexextract(A139,"&amp;""".* "")))=""300"",RIGHT(A139,LEN(A139)-len(regexextract(A139,"".* "")))=""700"",RIGHT(A139,LEN(A139)-len(regexextract(A139,"".* "")))=""2400"",RIGHT(A139,LEN(A139)-len(regexextract(A139,"".* "")))=""650"",RIGHT(A139,LEN(A139)-len(regexextract(A139,"".* "&amp;""")))=""350"",RIGHT(A139,LEN(A139)-len(regexextract(A139,"".* "")))=""50""),RIGHT(A139,LEN(A139)-len(regexextract(A139,"".* ""))),IF(OR(ISERROR(FIND(""spacer"",A139))=FALSE,ISERROR(FIND(""filler panel"",A139))=FALSE),""1000"",""Unexpected size in descript"&amp;"ion"")))"),"")</f>
        <v/>
      </c>
      <c r="D139" s="151" t="str">
        <f t="shared" si="2"/>
        <v/>
      </c>
      <c r="E139" s="152" t="str">
        <f>IFERROR(__xludf.DUMMYFUNCTION("IF(OR(A139="""",AND(ISERROR(FIND(""drawer box"",A139))=FALSE,KitchenDrawerType="""")),"""",IF(OR(ISERROR(FIND(""larder"",A139))=FALSE,ISERROR(FIND(""fridge/freezer"",A139))=FALSE,ISERROR(FIND(""double oven"",A139))=FALSE,ISERROR(FIND(""single oven"",A139)"&amp;")=FALSE),VLOOKUP(LEFT(A139,FIND("" "",A139))&amp;""carcass ""&amp;RIGHT(A139,LEN(A139)-(LEN(A139)-3)),KitchensData,5,0),IF(ISERROR(FIND(""sink"",A139))=FALSE,VLOOKUP(LEFT(A139,FIND("" "",A139))&amp;""carcass ""&amp;VALUE(REGEXREPLACE(A139,""[^[:digit:]]"", """")),Kitchen"&amp;"sData,5,0)+(((C139/1000)*(300/1000))*VLOOKUP(KitchenCarcassMaterial,SheetsData,8,0)),IF(ISERROR(FIND(""bins"",A139))=FALSE,IF(ISERROR(FIND(""veneer"",KitchenCarcassMaterial))=FALSE,VLOOKUP(""Base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600"",A139))=FALSE,IF(ISERR"&amp;"OR(FIND(""veneer"",KitchenCarcassMaterial))=FALSE,0.54*(VLOOKUP(LEFT(KitchenCarcassMaterial,FIND(""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1"&amp;"200"",A139))=FALSE,IF(ISERROR(FIND(""veneer"",KitchenCarcassMaterial))=FALSE,0.84*(VLOOKUP(LEFT(KitchenCarcassMaterial,FIND(""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600"",A139))=FALSE,IF(ISERROR(FIND(""veneer"",KitchenCarcassMaterial))=FALSE,1.44*(VLOOKUP(LEFT(KitchenCarcassMaterial,FIND(""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1200"",A139))=FALSE,IF(ISERROR(FIND(""veneer"",KitchenCarcassMaterial))=FALSE,2.7*(VLOOKUP(LEFT(KitchenCarcassMaterial,FIND(""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front"",A139))=FALSE,((B139/1000)*(C139/1000))*VLOOKUP(KitchenDoorMaterial,SheetsData,8,0),IF(AND(KitchenDrawerType=""Match carcass"",ISERROR(FIND(""drawer box"",A139))=FALSE),(((((B139/10"&amp;"00)*(C139/1000))+((B139/1000)*(D139/1000)))*2)*VLOOKUP(KitchenCarcassMaterial,SheetsData,8,0))+(((C139/1000)*(D139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box"",A139))=FALSE),(((((B139/1000)*(C139/1000))+((B139/1000)*(D139/1000)))*2)*(16/1000)*VLOOKUP(L"&amp;"EFT(KitchenCarcassMaterial,FIND("" "",KitchenCarcassMaterial))&amp;""(solid m3)"",SolidData,5,0))+(((C139/1000)*(D139/1000))*VLOOKUP(LEFT(KitchenCarcassMaterial,FIND(""("",KitchenCarcassMaterial)-1)&amp;IF(OR(ISERROR(FIND(""ply"",KitchenCarcassMaterial))=FALSE,IS"&amp;"ERROR(FIND(""H/F"",KitchenCarcassMaterial))=FALSE),""(9mm)"",""(10mm)""),SheetsData,8,0)),IF(ISERROR(FIND(""spacer"",A139))=FALSE,((D139/1000)*(C139/1000))*VLOOKUP(""Poplar ply (18mm)"",SheetsData,8,0),IF(ISERROR(FIND(""filler panel"",A139))=FALSE,((B139/"&amp;"1000)*(C139/1000))*VLOOKUP(KitchenDoorMaterial,SheetsData,8,0),IF(ISERROR(FIND(""shelf"",A139))=FALSE,((D139/1000)*(C139/1000))*VLOOKUP(KitchenCarcassMaterial,SheetsData,8,0),IF(ISERROR(FIND(""lost corner"",A139))=FALSE,VLOOKUP(LEFT(A139,FIND("" "",A139))"&amp;"&amp;""carcass ""&amp;VALUE(REGEXREPLACE(A139,""[^[:digit:]]"", """")),KitchensData,5,0)+((((B139/1000)*(C139/1000))+((B139/1000)*(60/1000)))*VLOOKUP(KitchenCarcassMaterial,SheetsData,8,0)),IF(ISERROR(FIND(""carcass"",A139))=FALSE,(((((B139/1000)*2)*(D139/1000))+"&amp;"(((C139/1000)*2)*(D139/1000)))*VLOOKUP(KitchenCarcassMaterial,SheetsData,8,0))+((B139/1000)*(C139/1000))*VLOOKUP(LEFT(KitchenCarcassMaterial,FIND(""("",KitchenCarcassMaterial)-1)&amp;IF(OR(ISERROR(FIND(""ply"",KitchenCarcassMaterial))=FALSE,ISERROR(FIND(""H/F"&amp;""",KitchenCarcassMaterial))=FALSE),""(9mm)"",""(10mm)""),SheetsData,8,0),IF(OR(ISERROR(FIND(""Plinth"",A139))=FALSE,ISERROR(FIND(""Cornice (flat)"",A139))=FALSE),((B139/1000)*(C139/1000))*VLOOKUP(""H/F (18mm)"",SheetsData,8,0),IF(ISERROR(FIND(""Cornice (s"&amp;"tacked)"",A139))=FALSE,((0.08*(C139/1000))*2)*VLOOKUP(""H/F (22mm)"",SheetsData,8,0),IF(ISERROR(FIND(""Base end panel"",A139))=FALSE,VLOOKUP(KitchenDoorMaterial,SheetsData,5,0)/3,IF(ISERROR(FIND(""Wall end panel"",A139))=FALSE,VLOOKUP(KitchenDoorMaterial,"&amp;"SheetsData,5,0)/9,IF(ISERROR(FIND(""Tower end panel"",A139))=FALSE,VLOOKUP(KitchenDoorMaterial,SheetsData,5,0),IF(ISERROR(FIND(""Fillers"",A139))=FALSE,(((0.06*(C139/1000))*2)*VLOOKUP(""H/F (18mm)"",SheetsData,8,0))+(((0.06*(C139/1000))*2)*VLOOKUP(""H/F ("&amp;"9mm)"",SheetsData,8,0)),IF(ISERROR(FIND(""corner post"",A139))=FALSE,(((B139/1000)*0.05)*2)*VLOOKUP(KitchenDoorMaterial,SheetsData,8,0),IF(ISERROR(FIND(""Pelmet"",A139))=FALSE,((((B139/1000)*(C139/1000))*2)*VLOOKUP(""H/F (18mm)"",SheetsData,8,0)),IF(ISERR"&amp;"OR(FIND(""door"",A139))=TRUE,""Check description"",IF(KitchenDoorStyle=""Flat"",((B139/1000)*(C139/1000))*VLOOKUP(KitchenDoorMaterial,SheetsData,8,0),IF(LEFT(KitchenDoorStyle,5)=""Panel"",(((((B139/1000)*2)*0.08)+((((C139/1000)-0.16)*2)*0.08))*VLOOKUP(""H"&amp;"/F (22mm)"",SheetsData,8,0))+(((B139/1000)-0.14)*((C139/1000)-0.14)*VLOOKUP(""H/F (9mm)"",SheetsData,8,0)),IF(KitchenDoorStyle=""In-frame flat"",((((((B139/1000)*0.019)*0.038)+((((C139-38)/1000)*0.038)*0.038))*2)*VLOOKUP(""Tulip (solid m3)"",SolidData,5,0"&amp;"))+(((B139-76)/1000)*((C139-38)/1000))*VLOOKUP(""H/F (22mm)"",SheetsData,8,0),IF(LEFT(KitchenDoorStyle,14)=""In-frame panel"",(((((((B139/1000)*0.019)*0.038)+((((C139-38)/1000)*0.038)*0.038))*2)*VLOOKUP(""Tulip (solid m3)"",SolidData,5,0))+(((((((B139-76)"&amp;"/1000)*2)*0.08)+(((((C139-198)/1000)*2)*0.08)))*VLOOKUP(""H/F (22mm)"",SheetsData,8,0))+(((B139-216)/1000)*((C139-178)/1000)*VLOOKUP(""H/F (9mm)"",SheetsData,8,0)))))))))))))))))))))))))))))))))"),"")</f>
        <v/>
      </c>
      <c r="F139" s="152" t="str">
        <f>IFERROR(__xludf.DUMMYFUNCTION("IF(OR(A139="""",AND(ISERROR(FIND(""drawer box"",A139))=FALSE,KitchenDrawerType=""Solid dovetail"")),"""",IF(ISERROR(FIND(""bins"",A139))=FALSE,VLOOKUP(""Base carcass 600"",KitchensData,6,0),IF(OR(ISERROR(FIND(""larder"",A139))=FALSE,ISERROR(FIND(""unit"","&amp;"A139))=FALSE),VLOOKUP(LEFT(A139,FIND("" "",A139))&amp;""carcass ""&amp;RIGHT(A139,LEN(A139)-len(regexextract(A139,"".* ""))),KitchensData,6,0),IF(ISERROR(FIND(""drawer front"",A139))=FALSE,IF(ISERROR(FIND(""veneer"",KitchenCarcassMaterial))=TRUE,0,(((B139+C139)/1"&amp;"000)*2)*VLOOKUP(""Edge banding (per M)"",SheetsData,5,0)),IF(ISERROR(FIND(""drawer box"",A139))=FALSE,IF(ISERROR(FIND(""veneer"",KitchenCarcassMaterial))=TRUE,0,(((C139+D139)/1000)*2)*VLOOKUP(""Edge banding (per M)"",SheetsData,5,0)),IF(ISERROR(FIND(""she"&amp;"lf"",A139))=FALSE,IF(ISERROR(FIND(""veneer"",KitchenCarcassMaterial))=TRUE,0,(C139/1000)*VLOOKUP(""Edge banding (per M)"",SheetsData,5,0)),IF(AND(ISERROR(FIND(""carcass"",A139))=FALSE,ISERROR(FIND(""shelf"",A139))=TRUE),IF(ISERROR(FIND(""veneer"",KitchenC"&amp;"arcassMaterial))=TRUE,0,((2*(B139+C139))/1000)*VLOOKUP(""Edge banding (per M)"",SheetsData,5,0)),IF(ISERROR(FIND(""door"",A139))=TRUE,"""",IF(ISERROR(FIND(""veneer"",KitchenDoorMaterial))=TRUE,"""",((2*(B139+C139))/1000)*VLOOKUP(""Edge banding (per M)"",S"&amp;"heetsData,5,0))))))))))"),"")</f>
        <v/>
      </c>
      <c r="G139" s="153" t="str">
        <f>IF(A139="","",IF(ISERROR(FIND("bins",A139))=FALSE,VLOOKUP("Base carcass 600",KitchensData,7,0),IF(OR(ISERROR(FIND("larder",A139))=FALSE,ISERROR(FIND("fridge/freezer",A139))=FALSE,ISERROR(FIND("double oven",A139))=FALSE,ISERROR(FIND("single oven",A139))=FALSE),VLOOKUP(LEFT(A139,FIND(" ",A139))&amp;"carcass "&amp;RIGHT(A139,LEN(A139)-(LEN(A139)-3)),KitchensData,7,0),IF(AND(ISERROR(FIND("carcass",A139))=FALSE,ISERROR(FIND("shelf",A139))=TRUE),IF(OR(ISERROR(FIND("Base",A139))=FALSE,ISERROR(FIND("Tower",A139))=FALSE),IF(OR(ISERROR(FIND("1200",A139))=FALSE, ISERROR(FIND("lost corner",A139))=FALSE),6*VLOOKUP("Plinth foot (2 Parts 80mm)",FurnitureData,5,0),4*VLOOKUP("Plinth foot (2 Parts 80mm)",FurnitureData,5,0)),""),""))))</f>
        <v/>
      </c>
      <c r="H139" s="115" t="str">
        <f>IF(OR(A139="",ISERROR(FIND("door",A139))=TRUE),"",IF(ISERROR(FIND("Wall",A139))=FALSE,VLOOKUP("Hinges &amp; plates (Hettich thick door)",FurnitureData,5,0)*2,IF(ISERROR(FIND("Base",A139))=FALSE,VLOOKUP("Hinges &amp; plates (Hettich thick door)",FurnitureData,5,0)*3,IF(ISERROR(FIND("Boiler",A139))=FALSE,VLOOKUP("Hinges &amp; plates (Hettich thick door)",FurnitureData,5,0)*4,IF(ISERROR(FIND("Tower",A139))=FALSE,VLOOKUP("Hinges &amp; plates (Hettich thick door)",FurnitureData,5,0)*5)))))</f>
        <v/>
      </c>
      <c r="I139" s="115" t="str">
        <f>IF(ISERROR(FIND("shelf",A139))=FALSE,(VLOOKUP("Shelf pegs",FurnitureData,5,0)/100)*4,"")</f>
        <v/>
      </c>
      <c r="J139" s="152" t="str">
        <f>IF(OR(ISERROR(FIND("fridge/freezer",A139))=FALSE,ISERROR(FIND("larder",A139))=FALSE,AND(ISERROR(FIND("Base",A139))=FALSE,ISERROR(FIND("bins",A139))=TRUE,ISERROR(FIND("no shelves",A139))=TRUE,OR(ISERROR(FIND("carcass",A139))=FALSE,ISERROR(FIND("unit",A139))=FALSE))),VLOOKUP("Deep shelf "&amp;C139,KitchensData,18,0),IF(AND(ISERROR(FIND("Wall",A139))=FALSE,ISERROR(FIND("carcass",A139))=FALSE),2*VLOOKUP("Shallow shelf "&amp;C139,KitchensData,18,0),IF(AND(ISERROR(FIND("Tower",A139))=FALSE,ISERROR(FIND("oven",A139))=FALSE),4*VLOOKUP("Deep shelf "&amp;C139,KitchensData,18,0),IF(AND(ISERROR(FIND("Tower",A139))=FALSE,ISERROR(FIND("carcass",A139))=FALSE),5*VLOOKUP("Deep shelf "&amp;C139,KitchensData,18,0),""))))</f>
        <v/>
      </c>
      <c r="K139" s="152" t="str">
        <f>IF(ISERROR(FIND("sink",A139))=FALSE,VLOOKUP("Sink liner - Aluminium "&amp;RIGHT(A139,LEN(A139)-22)&amp;"mm",ExceptionalData,5,0),IF(ISERROR(FIND("bins",A139))=FALSE,VLOOKUP("Drawer runners and clip set for bin unit (500) Dynapro",FurnitureData,5,0)+(2*VLOOKUP("Bin (42L Anthracite)",FurnitureData,5,0)),IF(ISERROR(FIND("larder",A139))=FALSE,VLOOKUP("Pull out larder unit 600mm",FurnitureData,5,0),IF(AND(ISERROR(FIND("drawer box",A139))=FALSE,ISERROR(FIND("internal",A139))=TRUE),VLOOKUP("Drawer runners and clip set (550) Dynapro",FurnitureData,5,0),IF(ISERROR(FIND("internal drawer box",A139))=FALSE,VLOOKUP("Drawer runners and clip set (450) Dynapro",FurnitureData,5,0),"")))))</f>
        <v/>
      </c>
      <c r="L139" s="152" t="str">
        <f t="shared" si="3"/>
        <v/>
      </c>
      <c r="M139" s="154" t="str">
        <f>IFERROR(__xludf.DUMMYFUNCTION("IF(A139="""","""",IF(OR(ISERROR(FIND(""larder"",A139))=FALSE,ISERROR(FIND(""unit"",A139))=FALSE),VLOOKUP(LEFT(A139,FIND("" "",A139))&amp;""carcass ""&amp;RIGHT(A139,LEN(A139)-len(regexextract(A139,"".* ""))),KitchensData,13,0),IF(ISERROR(FIND(""bins"",A139))=FALS"&amp;"E,0.95,IF(ISERROR(FIND(""Cutlery insert 600"",A139))=FALSE,1.3,IF(ISERROR(FIND(""Cutlery insert 1200"",A139))=FALSE,2,IF(ISERROR(FIND(""Pan/tray rack 600"",A139))=FALSE,3.25,IF(ISERROR(FIND(""Pan/tray rack 1200"",A139))=FALSE,5.9,IF(ISERROR(FIND(""split"""&amp;",A139))=FALSE,(((C139/1000)*0.022)*2)+VLOOKUP(SUBSTITUTE(A139,"" split"",""""),KitchensData,13,0),IF(AND(ISERROR(FIND(""drawer front"",A139))=FALSE,KitchenDoorStyle=""Flat""),(((B139/1000)*(C139/1000))*2)+((((B139+C139)/1000)*2)*0.022),IF(AND(ISERROR(FIND"&amp;"(""drawer front"",A139))=FALSE,LEFT(KitchenDoorStyle,5)=""Panel""),(((B139/1000)*(C139/1000))*2)+((((B139+C139)/1000)*2)*0.022)+((((C139/1000)-0.16)*0.013)*2)+((((D139/1000)-0.16)*0.013)*2),IF(AND(ISERROR(FIND(""drawer front"",A139))=FALSE,KitchenDoorStyl"&amp;"e=""In-frame flat""),((((B139-76)/1000)*((C139-38)/1000))*2)+(MID(KitchenDoorMaterial,FIND(""("",KitchenDoorMaterial)+1,2)/1000)*((((B139-76)+(C139-38))/1000)*2)+(((B139/1000)*0.032)*2)+((((B139-76)/1000)*0.032)*2)+(((B139/1000)*0.019)*4)+(((C139/1000)*0."&amp;"032)*2)+((((C139-38)/1000)*0.032)*2)+(((C139/1000)*0.038)*4),IF(AND(ISERROR(FIND(""drawer front"",A139))=FALSE,LEFT(KitchenDoorStyle,14)=""In-frame panel""),((((B139-76)/1000)*((C139-38)/1000))*2)+((MID(KitchenDoorMaterial,FIND(""("",KitchenDoorMaterial)+"&amp;"1,2)/1000)*((((B139-76)+(C139-38))/1000)*2))+((((B139-236)/1000)+((C139-198)/1000)*2)*0.013)+(((B139/1000)*0.032)*2)+((((B139-76)/1000)*0.032)*2)+(((B139/1000)*0.019)*4)+(((C139/1000)*0.032)*2)+((((C139-38)/1000)*0.032)*2)+(((C139/1000)*0.038)*4),IF(ISERR"&amp;"OR(FIND(""drawer box"",A139))=FALSE,((((B139/1000)*(D139/1000))+((B139/1000)*(C139/1000)))*4)+((((D139/1000)+(C139/1000))*0.016)*4)+(((C139/1000)*(D139/1000))*2),IF(OR(ISERROR(FIND(""shelf"",A139))=FALSE,ISERROR(FIND(""spacer"",A139))=FALSE,,ISERROR(FIND("&amp;"""filler panel"",A139))=FALSE),(((C139/1000)*(D139/1000))*2)+((((C139+D139)*2)/1000)*0.022),IF(ISERROR(FIND(""lost corner"",A139))=FALSE,(((B139/1000)*(C139/1000))*2)+((B139/1000)*(C139/1000))+((B139/1000)*((C139/2)/1000))+((((B139/1000)*0.025)+((C139/100"&amp;"0)*0.025))*2),IF(ISERROR(FIND(""carcass"",A139))=FALSE,(((C139/1000)*(D139/1000))*2)+(((B139/1000)*(D139/1000))*2)+((B139/1000)*(C139/1000))+((((B139/1000)*0.025)+((C139/1000)*0.025))*2),IF(AND(ISERROR(FIND(""door"",A139))=FALSE,KitchenDoorStyle=""Flat"")"&amp;",(((B139/1000)*(C139/1000))*2)+(MID(KitchenDoorMaterial,FIND(""("",KitchenDoorMaterial)+1,2)/1000)*(((B139+C139)/1000)*2),IF(AND(ISERROR(FIND(""door"",A139))=FALSE,LEFT(KitchenDoorStyle,5)=""Panel""),(((B139/1000)*(C139/1000))*2)+((MID(KitchenDoorMaterial"&amp;",FIND(""("",KitchenDoorMaterial)+1,2)/1000)*(((B139+C139)/1000)*2))+(((((B139-160)+(C139-160))*2)/1000)*(0.013)),IF(AND(ISERROR(FIND(""door"",A139))=FALSE,KitchenDoorStyle=""In-frame flat""),((((B139-76)/1000)*((C139-38)/1000))*2)+(MID(KitchenDoorMaterial"&amp;",FIND(""("",KitchenDoorMaterial)+1,2)/1000)*((((B139-76)+(C139-38))/1000)*2)+(((B139/1000)*0.032)*2)+((((B139-76)/1000)*0.032)*2)+(((B139/1000)*0.019)*4)+(((C139/1000)*0.032)*2)+((((C139-38)/1000)*0.032)*2)+(((C139/1000)*0.038)*4),IF(AND(ISERROR(FIND(""do"&amp;"or"",A139))=FALSE,LEFT(KitchenDoorStyle,14)=""In-frame panel""),((((B139-76)/1000)*((C139-38)/1000))*2)+((MID(KitchenDoorMaterial,FIND(""("",KitchenDoorMaterial)+1,2)/1000)*((((B139-76)+(C139-38))/1000)*2))+((((B139-236)/1000)+((C139-198)/1000)*2)*0.013)+"&amp;"(((B139/1000)*0.032)*2)+((((B139-76)/1000)*0.032)*2)+(((B139/1000)*0.019)*4)+(((C139/1000)*0.032)*2)+((((C139-38)/1000)*0.032)*2)+(((C139/1000)*0.038)*4),IF(ISERROR(FIND(""Plinth"",A139))=FALSE,((B139/1000)*(C139/1000))+(((C139/1000)*0.018)*2)+(((B139/100"&amp;"0)*0.018)*2),IF(ISERROR(FIND(""Cornice"",A139))=FALSE,(((C139/1000)*0.1)*2)+(((C139/1000)*0.044)*2)+(((B139/1000)*0.08)*2),IF(ISERROR(FIND(""Base end panel"",A139))=FALSE,((B139/1000)*(C139/1000))+(0.022*((B139/1000)+((C139/1000)*2)))+((B139/1000)*0.05),I"&amp;"F(ISERROR(FIND(""Wall end panel"",A139))=FALSE,((B139/1000)*(C139/1000))+(0.022*((B139/1000)+((C139/1000)*2)))+((B139/1000)*0.05),IF(ISERROR(FIND(""Tower end panel"",A139))=FALSE,((B139/1000)*(C139/1000))+(0.022*((B139/1000)+((C139/1000)*2)))+((B139/1000)"&amp;"*0.05),IF(ISERROR(FIND(""Fillers"",A139))=FALSE,((C139/1000)*0.06)+((C139/1000)*0.069)+((0.06*0.018)*2)+((0.06*0.009)*2)+((C139/1000)*0.009)+((C139/1000)*0.018),IF(ISERROR(FIND(""corner post"",A139))=FALSE,(((B139/1000*0.05)*2)+((B139/1000)*0.022)*2)+((B1"&amp;"39/1000)*0.072)+((B139/1000)*0.05)+((0.072*0.022)*2)+((0.05*0.022)*2),IF(ISERROR(FIND(""Pelmet"",A139))=FALSE,((C139/1000)*0.05)+((C139/1000)*0.068)+((0.05*0.018)*4)+(((C139/1000)*0.018))*2))))))))))))))))))))))))))))"),"")</f>
        <v/>
      </c>
      <c r="N139" s="152" t="str">
        <f>IF(M139="","",IF(AND(ISERROR(FIND("carcass",A139))=TRUE,ISERROR(FIND("unit",A139))=TRUE,ISERROR(FIND("insert",A139))=TRUE,ISERROR(FIND("rack",A139))=TRUE,ISERROR(FIND("box",A139))=TRUE,ISERROR(FIND("shelf",#REF!))=TRUE),VLOOKUP(KitchenDoorFinish,Finishing!$A$2:$K$10,9,0)*M139,VLOOKUP(KitchenCarcassFinish,Finishing!$A$2:$K$40,9,0)*M139))</f>
        <v/>
      </c>
      <c r="O139" s="155"/>
      <c r="P139" s="155"/>
      <c r="Q139" s="152" t="str">
        <f>IF(OR(O139="",P139=""),"",((O139*X139)*(VLOOKUP("Workshop",Labour!$A$3:$E$20,4,0)/8))+((P139*AE139)*(VLOOKUP("Finishing",Labour!$A$3:$E$20,4,0)/8)))</f>
        <v/>
      </c>
      <c r="R139" s="152" t="str">
        <f t="shared" si="4"/>
        <v/>
      </c>
      <c r="S139" s="156" t="str">
        <f>IF(OR(O139="",P139=""),"",IF(OR(ISERROR(FIND("carcass",$A139))=FALSE,ISERROR(FIND("unit",$A139))=FALSE),VLOOKUP(KitchenCarcassMaterial,FixedListsCarcassMaterial,2,0),0))</f>
        <v/>
      </c>
      <c r="T139" s="156" t="str">
        <f>IF(OR(O139="",P139=""),"",IF(ISERROR(FIND("door",$A139))=FALSE,VLOOKUP(KitchenDoorStyle,FixedListsDoorStyle,2,0),0))</f>
        <v/>
      </c>
      <c r="U139" s="156" t="str">
        <f>IF(OR(O139="",P139=""),"",IF(ISERROR(FIND("door",$A139))=FALSE,VLOOKUP(KitchenDoorMaterial,FixedListsDoorMaterial,2,0),0))</f>
        <v/>
      </c>
      <c r="V139" s="156" t="str">
        <f>IF(OR(O139="",P139=""),"",IF(ISERROR(FIND("drawer",$A139))=FALSE,VLOOKUP(KitchenDrawerType,FixedListsDrawerType,2,0),0))</f>
        <v/>
      </c>
      <c r="W139" s="156" t="str">
        <f>IF(OR(O139="",P139=""),"",IF(OR(S139&gt;0, T139&gt;0,V139&gt;0),VLOOKUP(KitchenHandleType,FixedListsHandleType,2,FALSE)*IF(KitchenHandleType="Simple",0,IF(S139&gt;0,VLOOKUP(KitchenHandleType,FixedListsHandleType,4,FALSE),IF(OR(T139&gt;0,V139&gt;0),1-VLOOKUP(KitchenHandleType,FixedListsHandleType,4,FALSE),"Error"))),0))</f>
        <v/>
      </c>
      <c r="X139" s="156" t="str">
        <f t="shared" si="5"/>
        <v/>
      </c>
      <c r="Y139" s="156" t="str">
        <f>IF(OR(O139="",P139=""),"",IF(OR(ISERROR(FIND("carcass",$A139))=FALSE,ISERROR(FIND("unit",$A139))=FALSE),VLOOKUP(KitchenCarcassMaterial,FixedListsCarcassMaterial,3,0),0))</f>
        <v/>
      </c>
      <c r="Z139" s="156" t="str">
        <f>IF(OR(O139="",P139=""),"",IF(ISERROR(FIND("door",$A139))=FALSE,VLOOKUP(KitchenDoorStyle,FixedListsDoorStyle,3,0),0))</f>
        <v/>
      </c>
      <c r="AA139" s="156" t="str">
        <f>IF(OR(O139="",P139=""),"",IF(ISERROR(FIND("door",$A139))=FALSE,VLOOKUP(KitchenDoorMaterial,FixedListsDoorMaterial,3,0),0))</f>
        <v/>
      </c>
      <c r="AB139" s="156" t="str">
        <f>IF(OR(O139="",P139=""),"",IF(ISERROR(FIND("drawer",$A139))=FALSE,VLOOKUP(KitchenDrawerType,FixedListsDrawerType,3,0),0))</f>
        <v/>
      </c>
      <c r="AC139" s="156" t="str">
        <f>IF(OR(O139="",P139=""),"",IF(OR(Y139&gt;0,Z139&gt;0,AB139&gt;0),VLOOKUP(KitchenHandleType,FixedListsHandleType,3,FALSE),0))</f>
        <v/>
      </c>
      <c r="AD139" s="156" t="str">
        <f>IF(OR(O139="",P139=""),"",IF(OR(ISERROR(FIND("carcass",$A139))=FALSE,ISERROR(FIND("unit",$A139))=FALSE),VLOOKUP(KitchenCarcassFinish,FixedListsFinishes,3,0),IF(OR(ISERROR(FIND("door",$A139))=FALSE,ISERROR(FIND("Plinth",$A139))=FALSE,ISERROR(FIND("Cornice",$A139))=FALSE,ISERROR(FIND("Fillers",$A139))=FALSE,ISERROR(FIND("Pelmet",$A139))=FALSE,ISERROR(FIND("panel",$A139))=FALSE,ISERROR(FIND("post",$A139))=FALSE),VLOOKUP(KitchenDoorFinish,FixedListsFinishes,3,0),IF(OR(ISERROR(FIND("drawer",$A139))=FALSE,ISERROR(FIND("insert",$A139))=FALSE,ISERROR(FIND("rck",$A139))=FALSE),VLOOKUP(KitchenCarcassFinish,FixedListsFinishes,3,0),0))))</f>
        <v/>
      </c>
      <c r="AE139" s="156" t="str">
        <f t="shared" si="6"/>
        <v/>
      </c>
      <c r="AF139" s="157" t="str">
        <f>IF(AND(KitchenHandleType="Channel",OR(ISERROR(FIND("arcass",$A139))=FALSE,ISERROR(FIND("unit",$A139))=FALSE)),IF(ISERROR(FIND("Tower",$A139))=TRUE,IF(KitchenHandleFinish="Match carcass",IF(ISERROR(FIND("Walnut",KitchenCarcassMaterial))=FALSE,(0.035*0.075*($C139/1000))*VLOOKUP("Walnut (solid m3)",SolidData,4,FALSE),IF(ISERROR(FIND("Oak",KitchenCarcassMaterial))=FALSE,(0.035*0.075*($C139/1000))*VLOOKUP("Oak (solid m3)",SolidData,4,FALSE),IF(ISERROR(FIND("ply",KitchenCarcassMaterial))=FALSE,(0.1*($C139/1000))*VLOOKUP("Birch ply (24mm)",SheetsData,7,FALSE),IF(ISERROR(FIND("H/F",KitchenCarcassMaterial))=FALSE,(0.1*($C139/1000))*VLOOKUP("H/F (22mm)",SheetsData,7,FALSE),"Carcass - not tower - new material")))),IF(KitchenHandleFinish="Match door",IF(ISERROR(FIND("Walnut",KitchenDoorMaterial))=FALSE,(0.035*0.075*($C139/1000))*VLOOKUP("Walnut (solid m3)",SolidData,4,FALSE),IF(ISERROR(FIND("Oak",KitchenDoorMaterial))=FALSE,(0.035*0.075*($C139/1000))*VLOOKUP("Oak (solid m3)",SolidData,4,FALSE),IF(ISERROR(FIND("ply",KitchenDoorMaterial))=FALSE,(0.1*($C139/1000))*VLOOKUP("Birch ply (24mm)",SheetsData,7,FALSE),IF(ISERROR(FIND("H/F",KitchenCarcassMaterial))=FALSE,(0.1*($C139/1000))*VLOOKUP("H/F (22mm)",SheetsData,7,FALSE),"Door - not tower - new material")))),"Channel - not tower - handle set to other")),IF(ISERROR(FIND("Tower",$A139))=FALSE,IF(KitchenHandleFinish="Match carcass",IF(ISERROR(FIND("Walnut",KitchenCarcassMaterial))=FALSE,(0.035*0.075*($B139/1000))*VLOOKUP("Walnut (solid m3)",SolidData,4,FALSE),IF(ISERROR(FIND("Oak",KitchenCarcassMaterial))=FALSE,(0.035*0.075*($B139/1000))*VLOOKUP("Oak (solid m3)",SolidData,4,FALSE),IF(ISERROR(FIND("ply",KitchenCarcassMaterial))=FALSE,(0.1*($B139/1000))*VLOOKUP("Birch ply (24mm)",SheetsData,7,FALSE),IF(ISERROR(FIND("H/F",KitchenCarcassMaterial))=FALSE,(0.1*($C139/1000))*VLOOKUP("H/F (22mm)",SheetsData,7,FALSE),"Carcass - tower - new material")))),IF(KitchenHandleFinish="Match door",IF(ISERROR(FIND("Walnut",KitchenDoorMaterial))=FALSE,(0.035*0.075*($B139/1000))*VLOOKUP("Walnut (solid m3)",SolidData,4,FALSE),IF(ISERROR(FIND("Oak",KitchenDoorMaterial))=FALSE,(0.035*0.075*($B139/1000))*VLOOKUP("Oak (solid m3)",SolidData,4,FALSE),IF(ISERROR(FIND("ply",KitchenDoorMaterial))=FALSE,(0.1*($B139/1000))*VLOOKUP("Birch ply (24mm)",SheetData,7,FALSE),IF(ISERROR(FIND("H/F",KitchenCarcassMaterial))=FALSE,(0.1*($C139/1000))*VLOOKUP("H/F (22mm)",SheetsData,7,FALSE),"Door - tower - new material")))),"Channel - tower - handle set to other")))),"")</f>
        <v/>
      </c>
    </row>
    <row r="140">
      <c r="A140" s="150"/>
      <c r="B140" s="115" t="str">
        <f t="shared" si="1"/>
        <v/>
      </c>
      <c r="C140" s="115" t="str">
        <f>IFERROR(__xludf.DUMMYFUNCTION("IF(A140="""","""",IF(OR(RIGHT(A140,LEN(A140)-len(regexextract(A140,"".* "")))=""1200"",RIGHT(A140,LEN(A140)-len(regexextract(A140,"".* "")))=""600"",RIGHT(A140,LEN(A140)-len(regexextract(A140,"".* "")))=""400"",RIGHT(A140,LEN(A140)-len(regexextract(A140,"&amp;""".* "")))=""300"",RIGHT(A140,LEN(A140)-len(regexextract(A140,"".* "")))=""700"",RIGHT(A140,LEN(A140)-len(regexextract(A140,"".* "")))=""2400"",RIGHT(A140,LEN(A140)-len(regexextract(A140,"".* "")))=""650"",RIGHT(A140,LEN(A140)-len(regexextract(A140,"".* "&amp;""")))=""350"",RIGHT(A140,LEN(A140)-len(regexextract(A140,"".* "")))=""50""),RIGHT(A140,LEN(A140)-len(regexextract(A140,"".* ""))),IF(OR(ISERROR(FIND(""spacer"",A140))=FALSE,ISERROR(FIND(""filler panel"",A140))=FALSE),""1000"",""Unexpected size in descript"&amp;"ion"")))"),"")</f>
        <v/>
      </c>
      <c r="D140" s="151" t="str">
        <f t="shared" si="2"/>
        <v/>
      </c>
      <c r="E140" s="152" t="str">
        <f>IFERROR(__xludf.DUMMYFUNCTION("IF(OR(A140="""",AND(ISERROR(FIND(""drawer box"",A140))=FALSE,KitchenDrawerType="""")),"""",IF(OR(ISERROR(FIND(""larder"",A140))=FALSE,ISERROR(FIND(""fridge/freezer"",A140))=FALSE,ISERROR(FIND(""double oven"",A140))=FALSE,ISERROR(FIND(""single oven"",A140)"&amp;")=FALSE),VLOOKUP(LEFT(A140,FIND("" "",A140))&amp;""carcass ""&amp;RIGHT(A140,LEN(A140)-(LEN(A140)-3)),KitchensData,5,0),IF(ISERROR(FIND(""sink"",A140))=FALSE,VLOOKUP(LEFT(A140,FIND("" "",A140))&amp;""carcass ""&amp;VALUE(REGEXREPLACE(A140,""[^[:digit:]]"", """")),Kitchen"&amp;"sData,5,0)+(((C140/1000)*(300/1000))*VLOOKUP(KitchenCarcassMaterial,SheetsData,8,0)),IF(ISERROR(FIND(""bins"",A140))=FALSE,IF(ISERROR(FIND(""veneer"",KitchenCarcassMaterial))=FALSE,VLOOKUP(""Base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600"",A140))=FALSE,IF(ISERR"&amp;"OR(FIND(""veneer"",KitchenCarcassMaterial))=FALSE,0.54*(VLOOKUP(LEFT(KitchenCarcassMaterial,FIND(""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1"&amp;"200"",A140))=FALSE,IF(ISERROR(FIND(""veneer"",KitchenCarcassMaterial))=FALSE,0.84*(VLOOKUP(LEFT(KitchenCarcassMaterial,FIND(""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600"",A140))=FALSE,IF(ISERROR(FIND(""veneer"",KitchenCarcassMaterial))=FALSE,1.44*(VLOOKUP(LEFT(KitchenCarcassMaterial,FIND(""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1200"",A140))=FALSE,IF(ISERROR(FIND(""veneer"",KitchenCarcassMaterial))=FALSE,2.7*(VLOOKUP(LEFT(KitchenCarcassMaterial,FIND(""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front"",A140))=FALSE,((B140/1000)*(C140/1000))*VLOOKUP(KitchenDoorMaterial,SheetsData,8,0),IF(AND(KitchenDrawerType=""Match carcass"",ISERROR(FIND(""drawer box"",A140))=FALSE),(((((B140/10"&amp;"00)*(C140/1000))+((B140/1000)*(D140/1000)))*2)*VLOOKUP(KitchenCarcassMaterial,SheetsData,8,0))+(((C140/1000)*(D140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box"",A140))=FALSE),(((((B140/1000)*(C140/1000))+((B140/1000)*(D140/1000)))*2)*(16/1000)*VLOOKUP(L"&amp;"EFT(KitchenCarcassMaterial,FIND("" "",KitchenCarcassMaterial))&amp;""(solid m3)"",SolidData,5,0))+(((C140/1000)*(D140/1000))*VLOOKUP(LEFT(KitchenCarcassMaterial,FIND(""("",KitchenCarcassMaterial)-1)&amp;IF(OR(ISERROR(FIND(""ply"",KitchenCarcassMaterial))=FALSE,IS"&amp;"ERROR(FIND(""H/F"",KitchenCarcassMaterial))=FALSE),""(9mm)"",""(10mm)""),SheetsData,8,0)),IF(ISERROR(FIND(""spacer"",A140))=FALSE,((D140/1000)*(C140/1000))*VLOOKUP(""Poplar ply (18mm)"",SheetsData,8,0),IF(ISERROR(FIND(""filler panel"",A140))=FALSE,((B140/"&amp;"1000)*(C140/1000))*VLOOKUP(KitchenDoorMaterial,SheetsData,8,0),IF(ISERROR(FIND(""shelf"",A140))=FALSE,((D140/1000)*(C140/1000))*VLOOKUP(KitchenCarcassMaterial,SheetsData,8,0),IF(ISERROR(FIND(""lost corner"",A140))=FALSE,VLOOKUP(LEFT(A140,FIND("" "",A140))"&amp;"&amp;""carcass ""&amp;VALUE(REGEXREPLACE(A140,""[^[:digit:]]"", """")),KitchensData,5,0)+((((B140/1000)*(C140/1000))+((B140/1000)*(60/1000)))*VLOOKUP(KitchenCarcassMaterial,SheetsData,8,0)),IF(ISERROR(FIND(""carcass"",A140))=FALSE,(((((B140/1000)*2)*(D140/1000))+"&amp;"(((C140/1000)*2)*(D140/1000)))*VLOOKUP(KitchenCarcassMaterial,SheetsData,8,0))+((B140/1000)*(C140/1000))*VLOOKUP(LEFT(KitchenCarcassMaterial,FIND(""("",KitchenCarcassMaterial)-1)&amp;IF(OR(ISERROR(FIND(""ply"",KitchenCarcassMaterial))=FALSE,ISERROR(FIND(""H/F"&amp;""",KitchenCarcassMaterial))=FALSE),""(9mm)"",""(10mm)""),SheetsData,8,0),IF(OR(ISERROR(FIND(""Plinth"",A140))=FALSE,ISERROR(FIND(""Cornice (flat)"",A140))=FALSE),((B140/1000)*(C140/1000))*VLOOKUP(""H/F (18mm)"",SheetsData,8,0),IF(ISERROR(FIND(""Cornice (s"&amp;"tacked)"",A140))=FALSE,((0.08*(C140/1000))*2)*VLOOKUP(""H/F (22mm)"",SheetsData,8,0),IF(ISERROR(FIND(""Base end panel"",A140))=FALSE,VLOOKUP(KitchenDoorMaterial,SheetsData,5,0)/3,IF(ISERROR(FIND(""Wall end panel"",A140))=FALSE,VLOOKUP(KitchenDoorMaterial,"&amp;"SheetsData,5,0)/9,IF(ISERROR(FIND(""Tower end panel"",A140))=FALSE,VLOOKUP(KitchenDoorMaterial,SheetsData,5,0),IF(ISERROR(FIND(""Fillers"",A140))=FALSE,(((0.06*(C140/1000))*2)*VLOOKUP(""H/F (18mm)"",SheetsData,8,0))+(((0.06*(C140/1000))*2)*VLOOKUP(""H/F ("&amp;"9mm)"",SheetsData,8,0)),IF(ISERROR(FIND(""corner post"",A140))=FALSE,(((B140/1000)*0.05)*2)*VLOOKUP(KitchenDoorMaterial,SheetsData,8,0),IF(ISERROR(FIND(""Pelmet"",A140))=FALSE,((((B140/1000)*(C140/1000))*2)*VLOOKUP(""H/F (18mm)"",SheetsData,8,0)),IF(ISERR"&amp;"OR(FIND(""door"",A140))=TRUE,""Check description"",IF(KitchenDoorStyle=""Flat"",((B140/1000)*(C140/1000))*VLOOKUP(KitchenDoorMaterial,SheetsData,8,0),IF(LEFT(KitchenDoorStyle,5)=""Panel"",(((((B140/1000)*2)*0.08)+((((C140/1000)-0.16)*2)*0.08))*VLOOKUP(""H"&amp;"/F (22mm)"",SheetsData,8,0))+(((B140/1000)-0.14)*((C140/1000)-0.14)*VLOOKUP(""H/F (9mm)"",SheetsData,8,0)),IF(KitchenDoorStyle=""In-frame flat"",((((((B140/1000)*0.019)*0.038)+((((C140-38)/1000)*0.038)*0.038))*2)*VLOOKUP(""Tulip (solid m3)"",SolidData,5,0"&amp;"))+(((B140-76)/1000)*((C140-38)/1000))*VLOOKUP(""H/F (22mm)"",SheetsData,8,0),IF(LEFT(KitchenDoorStyle,14)=""In-frame panel"",(((((((B140/1000)*0.019)*0.038)+((((C140-38)/1000)*0.038)*0.038))*2)*VLOOKUP(""Tulip (solid m3)"",SolidData,5,0))+(((((((B140-76)"&amp;"/1000)*2)*0.08)+(((((C140-198)/1000)*2)*0.08)))*VLOOKUP(""H/F (22mm)"",SheetsData,8,0))+(((B140-216)/1000)*((C140-178)/1000)*VLOOKUP(""H/F (9mm)"",SheetsData,8,0)))))))))))))))))))))))))))))))))"),"")</f>
        <v/>
      </c>
      <c r="F140" s="152" t="str">
        <f>IFERROR(__xludf.DUMMYFUNCTION("IF(OR(A140="""",AND(ISERROR(FIND(""drawer box"",A140))=FALSE,KitchenDrawerType=""Solid dovetail"")),"""",IF(ISERROR(FIND(""bins"",A140))=FALSE,VLOOKUP(""Base carcass 600"",KitchensData,6,0),IF(OR(ISERROR(FIND(""larder"",A140))=FALSE,ISERROR(FIND(""unit"","&amp;"A140))=FALSE),VLOOKUP(LEFT(A140,FIND("" "",A140))&amp;""carcass ""&amp;RIGHT(A140,LEN(A140)-len(regexextract(A140,"".* ""))),KitchensData,6,0),IF(ISERROR(FIND(""drawer front"",A140))=FALSE,IF(ISERROR(FIND(""veneer"",KitchenCarcassMaterial))=TRUE,0,(((B140+C140)/1"&amp;"000)*2)*VLOOKUP(""Edge banding (per M)"",SheetsData,5,0)),IF(ISERROR(FIND(""drawer box"",A140))=FALSE,IF(ISERROR(FIND(""veneer"",KitchenCarcassMaterial))=TRUE,0,(((C140+D140)/1000)*2)*VLOOKUP(""Edge banding (per M)"",SheetsData,5,0)),IF(ISERROR(FIND(""she"&amp;"lf"",A140))=FALSE,IF(ISERROR(FIND(""veneer"",KitchenCarcassMaterial))=TRUE,0,(C140/1000)*VLOOKUP(""Edge banding (per M)"",SheetsData,5,0)),IF(AND(ISERROR(FIND(""carcass"",A140))=FALSE,ISERROR(FIND(""shelf"",A140))=TRUE),IF(ISERROR(FIND(""veneer"",KitchenC"&amp;"arcassMaterial))=TRUE,0,((2*(B140+C140))/1000)*VLOOKUP(""Edge banding (per M)"",SheetsData,5,0)),IF(ISERROR(FIND(""door"",A140))=TRUE,"""",IF(ISERROR(FIND(""veneer"",KitchenDoorMaterial))=TRUE,"""",((2*(B140+C140))/1000)*VLOOKUP(""Edge banding (per M)"",S"&amp;"heetsData,5,0))))))))))"),"")</f>
        <v/>
      </c>
      <c r="G140" s="153" t="str">
        <f>IF(A140="","",IF(ISERROR(FIND("bins",A140))=FALSE,VLOOKUP("Base carcass 600",KitchensData,7,0),IF(OR(ISERROR(FIND("larder",A140))=FALSE,ISERROR(FIND("fridge/freezer",A140))=FALSE,ISERROR(FIND("double oven",A140))=FALSE,ISERROR(FIND("single oven",A140))=FALSE),VLOOKUP(LEFT(A140,FIND(" ",A140))&amp;"carcass "&amp;RIGHT(A140,LEN(A140)-(LEN(A140)-3)),KitchensData,7,0),IF(AND(ISERROR(FIND("carcass",A140))=FALSE,ISERROR(FIND("shelf",A140))=TRUE),IF(OR(ISERROR(FIND("Base",A140))=FALSE,ISERROR(FIND("Tower",A140))=FALSE),IF(OR(ISERROR(FIND("1200",A140))=FALSE, ISERROR(FIND("lost corner",A140))=FALSE),6*VLOOKUP("Plinth foot (2 Parts 80mm)",FurnitureData,5,0),4*VLOOKUP("Plinth foot (2 Parts 80mm)",FurnitureData,5,0)),""),""))))</f>
        <v/>
      </c>
      <c r="H140" s="115" t="str">
        <f>IF(OR(A140="",ISERROR(FIND("door",A140))=TRUE),"",IF(ISERROR(FIND("Wall",A140))=FALSE,VLOOKUP("Hinges &amp; plates (Hettich thick door)",FurnitureData,5,0)*2,IF(ISERROR(FIND("Base",A140))=FALSE,VLOOKUP("Hinges &amp; plates (Hettich thick door)",FurnitureData,5,0)*3,IF(ISERROR(FIND("Boiler",A140))=FALSE,VLOOKUP("Hinges &amp; plates (Hettich thick door)",FurnitureData,5,0)*4,IF(ISERROR(FIND("Tower",A140))=FALSE,VLOOKUP("Hinges &amp; plates (Hettich thick door)",FurnitureData,5,0)*5)))))</f>
        <v/>
      </c>
      <c r="I140" s="115" t="str">
        <f>IF(ISERROR(FIND("shelf",A140))=FALSE,(VLOOKUP("Shelf pegs",FurnitureData,5,0)/100)*4,"")</f>
        <v/>
      </c>
      <c r="J140" s="152" t="str">
        <f>IF(OR(ISERROR(FIND("fridge/freezer",A140))=FALSE,ISERROR(FIND("larder",A140))=FALSE,AND(ISERROR(FIND("Base",A140))=FALSE,ISERROR(FIND("bins",A140))=TRUE,ISERROR(FIND("no shelves",A140))=TRUE,OR(ISERROR(FIND("carcass",A140))=FALSE,ISERROR(FIND("unit",A140))=FALSE))),VLOOKUP("Deep shelf "&amp;C140,KitchensData,18,0),IF(AND(ISERROR(FIND("Wall",A140))=FALSE,ISERROR(FIND("carcass",A140))=FALSE),2*VLOOKUP("Shallow shelf "&amp;C140,KitchensData,18,0),IF(AND(ISERROR(FIND("Tower",A140))=FALSE,ISERROR(FIND("oven",A140))=FALSE),4*VLOOKUP("Deep shelf "&amp;C140,KitchensData,18,0),IF(AND(ISERROR(FIND("Tower",A140))=FALSE,ISERROR(FIND("carcass",A140))=FALSE),5*VLOOKUP("Deep shelf "&amp;C140,KitchensData,18,0),""))))</f>
        <v/>
      </c>
      <c r="K140" s="152" t="str">
        <f>IF(ISERROR(FIND("sink",A140))=FALSE,VLOOKUP("Sink liner - Aluminium "&amp;RIGHT(A140,LEN(A140)-22)&amp;"mm",ExceptionalData,5,0),IF(ISERROR(FIND("bins",A140))=FALSE,VLOOKUP("Drawer runners and clip set for bin unit (500) Dynapro",FurnitureData,5,0)+(2*VLOOKUP("Bin (42L Anthracite)",FurnitureData,5,0)),IF(ISERROR(FIND("larder",A140))=FALSE,VLOOKUP("Pull out larder unit 600mm",FurnitureData,5,0),IF(AND(ISERROR(FIND("drawer box",A140))=FALSE,ISERROR(FIND("internal",A140))=TRUE),VLOOKUP("Drawer runners and clip set (550) Dynapro",FurnitureData,5,0),IF(ISERROR(FIND("internal drawer box",A140))=FALSE,VLOOKUP("Drawer runners and clip set (450) Dynapro",FurnitureData,5,0),"")))))</f>
        <v/>
      </c>
      <c r="L140" s="152" t="str">
        <f t="shared" si="3"/>
        <v/>
      </c>
      <c r="M140" s="154" t="str">
        <f>IFERROR(__xludf.DUMMYFUNCTION("IF(A140="""","""",IF(OR(ISERROR(FIND(""larder"",A140))=FALSE,ISERROR(FIND(""unit"",A140))=FALSE),VLOOKUP(LEFT(A140,FIND("" "",A140))&amp;""carcass ""&amp;RIGHT(A140,LEN(A140)-len(regexextract(A140,"".* ""))),KitchensData,13,0),IF(ISERROR(FIND(""bins"",A140))=FALS"&amp;"E,0.95,IF(ISERROR(FIND(""Cutlery insert 600"",A140))=FALSE,1.3,IF(ISERROR(FIND(""Cutlery insert 1200"",A140))=FALSE,2,IF(ISERROR(FIND(""Pan/tray rack 600"",A140))=FALSE,3.25,IF(ISERROR(FIND(""Pan/tray rack 1200"",A140))=FALSE,5.9,IF(ISERROR(FIND(""split"""&amp;",A140))=FALSE,(((C140/1000)*0.022)*2)+VLOOKUP(SUBSTITUTE(A140,"" split"",""""),KitchensData,13,0),IF(AND(ISERROR(FIND(""drawer front"",A140))=FALSE,KitchenDoorStyle=""Flat""),(((B140/1000)*(C140/1000))*2)+((((B140+C140)/1000)*2)*0.022),IF(AND(ISERROR(FIND"&amp;"(""drawer front"",A140))=FALSE,LEFT(KitchenDoorStyle,5)=""Panel""),(((B140/1000)*(C140/1000))*2)+((((B140+C140)/1000)*2)*0.022)+((((C140/1000)-0.16)*0.013)*2)+((((D140/1000)-0.16)*0.013)*2),IF(AND(ISERROR(FIND(""drawer front"",A140))=FALSE,KitchenDoorStyl"&amp;"e=""In-frame flat""),((((B140-76)/1000)*((C140-38)/1000))*2)+(MID(KitchenDoorMaterial,FIND(""("",KitchenDoorMaterial)+1,2)/1000)*((((B140-76)+(C140-38))/1000)*2)+(((B140/1000)*0.032)*2)+((((B140-76)/1000)*0.032)*2)+(((B140/1000)*0.019)*4)+(((C140/1000)*0."&amp;"032)*2)+((((C140-38)/1000)*0.032)*2)+(((C140/1000)*0.038)*4),IF(AND(ISERROR(FIND(""drawer front"",A140))=FALSE,LEFT(KitchenDoorStyle,14)=""In-frame panel""),((((B140-76)/1000)*((C140-38)/1000))*2)+((MID(KitchenDoorMaterial,FIND(""("",KitchenDoorMaterial)+"&amp;"1,2)/1000)*((((B140-76)+(C140-38))/1000)*2))+((((B140-236)/1000)+((C140-198)/1000)*2)*0.013)+(((B140/1000)*0.032)*2)+((((B140-76)/1000)*0.032)*2)+(((B140/1000)*0.019)*4)+(((C140/1000)*0.032)*2)+((((C140-38)/1000)*0.032)*2)+(((C140/1000)*0.038)*4),IF(ISERR"&amp;"OR(FIND(""drawer box"",A140))=FALSE,((((B140/1000)*(D140/1000))+((B140/1000)*(C140/1000)))*4)+((((D140/1000)+(C140/1000))*0.016)*4)+(((C140/1000)*(D140/1000))*2),IF(OR(ISERROR(FIND(""shelf"",A140))=FALSE,ISERROR(FIND(""spacer"",A140))=FALSE,,ISERROR(FIND("&amp;"""filler panel"",A140))=FALSE),(((C140/1000)*(D140/1000))*2)+((((C140+D140)*2)/1000)*0.022),IF(ISERROR(FIND(""lost corner"",A140))=FALSE,(((B140/1000)*(C140/1000))*2)+((B140/1000)*(C140/1000))+((B140/1000)*((C140/2)/1000))+((((B140/1000)*0.025)+((C140/100"&amp;"0)*0.025))*2),IF(ISERROR(FIND(""carcass"",A140))=FALSE,(((C140/1000)*(D140/1000))*2)+(((B140/1000)*(D140/1000))*2)+((B140/1000)*(C140/1000))+((((B140/1000)*0.025)+((C140/1000)*0.025))*2),IF(AND(ISERROR(FIND(""door"",A140))=FALSE,KitchenDoorStyle=""Flat"")"&amp;",(((B140/1000)*(C140/1000))*2)+(MID(KitchenDoorMaterial,FIND(""("",KitchenDoorMaterial)+1,2)/1000)*(((B140+C140)/1000)*2),IF(AND(ISERROR(FIND(""door"",A140))=FALSE,LEFT(KitchenDoorStyle,5)=""Panel""),(((B140/1000)*(C140/1000))*2)+((MID(KitchenDoorMaterial"&amp;",FIND(""("",KitchenDoorMaterial)+1,2)/1000)*(((B140+C140)/1000)*2))+(((((B140-160)+(C140-160))*2)/1000)*(0.013)),IF(AND(ISERROR(FIND(""door"",A140))=FALSE,KitchenDoorStyle=""In-frame flat""),((((B140-76)/1000)*((C140-38)/1000))*2)+(MID(KitchenDoorMaterial"&amp;",FIND(""("",KitchenDoorMaterial)+1,2)/1000)*((((B140-76)+(C140-38))/1000)*2)+(((B140/1000)*0.032)*2)+((((B140-76)/1000)*0.032)*2)+(((B140/1000)*0.019)*4)+(((C140/1000)*0.032)*2)+((((C140-38)/1000)*0.032)*2)+(((C140/1000)*0.038)*4),IF(AND(ISERROR(FIND(""do"&amp;"or"",A140))=FALSE,LEFT(KitchenDoorStyle,14)=""In-frame panel""),((((B140-76)/1000)*((C140-38)/1000))*2)+((MID(KitchenDoorMaterial,FIND(""("",KitchenDoorMaterial)+1,2)/1000)*((((B140-76)+(C140-38))/1000)*2))+((((B140-236)/1000)+((C140-198)/1000)*2)*0.013)+"&amp;"(((B140/1000)*0.032)*2)+((((B140-76)/1000)*0.032)*2)+(((B140/1000)*0.019)*4)+(((C140/1000)*0.032)*2)+((((C140-38)/1000)*0.032)*2)+(((C140/1000)*0.038)*4),IF(ISERROR(FIND(""Plinth"",A140))=FALSE,((B140/1000)*(C140/1000))+(((C140/1000)*0.018)*2)+(((B140/100"&amp;"0)*0.018)*2),IF(ISERROR(FIND(""Cornice"",A140))=FALSE,(((C140/1000)*0.1)*2)+(((C140/1000)*0.044)*2)+(((B140/1000)*0.08)*2),IF(ISERROR(FIND(""Base end panel"",A140))=FALSE,((B140/1000)*(C140/1000))+(0.022*((B140/1000)+((C140/1000)*2)))+((B140/1000)*0.05),I"&amp;"F(ISERROR(FIND(""Wall end panel"",A140))=FALSE,((B140/1000)*(C140/1000))+(0.022*((B140/1000)+((C140/1000)*2)))+((B140/1000)*0.05),IF(ISERROR(FIND(""Tower end panel"",A140))=FALSE,((B140/1000)*(C140/1000))+(0.022*((B140/1000)+((C140/1000)*2)))+((B140/1000)"&amp;"*0.05),IF(ISERROR(FIND(""Fillers"",A140))=FALSE,((C140/1000)*0.06)+((C140/1000)*0.069)+((0.06*0.018)*2)+((0.06*0.009)*2)+((C140/1000)*0.009)+((C140/1000)*0.018),IF(ISERROR(FIND(""corner post"",A140))=FALSE,(((B140/1000*0.05)*2)+((B140/1000)*0.022)*2)+((B1"&amp;"40/1000)*0.072)+((B140/1000)*0.05)+((0.072*0.022)*2)+((0.05*0.022)*2),IF(ISERROR(FIND(""Pelmet"",A140))=FALSE,((C140/1000)*0.05)+((C140/1000)*0.068)+((0.05*0.018)*4)+(((C140/1000)*0.018))*2))))))))))))))))))))))))))))"),"")</f>
        <v/>
      </c>
      <c r="N140" s="152" t="str">
        <f>IF(M140="","",IF(AND(ISERROR(FIND("carcass",A140))=TRUE,ISERROR(FIND("unit",A140))=TRUE,ISERROR(FIND("insert",A140))=TRUE,ISERROR(FIND("rack",A140))=TRUE,ISERROR(FIND("box",A140))=TRUE,ISERROR(FIND("shelf",#REF!))=TRUE),VLOOKUP(KitchenDoorFinish,Finishing!$A$2:$K$10,9,0)*M140,VLOOKUP(KitchenCarcassFinish,Finishing!$A$2:$K$40,9,0)*M140))</f>
        <v/>
      </c>
      <c r="O140" s="155"/>
      <c r="P140" s="155"/>
      <c r="Q140" s="152" t="str">
        <f>IF(OR(O140="",P140=""),"",((O140*X140)*(VLOOKUP("Workshop",Labour!$A$3:$E$20,4,0)/8))+((P140*AE140)*(VLOOKUP("Finishing",Labour!$A$3:$E$20,4,0)/8)))</f>
        <v/>
      </c>
      <c r="R140" s="152" t="str">
        <f t="shared" si="4"/>
        <v/>
      </c>
      <c r="S140" s="156" t="str">
        <f>IF(OR(O140="",P140=""),"",IF(OR(ISERROR(FIND("carcass",$A140))=FALSE,ISERROR(FIND("unit",$A140))=FALSE),VLOOKUP(KitchenCarcassMaterial,FixedListsCarcassMaterial,2,0),0))</f>
        <v/>
      </c>
      <c r="T140" s="156" t="str">
        <f>IF(OR(O140="",P140=""),"",IF(ISERROR(FIND("door",$A140))=FALSE,VLOOKUP(KitchenDoorStyle,FixedListsDoorStyle,2,0),0))</f>
        <v/>
      </c>
      <c r="U140" s="156" t="str">
        <f>IF(OR(O140="",P140=""),"",IF(ISERROR(FIND("door",$A140))=FALSE,VLOOKUP(KitchenDoorMaterial,FixedListsDoorMaterial,2,0),0))</f>
        <v/>
      </c>
      <c r="V140" s="156" t="str">
        <f>IF(OR(O140="",P140=""),"",IF(ISERROR(FIND("drawer",$A140))=FALSE,VLOOKUP(KitchenDrawerType,FixedListsDrawerType,2,0),0))</f>
        <v/>
      </c>
      <c r="W140" s="156" t="str">
        <f>IF(OR(O140="",P140=""),"",IF(OR(S140&gt;0, T140&gt;0,V140&gt;0),VLOOKUP(KitchenHandleType,FixedListsHandleType,2,FALSE)*IF(KitchenHandleType="Simple",0,IF(S140&gt;0,VLOOKUP(KitchenHandleType,FixedListsHandleType,4,FALSE),IF(OR(T140&gt;0,V140&gt;0),1-VLOOKUP(KitchenHandleType,FixedListsHandleType,4,FALSE),"Error"))),0))</f>
        <v/>
      </c>
      <c r="X140" s="156" t="str">
        <f t="shared" si="5"/>
        <v/>
      </c>
      <c r="Y140" s="156" t="str">
        <f>IF(OR(O140="",P140=""),"",IF(OR(ISERROR(FIND("carcass",$A140))=FALSE,ISERROR(FIND("unit",$A140))=FALSE),VLOOKUP(KitchenCarcassMaterial,FixedListsCarcassMaterial,3,0),0))</f>
        <v/>
      </c>
      <c r="Z140" s="156" t="str">
        <f>IF(OR(O140="",P140=""),"",IF(ISERROR(FIND("door",$A140))=FALSE,VLOOKUP(KitchenDoorStyle,FixedListsDoorStyle,3,0),0))</f>
        <v/>
      </c>
      <c r="AA140" s="156" t="str">
        <f>IF(OR(O140="",P140=""),"",IF(ISERROR(FIND("door",$A140))=FALSE,VLOOKUP(KitchenDoorMaterial,FixedListsDoorMaterial,3,0),0))</f>
        <v/>
      </c>
      <c r="AB140" s="156" t="str">
        <f>IF(OR(O140="",P140=""),"",IF(ISERROR(FIND("drawer",$A140))=FALSE,VLOOKUP(KitchenDrawerType,FixedListsDrawerType,3,0),0))</f>
        <v/>
      </c>
      <c r="AC140" s="156" t="str">
        <f>IF(OR(O140="",P140=""),"",IF(OR(Y140&gt;0,Z140&gt;0,AB140&gt;0),VLOOKUP(KitchenHandleType,FixedListsHandleType,3,FALSE),0))</f>
        <v/>
      </c>
      <c r="AD140" s="156" t="str">
        <f>IF(OR(O140="",P140=""),"",IF(OR(ISERROR(FIND("carcass",$A140))=FALSE,ISERROR(FIND("unit",$A140))=FALSE),VLOOKUP(KitchenCarcassFinish,FixedListsFinishes,3,0),IF(OR(ISERROR(FIND("door",$A140))=FALSE,ISERROR(FIND("Plinth",$A140))=FALSE,ISERROR(FIND("Cornice",$A140))=FALSE,ISERROR(FIND("Fillers",$A140))=FALSE,ISERROR(FIND("Pelmet",$A140))=FALSE,ISERROR(FIND("panel",$A140))=FALSE,ISERROR(FIND("post",$A140))=FALSE),VLOOKUP(KitchenDoorFinish,FixedListsFinishes,3,0),IF(OR(ISERROR(FIND("drawer",$A140))=FALSE,ISERROR(FIND("insert",$A140))=FALSE,ISERROR(FIND("rck",$A140))=FALSE),VLOOKUP(KitchenCarcassFinish,FixedListsFinishes,3,0),0))))</f>
        <v/>
      </c>
      <c r="AE140" s="156" t="str">
        <f t="shared" si="6"/>
        <v/>
      </c>
      <c r="AF140" s="157" t="str">
        <f>IF(AND(KitchenHandleType="Channel",OR(ISERROR(FIND("arcass",$A140))=FALSE,ISERROR(FIND("unit",$A140))=FALSE)),IF(ISERROR(FIND("Tower",$A140))=TRUE,IF(KitchenHandleFinish="Match carcass",IF(ISERROR(FIND("Walnut",KitchenCarcassMaterial))=FALSE,(0.035*0.075*($C140/1000))*VLOOKUP("Walnut (solid m3)",SolidData,4,FALSE),IF(ISERROR(FIND("Oak",KitchenCarcassMaterial))=FALSE,(0.035*0.075*($C140/1000))*VLOOKUP("Oak (solid m3)",SolidData,4,FALSE),IF(ISERROR(FIND("ply",KitchenCarcassMaterial))=FALSE,(0.1*($C140/1000))*VLOOKUP("Birch ply (24mm)",SheetsData,7,FALSE),IF(ISERROR(FIND("H/F",KitchenCarcassMaterial))=FALSE,(0.1*($C140/1000))*VLOOKUP("H/F (22mm)",SheetsData,7,FALSE),"Carcass - not tower - new material")))),IF(KitchenHandleFinish="Match door",IF(ISERROR(FIND("Walnut",KitchenDoorMaterial))=FALSE,(0.035*0.075*($C140/1000))*VLOOKUP("Walnut (solid m3)",SolidData,4,FALSE),IF(ISERROR(FIND("Oak",KitchenDoorMaterial))=FALSE,(0.035*0.075*($C140/1000))*VLOOKUP("Oak (solid m3)",SolidData,4,FALSE),IF(ISERROR(FIND("ply",KitchenDoorMaterial))=FALSE,(0.1*($C140/1000))*VLOOKUP("Birch ply (24mm)",SheetsData,7,FALSE),IF(ISERROR(FIND("H/F",KitchenCarcassMaterial))=FALSE,(0.1*($C140/1000))*VLOOKUP("H/F (22mm)",SheetsData,7,FALSE),"Door - not tower - new material")))),"Channel - not tower - handle set to other")),IF(ISERROR(FIND("Tower",$A140))=FALSE,IF(KitchenHandleFinish="Match carcass",IF(ISERROR(FIND("Walnut",KitchenCarcassMaterial))=FALSE,(0.035*0.075*($B140/1000))*VLOOKUP("Walnut (solid m3)",SolidData,4,FALSE),IF(ISERROR(FIND("Oak",KitchenCarcassMaterial))=FALSE,(0.035*0.075*($B140/1000))*VLOOKUP("Oak (solid m3)",SolidData,4,FALSE),IF(ISERROR(FIND("ply",KitchenCarcassMaterial))=FALSE,(0.1*($B140/1000))*VLOOKUP("Birch ply (24mm)",SheetsData,7,FALSE),IF(ISERROR(FIND("H/F",KitchenCarcassMaterial))=FALSE,(0.1*($C140/1000))*VLOOKUP("H/F (22mm)",SheetsData,7,FALSE),"Carcass - tower - new material")))),IF(KitchenHandleFinish="Match door",IF(ISERROR(FIND("Walnut",KitchenDoorMaterial))=FALSE,(0.035*0.075*($B140/1000))*VLOOKUP("Walnut (solid m3)",SolidData,4,FALSE),IF(ISERROR(FIND("Oak",KitchenDoorMaterial))=FALSE,(0.035*0.075*($B140/1000))*VLOOKUP("Oak (solid m3)",SolidData,4,FALSE),IF(ISERROR(FIND("ply",KitchenDoorMaterial))=FALSE,(0.1*($B140/1000))*VLOOKUP("Birch ply (24mm)",SheetData,7,FALSE),IF(ISERROR(FIND("H/F",KitchenCarcassMaterial))=FALSE,(0.1*($C140/1000))*VLOOKUP("H/F (22mm)",SheetsData,7,FALSE),"Door - tower - new material")))),"Channel - tower - handle set to other")))),"")</f>
        <v/>
      </c>
    </row>
    <row r="141">
      <c r="A141" s="150"/>
      <c r="B141" s="115" t="str">
        <f t="shared" si="1"/>
        <v/>
      </c>
      <c r="C141" s="115" t="str">
        <f>IFERROR(__xludf.DUMMYFUNCTION("IF(A141="""","""",IF(OR(RIGHT(A141,LEN(A141)-len(regexextract(A141,"".* "")))=""1200"",RIGHT(A141,LEN(A141)-len(regexextract(A141,"".* "")))=""600"",RIGHT(A141,LEN(A141)-len(regexextract(A141,"".* "")))=""400"",RIGHT(A141,LEN(A141)-len(regexextract(A141,"&amp;""".* "")))=""300"",RIGHT(A141,LEN(A141)-len(regexextract(A141,"".* "")))=""700"",RIGHT(A141,LEN(A141)-len(regexextract(A141,"".* "")))=""2400"",RIGHT(A141,LEN(A141)-len(regexextract(A141,"".* "")))=""650"",RIGHT(A141,LEN(A141)-len(regexextract(A141,"".* "&amp;""")))=""350"",RIGHT(A141,LEN(A141)-len(regexextract(A141,"".* "")))=""50""),RIGHT(A141,LEN(A141)-len(regexextract(A141,"".* ""))),IF(OR(ISERROR(FIND(""spacer"",A141))=FALSE,ISERROR(FIND(""filler panel"",A141))=FALSE),""1000"",""Unexpected size in descript"&amp;"ion"")))"),"")</f>
        <v/>
      </c>
      <c r="D141" s="151" t="str">
        <f t="shared" si="2"/>
        <v/>
      </c>
      <c r="E141" s="152" t="str">
        <f>IFERROR(__xludf.DUMMYFUNCTION("IF(OR(A141="""",AND(ISERROR(FIND(""drawer box"",A141))=FALSE,KitchenDrawerType="""")),"""",IF(OR(ISERROR(FIND(""larder"",A141))=FALSE,ISERROR(FIND(""fridge/freezer"",A141))=FALSE,ISERROR(FIND(""double oven"",A141))=FALSE,ISERROR(FIND(""single oven"",A141)"&amp;")=FALSE),VLOOKUP(LEFT(A141,FIND("" "",A141))&amp;""carcass ""&amp;RIGHT(A141,LEN(A141)-(LEN(A141)-3)),KitchensData,5,0),IF(ISERROR(FIND(""sink"",A141))=FALSE,VLOOKUP(LEFT(A141,FIND("" "",A141))&amp;""carcass ""&amp;VALUE(REGEXREPLACE(A141,""[^[:digit:]]"", """")),Kitchen"&amp;"sData,5,0)+(((C141/1000)*(300/1000))*VLOOKUP(KitchenCarcassMaterial,SheetsData,8,0)),IF(ISERROR(FIND(""bins"",A141))=FALSE,IF(ISERROR(FIND(""veneer"",KitchenCarcassMaterial))=FALSE,VLOOKUP(""Base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600"",A141))=FALSE,IF(ISERR"&amp;"OR(FIND(""veneer"",KitchenCarcassMaterial))=FALSE,0.54*(VLOOKUP(LEFT(KitchenCarcassMaterial,FIND(""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1"&amp;"200"",A141))=FALSE,IF(ISERROR(FIND(""veneer"",KitchenCarcassMaterial))=FALSE,0.84*(VLOOKUP(LEFT(KitchenCarcassMaterial,FIND(""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600"",A141))=FALSE,IF(ISERROR(FIND(""veneer"",KitchenCarcassMaterial))=FALSE,1.44*(VLOOKUP(LEFT(KitchenCarcassMaterial,FIND(""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1200"",A141))=FALSE,IF(ISERROR(FIND(""veneer"",KitchenCarcassMaterial))=FALSE,2.7*(VLOOKUP(LEFT(KitchenCarcassMaterial,FIND(""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front"",A141))=FALSE,((B141/1000)*(C141/1000))*VLOOKUP(KitchenDoorMaterial,SheetsData,8,0),IF(AND(KitchenDrawerType=""Match carcass"",ISERROR(FIND(""drawer box"",A141))=FALSE),(((((B141/10"&amp;"00)*(C141/1000))+((B141/1000)*(D141/1000)))*2)*VLOOKUP(KitchenCarcassMaterial,SheetsData,8,0))+(((C141/1000)*(D141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box"",A141))=FALSE),(((((B141/1000)*(C141/1000))+((B141/1000)*(D141/1000)))*2)*(16/1000)*VLOOKUP(L"&amp;"EFT(KitchenCarcassMaterial,FIND("" "",KitchenCarcassMaterial))&amp;""(solid m3)"",SolidData,5,0))+(((C141/1000)*(D141/1000))*VLOOKUP(LEFT(KitchenCarcassMaterial,FIND(""("",KitchenCarcassMaterial)-1)&amp;IF(OR(ISERROR(FIND(""ply"",KitchenCarcassMaterial))=FALSE,IS"&amp;"ERROR(FIND(""H/F"",KitchenCarcassMaterial))=FALSE),""(9mm)"",""(10mm)""),SheetsData,8,0)),IF(ISERROR(FIND(""spacer"",A141))=FALSE,((D141/1000)*(C141/1000))*VLOOKUP(""Poplar ply (18mm)"",SheetsData,8,0),IF(ISERROR(FIND(""filler panel"",A141))=FALSE,((B141/"&amp;"1000)*(C141/1000))*VLOOKUP(KitchenDoorMaterial,SheetsData,8,0),IF(ISERROR(FIND(""shelf"",A141))=FALSE,((D141/1000)*(C141/1000))*VLOOKUP(KitchenCarcassMaterial,SheetsData,8,0),IF(ISERROR(FIND(""lost corner"",A141))=FALSE,VLOOKUP(LEFT(A141,FIND("" "",A141))"&amp;"&amp;""carcass ""&amp;VALUE(REGEXREPLACE(A141,""[^[:digit:]]"", """")),KitchensData,5,0)+((((B141/1000)*(C141/1000))+((B141/1000)*(60/1000)))*VLOOKUP(KitchenCarcassMaterial,SheetsData,8,0)),IF(ISERROR(FIND(""carcass"",A141))=FALSE,(((((B141/1000)*2)*(D141/1000))+"&amp;"(((C141/1000)*2)*(D141/1000)))*VLOOKUP(KitchenCarcassMaterial,SheetsData,8,0))+((B141/1000)*(C141/1000))*VLOOKUP(LEFT(KitchenCarcassMaterial,FIND(""("",KitchenCarcassMaterial)-1)&amp;IF(OR(ISERROR(FIND(""ply"",KitchenCarcassMaterial))=FALSE,ISERROR(FIND(""H/F"&amp;""",KitchenCarcassMaterial))=FALSE),""(9mm)"",""(10mm)""),SheetsData,8,0),IF(OR(ISERROR(FIND(""Plinth"",A141))=FALSE,ISERROR(FIND(""Cornice (flat)"",A141))=FALSE),((B141/1000)*(C141/1000))*VLOOKUP(""H/F (18mm)"",SheetsData,8,0),IF(ISERROR(FIND(""Cornice (s"&amp;"tacked)"",A141))=FALSE,((0.08*(C141/1000))*2)*VLOOKUP(""H/F (22mm)"",SheetsData,8,0),IF(ISERROR(FIND(""Base end panel"",A141))=FALSE,VLOOKUP(KitchenDoorMaterial,SheetsData,5,0)/3,IF(ISERROR(FIND(""Wall end panel"",A141))=FALSE,VLOOKUP(KitchenDoorMaterial,"&amp;"SheetsData,5,0)/9,IF(ISERROR(FIND(""Tower end panel"",A141))=FALSE,VLOOKUP(KitchenDoorMaterial,SheetsData,5,0),IF(ISERROR(FIND(""Fillers"",A141))=FALSE,(((0.06*(C141/1000))*2)*VLOOKUP(""H/F (18mm)"",SheetsData,8,0))+(((0.06*(C141/1000))*2)*VLOOKUP(""H/F ("&amp;"9mm)"",SheetsData,8,0)),IF(ISERROR(FIND(""corner post"",A141))=FALSE,(((B141/1000)*0.05)*2)*VLOOKUP(KitchenDoorMaterial,SheetsData,8,0),IF(ISERROR(FIND(""Pelmet"",A141))=FALSE,((((B141/1000)*(C141/1000))*2)*VLOOKUP(""H/F (18mm)"",SheetsData,8,0)),IF(ISERR"&amp;"OR(FIND(""door"",A141))=TRUE,""Check description"",IF(KitchenDoorStyle=""Flat"",((B141/1000)*(C141/1000))*VLOOKUP(KitchenDoorMaterial,SheetsData,8,0),IF(LEFT(KitchenDoorStyle,5)=""Panel"",(((((B141/1000)*2)*0.08)+((((C141/1000)-0.16)*2)*0.08))*VLOOKUP(""H"&amp;"/F (22mm)"",SheetsData,8,0))+(((B141/1000)-0.14)*((C141/1000)-0.14)*VLOOKUP(""H/F (9mm)"",SheetsData,8,0)),IF(KitchenDoorStyle=""In-frame flat"",((((((B141/1000)*0.019)*0.038)+((((C141-38)/1000)*0.038)*0.038))*2)*VLOOKUP(""Tulip (solid m3)"",SolidData,5,0"&amp;"))+(((B141-76)/1000)*((C141-38)/1000))*VLOOKUP(""H/F (22mm)"",SheetsData,8,0),IF(LEFT(KitchenDoorStyle,14)=""In-frame panel"",(((((((B141/1000)*0.019)*0.038)+((((C141-38)/1000)*0.038)*0.038))*2)*VLOOKUP(""Tulip (solid m3)"",SolidData,5,0))+(((((((B141-76)"&amp;"/1000)*2)*0.08)+(((((C141-198)/1000)*2)*0.08)))*VLOOKUP(""H/F (22mm)"",SheetsData,8,0))+(((B141-216)/1000)*((C141-178)/1000)*VLOOKUP(""H/F (9mm)"",SheetsData,8,0)))))))))))))))))))))))))))))))))"),"")</f>
        <v/>
      </c>
      <c r="F141" s="152" t="str">
        <f>IFERROR(__xludf.DUMMYFUNCTION("IF(OR(A141="""",AND(ISERROR(FIND(""drawer box"",A141))=FALSE,KitchenDrawerType=""Solid dovetail"")),"""",IF(ISERROR(FIND(""bins"",A141))=FALSE,VLOOKUP(""Base carcass 600"",KitchensData,6,0),IF(OR(ISERROR(FIND(""larder"",A141))=FALSE,ISERROR(FIND(""unit"","&amp;"A141))=FALSE),VLOOKUP(LEFT(A141,FIND("" "",A141))&amp;""carcass ""&amp;RIGHT(A141,LEN(A141)-len(regexextract(A141,"".* ""))),KitchensData,6,0),IF(ISERROR(FIND(""drawer front"",A141))=FALSE,IF(ISERROR(FIND(""veneer"",KitchenCarcassMaterial))=TRUE,0,(((B141+C141)/1"&amp;"000)*2)*VLOOKUP(""Edge banding (per M)"",SheetsData,5,0)),IF(ISERROR(FIND(""drawer box"",A141))=FALSE,IF(ISERROR(FIND(""veneer"",KitchenCarcassMaterial))=TRUE,0,(((C141+D141)/1000)*2)*VLOOKUP(""Edge banding (per M)"",SheetsData,5,0)),IF(ISERROR(FIND(""she"&amp;"lf"",A141))=FALSE,IF(ISERROR(FIND(""veneer"",KitchenCarcassMaterial))=TRUE,0,(C141/1000)*VLOOKUP(""Edge banding (per M)"",SheetsData,5,0)),IF(AND(ISERROR(FIND(""carcass"",A141))=FALSE,ISERROR(FIND(""shelf"",A141))=TRUE),IF(ISERROR(FIND(""veneer"",KitchenC"&amp;"arcassMaterial))=TRUE,0,((2*(B141+C141))/1000)*VLOOKUP(""Edge banding (per M)"",SheetsData,5,0)),IF(ISERROR(FIND(""door"",A141))=TRUE,"""",IF(ISERROR(FIND(""veneer"",KitchenDoorMaterial))=TRUE,"""",((2*(B141+C141))/1000)*VLOOKUP(""Edge banding (per M)"",S"&amp;"heetsData,5,0))))))))))"),"")</f>
        <v/>
      </c>
      <c r="G141" s="153" t="str">
        <f>IF(A141="","",IF(ISERROR(FIND("bins",A141))=FALSE,VLOOKUP("Base carcass 600",KitchensData,7,0),IF(OR(ISERROR(FIND("larder",A141))=FALSE,ISERROR(FIND("fridge/freezer",A141))=FALSE,ISERROR(FIND("double oven",A141))=FALSE,ISERROR(FIND("single oven",A141))=FALSE),VLOOKUP(LEFT(A141,FIND(" ",A141))&amp;"carcass "&amp;RIGHT(A141,LEN(A141)-(LEN(A141)-3)),KitchensData,7,0),IF(AND(ISERROR(FIND("carcass",A141))=FALSE,ISERROR(FIND("shelf",A141))=TRUE),IF(OR(ISERROR(FIND("Base",A141))=FALSE,ISERROR(FIND("Tower",A141))=FALSE),IF(OR(ISERROR(FIND("1200",A141))=FALSE, ISERROR(FIND("lost corner",A141))=FALSE),6*VLOOKUP("Plinth foot (2 Parts 80mm)",FurnitureData,5,0),4*VLOOKUP("Plinth foot (2 Parts 80mm)",FurnitureData,5,0)),""),""))))</f>
        <v/>
      </c>
      <c r="H141" s="115" t="str">
        <f>IF(OR(A141="",ISERROR(FIND("door",A141))=TRUE),"",IF(ISERROR(FIND("Wall",A141))=FALSE,VLOOKUP("Hinges &amp; plates (Hettich thick door)",FurnitureData,5,0)*2,IF(ISERROR(FIND("Base",A141))=FALSE,VLOOKUP("Hinges &amp; plates (Hettich thick door)",FurnitureData,5,0)*3,IF(ISERROR(FIND("Boiler",A141))=FALSE,VLOOKUP("Hinges &amp; plates (Hettich thick door)",FurnitureData,5,0)*4,IF(ISERROR(FIND("Tower",A141))=FALSE,VLOOKUP("Hinges &amp; plates (Hettich thick door)",FurnitureData,5,0)*5)))))</f>
        <v/>
      </c>
      <c r="I141" s="115" t="str">
        <f>IF(ISERROR(FIND("shelf",A141))=FALSE,(VLOOKUP("Shelf pegs",FurnitureData,5,0)/100)*4,"")</f>
        <v/>
      </c>
      <c r="J141" s="152" t="str">
        <f>IF(OR(ISERROR(FIND("fridge/freezer",A141))=FALSE,ISERROR(FIND("larder",A141))=FALSE,AND(ISERROR(FIND("Base",A141))=FALSE,ISERROR(FIND("bins",A141))=TRUE,ISERROR(FIND("no shelves",A141))=TRUE,OR(ISERROR(FIND("carcass",A141))=FALSE,ISERROR(FIND("unit",A141))=FALSE))),VLOOKUP("Deep shelf "&amp;C141,KitchensData,18,0),IF(AND(ISERROR(FIND("Wall",A141))=FALSE,ISERROR(FIND("carcass",A141))=FALSE),2*VLOOKUP("Shallow shelf "&amp;C141,KitchensData,18,0),IF(AND(ISERROR(FIND("Tower",A141))=FALSE,ISERROR(FIND("oven",A141))=FALSE),4*VLOOKUP("Deep shelf "&amp;C141,KitchensData,18,0),IF(AND(ISERROR(FIND("Tower",A141))=FALSE,ISERROR(FIND("carcass",A141))=FALSE),5*VLOOKUP("Deep shelf "&amp;C141,KitchensData,18,0),""))))</f>
        <v/>
      </c>
      <c r="K141" s="152" t="str">
        <f>IF(ISERROR(FIND("sink",A141))=FALSE,VLOOKUP("Sink liner - Aluminium "&amp;RIGHT(A141,LEN(A141)-22)&amp;"mm",ExceptionalData,5,0),IF(ISERROR(FIND("bins",A141))=FALSE,VLOOKUP("Drawer runners and clip set for bin unit (500) Dynapro",FurnitureData,5,0)+(2*VLOOKUP("Bin (42L Anthracite)",FurnitureData,5,0)),IF(ISERROR(FIND("larder",A141))=FALSE,VLOOKUP("Pull out larder unit 600mm",FurnitureData,5,0),IF(AND(ISERROR(FIND("drawer box",A141))=FALSE,ISERROR(FIND("internal",A141))=TRUE),VLOOKUP("Drawer runners and clip set (550) Dynapro",FurnitureData,5,0),IF(ISERROR(FIND("internal drawer box",A141))=FALSE,VLOOKUP("Drawer runners and clip set (450) Dynapro",FurnitureData,5,0),"")))))</f>
        <v/>
      </c>
      <c r="L141" s="152" t="str">
        <f t="shared" si="3"/>
        <v/>
      </c>
      <c r="M141" s="154" t="str">
        <f>IFERROR(__xludf.DUMMYFUNCTION("IF(A141="""","""",IF(OR(ISERROR(FIND(""larder"",A141))=FALSE,ISERROR(FIND(""unit"",A141))=FALSE),VLOOKUP(LEFT(A141,FIND("" "",A141))&amp;""carcass ""&amp;RIGHT(A141,LEN(A141)-len(regexextract(A141,"".* ""))),KitchensData,13,0),IF(ISERROR(FIND(""bins"",A141))=FALS"&amp;"E,0.95,IF(ISERROR(FIND(""Cutlery insert 600"",A141))=FALSE,1.3,IF(ISERROR(FIND(""Cutlery insert 1200"",A141))=FALSE,2,IF(ISERROR(FIND(""Pan/tray rack 600"",A141))=FALSE,3.25,IF(ISERROR(FIND(""Pan/tray rack 1200"",A141))=FALSE,5.9,IF(ISERROR(FIND(""split"""&amp;",A141))=FALSE,(((C141/1000)*0.022)*2)+VLOOKUP(SUBSTITUTE(A141,"" split"",""""),KitchensData,13,0),IF(AND(ISERROR(FIND(""drawer front"",A141))=FALSE,KitchenDoorStyle=""Flat""),(((B141/1000)*(C141/1000))*2)+((((B141+C141)/1000)*2)*0.022),IF(AND(ISERROR(FIND"&amp;"(""drawer front"",A141))=FALSE,LEFT(KitchenDoorStyle,5)=""Panel""),(((B141/1000)*(C141/1000))*2)+((((B141+C141)/1000)*2)*0.022)+((((C141/1000)-0.16)*0.013)*2)+((((D141/1000)-0.16)*0.013)*2),IF(AND(ISERROR(FIND(""drawer front"",A141))=FALSE,KitchenDoorStyl"&amp;"e=""In-frame flat""),((((B141-76)/1000)*((C141-38)/1000))*2)+(MID(KitchenDoorMaterial,FIND(""("",KitchenDoorMaterial)+1,2)/1000)*((((B141-76)+(C141-38))/1000)*2)+(((B141/1000)*0.032)*2)+((((B141-76)/1000)*0.032)*2)+(((B141/1000)*0.019)*4)+(((C141/1000)*0."&amp;"032)*2)+((((C141-38)/1000)*0.032)*2)+(((C141/1000)*0.038)*4),IF(AND(ISERROR(FIND(""drawer front"",A141))=FALSE,LEFT(KitchenDoorStyle,14)=""In-frame panel""),((((B141-76)/1000)*((C141-38)/1000))*2)+((MID(KitchenDoorMaterial,FIND(""("",KitchenDoorMaterial)+"&amp;"1,2)/1000)*((((B141-76)+(C141-38))/1000)*2))+((((B141-236)/1000)+((C141-198)/1000)*2)*0.013)+(((B141/1000)*0.032)*2)+((((B141-76)/1000)*0.032)*2)+(((B141/1000)*0.019)*4)+(((C141/1000)*0.032)*2)+((((C141-38)/1000)*0.032)*2)+(((C141/1000)*0.038)*4),IF(ISERR"&amp;"OR(FIND(""drawer box"",A141))=FALSE,((((B141/1000)*(D141/1000))+((B141/1000)*(C141/1000)))*4)+((((D141/1000)+(C141/1000))*0.016)*4)+(((C141/1000)*(D141/1000))*2),IF(OR(ISERROR(FIND(""shelf"",A141))=FALSE,ISERROR(FIND(""spacer"",A141))=FALSE,,ISERROR(FIND("&amp;"""filler panel"",A141))=FALSE),(((C141/1000)*(D141/1000))*2)+((((C141+D141)*2)/1000)*0.022),IF(ISERROR(FIND(""lost corner"",A141))=FALSE,(((B141/1000)*(C141/1000))*2)+((B141/1000)*(C141/1000))+((B141/1000)*((C141/2)/1000))+((((B141/1000)*0.025)+((C141/100"&amp;"0)*0.025))*2),IF(ISERROR(FIND(""carcass"",A141))=FALSE,(((C141/1000)*(D141/1000))*2)+(((B141/1000)*(D141/1000))*2)+((B141/1000)*(C141/1000))+((((B141/1000)*0.025)+((C141/1000)*0.025))*2),IF(AND(ISERROR(FIND(""door"",A141))=FALSE,KitchenDoorStyle=""Flat"")"&amp;",(((B141/1000)*(C141/1000))*2)+(MID(KitchenDoorMaterial,FIND(""("",KitchenDoorMaterial)+1,2)/1000)*(((B141+C141)/1000)*2),IF(AND(ISERROR(FIND(""door"",A141))=FALSE,LEFT(KitchenDoorStyle,5)=""Panel""),(((B141/1000)*(C141/1000))*2)+((MID(KitchenDoorMaterial"&amp;",FIND(""("",KitchenDoorMaterial)+1,2)/1000)*(((B141+C141)/1000)*2))+(((((B141-160)+(C141-160))*2)/1000)*(0.013)),IF(AND(ISERROR(FIND(""door"",A141))=FALSE,KitchenDoorStyle=""In-frame flat""),((((B141-76)/1000)*((C141-38)/1000))*2)+(MID(KitchenDoorMaterial"&amp;",FIND(""("",KitchenDoorMaterial)+1,2)/1000)*((((B141-76)+(C141-38))/1000)*2)+(((B141/1000)*0.032)*2)+((((B141-76)/1000)*0.032)*2)+(((B141/1000)*0.019)*4)+(((C141/1000)*0.032)*2)+((((C141-38)/1000)*0.032)*2)+(((C141/1000)*0.038)*4),IF(AND(ISERROR(FIND(""do"&amp;"or"",A141))=FALSE,LEFT(KitchenDoorStyle,14)=""In-frame panel""),((((B141-76)/1000)*((C141-38)/1000))*2)+((MID(KitchenDoorMaterial,FIND(""("",KitchenDoorMaterial)+1,2)/1000)*((((B141-76)+(C141-38))/1000)*2))+((((B141-236)/1000)+((C141-198)/1000)*2)*0.013)+"&amp;"(((B141/1000)*0.032)*2)+((((B141-76)/1000)*0.032)*2)+(((B141/1000)*0.019)*4)+(((C141/1000)*0.032)*2)+((((C141-38)/1000)*0.032)*2)+(((C141/1000)*0.038)*4),IF(ISERROR(FIND(""Plinth"",A141))=FALSE,((B141/1000)*(C141/1000))+(((C141/1000)*0.018)*2)+(((B141/100"&amp;"0)*0.018)*2),IF(ISERROR(FIND(""Cornice"",A141))=FALSE,(((C141/1000)*0.1)*2)+(((C141/1000)*0.044)*2)+(((B141/1000)*0.08)*2),IF(ISERROR(FIND(""Base end panel"",A141))=FALSE,((B141/1000)*(C141/1000))+(0.022*((B141/1000)+((C141/1000)*2)))+((B141/1000)*0.05),I"&amp;"F(ISERROR(FIND(""Wall end panel"",A141))=FALSE,((B141/1000)*(C141/1000))+(0.022*((B141/1000)+((C141/1000)*2)))+((B141/1000)*0.05),IF(ISERROR(FIND(""Tower end panel"",A141))=FALSE,((B141/1000)*(C141/1000))+(0.022*((B141/1000)+((C141/1000)*2)))+((B141/1000)"&amp;"*0.05),IF(ISERROR(FIND(""Fillers"",A141))=FALSE,((C141/1000)*0.06)+((C141/1000)*0.069)+((0.06*0.018)*2)+((0.06*0.009)*2)+((C141/1000)*0.009)+((C141/1000)*0.018),IF(ISERROR(FIND(""corner post"",A141))=FALSE,(((B141/1000*0.05)*2)+((B141/1000)*0.022)*2)+((B1"&amp;"41/1000)*0.072)+((B141/1000)*0.05)+((0.072*0.022)*2)+((0.05*0.022)*2),IF(ISERROR(FIND(""Pelmet"",A141))=FALSE,((C141/1000)*0.05)+((C141/1000)*0.068)+((0.05*0.018)*4)+(((C141/1000)*0.018))*2))))))))))))))))))))))))))))"),"")</f>
        <v/>
      </c>
      <c r="N141" s="152" t="str">
        <f>IF(M141="","",IF(AND(ISERROR(FIND("carcass",A141))=TRUE,ISERROR(FIND("unit",A141))=TRUE,ISERROR(FIND("insert",A141))=TRUE,ISERROR(FIND("rack",A141))=TRUE,ISERROR(FIND("box",A141))=TRUE,ISERROR(FIND("shelf",#REF!))=TRUE),VLOOKUP(KitchenDoorFinish,Finishing!$A$2:$K$10,9,0)*M141,VLOOKUP(KitchenCarcassFinish,Finishing!$A$2:$K$40,9,0)*M141))</f>
        <v/>
      </c>
      <c r="O141" s="155"/>
      <c r="P141" s="155"/>
      <c r="Q141" s="152" t="str">
        <f>IF(OR(O141="",P141=""),"",((O141*X141)*(VLOOKUP("Workshop",Labour!$A$3:$E$20,4,0)/8))+((P141*AE141)*(VLOOKUP("Finishing",Labour!$A$3:$E$20,4,0)/8)))</f>
        <v/>
      </c>
      <c r="R141" s="152" t="str">
        <f t="shared" si="4"/>
        <v/>
      </c>
      <c r="S141" s="156" t="str">
        <f>IF(OR(O141="",P141=""),"",IF(OR(ISERROR(FIND("carcass",$A141))=FALSE,ISERROR(FIND("unit",$A141))=FALSE),VLOOKUP(KitchenCarcassMaterial,FixedListsCarcassMaterial,2,0),0))</f>
        <v/>
      </c>
      <c r="T141" s="156" t="str">
        <f>IF(OR(O141="",P141=""),"",IF(ISERROR(FIND("door",$A141))=FALSE,VLOOKUP(KitchenDoorStyle,FixedListsDoorStyle,2,0),0))</f>
        <v/>
      </c>
      <c r="U141" s="156" t="str">
        <f>IF(OR(O141="",P141=""),"",IF(ISERROR(FIND("door",$A141))=FALSE,VLOOKUP(KitchenDoorMaterial,FixedListsDoorMaterial,2,0),0))</f>
        <v/>
      </c>
      <c r="V141" s="156" t="str">
        <f>IF(OR(O141="",P141=""),"",IF(ISERROR(FIND("drawer",$A141))=FALSE,VLOOKUP(KitchenDrawerType,FixedListsDrawerType,2,0),0))</f>
        <v/>
      </c>
      <c r="W141" s="156" t="str">
        <f>IF(OR(O141="",P141=""),"",IF(OR(S141&gt;0, T141&gt;0,V141&gt;0),VLOOKUP(KitchenHandleType,FixedListsHandleType,2,FALSE)*IF(KitchenHandleType="Simple",0,IF(S141&gt;0,VLOOKUP(KitchenHandleType,FixedListsHandleType,4,FALSE),IF(OR(T141&gt;0,V141&gt;0),1-VLOOKUP(KitchenHandleType,FixedListsHandleType,4,FALSE),"Error"))),0))</f>
        <v/>
      </c>
      <c r="X141" s="156" t="str">
        <f t="shared" si="5"/>
        <v/>
      </c>
      <c r="Y141" s="156" t="str">
        <f>IF(OR(O141="",P141=""),"",IF(OR(ISERROR(FIND("carcass",$A141))=FALSE,ISERROR(FIND("unit",$A141))=FALSE),VLOOKUP(KitchenCarcassMaterial,FixedListsCarcassMaterial,3,0),0))</f>
        <v/>
      </c>
      <c r="Z141" s="156" t="str">
        <f>IF(OR(O141="",P141=""),"",IF(ISERROR(FIND("door",$A141))=FALSE,VLOOKUP(KitchenDoorStyle,FixedListsDoorStyle,3,0),0))</f>
        <v/>
      </c>
      <c r="AA141" s="156" t="str">
        <f>IF(OR(O141="",P141=""),"",IF(ISERROR(FIND("door",$A141))=FALSE,VLOOKUP(KitchenDoorMaterial,FixedListsDoorMaterial,3,0),0))</f>
        <v/>
      </c>
      <c r="AB141" s="156" t="str">
        <f>IF(OR(O141="",P141=""),"",IF(ISERROR(FIND("drawer",$A141))=FALSE,VLOOKUP(KitchenDrawerType,FixedListsDrawerType,3,0),0))</f>
        <v/>
      </c>
      <c r="AC141" s="156" t="str">
        <f>IF(OR(O141="",P141=""),"",IF(OR(Y141&gt;0,Z141&gt;0,AB141&gt;0),VLOOKUP(KitchenHandleType,FixedListsHandleType,3,FALSE),0))</f>
        <v/>
      </c>
      <c r="AD141" s="156" t="str">
        <f>IF(OR(O141="",P141=""),"",IF(OR(ISERROR(FIND("carcass",$A141))=FALSE,ISERROR(FIND("unit",$A141))=FALSE),VLOOKUP(KitchenCarcassFinish,FixedListsFinishes,3,0),IF(OR(ISERROR(FIND("door",$A141))=FALSE,ISERROR(FIND("Plinth",$A141))=FALSE,ISERROR(FIND("Cornice",$A141))=FALSE,ISERROR(FIND("Fillers",$A141))=FALSE,ISERROR(FIND("Pelmet",$A141))=FALSE,ISERROR(FIND("panel",$A141))=FALSE,ISERROR(FIND("post",$A141))=FALSE),VLOOKUP(KitchenDoorFinish,FixedListsFinishes,3,0),IF(OR(ISERROR(FIND("drawer",$A141))=FALSE,ISERROR(FIND("insert",$A141))=FALSE,ISERROR(FIND("rck",$A141))=FALSE),VLOOKUP(KitchenCarcassFinish,FixedListsFinishes,3,0),0))))</f>
        <v/>
      </c>
      <c r="AE141" s="156" t="str">
        <f t="shared" si="6"/>
        <v/>
      </c>
      <c r="AF141" s="157" t="str">
        <f>IF(AND(KitchenHandleType="Channel",OR(ISERROR(FIND("arcass",$A141))=FALSE,ISERROR(FIND("unit",$A141))=FALSE)),IF(ISERROR(FIND("Tower",$A141))=TRUE,IF(KitchenHandleFinish="Match carcass",IF(ISERROR(FIND("Walnut",KitchenCarcassMaterial))=FALSE,(0.035*0.075*($C141/1000))*VLOOKUP("Walnut (solid m3)",SolidData,4,FALSE),IF(ISERROR(FIND("Oak",KitchenCarcassMaterial))=FALSE,(0.035*0.075*($C141/1000))*VLOOKUP("Oak (solid m3)",SolidData,4,FALSE),IF(ISERROR(FIND("ply",KitchenCarcassMaterial))=FALSE,(0.1*($C141/1000))*VLOOKUP("Birch ply (24mm)",SheetsData,7,FALSE),IF(ISERROR(FIND("H/F",KitchenCarcassMaterial))=FALSE,(0.1*($C141/1000))*VLOOKUP("H/F (22mm)",SheetsData,7,FALSE),"Carcass - not tower - new material")))),IF(KitchenHandleFinish="Match door",IF(ISERROR(FIND("Walnut",KitchenDoorMaterial))=FALSE,(0.035*0.075*($C141/1000))*VLOOKUP("Walnut (solid m3)",SolidData,4,FALSE),IF(ISERROR(FIND("Oak",KitchenDoorMaterial))=FALSE,(0.035*0.075*($C141/1000))*VLOOKUP("Oak (solid m3)",SolidData,4,FALSE),IF(ISERROR(FIND("ply",KitchenDoorMaterial))=FALSE,(0.1*($C141/1000))*VLOOKUP("Birch ply (24mm)",SheetsData,7,FALSE),IF(ISERROR(FIND("H/F",KitchenCarcassMaterial))=FALSE,(0.1*($C141/1000))*VLOOKUP("H/F (22mm)",SheetsData,7,FALSE),"Door - not tower - new material")))),"Channel - not tower - handle set to other")),IF(ISERROR(FIND("Tower",$A141))=FALSE,IF(KitchenHandleFinish="Match carcass",IF(ISERROR(FIND("Walnut",KitchenCarcassMaterial))=FALSE,(0.035*0.075*($B141/1000))*VLOOKUP("Walnut (solid m3)",SolidData,4,FALSE),IF(ISERROR(FIND("Oak",KitchenCarcassMaterial))=FALSE,(0.035*0.075*($B141/1000))*VLOOKUP("Oak (solid m3)",SolidData,4,FALSE),IF(ISERROR(FIND("ply",KitchenCarcassMaterial))=FALSE,(0.1*($B141/1000))*VLOOKUP("Birch ply (24mm)",SheetsData,7,FALSE),IF(ISERROR(FIND("H/F",KitchenCarcassMaterial))=FALSE,(0.1*($C141/1000))*VLOOKUP("H/F (22mm)",SheetsData,7,FALSE),"Carcass - tower - new material")))),IF(KitchenHandleFinish="Match door",IF(ISERROR(FIND("Walnut",KitchenDoorMaterial))=FALSE,(0.035*0.075*($B141/1000))*VLOOKUP("Walnut (solid m3)",SolidData,4,FALSE),IF(ISERROR(FIND("Oak",KitchenDoorMaterial))=FALSE,(0.035*0.075*($B141/1000))*VLOOKUP("Oak (solid m3)",SolidData,4,FALSE),IF(ISERROR(FIND("ply",KitchenDoorMaterial))=FALSE,(0.1*($B141/1000))*VLOOKUP("Birch ply (24mm)",SheetData,7,FALSE),IF(ISERROR(FIND("H/F",KitchenCarcassMaterial))=FALSE,(0.1*($C141/1000))*VLOOKUP("H/F (22mm)",SheetsData,7,FALSE),"Door - tower - new material")))),"Channel - tower - handle set to other")))),"")</f>
        <v/>
      </c>
    </row>
    <row r="142">
      <c r="A142" s="150"/>
      <c r="B142" s="115" t="str">
        <f t="shared" si="1"/>
        <v/>
      </c>
      <c r="C142" s="115" t="str">
        <f>IFERROR(__xludf.DUMMYFUNCTION("IF(A142="""","""",IF(OR(RIGHT(A142,LEN(A142)-len(regexextract(A142,"".* "")))=""1200"",RIGHT(A142,LEN(A142)-len(regexextract(A142,"".* "")))=""600"",RIGHT(A142,LEN(A142)-len(regexextract(A142,"".* "")))=""400"",RIGHT(A142,LEN(A142)-len(regexextract(A142,"&amp;""".* "")))=""300"",RIGHT(A142,LEN(A142)-len(regexextract(A142,"".* "")))=""700"",RIGHT(A142,LEN(A142)-len(regexextract(A142,"".* "")))=""2400"",RIGHT(A142,LEN(A142)-len(regexextract(A142,"".* "")))=""650"",RIGHT(A142,LEN(A142)-len(regexextract(A142,"".* "&amp;""")))=""350"",RIGHT(A142,LEN(A142)-len(regexextract(A142,"".* "")))=""50""),RIGHT(A142,LEN(A142)-len(regexextract(A142,"".* ""))),IF(OR(ISERROR(FIND(""spacer"",A142))=FALSE,ISERROR(FIND(""filler panel"",A142))=FALSE),""1000"",""Unexpected size in descript"&amp;"ion"")))"),"")</f>
        <v/>
      </c>
      <c r="D142" s="151" t="str">
        <f t="shared" si="2"/>
        <v/>
      </c>
      <c r="E142" s="152" t="str">
        <f>IFERROR(__xludf.DUMMYFUNCTION("IF(OR(A142="""",AND(ISERROR(FIND(""drawer box"",A142))=FALSE,KitchenDrawerType="""")),"""",IF(OR(ISERROR(FIND(""larder"",A142))=FALSE,ISERROR(FIND(""fridge/freezer"",A142))=FALSE,ISERROR(FIND(""double oven"",A142))=FALSE,ISERROR(FIND(""single oven"",A142)"&amp;")=FALSE),VLOOKUP(LEFT(A142,FIND("" "",A142))&amp;""carcass ""&amp;RIGHT(A142,LEN(A142)-(LEN(A142)-3)),KitchensData,5,0),IF(ISERROR(FIND(""sink"",A142))=FALSE,VLOOKUP(LEFT(A142,FIND("" "",A142))&amp;""carcass ""&amp;VALUE(REGEXREPLACE(A142,""[^[:digit:]]"", """")),Kitchen"&amp;"sData,5,0)+(((C142/1000)*(300/1000))*VLOOKUP(KitchenCarcassMaterial,SheetsData,8,0)),IF(ISERROR(FIND(""bins"",A142))=FALSE,IF(ISERROR(FIND(""veneer"",KitchenCarcassMaterial))=FALSE,VLOOKUP(""Base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600"",A142))=FALSE,IF(ISERR"&amp;"OR(FIND(""veneer"",KitchenCarcassMaterial))=FALSE,0.54*(VLOOKUP(LEFT(KitchenCarcassMaterial,FIND(""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1"&amp;"200"",A142))=FALSE,IF(ISERROR(FIND(""veneer"",KitchenCarcassMaterial))=FALSE,0.84*(VLOOKUP(LEFT(KitchenCarcassMaterial,FIND(""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600"",A142))=FALSE,IF(ISERROR(FIND(""veneer"",KitchenCarcassMaterial))=FALSE,1.44*(VLOOKUP(LEFT(KitchenCarcassMaterial,FIND(""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1200"",A142))=FALSE,IF(ISERROR(FIND(""veneer"",KitchenCarcassMaterial))=FALSE,2.7*(VLOOKUP(LEFT(KitchenCarcassMaterial,FIND(""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front"",A142))=FALSE,((B142/1000)*(C142/1000))*VLOOKUP(KitchenDoorMaterial,SheetsData,8,0),IF(AND(KitchenDrawerType=""Match carcass"",ISERROR(FIND(""drawer box"",A142))=FALSE),(((((B142/10"&amp;"00)*(C142/1000))+((B142/1000)*(D142/1000)))*2)*VLOOKUP(KitchenCarcassMaterial,SheetsData,8,0))+(((C142/1000)*(D142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box"",A142))=FALSE),(((((B142/1000)*(C142/1000))+((B142/1000)*(D142/1000)))*2)*(16/1000)*VLOOKUP(L"&amp;"EFT(KitchenCarcassMaterial,FIND("" "",KitchenCarcassMaterial))&amp;""(solid m3)"",SolidData,5,0))+(((C142/1000)*(D142/1000))*VLOOKUP(LEFT(KitchenCarcassMaterial,FIND(""("",KitchenCarcassMaterial)-1)&amp;IF(OR(ISERROR(FIND(""ply"",KitchenCarcassMaterial))=FALSE,IS"&amp;"ERROR(FIND(""H/F"",KitchenCarcassMaterial))=FALSE),""(9mm)"",""(10mm)""),SheetsData,8,0)),IF(ISERROR(FIND(""spacer"",A142))=FALSE,((D142/1000)*(C142/1000))*VLOOKUP(""Poplar ply (18mm)"",SheetsData,8,0),IF(ISERROR(FIND(""filler panel"",A142))=FALSE,((B142/"&amp;"1000)*(C142/1000))*VLOOKUP(KitchenDoorMaterial,SheetsData,8,0),IF(ISERROR(FIND(""shelf"",A142))=FALSE,((D142/1000)*(C142/1000))*VLOOKUP(KitchenCarcassMaterial,SheetsData,8,0),IF(ISERROR(FIND(""lost corner"",A142))=FALSE,VLOOKUP(LEFT(A142,FIND("" "",A142))"&amp;"&amp;""carcass ""&amp;VALUE(REGEXREPLACE(A142,""[^[:digit:]]"", """")),KitchensData,5,0)+((((B142/1000)*(C142/1000))+((B142/1000)*(60/1000)))*VLOOKUP(KitchenCarcassMaterial,SheetsData,8,0)),IF(ISERROR(FIND(""carcass"",A142))=FALSE,(((((B142/1000)*2)*(D142/1000))+"&amp;"(((C142/1000)*2)*(D142/1000)))*VLOOKUP(KitchenCarcassMaterial,SheetsData,8,0))+((B142/1000)*(C142/1000))*VLOOKUP(LEFT(KitchenCarcassMaterial,FIND(""("",KitchenCarcassMaterial)-1)&amp;IF(OR(ISERROR(FIND(""ply"",KitchenCarcassMaterial))=FALSE,ISERROR(FIND(""H/F"&amp;""",KitchenCarcassMaterial))=FALSE),""(9mm)"",""(10mm)""),SheetsData,8,0),IF(OR(ISERROR(FIND(""Plinth"",A142))=FALSE,ISERROR(FIND(""Cornice (flat)"",A142))=FALSE),((B142/1000)*(C142/1000))*VLOOKUP(""H/F (18mm)"",SheetsData,8,0),IF(ISERROR(FIND(""Cornice (s"&amp;"tacked)"",A142))=FALSE,((0.08*(C142/1000))*2)*VLOOKUP(""H/F (22mm)"",SheetsData,8,0),IF(ISERROR(FIND(""Base end panel"",A142))=FALSE,VLOOKUP(KitchenDoorMaterial,SheetsData,5,0)/3,IF(ISERROR(FIND(""Wall end panel"",A142))=FALSE,VLOOKUP(KitchenDoorMaterial,"&amp;"SheetsData,5,0)/9,IF(ISERROR(FIND(""Tower end panel"",A142))=FALSE,VLOOKUP(KitchenDoorMaterial,SheetsData,5,0),IF(ISERROR(FIND(""Fillers"",A142))=FALSE,(((0.06*(C142/1000))*2)*VLOOKUP(""H/F (18mm)"",SheetsData,8,0))+(((0.06*(C142/1000))*2)*VLOOKUP(""H/F ("&amp;"9mm)"",SheetsData,8,0)),IF(ISERROR(FIND(""corner post"",A142))=FALSE,(((B142/1000)*0.05)*2)*VLOOKUP(KitchenDoorMaterial,SheetsData,8,0),IF(ISERROR(FIND(""Pelmet"",A142))=FALSE,((((B142/1000)*(C142/1000))*2)*VLOOKUP(""H/F (18mm)"",SheetsData,8,0)),IF(ISERR"&amp;"OR(FIND(""door"",A142))=TRUE,""Check description"",IF(KitchenDoorStyle=""Flat"",((B142/1000)*(C142/1000))*VLOOKUP(KitchenDoorMaterial,SheetsData,8,0),IF(LEFT(KitchenDoorStyle,5)=""Panel"",(((((B142/1000)*2)*0.08)+((((C142/1000)-0.16)*2)*0.08))*VLOOKUP(""H"&amp;"/F (22mm)"",SheetsData,8,0))+(((B142/1000)-0.14)*((C142/1000)-0.14)*VLOOKUP(""H/F (9mm)"",SheetsData,8,0)),IF(KitchenDoorStyle=""In-frame flat"",((((((B142/1000)*0.019)*0.038)+((((C142-38)/1000)*0.038)*0.038))*2)*VLOOKUP(""Tulip (solid m3)"",SolidData,5,0"&amp;"))+(((B142-76)/1000)*((C142-38)/1000))*VLOOKUP(""H/F (22mm)"",SheetsData,8,0),IF(LEFT(KitchenDoorStyle,14)=""In-frame panel"",(((((((B142/1000)*0.019)*0.038)+((((C142-38)/1000)*0.038)*0.038))*2)*VLOOKUP(""Tulip (solid m3)"",SolidData,5,0))+(((((((B142-76)"&amp;"/1000)*2)*0.08)+(((((C142-198)/1000)*2)*0.08)))*VLOOKUP(""H/F (22mm)"",SheetsData,8,0))+(((B142-216)/1000)*((C142-178)/1000)*VLOOKUP(""H/F (9mm)"",SheetsData,8,0)))))))))))))))))))))))))))))))))"),"")</f>
        <v/>
      </c>
      <c r="F142" s="152" t="str">
        <f>IFERROR(__xludf.DUMMYFUNCTION("IF(OR(A142="""",AND(ISERROR(FIND(""drawer box"",A142))=FALSE,KitchenDrawerType=""Solid dovetail"")),"""",IF(ISERROR(FIND(""bins"",A142))=FALSE,VLOOKUP(""Base carcass 600"",KitchensData,6,0),IF(OR(ISERROR(FIND(""larder"",A142))=FALSE,ISERROR(FIND(""unit"","&amp;"A142))=FALSE),VLOOKUP(LEFT(A142,FIND("" "",A142))&amp;""carcass ""&amp;RIGHT(A142,LEN(A142)-len(regexextract(A142,"".* ""))),KitchensData,6,0),IF(ISERROR(FIND(""drawer front"",A142))=FALSE,IF(ISERROR(FIND(""veneer"",KitchenCarcassMaterial))=TRUE,0,(((B142+C142)/1"&amp;"000)*2)*VLOOKUP(""Edge banding (per M)"",SheetsData,5,0)),IF(ISERROR(FIND(""drawer box"",A142))=FALSE,IF(ISERROR(FIND(""veneer"",KitchenCarcassMaterial))=TRUE,0,(((C142+D142)/1000)*2)*VLOOKUP(""Edge banding (per M)"",SheetsData,5,0)),IF(ISERROR(FIND(""she"&amp;"lf"",A142))=FALSE,IF(ISERROR(FIND(""veneer"",KitchenCarcassMaterial))=TRUE,0,(C142/1000)*VLOOKUP(""Edge banding (per M)"",SheetsData,5,0)),IF(AND(ISERROR(FIND(""carcass"",A142))=FALSE,ISERROR(FIND(""shelf"",A142))=TRUE),IF(ISERROR(FIND(""veneer"",KitchenC"&amp;"arcassMaterial))=TRUE,0,((2*(B142+C142))/1000)*VLOOKUP(""Edge banding (per M)"",SheetsData,5,0)),IF(ISERROR(FIND(""door"",A142))=TRUE,"""",IF(ISERROR(FIND(""veneer"",KitchenDoorMaterial))=TRUE,"""",((2*(B142+C142))/1000)*VLOOKUP(""Edge banding (per M)"",S"&amp;"heetsData,5,0))))))))))"),"")</f>
        <v/>
      </c>
      <c r="G142" s="153" t="str">
        <f>IF(A142="","",IF(ISERROR(FIND("bins",A142))=FALSE,VLOOKUP("Base carcass 600",KitchensData,7,0),IF(OR(ISERROR(FIND("larder",A142))=FALSE,ISERROR(FIND("fridge/freezer",A142))=FALSE,ISERROR(FIND("double oven",A142))=FALSE,ISERROR(FIND("single oven",A142))=FALSE),VLOOKUP(LEFT(A142,FIND(" ",A142))&amp;"carcass "&amp;RIGHT(A142,LEN(A142)-(LEN(A142)-3)),KitchensData,7,0),IF(AND(ISERROR(FIND("carcass",A142))=FALSE,ISERROR(FIND("shelf",A142))=TRUE),IF(OR(ISERROR(FIND("Base",A142))=FALSE,ISERROR(FIND("Tower",A142))=FALSE),IF(OR(ISERROR(FIND("1200",A142))=FALSE, ISERROR(FIND("lost corner",A142))=FALSE),6*VLOOKUP("Plinth foot (2 Parts 80mm)",FurnitureData,5,0),4*VLOOKUP("Plinth foot (2 Parts 80mm)",FurnitureData,5,0)),""),""))))</f>
        <v/>
      </c>
      <c r="H142" s="115" t="str">
        <f>IF(OR(A142="",ISERROR(FIND("door",A142))=TRUE),"",IF(ISERROR(FIND("Wall",A142))=FALSE,VLOOKUP("Hinges &amp; plates (Hettich thick door)",FurnitureData,5,0)*2,IF(ISERROR(FIND("Base",A142))=FALSE,VLOOKUP("Hinges &amp; plates (Hettich thick door)",FurnitureData,5,0)*3,IF(ISERROR(FIND("Boiler",A142))=FALSE,VLOOKUP("Hinges &amp; plates (Hettich thick door)",FurnitureData,5,0)*4,IF(ISERROR(FIND("Tower",A142))=FALSE,VLOOKUP("Hinges &amp; plates (Hettich thick door)",FurnitureData,5,0)*5)))))</f>
        <v/>
      </c>
      <c r="I142" s="115" t="str">
        <f>IF(ISERROR(FIND("shelf",A142))=FALSE,(VLOOKUP("Shelf pegs",FurnitureData,5,0)/100)*4,"")</f>
        <v/>
      </c>
      <c r="J142" s="152" t="str">
        <f>IF(OR(ISERROR(FIND("fridge/freezer",A142))=FALSE,ISERROR(FIND("larder",A142))=FALSE,AND(ISERROR(FIND("Base",A142))=FALSE,ISERROR(FIND("bins",A142))=TRUE,ISERROR(FIND("no shelves",A142))=TRUE,OR(ISERROR(FIND("carcass",A142))=FALSE,ISERROR(FIND("unit",A142))=FALSE))),VLOOKUP("Deep shelf "&amp;C142,KitchensData,18,0),IF(AND(ISERROR(FIND("Wall",A142))=FALSE,ISERROR(FIND("carcass",A142))=FALSE),2*VLOOKUP("Shallow shelf "&amp;C142,KitchensData,18,0),IF(AND(ISERROR(FIND("Tower",A142))=FALSE,ISERROR(FIND("oven",A142))=FALSE),4*VLOOKUP("Deep shelf "&amp;C142,KitchensData,18,0),IF(AND(ISERROR(FIND("Tower",A142))=FALSE,ISERROR(FIND("carcass",A142))=FALSE),5*VLOOKUP("Deep shelf "&amp;C142,KitchensData,18,0),""))))</f>
        <v/>
      </c>
      <c r="K142" s="152" t="str">
        <f>IF(ISERROR(FIND("sink",A142))=FALSE,VLOOKUP("Sink liner - Aluminium "&amp;RIGHT(A142,LEN(A142)-22)&amp;"mm",ExceptionalData,5,0),IF(ISERROR(FIND("bins",A142))=FALSE,VLOOKUP("Drawer runners and clip set for bin unit (500) Dynapro",FurnitureData,5,0)+(2*VLOOKUP("Bin (42L Anthracite)",FurnitureData,5,0)),IF(ISERROR(FIND("larder",A142))=FALSE,VLOOKUP("Pull out larder unit 600mm",FurnitureData,5,0),IF(AND(ISERROR(FIND("drawer box",A142))=FALSE,ISERROR(FIND("internal",A142))=TRUE),VLOOKUP("Drawer runners and clip set (550) Dynapro",FurnitureData,5,0),IF(ISERROR(FIND("internal drawer box",A142))=FALSE,VLOOKUP("Drawer runners and clip set (450) Dynapro",FurnitureData,5,0),"")))))</f>
        <v/>
      </c>
      <c r="L142" s="152" t="str">
        <f t="shared" si="3"/>
        <v/>
      </c>
      <c r="M142" s="154" t="str">
        <f>IFERROR(__xludf.DUMMYFUNCTION("IF(A142="""","""",IF(OR(ISERROR(FIND(""larder"",A142))=FALSE,ISERROR(FIND(""unit"",A142))=FALSE),VLOOKUP(LEFT(A142,FIND("" "",A142))&amp;""carcass ""&amp;RIGHT(A142,LEN(A142)-len(regexextract(A142,"".* ""))),KitchensData,13,0),IF(ISERROR(FIND(""bins"",A142))=FALS"&amp;"E,0.95,IF(ISERROR(FIND(""Cutlery insert 600"",A142))=FALSE,1.3,IF(ISERROR(FIND(""Cutlery insert 1200"",A142))=FALSE,2,IF(ISERROR(FIND(""Pan/tray rack 600"",A142))=FALSE,3.25,IF(ISERROR(FIND(""Pan/tray rack 1200"",A142))=FALSE,5.9,IF(ISERROR(FIND(""split"""&amp;",A142))=FALSE,(((C142/1000)*0.022)*2)+VLOOKUP(SUBSTITUTE(A142,"" split"",""""),KitchensData,13,0),IF(AND(ISERROR(FIND(""drawer front"",A142))=FALSE,KitchenDoorStyle=""Flat""),(((B142/1000)*(C142/1000))*2)+((((B142+C142)/1000)*2)*0.022),IF(AND(ISERROR(FIND"&amp;"(""drawer front"",A142))=FALSE,LEFT(KitchenDoorStyle,5)=""Panel""),(((B142/1000)*(C142/1000))*2)+((((B142+C142)/1000)*2)*0.022)+((((C142/1000)-0.16)*0.013)*2)+((((D142/1000)-0.16)*0.013)*2),IF(AND(ISERROR(FIND(""drawer front"",A142))=FALSE,KitchenDoorStyl"&amp;"e=""In-frame flat""),((((B142-76)/1000)*((C142-38)/1000))*2)+(MID(KitchenDoorMaterial,FIND(""("",KitchenDoorMaterial)+1,2)/1000)*((((B142-76)+(C142-38))/1000)*2)+(((B142/1000)*0.032)*2)+((((B142-76)/1000)*0.032)*2)+(((B142/1000)*0.019)*4)+(((C142/1000)*0."&amp;"032)*2)+((((C142-38)/1000)*0.032)*2)+(((C142/1000)*0.038)*4),IF(AND(ISERROR(FIND(""drawer front"",A142))=FALSE,LEFT(KitchenDoorStyle,14)=""In-frame panel""),((((B142-76)/1000)*((C142-38)/1000))*2)+((MID(KitchenDoorMaterial,FIND(""("",KitchenDoorMaterial)+"&amp;"1,2)/1000)*((((B142-76)+(C142-38))/1000)*2))+((((B142-236)/1000)+((C142-198)/1000)*2)*0.013)+(((B142/1000)*0.032)*2)+((((B142-76)/1000)*0.032)*2)+(((B142/1000)*0.019)*4)+(((C142/1000)*0.032)*2)+((((C142-38)/1000)*0.032)*2)+(((C142/1000)*0.038)*4),IF(ISERR"&amp;"OR(FIND(""drawer box"",A142))=FALSE,((((B142/1000)*(D142/1000))+((B142/1000)*(C142/1000)))*4)+((((D142/1000)+(C142/1000))*0.016)*4)+(((C142/1000)*(D142/1000))*2),IF(OR(ISERROR(FIND(""shelf"",A142))=FALSE,ISERROR(FIND(""spacer"",A142))=FALSE,,ISERROR(FIND("&amp;"""filler panel"",A142))=FALSE),(((C142/1000)*(D142/1000))*2)+((((C142+D142)*2)/1000)*0.022),IF(ISERROR(FIND(""lost corner"",A142))=FALSE,(((B142/1000)*(C142/1000))*2)+((B142/1000)*(C142/1000))+((B142/1000)*((C142/2)/1000))+((((B142/1000)*0.025)+((C142/100"&amp;"0)*0.025))*2),IF(ISERROR(FIND(""carcass"",A142))=FALSE,(((C142/1000)*(D142/1000))*2)+(((B142/1000)*(D142/1000))*2)+((B142/1000)*(C142/1000))+((((B142/1000)*0.025)+((C142/1000)*0.025))*2),IF(AND(ISERROR(FIND(""door"",A142))=FALSE,KitchenDoorStyle=""Flat"")"&amp;",(((B142/1000)*(C142/1000))*2)+(MID(KitchenDoorMaterial,FIND(""("",KitchenDoorMaterial)+1,2)/1000)*(((B142+C142)/1000)*2),IF(AND(ISERROR(FIND(""door"",A142))=FALSE,LEFT(KitchenDoorStyle,5)=""Panel""),(((B142/1000)*(C142/1000))*2)+((MID(KitchenDoorMaterial"&amp;",FIND(""("",KitchenDoorMaterial)+1,2)/1000)*(((B142+C142)/1000)*2))+(((((B142-160)+(C142-160))*2)/1000)*(0.013)),IF(AND(ISERROR(FIND(""door"",A142))=FALSE,KitchenDoorStyle=""In-frame flat""),((((B142-76)/1000)*((C142-38)/1000))*2)+(MID(KitchenDoorMaterial"&amp;",FIND(""("",KitchenDoorMaterial)+1,2)/1000)*((((B142-76)+(C142-38))/1000)*2)+(((B142/1000)*0.032)*2)+((((B142-76)/1000)*0.032)*2)+(((B142/1000)*0.019)*4)+(((C142/1000)*0.032)*2)+((((C142-38)/1000)*0.032)*2)+(((C142/1000)*0.038)*4),IF(AND(ISERROR(FIND(""do"&amp;"or"",A142))=FALSE,LEFT(KitchenDoorStyle,14)=""In-frame panel""),((((B142-76)/1000)*((C142-38)/1000))*2)+((MID(KitchenDoorMaterial,FIND(""("",KitchenDoorMaterial)+1,2)/1000)*((((B142-76)+(C142-38))/1000)*2))+((((B142-236)/1000)+((C142-198)/1000)*2)*0.013)+"&amp;"(((B142/1000)*0.032)*2)+((((B142-76)/1000)*0.032)*2)+(((B142/1000)*0.019)*4)+(((C142/1000)*0.032)*2)+((((C142-38)/1000)*0.032)*2)+(((C142/1000)*0.038)*4),IF(ISERROR(FIND(""Plinth"",A142))=FALSE,((B142/1000)*(C142/1000))+(((C142/1000)*0.018)*2)+(((B142/100"&amp;"0)*0.018)*2),IF(ISERROR(FIND(""Cornice"",A142))=FALSE,(((C142/1000)*0.1)*2)+(((C142/1000)*0.044)*2)+(((B142/1000)*0.08)*2),IF(ISERROR(FIND(""Base end panel"",A142))=FALSE,((B142/1000)*(C142/1000))+(0.022*((B142/1000)+((C142/1000)*2)))+((B142/1000)*0.05),I"&amp;"F(ISERROR(FIND(""Wall end panel"",A142))=FALSE,((B142/1000)*(C142/1000))+(0.022*((B142/1000)+((C142/1000)*2)))+((B142/1000)*0.05),IF(ISERROR(FIND(""Tower end panel"",A142))=FALSE,((B142/1000)*(C142/1000))+(0.022*((B142/1000)+((C142/1000)*2)))+((B142/1000)"&amp;"*0.05),IF(ISERROR(FIND(""Fillers"",A142))=FALSE,((C142/1000)*0.06)+((C142/1000)*0.069)+((0.06*0.018)*2)+((0.06*0.009)*2)+((C142/1000)*0.009)+((C142/1000)*0.018),IF(ISERROR(FIND(""corner post"",A142))=FALSE,(((B142/1000*0.05)*2)+((B142/1000)*0.022)*2)+((B1"&amp;"42/1000)*0.072)+((B142/1000)*0.05)+((0.072*0.022)*2)+((0.05*0.022)*2),IF(ISERROR(FIND(""Pelmet"",A142))=FALSE,((C142/1000)*0.05)+((C142/1000)*0.068)+((0.05*0.018)*4)+(((C142/1000)*0.018))*2))))))))))))))))))))))))))))"),"")</f>
        <v/>
      </c>
      <c r="N142" s="152" t="str">
        <f>IF(M142="","",IF(AND(ISERROR(FIND("carcass",A142))=TRUE,ISERROR(FIND("unit",A142))=TRUE,ISERROR(FIND("insert",A142))=TRUE,ISERROR(FIND("rack",A142))=TRUE,ISERROR(FIND("box",A142))=TRUE,ISERROR(FIND("shelf",#REF!))=TRUE),VLOOKUP(KitchenDoorFinish,Finishing!$A$2:$K$10,9,0)*M142,VLOOKUP(KitchenCarcassFinish,Finishing!$A$2:$K$40,9,0)*M142))</f>
        <v/>
      </c>
      <c r="O142" s="155"/>
      <c r="P142" s="155"/>
      <c r="Q142" s="152" t="str">
        <f>IF(OR(O142="",P142=""),"",((O142*X142)*(VLOOKUP("Workshop",Labour!$A$3:$E$20,4,0)/8))+((P142*AE142)*(VLOOKUP("Finishing",Labour!$A$3:$E$20,4,0)/8)))</f>
        <v/>
      </c>
      <c r="R142" s="152" t="str">
        <f t="shared" si="4"/>
        <v/>
      </c>
      <c r="S142" s="156" t="str">
        <f>IF(OR(O142="",P142=""),"",IF(OR(ISERROR(FIND("carcass",$A142))=FALSE,ISERROR(FIND("unit",$A142))=FALSE),VLOOKUP(KitchenCarcassMaterial,FixedListsCarcassMaterial,2,0),0))</f>
        <v/>
      </c>
      <c r="T142" s="156" t="str">
        <f>IF(OR(O142="",P142=""),"",IF(ISERROR(FIND("door",$A142))=FALSE,VLOOKUP(KitchenDoorStyle,FixedListsDoorStyle,2,0),0))</f>
        <v/>
      </c>
      <c r="U142" s="156" t="str">
        <f>IF(OR(O142="",P142=""),"",IF(ISERROR(FIND("door",$A142))=FALSE,VLOOKUP(KitchenDoorMaterial,FixedListsDoorMaterial,2,0),0))</f>
        <v/>
      </c>
      <c r="V142" s="156" t="str">
        <f>IF(OR(O142="",P142=""),"",IF(ISERROR(FIND("drawer",$A142))=FALSE,VLOOKUP(KitchenDrawerType,FixedListsDrawerType,2,0),0))</f>
        <v/>
      </c>
      <c r="W142" s="156" t="str">
        <f>IF(OR(O142="",P142=""),"",IF(OR(S142&gt;0, T142&gt;0,V142&gt;0),VLOOKUP(KitchenHandleType,FixedListsHandleType,2,FALSE)*IF(KitchenHandleType="Simple",0,IF(S142&gt;0,VLOOKUP(KitchenHandleType,FixedListsHandleType,4,FALSE),IF(OR(T142&gt;0,V142&gt;0),1-VLOOKUP(KitchenHandleType,FixedListsHandleType,4,FALSE),"Error"))),0))</f>
        <v/>
      </c>
      <c r="X142" s="156" t="str">
        <f t="shared" si="5"/>
        <v/>
      </c>
      <c r="Y142" s="156" t="str">
        <f>IF(OR(O142="",P142=""),"",IF(OR(ISERROR(FIND("carcass",$A142))=FALSE,ISERROR(FIND("unit",$A142))=FALSE),VLOOKUP(KitchenCarcassMaterial,FixedListsCarcassMaterial,3,0),0))</f>
        <v/>
      </c>
      <c r="Z142" s="156" t="str">
        <f>IF(OR(O142="",P142=""),"",IF(ISERROR(FIND("door",$A142))=FALSE,VLOOKUP(KitchenDoorStyle,FixedListsDoorStyle,3,0),0))</f>
        <v/>
      </c>
      <c r="AA142" s="156" t="str">
        <f>IF(OR(O142="",P142=""),"",IF(ISERROR(FIND("door",$A142))=FALSE,VLOOKUP(KitchenDoorMaterial,FixedListsDoorMaterial,3,0),0))</f>
        <v/>
      </c>
      <c r="AB142" s="156" t="str">
        <f>IF(OR(O142="",P142=""),"",IF(ISERROR(FIND("drawer",$A142))=FALSE,VLOOKUP(KitchenDrawerType,FixedListsDrawerType,3,0),0))</f>
        <v/>
      </c>
      <c r="AC142" s="156" t="str">
        <f>IF(OR(O142="",P142=""),"",IF(OR(Y142&gt;0,Z142&gt;0,AB142&gt;0),VLOOKUP(KitchenHandleType,FixedListsHandleType,3,FALSE),0))</f>
        <v/>
      </c>
      <c r="AD142" s="156" t="str">
        <f>IF(OR(O142="",P142=""),"",IF(OR(ISERROR(FIND("carcass",$A142))=FALSE,ISERROR(FIND("unit",$A142))=FALSE),VLOOKUP(KitchenCarcassFinish,FixedListsFinishes,3,0),IF(OR(ISERROR(FIND("door",$A142))=FALSE,ISERROR(FIND("Plinth",$A142))=FALSE,ISERROR(FIND("Cornice",$A142))=FALSE,ISERROR(FIND("Fillers",$A142))=FALSE,ISERROR(FIND("Pelmet",$A142))=FALSE,ISERROR(FIND("panel",$A142))=FALSE,ISERROR(FIND("post",$A142))=FALSE),VLOOKUP(KitchenDoorFinish,FixedListsFinishes,3,0),IF(OR(ISERROR(FIND("drawer",$A142))=FALSE,ISERROR(FIND("insert",$A142))=FALSE,ISERROR(FIND("rck",$A142))=FALSE),VLOOKUP(KitchenCarcassFinish,FixedListsFinishes,3,0),0))))</f>
        <v/>
      </c>
      <c r="AE142" s="156" t="str">
        <f t="shared" si="6"/>
        <v/>
      </c>
      <c r="AF142" s="157" t="str">
        <f>IF(AND(KitchenHandleType="Channel",OR(ISERROR(FIND("arcass",$A142))=FALSE,ISERROR(FIND("unit",$A142))=FALSE)),IF(ISERROR(FIND("Tower",$A142))=TRUE,IF(KitchenHandleFinish="Match carcass",IF(ISERROR(FIND("Walnut",KitchenCarcassMaterial))=FALSE,(0.035*0.075*($C142/1000))*VLOOKUP("Walnut (solid m3)",SolidData,4,FALSE),IF(ISERROR(FIND("Oak",KitchenCarcassMaterial))=FALSE,(0.035*0.075*($C142/1000))*VLOOKUP("Oak (solid m3)",SolidData,4,FALSE),IF(ISERROR(FIND("ply",KitchenCarcassMaterial))=FALSE,(0.1*($C142/1000))*VLOOKUP("Birch ply (24mm)",SheetsData,7,FALSE),IF(ISERROR(FIND("H/F",KitchenCarcassMaterial))=FALSE,(0.1*($C142/1000))*VLOOKUP("H/F (22mm)",SheetsData,7,FALSE),"Carcass - not tower - new material")))),IF(KitchenHandleFinish="Match door",IF(ISERROR(FIND("Walnut",KitchenDoorMaterial))=FALSE,(0.035*0.075*($C142/1000))*VLOOKUP("Walnut (solid m3)",SolidData,4,FALSE),IF(ISERROR(FIND("Oak",KitchenDoorMaterial))=FALSE,(0.035*0.075*($C142/1000))*VLOOKUP("Oak (solid m3)",SolidData,4,FALSE),IF(ISERROR(FIND("ply",KitchenDoorMaterial))=FALSE,(0.1*($C142/1000))*VLOOKUP("Birch ply (24mm)",SheetsData,7,FALSE),IF(ISERROR(FIND("H/F",KitchenCarcassMaterial))=FALSE,(0.1*($C142/1000))*VLOOKUP("H/F (22mm)",SheetsData,7,FALSE),"Door - not tower - new material")))),"Channel - not tower - handle set to other")),IF(ISERROR(FIND("Tower",$A142))=FALSE,IF(KitchenHandleFinish="Match carcass",IF(ISERROR(FIND("Walnut",KitchenCarcassMaterial))=FALSE,(0.035*0.075*($B142/1000))*VLOOKUP("Walnut (solid m3)",SolidData,4,FALSE),IF(ISERROR(FIND("Oak",KitchenCarcassMaterial))=FALSE,(0.035*0.075*($B142/1000))*VLOOKUP("Oak (solid m3)",SolidData,4,FALSE),IF(ISERROR(FIND("ply",KitchenCarcassMaterial))=FALSE,(0.1*($B142/1000))*VLOOKUP("Birch ply (24mm)",SheetsData,7,FALSE),IF(ISERROR(FIND("H/F",KitchenCarcassMaterial))=FALSE,(0.1*($C142/1000))*VLOOKUP("H/F (22mm)",SheetsData,7,FALSE),"Carcass - tower - new material")))),IF(KitchenHandleFinish="Match door",IF(ISERROR(FIND("Walnut",KitchenDoorMaterial))=FALSE,(0.035*0.075*($B142/1000))*VLOOKUP("Walnut (solid m3)",SolidData,4,FALSE),IF(ISERROR(FIND("Oak",KitchenDoorMaterial))=FALSE,(0.035*0.075*($B142/1000))*VLOOKUP("Oak (solid m3)",SolidData,4,FALSE),IF(ISERROR(FIND("ply",KitchenDoorMaterial))=FALSE,(0.1*($B142/1000))*VLOOKUP("Birch ply (24mm)",SheetData,7,FALSE),IF(ISERROR(FIND("H/F",KitchenCarcassMaterial))=FALSE,(0.1*($C142/1000))*VLOOKUP("H/F (22mm)",SheetsData,7,FALSE),"Door - tower - new material")))),"Channel - tower - handle set to other")))),"")</f>
        <v/>
      </c>
    </row>
    <row r="143">
      <c r="A143" s="150"/>
      <c r="B143" s="115" t="str">
        <f t="shared" si="1"/>
        <v/>
      </c>
      <c r="C143" s="115" t="str">
        <f>IFERROR(__xludf.DUMMYFUNCTION("IF(A143="""","""",IF(OR(RIGHT(A143,LEN(A143)-len(regexextract(A143,"".* "")))=""1200"",RIGHT(A143,LEN(A143)-len(regexextract(A143,"".* "")))=""600"",RIGHT(A143,LEN(A143)-len(regexextract(A143,"".* "")))=""400"",RIGHT(A143,LEN(A143)-len(regexextract(A143,"&amp;""".* "")))=""300"",RIGHT(A143,LEN(A143)-len(regexextract(A143,"".* "")))=""700"",RIGHT(A143,LEN(A143)-len(regexextract(A143,"".* "")))=""2400"",RIGHT(A143,LEN(A143)-len(regexextract(A143,"".* "")))=""650"",RIGHT(A143,LEN(A143)-len(regexextract(A143,"".* "&amp;""")))=""350"",RIGHT(A143,LEN(A143)-len(regexextract(A143,"".* "")))=""50""),RIGHT(A143,LEN(A143)-len(regexextract(A143,"".* ""))),IF(OR(ISERROR(FIND(""spacer"",A143))=FALSE,ISERROR(FIND(""filler panel"",A143))=FALSE),""1000"",""Unexpected size in descript"&amp;"ion"")))"),"")</f>
        <v/>
      </c>
      <c r="D143" s="151" t="str">
        <f t="shared" si="2"/>
        <v/>
      </c>
      <c r="E143" s="152" t="str">
        <f>IFERROR(__xludf.DUMMYFUNCTION("IF(OR(A143="""",AND(ISERROR(FIND(""drawer box"",A143))=FALSE,KitchenDrawerType="""")),"""",IF(OR(ISERROR(FIND(""larder"",A143))=FALSE,ISERROR(FIND(""fridge/freezer"",A143))=FALSE,ISERROR(FIND(""double oven"",A143))=FALSE,ISERROR(FIND(""single oven"",A143)"&amp;")=FALSE),VLOOKUP(LEFT(A143,FIND("" "",A143))&amp;""carcass ""&amp;RIGHT(A143,LEN(A143)-(LEN(A143)-3)),KitchensData,5,0),IF(ISERROR(FIND(""sink"",A143))=FALSE,VLOOKUP(LEFT(A143,FIND("" "",A143))&amp;""carcass ""&amp;VALUE(REGEXREPLACE(A143,""[^[:digit:]]"", """")),Kitchen"&amp;"sData,5,0)+(((C143/1000)*(300/1000))*VLOOKUP(KitchenCarcassMaterial,SheetsData,8,0)),IF(ISERROR(FIND(""bins"",A143))=FALSE,IF(ISERROR(FIND(""veneer"",KitchenCarcassMaterial))=FALSE,VLOOKUP(""Base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600"",A143))=FALSE,IF(ISERR"&amp;"OR(FIND(""veneer"",KitchenCarcassMaterial))=FALSE,0.54*(VLOOKUP(LEFT(KitchenCarcassMaterial,FIND(""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1"&amp;"200"",A143))=FALSE,IF(ISERROR(FIND(""veneer"",KitchenCarcassMaterial))=FALSE,0.84*(VLOOKUP(LEFT(KitchenCarcassMaterial,FIND(""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600"",A143))=FALSE,IF(ISERROR(FIND(""veneer"",KitchenCarcassMaterial))=FALSE,1.44*(VLOOKUP(LEFT(KitchenCarcassMaterial,FIND(""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1200"",A143))=FALSE,IF(ISERROR(FIND(""veneer"",KitchenCarcassMaterial))=FALSE,2.7*(VLOOKUP(LEFT(KitchenCarcassMaterial,FIND(""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front"",A143))=FALSE,((B143/1000)*(C143/1000))*VLOOKUP(KitchenDoorMaterial,SheetsData,8,0),IF(AND(KitchenDrawerType=""Match carcass"",ISERROR(FIND(""drawer box"",A143))=FALSE),(((((B143/10"&amp;"00)*(C143/1000))+((B143/1000)*(D143/1000)))*2)*VLOOKUP(KitchenCarcassMaterial,SheetsData,8,0))+(((C143/1000)*(D143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box"",A143))=FALSE),(((((B143/1000)*(C143/1000))+((B143/1000)*(D143/1000)))*2)*(16/1000)*VLOOKUP(L"&amp;"EFT(KitchenCarcassMaterial,FIND("" "",KitchenCarcassMaterial))&amp;""(solid m3)"",SolidData,5,0))+(((C143/1000)*(D143/1000))*VLOOKUP(LEFT(KitchenCarcassMaterial,FIND(""("",KitchenCarcassMaterial)-1)&amp;IF(OR(ISERROR(FIND(""ply"",KitchenCarcassMaterial))=FALSE,IS"&amp;"ERROR(FIND(""H/F"",KitchenCarcassMaterial))=FALSE),""(9mm)"",""(10mm)""),SheetsData,8,0)),IF(ISERROR(FIND(""spacer"",A143))=FALSE,((D143/1000)*(C143/1000))*VLOOKUP(""Poplar ply (18mm)"",SheetsData,8,0),IF(ISERROR(FIND(""filler panel"",A143))=FALSE,((B143/"&amp;"1000)*(C143/1000))*VLOOKUP(KitchenDoorMaterial,SheetsData,8,0),IF(ISERROR(FIND(""shelf"",A143))=FALSE,((D143/1000)*(C143/1000))*VLOOKUP(KitchenCarcassMaterial,SheetsData,8,0),IF(ISERROR(FIND(""lost corner"",A143))=FALSE,VLOOKUP(LEFT(A143,FIND("" "",A143))"&amp;"&amp;""carcass ""&amp;VALUE(REGEXREPLACE(A143,""[^[:digit:]]"", """")),KitchensData,5,0)+((((B143/1000)*(C143/1000))+((B143/1000)*(60/1000)))*VLOOKUP(KitchenCarcassMaterial,SheetsData,8,0)),IF(ISERROR(FIND(""carcass"",A143))=FALSE,(((((B143/1000)*2)*(D143/1000))+"&amp;"(((C143/1000)*2)*(D143/1000)))*VLOOKUP(KitchenCarcassMaterial,SheetsData,8,0))+((B143/1000)*(C143/1000))*VLOOKUP(LEFT(KitchenCarcassMaterial,FIND(""("",KitchenCarcassMaterial)-1)&amp;IF(OR(ISERROR(FIND(""ply"",KitchenCarcassMaterial))=FALSE,ISERROR(FIND(""H/F"&amp;""",KitchenCarcassMaterial))=FALSE),""(9mm)"",""(10mm)""),SheetsData,8,0),IF(OR(ISERROR(FIND(""Plinth"",A143))=FALSE,ISERROR(FIND(""Cornice (flat)"",A143))=FALSE),((B143/1000)*(C143/1000))*VLOOKUP(""H/F (18mm)"",SheetsData,8,0),IF(ISERROR(FIND(""Cornice (s"&amp;"tacked)"",A143))=FALSE,((0.08*(C143/1000))*2)*VLOOKUP(""H/F (22mm)"",SheetsData,8,0),IF(ISERROR(FIND(""Base end panel"",A143))=FALSE,VLOOKUP(KitchenDoorMaterial,SheetsData,5,0)/3,IF(ISERROR(FIND(""Wall end panel"",A143))=FALSE,VLOOKUP(KitchenDoorMaterial,"&amp;"SheetsData,5,0)/9,IF(ISERROR(FIND(""Tower end panel"",A143))=FALSE,VLOOKUP(KitchenDoorMaterial,SheetsData,5,0),IF(ISERROR(FIND(""Fillers"",A143))=FALSE,(((0.06*(C143/1000))*2)*VLOOKUP(""H/F (18mm)"",SheetsData,8,0))+(((0.06*(C143/1000))*2)*VLOOKUP(""H/F ("&amp;"9mm)"",SheetsData,8,0)),IF(ISERROR(FIND(""corner post"",A143))=FALSE,(((B143/1000)*0.05)*2)*VLOOKUP(KitchenDoorMaterial,SheetsData,8,0),IF(ISERROR(FIND(""Pelmet"",A143))=FALSE,((((B143/1000)*(C143/1000))*2)*VLOOKUP(""H/F (18mm)"",SheetsData,8,0)),IF(ISERR"&amp;"OR(FIND(""door"",A143))=TRUE,""Check description"",IF(KitchenDoorStyle=""Flat"",((B143/1000)*(C143/1000))*VLOOKUP(KitchenDoorMaterial,SheetsData,8,0),IF(LEFT(KitchenDoorStyle,5)=""Panel"",(((((B143/1000)*2)*0.08)+((((C143/1000)-0.16)*2)*0.08))*VLOOKUP(""H"&amp;"/F (22mm)"",SheetsData,8,0))+(((B143/1000)-0.14)*((C143/1000)-0.14)*VLOOKUP(""H/F (9mm)"",SheetsData,8,0)),IF(KitchenDoorStyle=""In-frame flat"",((((((B143/1000)*0.019)*0.038)+((((C143-38)/1000)*0.038)*0.038))*2)*VLOOKUP(""Tulip (solid m3)"",SolidData,5,0"&amp;"))+(((B143-76)/1000)*((C143-38)/1000))*VLOOKUP(""H/F (22mm)"",SheetsData,8,0),IF(LEFT(KitchenDoorStyle,14)=""In-frame panel"",(((((((B143/1000)*0.019)*0.038)+((((C143-38)/1000)*0.038)*0.038))*2)*VLOOKUP(""Tulip (solid m3)"",SolidData,5,0))+(((((((B143-76)"&amp;"/1000)*2)*0.08)+(((((C143-198)/1000)*2)*0.08)))*VLOOKUP(""H/F (22mm)"",SheetsData,8,0))+(((B143-216)/1000)*((C143-178)/1000)*VLOOKUP(""H/F (9mm)"",SheetsData,8,0)))))))))))))))))))))))))))))))))"),"")</f>
        <v/>
      </c>
      <c r="F143" s="152" t="str">
        <f>IFERROR(__xludf.DUMMYFUNCTION("IF(OR(A143="""",AND(ISERROR(FIND(""drawer box"",A143))=FALSE,KitchenDrawerType=""Solid dovetail"")),"""",IF(ISERROR(FIND(""bins"",A143))=FALSE,VLOOKUP(""Base carcass 600"",KitchensData,6,0),IF(OR(ISERROR(FIND(""larder"",A143))=FALSE,ISERROR(FIND(""unit"","&amp;"A143))=FALSE),VLOOKUP(LEFT(A143,FIND("" "",A143))&amp;""carcass ""&amp;RIGHT(A143,LEN(A143)-len(regexextract(A143,"".* ""))),KitchensData,6,0),IF(ISERROR(FIND(""drawer front"",A143))=FALSE,IF(ISERROR(FIND(""veneer"",KitchenCarcassMaterial))=TRUE,0,(((B143+C143)/1"&amp;"000)*2)*VLOOKUP(""Edge banding (per M)"",SheetsData,5,0)),IF(ISERROR(FIND(""drawer box"",A143))=FALSE,IF(ISERROR(FIND(""veneer"",KitchenCarcassMaterial))=TRUE,0,(((C143+D143)/1000)*2)*VLOOKUP(""Edge banding (per M)"",SheetsData,5,0)),IF(ISERROR(FIND(""she"&amp;"lf"",A143))=FALSE,IF(ISERROR(FIND(""veneer"",KitchenCarcassMaterial))=TRUE,0,(C143/1000)*VLOOKUP(""Edge banding (per M)"",SheetsData,5,0)),IF(AND(ISERROR(FIND(""carcass"",A143))=FALSE,ISERROR(FIND(""shelf"",A143))=TRUE),IF(ISERROR(FIND(""veneer"",KitchenC"&amp;"arcassMaterial))=TRUE,0,((2*(B143+C143))/1000)*VLOOKUP(""Edge banding (per M)"",SheetsData,5,0)),IF(ISERROR(FIND(""door"",A143))=TRUE,"""",IF(ISERROR(FIND(""veneer"",KitchenDoorMaterial))=TRUE,"""",((2*(B143+C143))/1000)*VLOOKUP(""Edge banding (per M)"",S"&amp;"heetsData,5,0))))))))))"),"")</f>
        <v/>
      </c>
      <c r="G143" s="153" t="str">
        <f>IF(A143="","",IF(ISERROR(FIND("bins",A143))=FALSE,VLOOKUP("Base carcass 600",KitchensData,7,0),IF(OR(ISERROR(FIND("larder",A143))=FALSE,ISERROR(FIND("fridge/freezer",A143))=FALSE,ISERROR(FIND("double oven",A143))=FALSE,ISERROR(FIND("single oven",A143))=FALSE),VLOOKUP(LEFT(A143,FIND(" ",A143))&amp;"carcass "&amp;RIGHT(A143,LEN(A143)-(LEN(A143)-3)),KitchensData,7,0),IF(AND(ISERROR(FIND("carcass",A143))=FALSE,ISERROR(FIND("shelf",A143))=TRUE),IF(OR(ISERROR(FIND("Base",A143))=FALSE,ISERROR(FIND("Tower",A143))=FALSE),IF(OR(ISERROR(FIND("1200",A143))=FALSE, ISERROR(FIND("lost corner",A143))=FALSE),6*VLOOKUP("Plinth foot (2 Parts 80mm)",FurnitureData,5,0),4*VLOOKUP("Plinth foot (2 Parts 80mm)",FurnitureData,5,0)),""),""))))</f>
        <v/>
      </c>
      <c r="H143" s="115" t="str">
        <f>IF(OR(A143="",ISERROR(FIND("door",A143))=TRUE),"",IF(ISERROR(FIND("Wall",A143))=FALSE,VLOOKUP("Hinges &amp; plates (Hettich thick door)",FurnitureData,5,0)*2,IF(ISERROR(FIND("Base",A143))=FALSE,VLOOKUP("Hinges &amp; plates (Hettich thick door)",FurnitureData,5,0)*3,IF(ISERROR(FIND("Boiler",A143))=FALSE,VLOOKUP("Hinges &amp; plates (Hettich thick door)",FurnitureData,5,0)*4,IF(ISERROR(FIND("Tower",A143))=FALSE,VLOOKUP("Hinges &amp; plates (Hettich thick door)",FurnitureData,5,0)*5)))))</f>
        <v/>
      </c>
      <c r="I143" s="115" t="str">
        <f>IF(ISERROR(FIND("shelf",A143))=FALSE,(VLOOKUP("Shelf pegs",FurnitureData,5,0)/100)*4,"")</f>
        <v/>
      </c>
      <c r="J143" s="152" t="str">
        <f>IF(OR(ISERROR(FIND("fridge/freezer",A143))=FALSE,ISERROR(FIND("larder",A143))=FALSE,AND(ISERROR(FIND("Base",A143))=FALSE,ISERROR(FIND("bins",A143))=TRUE,ISERROR(FIND("no shelves",A143))=TRUE,OR(ISERROR(FIND("carcass",A143))=FALSE,ISERROR(FIND("unit",A143))=FALSE))),VLOOKUP("Deep shelf "&amp;C143,KitchensData,18,0),IF(AND(ISERROR(FIND("Wall",A143))=FALSE,ISERROR(FIND("carcass",A143))=FALSE),2*VLOOKUP("Shallow shelf "&amp;C143,KitchensData,18,0),IF(AND(ISERROR(FIND("Tower",A143))=FALSE,ISERROR(FIND("oven",A143))=FALSE),4*VLOOKUP("Deep shelf "&amp;C143,KitchensData,18,0),IF(AND(ISERROR(FIND("Tower",A143))=FALSE,ISERROR(FIND("carcass",A143))=FALSE),5*VLOOKUP("Deep shelf "&amp;C143,KitchensData,18,0),""))))</f>
        <v/>
      </c>
      <c r="K143" s="152" t="str">
        <f>IF(ISERROR(FIND("sink",A143))=FALSE,VLOOKUP("Sink liner - Aluminium "&amp;RIGHT(A143,LEN(A143)-22)&amp;"mm",ExceptionalData,5,0),IF(ISERROR(FIND("bins",A143))=FALSE,VLOOKUP("Drawer runners and clip set for bin unit (500) Dynapro",FurnitureData,5,0)+(2*VLOOKUP("Bin (42L Anthracite)",FurnitureData,5,0)),IF(ISERROR(FIND("larder",A143))=FALSE,VLOOKUP("Pull out larder unit 600mm",FurnitureData,5,0),IF(AND(ISERROR(FIND("drawer box",A143))=FALSE,ISERROR(FIND("internal",A143))=TRUE),VLOOKUP("Drawer runners and clip set (550) Dynapro",FurnitureData,5,0),IF(ISERROR(FIND("internal drawer box",A143))=FALSE,VLOOKUP("Drawer runners and clip set (450) Dynapro",FurnitureData,5,0),"")))))</f>
        <v/>
      </c>
      <c r="L143" s="152" t="str">
        <f t="shared" si="3"/>
        <v/>
      </c>
      <c r="M143" s="154" t="str">
        <f>IFERROR(__xludf.DUMMYFUNCTION("IF(A143="""","""",IF(OR(ISERROR(FIND(""larder"",A143))=FALSE,ISERROR(FIND(""unit"",A143))=FALSE),VLOOKUP(LEFT(A143,FIND("" "",A143))&amp;""carcass ""&amp;RIGHT(A143,LEN(A143)-len(regexextract(A143,"".* ""))),KitchensData,13,0),IF(ISERROR(FIND(""bins"",A143))=FALS"&amp;"E,0.95,IF(ISERROR(FIND(""Cutlery insert 600"",A143))=FALSE,1.3,IF(ISERROR(FIND(""Cutlery insert 1200"",A143))=FALSE,2,IF(ISERROR(FIND(""Pan/tray rack 600"",A143))=FALSE,3.25,IF(ISERROR(FIND(""Pan/tray rack 1200"",A143))=FALSE,5.9,IF(ISERROR(FIND(""split"""&amp;",A143))=FALSE,(((C143/1000)*0.022)*2)+VLOOKUP(SUBSTITUTE(A143,"" split"",""""),KitchensData,13,0),IF(AND(ISERROR(FIND(""drawer front"",A143))=FALSE,KitchenDoorStyle=""Flat""),(((B143/1000)*(C143/1000))*2)+((((B143+C143)/1000)*2)*0.022),IF(AND(ISERROR(FIND"&amp;"(""drawer front"",A143))=FALSE,LEFT(KitchenDoorStyle,5)=""Panel""),(((B143/1000)*(C143/1000))*2)+((((B143+C143)/1000)*2)*0.022)+((((C143/1000)-0.16)*0.013)*2)+((((D143/1000)-0.16)*0.013)*2),IF(AND(ISERROR(FIND(""drawer front"",A143))=FALSE,KitchenDoorStyl"&amp;"e=""In-frame flat""),((((B143-76)/1000)*((C143-38)/1000))*2)+(MID(KitchenDoorMaterial,FIND(""("",KitchenDoorMaterial)+1,2)/1000)*((((B143-76)+(C143-38))/1000)*2)+(((B143/1000)*0.032)*2)+((((B143-76)/1000)*0.032)*2)+(((B143/1000)*0.019)*4)+(((C143/1000)*0."&amp;"032)*2)+((((C143-38)/1000)*0.032)*2)+(((C143/1000)*0.038)*4),IF(AND(ISERROR(FIND(""drawer front"",A143))=FALSE,LEFT(KitchenDoorStyle,14)=""In-frame panel""),((((B143-76)/1000)*((C143-38)/1000))*2)+((MID(KitchenDoorMaterial,FIND(""("",KitchenDoorMaterial)+"&amp;"1,2)/1000)*((((B143-76)+(C143-38))/1000)*2))+((((B143-236)/1000)+((C143-198)/1000)*2)*0.013)+(((B143/1000)*0.032)*2)+((((B143-76)/1000)*0.032)*2)+(((B143/1000)*0.019)*4)+(((C143/1000)*0.032)*2)+((((C143-38)/1000)*0.032)*2)+(((C143/1000)*0.038)*4),IF(ISERR"&amp;"OR(FIND(""drawer box"",A143))=FALSE,((((B143/1000)*(D143/1000))+((B143/1000)*(C143/1000)))*4)+((((D143/1000)+(C143/1000))*0.016)*4)+(((C143/1000)*(D143/1000))*2),IF(OR(ISERROR(FIND(""shelf"",A143))=FALSE,ISERROR(FIND(""spacer"",A143))=FALSE,,ISERROR(FIND("&amp;"""filler panel"",A143))=FALSE),(((C143/1000)*(D143/1000))*2)+((((C143+D143)*2)/1000)*0.022),IF(ISERROR(FIND(""lost corner"",A143))=FALSE,(((B143/1000)*(C143/1000))*2)+((B143/1000)*(C143/1000))+((B143/1000)*((C143/2)/1000))+((((B143/1000)*0.025)+((C143/100"&amp;"0)*0.025))*2),IF(ISERROR(FIND(""carcass"",A143))=FALSE,(((C143/1000)*(D143/1000))*2)+(((B143/1000)*(D143/1000))*2)+((B143/1000)*(C143/1000))+((((B143/1000)*0.025)+((C143/1000)*0.025))*2),IF(AND(ISERROR(FIND(""door"",A143))=FALSE,KitchenDoorStyle=""Flat"")"&amp;",(((B143/1000)*(C143/1000))*2)+(MID(KitchenDoorMaterial,FIND(""("",KitchenDoorMaterial)+1,2)/1000)*(((B143+C143)/1000)*2),IF(AND(ISERROR(FIND(""door"",A143))=FALSE,LEFT(KitchenDoorStyle,5)=""Panel""),(((B143/1000)*(C143/1000))*2)+((MID(KitchenDoorMaterial"&amp;",FIND(""("",KitchenDoorMaterial)+1,2)/1000)*(((B143+C143)/1000)*2))+(((((B143-160)+(C143-160))*2)/1000)*(0.013)),IF(AND(ISERROR(FIND(""door"",A143))=FALSE,KitchenDoorStyle=""In-frame flat""),((((B143-76)/1000)*((C143-38)/1000))*2)+(MID(KitchenDoorMaterial"&amp;",FIND(""("",KitchenDoorMaterial)+1,2)/1000)*((((B143-76)+(C143-38))/1000)*2)+(((B143/1000)*0.032)*2)+((((B143-76)/1000)*0.032)*2)+(((B143/1000)*0.019)*4)+(((C143/1000)*0.032)*2)+((((C143-38)/1000)*0.032)*2)+(((C143/1000)*0.038)*4),IF(AND(ISERROR(FIND(""do"&amp;"or"",A143))=FALSE,LEFT(KitchenDoorStyle,14)=""In-frame panel""),((((B143-76)/1000)*((C143-38)/1000))*2)+((MID(KitchenDoorMaterial,FIND(""("",KitchenDoorMaterial)+1,2)/1000)*((((B143-76)+(C143-38))/1000)*2))+((((B143-236)/1000)+((C143-198)/1000)*2)*0.013)+"&amp;"(((B143/1000)*0.032)*2)+((((B143-76)/1000)*0.032)*2)+(((B143/1000)*0.019)*4)+(((C143/1000)*0.032)*2)+((((C143-38)/1000)*0.032)*2)+(((C143/1000)*0.038)*4),IF(ISERROR(FIND(""Plinth"",A143))=FALSE,((B143/1000)*(C143/1000))+(((C143/1000)*0.018)*2)+(((B143/100"&amp;"0)*0.018)*2),IF(ISERROR(FIND(""Cornice"",A143))=FALSE,(((C143/1000)*0.1)*2)+(((C143/1000)*0.044)*2)+(((B143/1000)*0.08)*2),IF(ISERROR(FIND(""Base end panel"",A143))=FALSE,((B143/1000)*(C143/1000))+(0.022*((B143/1000)+((C143/1000)*2)))+((B143/1000)*0.05),I"&amp;"F(ISERROR(FIND(""Wall end panel"",A143))=FALSE,((B143/1000)*(C143/1000))+(0.022*((B143/1000)+((C143/1000)*2)))+((B143/1000)*0.05),IF(ISERROR(FIND(""Tower end panel"",A143))=FALSE,((B143/1000)*(C143/1000))+(0.022*((B143/1000)+((C143/1000)*2)))+((B143/1000)"&amp;"*0.05),IF(ISERROR(FIND(""Fillers"",A143))=FALSE,((C143/1000)*0.06)+((C143/1000)*0.069)+((0.06*0.018)*2)+((0.06*0.009)*2)+((C143/1000)*0.009)+((C143/1000)*0.018),IF(ISERROR(FIND(""corner post"",A143))=FALSE,(((B143/1000*0.05)*2)+((B143/1000)*0.022)*2)+((B1"&amp;"43/1000)*0.072)+((B143/1000)*0.05)+((0.072*0.022)*2)+((0.05*0.022)*2),IF(ISERROR(FIND(""Pelmet"",A143))=FALSE,((C143/1000)*0.05)+((C143/1000)*0.068)+((0.05*0.018)*4)+(((C143/1000)*0.018))*2))))))))))))))))))))))))))))"),"")</f>
        <v/>
      </c>
      <c r="N143" s="152" t="str">
        <f>IF(M143="","",IF(AND(ISERROR(FIND("carcass",A143))=TRUE,ISERROR(FIND("unit",A143))=TRUE,ISERROR(FIND("insert",A143))=TRUE,ISERROR(FIND("rack",A143))=TRUE,ISERROR(FIND("box",A143))=TRUE,ISERROR(FIND("shelf",#REF!))=TRUE),VLOOKUP(KitchenDoorFinish,Finishing!$A$2:$K$10,9,0)*M143,VLOOKUP(KitchenCarcassFinish,Finishing!$A$2:$K$40,9,0)*M143))</f>
        <v/>
      </c>
      <c r="O143" s="155"/>
      <c r="P143" s="155"/>
      <c r="Q143" s="152" t="str">
        <f>IF(OR(O143="",P143=""),"",((O143*X143)*(VLOOKUP("Workshop",Labour!$A$3:$E$20,4,0)/8))+((P143*AE143)*(VLOOKUP("Finishing",Labour!$A$3:$E$20,4,0)/8)))</f>
        <v/>
      </c>
      <c r="R143" s="152" t="str">
        <f t="shared" si="4"/>
        <v/>
      </c>
      <c r="S143" s="156" t="str">
        <f>IF(OR(O143="",P143=""),"",IF(OR(ISERROR(FIND("carcass",$A143))=FALSE,ISERROR(FIND("unit",$A143))=FALSE),VLOOKUP(KitchenCarcassMaterial,FixedListsCarcassMaterial,2,0),0))</f>
        <v/>
      </c>
      <c r="T143" s="156" t="str">
        <f>IF(OR(O143="",P143=""),"",IF(ISERROR(FIND("door",$A143))=FALSE,VLOOKUP(KitchenDoorStyle,FixedListsDoorStyle,2,0),0))</f>
        <v/>
      </c>
      <c r="U143" s="156" t="str">
        <f>IF(OR(O143="",P143=""),"",IF(ISERROR(FIND("door",$A143))=FALSE,VLOOKUP(KitchenDoorMaterial,FixedListsDoorMaterial,2,0),0))</f>
        <v/>
      </c>
      <c r="V143" s="156" t="str">
        <f>IF(OR(O143="",P143=""),"",IF(ISERROR(FIND("drawer",$A143))=FALSE,VLOOKUP(KitchenDrawerType,FixedListsDrawerType,2,0),0))</f>
        <v/>
      </c>
      <c r="W143" s="156" t="str">
        <f>IF(OR(O143="",P143=""),"",IF(OR(S143&gt;0, T143&gt;0,V143&gt;0),VLOOKUP(KitchenHandleType,FixedListsHandleType,2,FALSE)*IF(KitchenHandleType="Simple",0,IF(S143&gt;0,VLOOKUP(KitchenHandleType,FixedListsHandleType,4,FALSE),IF(OR(T143&gt;0,V143&gt;0),1-VLOOKUP(KitchenHandleType,FixedListsHandleType,4,FALSE),"Error"))),0))</f>
        <v/>
      </c>
      <c r="X143" s="156" t="str">
        <f t="shared" si="5"/>
        <v/>
      </c>
      <c r="Y143" s="156" t="str">
        <f>IF(OR(O143="",P143=""),"",IF(OR(ISERROR(FIND("carcass",$A143))=FALSE,ISERROR(FIND("unit",$A143))=FALSE),VLOOKUP(KitchenCarcassMaterial,FixedListsCarcassMaterial,3,0),0))</f>
        <v/>
      </c>
      <c r="Z143" s="156" t="str">
        <f>IF(OR(O143="",P143=""),"",IF(ISERROR(FIND("door",$A143))=FALSE,VLOOKUP(KitchenDoorStyle,FixedListsDoorStyle,3,0),0))</f>
        <v/>
      </c>
      <c r="AA143" s="156" t="str">
        <f>IF(OR(O143="",P143=""),"",IF(ISERROR(FIND("door",$A143))=FALSE,VLOOKUP(KitchenDoorMaterial,FixedListsDoorMaterial,3,0),0))</f>
        <v/>
      </c>
      <c r="AB143" s="156" t="str">
        <f>IF(OR(O143="",P143=""),"",IF(ISERROR(FIND("drawer",$A143))=FALSE,VLOOKUP(KitchenDrawerType,FixedListsDrawerType,3,0),0))</f>
        <v/>
      </c>
      <c r="AC143" s="156" t="str">
        <f>IF(OR(O143="",P143=""),"",IF(OR(Y143&gt;0,Z143&gt;0,AB143&gt;0),VLOOKUP(KitchenHandleType,FixedListsHandleType,3,FALSE),0))</f>
        <v/>
      </c>
      <c r="AD143" s="156" t="str">
        <f>IF(OR(O143="",P143=""),"",IF(OR(ISERROR(FIND("carcass",$A143))=FALSE,ISERROR(FIND("unit",$A143))=FALSE),VLOOKUP(KitchenCarcassFinish,FixedListsFinishes,3,0),IF(OR(ISERROR(FIND("door",$A143))=FALSE,ISERROR(FIND("Plinth",$A143))=FALSE,ISERROR(FIND("Cornice",$A143))=FALSE,ISERROR(FIND("Fillers",$A143))=FALSE,ISERROR(FIND("Pelmet",$A143))=FALSE,ISERROR(FIND("panel",$A143))=FALSE,ISERROR(FIND("post",$A143))=FALSE),VLOOKUP(KitchenDoorFinish,FixedListsFinishes,3,0),IF(OR(ISERROR(FIND("drawer",$A143))=FALSE,ISERROR(FIND("insert",$A143))=FALSE,ISERROR(FIND("rck",$A143))=FALSE),VLOOKUP(KitchenCarcassFinish,FixedListsFinishes,3,0),0))))</f>
        <v/>
      </c>
      <c r="AE143" s="156" t="str">
        <f t="shared" si="6"/>
        <v/>
      </c>
      <c r="AF143" s="157" t="str">
        <f>IF(AND(KitchenHandleType="Channel",OR(ISERROR(FIND("arcass",$A143))=FALSE,ISERROR(FIND("unit",$A143))=FALSE)),IF(ISERROR(FIND("Tower",$A143))=TRUE,IF(KitchenHandleFinish="Match carcass",IF(ISERROR(FIND("Walnut",KitchenCarcassMaterial))=FALSE,(0.035*0.075*($C143/1000))*VLOOKUP("Walnut (solid m3)",SolidData,4,FALSE),IF(ISERROR(FIND("Oak",KitchenCarcassMaterial))=FALSE,(0.035*0.075*($C143/1000))*VLOOKUP("Oak (solid m3)",SolidData,4,FALSE),IF(ISERROR(FIND("ply",KitchenCarcassMaterial))=FALSE,(0.1*($C143/1000))*VLOOKUP("Birch ply (24mm)",SheetsData,7,FALSE),IF(ISERROR(FIND("H/F",KitchenCarcassMaterial))=FALSE,(0.1*($C143/1000))*VLOOKUP("H/F (22mm)",SheetsData,7,FALSE),"Carcass - not tower - new material")))),IF(KitchenHandleFinish="Match door",IF(ISERROR(FIND("Walnut",KitchenDoorMaterial))=FALSE,(0.035*0.075*($C143/1000))*VLOOKUP("Walnut (solid m3)",SolidData,4,FALSE),IF(ISERROR(FIND("Oak",KitchenDoorMaterial))=FALSE,(0.035*0.075*($C143/1000))*VLOOKUP("Oak (solid m3)",SolidData,4,FALSE),IF(ISERROR(FIND("ply",KitchenDoorMaterial))=FALSE,(0.1*($C143/1000))*VLOOKUP("Birch ply (24mm)",SheetsData,7,FALSE),IF(ISERROR(FIND("H/F",KitchenCarcassMaterial))=FALSE,(0.1*($C143/1000))*VLOOKUP("H/F (22mm)",SheetsData,7,FALSE),"Door - not tower - new material")))),"Channel - not tower - handle set to other")),IF(ISERROR(FIND("Tower",$A143))=FALSE,IF(KitchenHandleFinish="Match carcass",IF(ISERROR(FIND("Walnut",KitchenCarcassMaterial))=FALSE,(0.035*0.075*($B143/1000))*VLOOKUP("Walnut (solid m3)",SolidData,4,FALSE),IF(ISERROR(FIND("Oak",KitchenCarcassMaterial))=FALSE,(0.035*0.075*($B143/1000))*VLOOKUP("Oak (solid m3)",SolidData,4,FALSE),IF(ISERROR(FIND("ply",KitchenCarcassMaterial))=FALSE,(0.1*($B143/1000))*VLOOKUP("Birch ply (24mm)",SheetsData,7,FALSE),IF(ISERROR(FIND("H/F",KitchenCarcassMaterial))=FALSE,(0.1*($C143/1000))*VLOOKUP("H/F (22mm)",SheetsData,7,FALSE),"Carcass - tower - new material")))),IF(KitchenHandleFinish="Match door",IF(ISERROR(FIND("Walnut",KitchenDoorMaterial))=FALSE,(0.035*0.075*($B143/1000))*VLOOKUP("Walnut (solid m3)",SolidData,4,FALSE),IF(ISERROR(FIND("Oak",KitchenDoorMaterial))=FALSE,(0.035*0.075*($B143/1000))*VLOOKUP("Oak (solid m3)",SolidData,4,FALSE),IF(ISERROR(FIND("ply",KitchenDoorMaterial))=FALSE,(0.1*($B143/1000))*VLOOKUP("Birch ply (24mm)",SheetData,7,FALSE),IF(ISERROR(FIND("H/F",KitchenCarcassMaterial))=FALSE,(0.1*($C143/1000))*VLOOKUP("H/F (22mm)",SheetsData,7,FALSE),"Door - tower - new material")))),"Channel - tower - handle set to other")))),"")</f>
        <v/>
      </c>
    </row>
    <row r="144">
      <c r="A144" s="150"/>
      <c r="B144" s="115" t="str">
        <f t="shared" si="1"/>
        <v/>
      </c>
      <c r="C144" s="115" t="str">
        <f>IFERROR(__xludf.DUMMYFUNCTION("IF(A144="""","""",IF(OR(RIGHT(A144,LEN(A144)-len(regexextract(A144,"".* "")))=""1200"",RIGHT(A144,LEN(A144)-len(regexextract(A144,"".* "")))=""600"",RIGHT(A144,LEN(A144)-len(regexextract(A144,"".* "")))=""400"",RIGHT(A144,LEN(A144)-len(regexextract(A144,"&amp;""".* "")))=""300"",RIGHT(A144,LEN(A144)-len(regexextract(A144,"".* "")))=""700"",RIGHT(A144,LEN(A144)-len(regexextract(A144,"".* "")))=""2400"",RIGHT(A144,LEN(A144)-len(regexextract(A144,"".* "")))=""650"",RIGHT(A144,LEN(A144)-len(regexextract(A144,"".* "&amp;""")))=""350"",RIGHT(A144,LEN(A144)-len(regexextract(A144,"".* "")))=""50""),RIGHT(A144,LEN(A144)-len(regexextract(A144,"".* ""))),IF(OR(ISERROR(FIND(""spacer"",A144))=FALSE,ISERROR(FIND(""filler panel"",A144))=FALSE),""1000"",""Unexpected size in descript"&amp;"ion"")))"),"")</f>
        <v/>
      </c>
      <c r="D144" s="151" t="str">
        <f t="shared" si="2"/>
        <v/>
      </c>
      <c r="E144" s="152" t="str">
        <f>IFERROR(__xludf.DUMMYFUNCTION("IF(OR(A144="""",AND(ISERROR(FIND(""drawer box"",A144))=FALSE,KitchenDrawerType="""")),"""",IF(OR(ISERROR(FIND(""larder"",A144))=FALSE,ISERROR(FIND(""fridge/freezer"",A144))=FALSE,ISERROR(FIND(""double oven"",A144))=FALSE,ISERROR(FIND(""single oven"",A144)"&amp;")=FALSE),VLOOKUP(LEFT(A144,FIND("" "",A144))&amp;""carcass ""&amp;RIGHT(A144,LEN(A144)-(LEN(A144)-3)),KitchensData,5,0),IF(ISERROR(FIND(""sink"",A144))=FALSE,VLOOKUP(LEFT(A144,FIND("" "",A144))&amp;""carcass ""&amp;VALUE(REGEXREPLACE(A144,""[^[:digit:]]"", """")),Kitchen"&amp;"sData,5,0)+(((C144/1000)*(300/1000))*VLOOKUP(KitchenCarcassMaterial,SheetsData,8,0)),IF(ISERROR(FIND(""bins"",A144))=FALSE,IF(ISERROR(FIND(""veneer"",KitchenCarcassMaterial))=FALSE,VLOOKUP(""Base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600"",A144))=FALSE,IF(ISERR"&amp;"OR(FIND(""veneer"",KitchenCarcassMaterial))=FALSE,0.54*(VLOOKUP(LEFT(KitchenCarcassMaterial,FIND(""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1"&amp;"200"",A144))=FALSE,IF(ISERROR(FIND(""veneer"",KitchenCarcassMaterial))=FALSE,0.84*(VLOOKUP(LEFT(KitchenCarcassMaterial,FIND(""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600"",A144))=FALSE,IF(ISERROR(FIND(""veneer"",KitchenCarcassMaterial))=FALSE,1.44*(VLOOKUP(LEFT(KitchenCarcassMaterial,FIND(""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1200"",A144))=FALSE,IF(ISERROR(FIND(""veneer"",KitchenCarcassMaterial))=FALSE,2.7*(VLOOKUP(LEFT(KitchenCarcassMaterial,FIND(""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front"",A144))=FALSE,((B144/1000)*(C144/1000))*VLOOKUP(KitchenDoorMaterial,SheetsData,8,0),IF(AND(KitchenDrawerType=""Match carcass"",ISERROR(FIND(""drawer box"",A144))=FALSE),(((((B144/10"&amp;"00)*(C144/1000))+((B144/1000)*(D144/1000)))*2)*VLOOKUP(KitchenCarcassMaterial,SheetsData,8,0))+(((C144/1000)*(D144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box"",A144))=FALSE),(((((B144/1000)*(C144/1000))+((B144/1000)*(D144/1000)))*2)*(16/1000)*VLOOKUP(L"&amp;"EFT(KitchenCarcassMaterial,FIND("" "",KitchenCarcassMaterial))&amp;""(solid m3)"",SolidData,5,0))+(((C144/1000)*(D144/1000))*VLOOKUP(LEFT(KitchenCarcassMaterial,FIND(""("",KitchenCarcassMaterial)-1)&amp;IF(OR(ISERROR(FIND(""ply"",KitchenCarcassMaterial))=FALSE,IS"&amp;"ERROR(FIND(""H/F"",KitchenCarcassMaterial))=FALSE),""(9mm)"",""(10mm)""),SheetsData,8,0)),IF(ISERROR(FIND(""spacer"",A144))=FALSE,((D144/1000)*(C144/1000))*VLOOKUP(""Poplar ply (18mm)"",SheetsData,8,0),IF(ISERROR(FIND(""filler panel"",A144))=FALSE,((B144/"&amp;"1000)*(C144/1000))*VLOOKUP(KitchenDoorMaterial,SheetsData,8,0),IF(ISERROR(FIND(""shelf"",A144))=FALSE,((D144/1000)*(C144/1000))*VLOOKUP(KitchenCarcassMaterial,SheetsData,8,0),IF(ISERROR(FIND(""lost corner"",A144))=FALSE,VLOOKUP(LEFT(A144,FIND("" "",A144))"&amp;"&amp;""carcass ""&amp;VALUE(REGEXREPLACE(A144,""[^[:digit:]]"", """")),KitchensData,5,0)+((((B144/1000)*(C144/1000))+((B144/1000)*(60/1000)))*VLOOKUP(KitchenCarcassMaterial,SheetsData,8,0)),IF(ISERROR(FIND(""carcass"",A144))=FALSE,(((((B144/1000)*2)*(D144/1000))+"&amp;"(((C144/1000)*2)*(D144/1000)))*VLOOKUP(KitchenCarcassMaterial,SheetsData,8,0))+((B144/1000)*(C144/1000))*VLOOKUP(LEFT(KitchenCarcassMaterial,FIND(""("",KitchenCarcassMaterial)-1)&amp;IF(OR(ISERROR(FIND(""ply"",KitchenCarcassMaterial))=FALSE,ISERROR(FIND(""H/F"&amp;""",KitchenCarcassMaterial))=FALSE),""(9mm)"",""(10mm)""),SheetsData,8,0),IF(OR(ISERROR(FIND(""Plinth"",A144))=FALSE,ISERROR(FIND(""Cornice (flat)"",A144))=FALSE),((B144/1000)*(C144/1000))*VLOOKUP(""H/F (18mm)"",SheetsData,8,0),IF(ISERROR(FIND(""Cornice (s"&amp;"tacked)"",A144))=FALSE,((0.08*(C144/1000))*2)*VLOOKUP(""H/F (22mm)"",SheetsData,8,0),IF(ISERROR(FIND(""Base end panel"",A144))=FALSE,VLOOKUP(KitchenDoorMaterial,SheetsData,5,0)/3,IF(ISERROR(FIND(""Wall end panel"",A144))=FALSE,VLOOKUP(KitchenDoorMaterial,"&amp;"SheetsData,5,0)/9,IF(ISERROR(FIND(""Tower end panel"",A144))=FALSE,VLOOKUP(KitchenDoorMaterial,SheetsData,5,0),IF(ISERROR(FIND(""Fillers"",A144))=FALSE,(((0.06*(C144/1000))*2)*VLOOKUP(""H/F (18mm)"",SheetsData,8,0))+(((0.06*(C144/1000))*2)*VLOOKUP(""H/F ("&amp;"9mm)"",SheetsData,8,0)),IF(ISERROR(FIND(""corner post"",A144))=FALSE,(((B144/1000)*0.05)*2)*VLOOKUP(KitchenDoorMaterial,SheetsData,8,0),IF(ISERROR(FIND(""Pelmet"",A144))=FALSE,((((B144/1000)*(C144/1000))*2)*VLOOKUP(""H/F (18mm)"",SheetsData,8,0)),IF(ISERR"&amp;"OR(FIND(""door"",A144))=TRUE,""Check description"",IF(KitchenDoorStyle=""Flat"",((B144/1000)*(C144/1000))*VLOOKUP(KitchenDoorMaterial,SheetsData,8,0),IF(LEFT(KitchenDoorStyle,5)=""Panel"",(((((B144/1000)*2)*0.08)+((((C144/1000)-0.16)*2)*0.08))*VLOOKUP(""H"&amp;"/F (22mm)"",SheetsData,8,0))+(((B144/1000)-0.14)*((C144/1000)-0.14)*VLOOKUP(""H/F (9mm)"",SheetsData,8,0)),IF(KitchenDoorStyle=""In-frame flat"",((((((B144/1000)*0.019)*0.038)+((((C144-38)/1000)*0.038)*0.038))*2)*VLOOKUP(""Tulip (solid m3)"",SolidData,5,0"&amp;"))+(((B144-76)/1000)*((C144-38)/1000))*VLOOKUP(""H/F (22mm)"",SheetsData,8,0),IF(LEFT(KitchenDoorStyle,14)=""In-frame panel"",(((((((B144/1000)*0.019)*0.038)+((((C144-38)/1000)*0.038)*0.038))*2)*VLOOKUP(""Tulip (solid m3)"",SolidData,5,0))+(((((((B144-76)"&amp;"/1000)*2)*0.08)+(((((C144-198)/1000)*2)*0.08)))*VLOOKUP(""H/F (22mm)"",SheetsData,8,0))+(((B144-216)/1000)*((C144-178)/1000)*VLOOKUP(""H/F (9mm)"",SheetsData,8,0)))))))))))))))))))))))))))))))))"),"")</f>
        <v/>
      </c>
      <c r="F144" s="152" t="str">
        <f>IFERROR(__xludf.DUMMYFUNCTION("IF(OR(A144="""",AND(ISERROR(FIND(""drawer box"",A144))=FALSE,KitchenDrawerType=""Solid dovetail"")),"""",IF(ISERROR(FIND(""bins"",A144))=FALSE,VLOOKUP(""Base carcass 600"",KitchensData,6,0),IF(OR(ISERROR(FIND(""larder"",A144))=FALSE,ISERROR(FIND(""unit"","&amp;"A144))=FALSE),VLOOKUP(LEFT(A144,FIND("" "",A144))&amp;""carcass ""&amp;RIGHT(A144,LEN(A144)-len(regexextract(A144,"".* ""))),KitchensData,6,0),IF(ISERROR(FIND(""drawer front"",A144))=FALSE,IF(ISERROR(FIND(""veneer"",KitchenCarcassMaterial))=TRUE,0,(((B144+C144)/1"&amp;"000)*2)*VLOOKUP(""Edge banding (per M)"",SheetsData,5,0)),IF(ISERROR(FIND(""drawer box"",A144))=FALSE,IF(ISERROR(FIND(""veneer"",KitchenCarcassMaterial))=TRUE,0,(((C144+D144)/1000)*2)*VLOOKUP(""Edge banding (per M)"",SheetsData,5,0)),IF(ISERROR(FIND(""she"&amp;"lf"",A144))=FALSE,IF(ISERROR(FIND(""veneer"",KitchenCarcassMaterial))=TRUE,0,(C144/1000)*VLOOKUP(""Edge banding (per M)"",SheetsData,5,0)),IF(AND(ISERROR(FIND(""carcass"",A144))=FALSE,ISERROR(FIND(""shelf"",A144))=TRUE),IF(ISERROR(FIND(""veneer"",KitchenC"&amp;"arcassMaterial))=TRUE,0,((2*(B144+C144))/1000)*VLOOKUP(""Edge banding (per M)"",SheetsData,5,0)),IF(ISERROR(FIND(""door"",A144))=TRUE,"""",IF(ISERROR(FIND(""veneer"",KitchenDoorMaterial))=TRUE,"""",((2*(B144+C144))/1000)*VLOOKUP(""Edge banding (per M)"",S"&amp;"heetsData,5,0))))))))))"),"")</f>
        <v/>
      </c>
      <c r="G144" s="153" t="str">
        <f>IF(A144="","",IF(ISERROR(FIND("bins",A144))=FALSE,VLOOKUP("Base carcass 600",KitchensData,7,0),IF(OR(ISERROR(FIND("larder",A144))=FALSE,ISERROR(FIND("fridge/freezer",A144))=FALSE,ISERROR(FIND("double oven",A144))=FALSE,ISERROR(FIND("single oven",A144))=FALSE),VLOOKUP(LEFT(A144,FIND(" ",A144))&amp;"carcass "&amp;RIGHT(A144,LEN(A144)-(LEN(A144)-3)),KitchensData,7,0),IF(AND(ISERROR(FIND("carcass",A144))=FALSE,ISERROR(FIND("shelf",A144))=TRUE),IF(OR(ISERROR(FIND("Base",A144))=FALSE,ISERROR(FIND("Tower",A144))=FALSE),IF(OR(ISERROR(FIND("1200",A144))=FALSE, ISERROR(FIND("lost corner",A144))=FALSE),6*VLOOKUP("Plinth foot (2 Parts 80mm)",FurnitureData,5,0),4*VLOOKUP("Plinth foot (2 Parts 80mm)",FurnitureData,5,0)),""),""))))</f>
        <v/>
      </c>
      <c r="H144" s="115" t="str">
        <f>IF(OR(A144="",ISERROR(FIND("door",A144))=TRUE),"",IF(ISERROR(FIND("Wall",A144))=FALSE,VLOOKUP("Hinges &amp; plates (Hettich thick door)",FurnitureData,5,0)*2,IF(ISERROR(FIND("Base",A144))=FALSE,VLOOKUP("Hinges &amp; plates (Hettich thick door)",FurnitureData,5,0)*3,IF(ISERROR(FIND("Boiler",A144))=FALSE,VLOOKUP("Hinges &amp; plates (Hettich thick door)",FurnitureData,5,0)*4,IF(ISERROR(FIND("Tower",A144))=FALSE,VLOOKUP("Hinges &amp; plates (Hettich thick door)",FurnitureData,5,0)*5)))))</f>
        <v/>
      </c>
      <c r="I144" s="115" t="str">
        <f>IF(ISERROR(FIND("shelf",A144))=FALSE,(VLOOKUP("Shelf pegs",FurnitureData,5,0)/100)*4,"")</f>
        <v/>
      </c>
      <c r="J144" s="152" t="str">
        <f>IF(OR(ISERROR(FIND("fridge/freezer",A144))=FALSE,ISERROR(FIND("larder",A144))=FALSE,AND(ISERROR(FIND("Base",A144))=FALSE,ISERROR(FIND("bins",A144))=TRUE,ISERROR(FIND("no shelves",A144))=TRUE,OR(ISERROR(FIND("carcass",A144))=FALSE,ISERROR(FIND("unit",A144))=FALSE))),VLOOKUP("Deep shelf "&amp;C144,KitchensData,18,0),IF(AND(ISERROR(FIND("Wall",A144))=FALSE,ISERROR(FIND("carcass",A144))=FALSE),2*VLOOKUP("Shallow shelf "&amp;C144,KitchensData,18,0),IF(AND(ISERROR(FIND("Tower",A144))=FALSE,ISERROR(FIND("oven",A144))=FALSE),4*VLOOKUP("Deep shelf "&amp;C144,KitchensData,18,0),IF(AND(ISERROR(FIND("Tower",A144))=FALSE,ISERROR(FIND("carcass",A144))=FALSE),5*VLOOKUP("Deep shelf "&amp;C144,KitchensData,18,0),""))))</f>
        <v/>
      </c>
      <c r="K144" s="152" t="str">
        <f>IF(ISERROR(FIND("sink",A144))=FALSE,VLOOKUP("Sink liner - Aluminium "&amp;RIGHT(A144,LEN(A144)-22)&amp;"mm",ExceptionalData,5,0),IF(ISERROR(FIND("bins",A144))=FALSE,VLOOKUP("Drawer runners and clip set for bin unit (500) Dynapro",FurnitureData,5,0)+(2*VLOOKUP("Bin (42L Anthracite)",FurnitureData,5,0)),IF(ISERROR(FIND("larder",A144))=FALSE,VLOOKUP("Pull out larder unit 600mm",FurnitureData,5,0),IF(AND(ISERROR(FIND("drawer box",A144))=FALSE,ISERROR(FIND("internal",A144))=TRUE),VLOOKUP("Drawer runners and clip set (550) Dynapro",FurnitureData,5,0),IF(ISERROR(FIND("internal drawer box",A144))=FALSE,VLOOKUP("Drawer runners and clip set (450) Dynapro",FurnitureData,5,0),"")))))</f>
        <v/>
      </c>
      <c r="L144" s="152" t="str">
        <f t="shared" si="3"/>
        <v/>
      </c>
      <c r="M144" s="154" t="str">
        <f>IFERROR(__xludf.DUMMYFUNCTION("IF(A144="""","""",IF(OR(ISERROR(FIND(""larder"",A144))=FALSE,ISERROR(FIND(""unit"",A144))=FALSE),VLOOKUP(LEFT(A144,FIND("" "",A144))&amp;""carcass ""&amp;RIGHT(A144,LEN(A144)-len(regexextract(A144,"".* ""))),KitchensData,13,0),IF(ISERROR(FIND(""bins"",A144))=FALS"&amp;"E,0.95,IF(ISERROR(FIND(""Cutlery insert 600"",A144))=FALSE,1.3,IF(ISERROR(FIND(""Cutlery insert 1200"",A144))=FALSE,2,IF(ISERROR(FIND(""Pan/tray rack 600"",A144))=FALSE,3.25,IF(ISERROR(FIND(""Pan/tray rack 1200"",A144))=FALSE,5.9,IF(ISERROR(FIND(""split"""&amp;",A144))=FALSE,(((C144/1000)*0.022)*2)+VLOOKUP(SUBSTITUTE(A144,"" split"",""""),KitchensData,13,0),IF(AND(ISERROR(FIND(""drawer front"",A144))=FALSE,KitchenDoorStyle=""Flat""),(((B144/1000)*(C144/1000))*2)+((((B144+C144)/1000)*2)*0.022),IF(AND(ISERROR(FIND"&amp;"(""drawer front"",A144))=FALSE,LEFT(KitchenDoorStyle,5)=""Panel""),(((B144/1000)*(C144/1000))*2)+((((B144+C144)/1000)*2)*0.022)+((((C144/1000)-0.16)*0.013)*2)+((((D144/1000)-0.16)*0.013)*2),IF(AND(ISERROR(FIND(""drawer front"",A144))=FALSE,KitchenDoorStyl"&amp;"e=""In-frame flat""),((((B144-76)/1000)*((C144-38)/1000))*2)+(MID(KitchenDoorMaterial,FIND(""("",KitchenDoorMaterial)+1,2)/1000)*((((B144-76)+(C144-38))/1000)*2)+(((B144/1000)*0.032)*2)+((((B144-76)/1000)*0.032)*2)+(((B144/1000)*0.019)*4)+(((C144/1000)*0."&amp;"032)*2)+((((C144-38)/1000)*0.032)*2)+(((C144/1000)*0.038)*4),IF(AND(ISERROR(FIND(""drawer front"",A144))=FALSE,LEFT(KitchenDoorStyle,14)=""In-frame panel""),((((B144-76)/1000)*((C144-38)/1000))*2)+((MID(KitchenDoorMaterial,FIND(""("",KitchenDoorMaterial)+"&amp;"1,2)/1000)*((((B144-76)+(C144-38))/1000)*2))+((((B144-236)/1000)+((C144-198)/1000)*2)*0.013)+(((B144/1000)*0.032)*2)+((((B144-76)/1000)*0.032)*2)+(((B144/1000)*0.019)*4)+(((C144/1000)*0.032)*2)+((((C144-38)/1000)*0.032)*2)+(((C144/1000)*0.038)*4),IF(ISERR"&amp;"OR(FIND(""drawer box"",A144))=FALSE,((((B144/1000)*(D144/1000))+((B144/1000)*(C144/1000)))*4)+((((D144/1000)+(C144/1000))*0.016)*4)+(((C144/1000)*(D144/1000))*2),IF(OR(ISERROR(FIND(""shelf"",A144))=FALSE,ISERROR(FIND(""spacer"",A144))=FALSE,,ISERROR(FIND("&amp;"""filler panel"",A144))=FALSE),(((C144/1000)*(D144/1000))*2)+((((C144+D144)*2)/1000)*0.022),IF(ISERROR(FIND(""lost corner"",A144))=FALSE,(((B144/1000)*(C144/1000))*2)+((B144/1000)*(C144/1000))+((B144/1000)*((C144/2)/1000))+((((B144/1000)*0.025)+((C144/100"&amp;"0)*0.025))*2),IF(ISERROR(FIND(""carcass"",A144))=FALSE,(((C144/1000)*(D144/1000))*2)+(((B144/1000)*(D144/1000))*2)+((B144/1000)*(C144/1000))+((((B144/1000)*0.025)+((C144/1000)*0.025))*2),IF(AND(ISERROR(FIND(""door"",A144))=FALSE,KitchenDoorStyle=""Flat"")"&amp;",(((B144/1000)*(C144/1000))*2)+(MID(KitchenDoorMaterial,FIND(""("",KitchenDoorMaterial)+1,2)/1000)*(((B144+C144)/1000)*2),IF(AND(ISERROR(FIND(""door"",A144))=FALSE,LEFT(KitchenDoorStyle,5)=""Panel""),(((B144/1000)*(C144/1000))*2)+((MID(KitchenDoorMaterial"&amp;",FIND(""("",KitchenDoorMaterial)+1,2)/1000)*(((B144+C144)/1000)*2))+(((((B144-160)+(C144-160))*2)/1000)*(0.013)),IF(AND(ISERROR(FIND(""door"",A144))=FALSE,KitchenDoorStyle=""In-frame flat""),((((B144-76)/1000)*((C144-38)/1000))*2)+(MID(KitchenDoorMaterial"&amp;",FIND(""("",KitchenDoorMaterial)+1,2)/1000)*((((B144-76)+(C144-38))/1000)*2)+(((B144/1000)*0.032)*2)+((((B144-76)/1000)*0.032)*2)+(((B144/1000)*0.019)*4)+(((C144/1000)*0.032)*2)+((((C144-38)/1000)*0.032)*2)+(((C144/1000)*0.038)*4),IF(AND(ISERROR(FIND(""do"&amp;"or"",A144))=FALSE,LEFT(KitchenDoorStyle,14)=""In-frame panel""),((((B144-76)/1000)*((C144-38)/1000))*2)+((MID(KitchenDoorMaterial,FIND(""("",KitchenDoorMaterial)+1,2)/1000)*((((B144-76)+(C144-38))/1000)*2))+((((B144-236)/1000)+((C144-198)/1000)*2)*0.013)+"&amp;"(((B144/1000)*0.032)*2)+((((B144-76)/1000)*0.032)*2)+(((B144/1000)*0.019)*4)+(((C144/1000)*0.032)*2)+((((C144-38)/1000)*0.032)*2)+(((C144/1000)*0.038)*4),IF(ISERROR(FIND(""Plinth"",A144))=FALSE,((B144/1000)*(C144/1000))+(((C144/1000)*0.018)*2)+(((B144/100"&amp;"0)*0.018)*2),IF(ISERROR(FIND(""Cornice"",A144))=FALSE,(((C144/1000)*0.1)*2)+(((C144/1000)*0.044)*2)+(((B144/1000)*0.08)*2),IF(ISERROR(FIND(""Base end panel"",A144))=FALSE,((B144/1000)*(C144/1000))+(0.022*((B144/1000)+((C144/1000)*2)))+((B144/1000)*0.05),I"&amp;"F(ISERROR(FIND(""Wall end panel"",A144))=FALSE,((B144/1000)*(C144/1000))+(0.022*((B144/1000)+((C144/1000)*2)))+((B144/1000)*0.05),IF(ISERROR(FIND(""Tower end panel"",A144))=FALSE,((B144/1000)*(C144/1000))+(0.022*((B144/1000)+((C144/1000)*2)))+((B144/1000)"&amp;"*0.05),IF(ISERROR(FIND(""Fillers"",A144))=FALSE,((C144/1000)*0.06)+((C144/1000)*0.069)+((0.06*0.018)*2)+((0.06*0.009)*2)+((C144/1000)*0.009)+((C144/1000)*0.018),IF(ISERROR(FIND(""corner post"",A144))=FALSE,(((B144/1000*0.05)*2)+((B144/1000)*0.022)*2)+((B1"&amp;"44/1000)*0.072)+((B144/1000)*0.05)+((0.072*0.022)*2)+((0.05*0.022)*2),IF(ISERROR(FIND(""Pelmet"",A144))=FALSE,((C144/1000)*0.05)+((C144/1000)*0.068)+((0.05*0.018)*4)+(((C144/1000)*0.018))*2))))))))))))))))))))))))))))"),"")</f>
        <v/>
      </c>
      <c r="N144" s="152" t="str">
        <f>IF(M144="","",IF(AND(ISERROR(FIND("carcass",A144))=TRUE,ISERROR(FIND("unit",A144))=TRUE,ISERROR(FIND("insert",A144))=TRUE,ISERROR(FIND("rack",A144))=TRUE,ISERROR(FIND("box",A144))=TRUE,ISERROR(FIND("shelf",#REF!))=TRUE),VLOOKUP(KitchenDoorFinish,Finishing!$A$2:$K$10,9,0)*M144,VLOOKUP(KitchenCarcassFinish,Finishing!$A$2:$K$40,9,0)*M144))</f>
        <v/>
      </c>
      <c r="O144" s="155"/>
      <c r="P144" s="155"/>
      <c r="Q144" s="152" t="str">
        <f>IF(OR(O144="",P144=""),"",((O144*X144)*(VLOOKUP("Workshop",Labour!$A$3:$E$20,4,0)/8))+((P144*AE144)*(VLOOKUP("Finishing",Labour!$A$3:$E$20,4,0)/8)))</f>
        <v/>
      </c>
      <c r="R144" s="152" t="str">
        <f t="shared" si="4"/>
        <v/>
      </c>
      <c r="S144" s="156" t="str">
        <f>IF(OR(O144="",P144=""),"",IF(OR(ISERROR(FIND("carcass",$A144))=FALSE,ISERROR(FIND("unit",$A144))=FALSE),VLOOKUP(KitchenCarcassMaterial,FixedListsCarcassMaterial,2,0),0))</f>
        <v/>
      </c>
      <c r="T144" s="156" t="str">
        <f>IF(OR(O144="",P144=""),"",IF(ISERROR(FIND("door",$A144))=FALSE,VLOOKUP(KitchenDoorStyle,FixedListsDoorStyle,2,0),0))</f>
        <v/>
      </c>
      <c r="U144" s="156" t="str">
        <f>IF(OR(O144="",P144=""),"",IF(ISERROR(FIND("door",$A144))=FALSE,VLOOKUP(KitchenDoorMaterial,FixedListsDoorMaterial,2,0),0))</f>
        <v/>
      </c>
      <c r="V144" s="156" t="str">
        <f>IF(OR(O144="",P144=""),"",IF(ISERROR(FIND("drawer",$A144))=FALSE,VLOOKUP(KitchenDrawerType,FixedListsDrawerType,2,0),0))</f>
        <v/>
      </c>
      <c r="W144" s="156" t="str">
        <f>IF(OR(O144="",P144=""),"",IF(OR(S144&gt;0, T144&gt;0,V144&gt;0),VLOOKUP(KitchenHandleType,FixedListsHandleType,2,FALSE)*IF(KitchenHandleType="Simple",0,IF(S144&gt;0,VLOOKUP(KitchenHandleType,FixedListsHandleType,4,FALSE),IF(OR(T144&gt;0,V144&gt;0),1-VLOOKUP(KitchenHandleType,FixedListsHandleType,4,FALSE),"Error"))),0))</f>
        <v/>
      </c>
      <c r="X144" s="156" t="str">
        <f t="shared" si="5"/>
        <v/>
      </c>
      <c r="Y144" s="156" t="str">
        <f>IF(OR(O144="",P144=""),"",IF(OR(ISERROR(FIND("carcass",$A144))=FALSE,ISERROR(FIND("unit",$A144))=FALSE),VLOOKUP(KitchenCarcassMaterial,FixedListsCarcassMaterial,3,0),0))</f>
        <v/>
      </c>
      <c r="Z144" s="156" t="str">
        <f>IF(OR(O144="",P144=""),"",IF(ISERROR(FIND("door",$A144))=FALSE,VLOOKUP(KitchenDoorStyle,FixedListsDoorStyle,3,0),0))</f>
        <v/>
      </c>
      <c r="AA144" s="156" t="str">
        <f>IF(OR(O144="",P144=""),"",IF(ISERROR(FIND("door",$A144))=FALSE,VLOOKUP(KitchenDoorMaterial,FixedListsDoorMaterial,3,0),0))</f>
        <v/>
      </c>
      <c r="AB144" s="156" t="str">
        <f>IF(OR(O144="",P144=""),"",IF(ISERROR(FIND("drawer",$A144))=FALSE,VLOOKUP(KitchenDrawerType,FixedListsDrawerType,3,0),0))</f>
        <v/>
      </c>
      <c r="AC144" s="156" t="str">
        <f>IF(OR(O144="",P144=""),"",IF(OR(Y144&gt;0,Z144&gt;0,AB144&gt;0),VLOOKUP(KitchenHandleType,FixedListsHandleType,3,FALSE),0))</f>
        <v/>
      </c>
      <c r="AD144" s="156" t="str">
        <f>IF(OR(O144="",P144=""),"",IF(OR(ISERROR(FIND("carcass",$A144))=FALSE,ISERROR(FIND("unit",$A144))=FALSE),VLOOKUP(KitchenCarcassFinish,FixedListsFinishes,3,0),IF(OR(ISERROR(FIND("door",$A144))=FALSE,ISERROR(FIND("Plinth",$A144))=FALSE,ISERROR(FIND("Cornice",$A144))=FALSE,ISERROR(FIND("Fillers",$A144))=FALSE,ISERROR(FIND("Pelmet",$A144))=FALSE,ISERROR(FIND("panel",$A144))=FALSE,ISERROR(FIND("post",$A144))=FALSE),VLOOKUP(KitchenDoorFinish,FixedListsFinishes,3,0),IF(OR(ISERROR(FIND("drawer",$A144))=FALSE,ISERROR(FIND("insert",$A144))=FALSE,ISERROR(FIND("rck",$A144))=FALSE),VLOOKUP(KitchenCarcassFinish,FixedListsFinishes,3,0),0))))</f>
        <v/>
      </c>
      <c r="AE144" s="156" t="str">
        <f t="shared" si="6"/>
        <v/>
      </c>
      <c r="AF144" s="157" t="str">
        <f>IF(AND(KitchenHandleType="Channel",OR(ISERROR(FIND("arcass",$A144))=FALSE,ISERROR(FIND("unit",$A144))=FALSE)),IF(ISERROR(FIND("Tower",$A144))=TRUE,IF(KitchenHandleFinish="Match carcass",IF(ISERROR(FIND("Walnut",KitchenCarcassMaterial))=FALSE,(0.035*0.075*($C144/1000))*VLOOKUP("Walnut (solid m3)",SolidData,4,FALSE),IF(ISERROR(FIND("Oak",KitchenCarcassMaterial))=FALSE,(0.035*0.075*($C144/1000))*VLOOKUP("Oak (solid m3)",SolidData,4,FALSE),IF(ISERROR(FIND("ply",KitchenCarcassMaterial))=FALSE,(0.1*($C144/1000))*VLOOKUP("Birch ply (24mm)",SheetsData,7,FALSE),IF(ISERROR(FIND("H/F",KitchenCarcassMaterial))=FALSE,(0.1*($C144/1000))*VLOOKUP("H/F (22mm)",SheetsData,7,FALSE),"Carcass - not tower - new material")))),IF(KitchenHandleFinish="Match door",IF(ISERROR(FIND("Walnut",KitchenDoorMaterial))=FALSE,(0.035*0.075*($C144/1000))*VLOOKUP("Walnut (solid m3)",SolidData,4,FALSE),IF(ISERROR(FIND("Oak",KitchenDoorMaterial))=FALSE,(0.035*0.075*($C144/1000))*VLOOKUP("Oak (solid m3)",SolidData,4,FALSE),IF(ISERROR(FIND("ply",KitchenDoorMaterial))=FALSE,(0.1*($C144/1000))*VLOOKUP("Birch ply (24mm)",SheetsData,7,FALSE),IF(ISERROR(FIND("H/F",KitchenCarcassMaterial))=FALSE,(0.1*($C144/1000))*VLOOKUP("H/F (22mm)",SheetsData,7,FALSE),"Door - not tower - new material")))),"Channel - not tower - handle set to other")),IF(ISERROR(FIND("Tower",$A144))=FALSE,IF(KitchenHandleFinish="Match carcass",IF(ISERROR(FIND("Walnut",KitchenCarcassMaterial))=FALSE,(0.035*0.075*($B144/1000))*VLOOKUP("Walnut (solid m3)",SolidData,4,FALSE),IF(ISERROR(FIND("Oak",KitchenCarcassMaterial))=FALSE,(0.035*0.075*($B144/1000))*VLOOKUP("Oak (solid m3)",SolidData,4,FALSE),IF(ISERROR(FIND("ply",KitchenCarcassMaterial))=FALSE,(0.1*($B144/1000))*VLOOKUP("Birch ply (24mm)",SheetsData,7,FALSE),IF(ISERROR(FIND("H/F",KitchenCarcassMaterial))=FALSE,(0.1*($C144/1000))*VLOOKUP("H/F (22mm)",SheetsData,7,FALSE),"Carcass - tower - new material")))),IF(KitchenHandleFinish="Match door",IF(ISERROR(FIND("Walnut",KitchenDoorMaterial))=FALSE,(0.035*0.075*($B144/1000))*VLOOKUP("Walnut (solid m3)",SolidData,4,FALSE),IF(ISERROR(FIND("Oak",KitchenDoorMaterial))=FALSE,(0.035*0.075*($B144/1000))*VLOOKUP("Oak (solid m3)",SolidData,4,FALSE),IF(ISERROR(FIND("ply",KitchenDoorMaterial))=FALSE,(0.1*($B144/1000))*VLOOKUP("Birch ply (24mm)",SheetData,7,FALSE),IF(ISERROR(FIND("H/F",KitchenCarcassMaterial))=FALSE,(0.1*($C144/1000))*VLOOKUP("H/F (22mm)",SheetsData,7,FALSE),"Door - tower - new material")))),"Channel - tower - handle set to other")))),"")</f>
        <v/>
      </c>
    </row>
    <row r="145">
      <c r="A145" s="150"/>
      <c r="B145" s="115" t="str">
        <f t="shared" si="1"/>
        <v/>
      </c>
      <c r="C145" s="115" t="str">
        <f>IFERROR(__xludf.DUMMYFUNCTION("IF(A145="""","""",IF(OR(RIGHT(A145,LEN(A145)-len(regexextract(A145,"".* "")))=""1200"",RIGHT(A145,LEN(A145)-len(regexextract(A145,"".* "")))=""600"",RIGHT(A145,LEN(A145)-len(regexextract(A145,"".* "")))=""400"",RIGHT(A145,LEN(A145)-len(regexextract(A145,"&amp;""".* "")))=""300"",RIGHT(A145,LEN(A145)-len(regexextract(A145,"".* "")))=""700"",RIGHT(A145,LEN(A145)-len(regexextract(A145,"".* "")))=""2400"",RIGHT(A145,LEN(A145)-len(regexextract(A145,"".* "")))=""650"",RIGHT(A145,LEN(A145)-len(regexextract(A145,"".* "&amp;""")))=""350"",RIGHT(A145,LEN(A145)-len(regexextract(A145,"".* "")))=""50""),RIGHT(A145,LEN(A145)-len(regexextract(A145,"".* ""))),IF(OR(ISERROR(FIND(""spacer"",A145))=FALSE,ISERROR(FIND(""filler panel"",A145))=FALSE),""1000"",""Unexpected size in descript"&amp;"ion"")))"),"")</f>
        <v/>
      </c>
      <c r="D145" s="151" t="str">
        <f t="shared" si="2"/>
        <v/>
      </c>
      <c r="E145" s="152" t="str">
        <f>IFERROR(__xludf.DUMMYFUNCTION("IF(OR(A145="""",AND(ISERROR(FIND(""drawer box"",A145))=FALSE,KitchenDrawerType="""")),"""",IF(OR(ISERROR(FIND(""larder"",A145))=FALSE,ISERROR(FIND(""fridge/freezer"",A145))=FALSE,ISERROR(FIND(""double oven"",A145))=FALSE,ISERROR(FIND(""single oven"",A145)"&amp;")=FALSE),VLOOKUP(LEFT(A145,FIND("" "",A145))&amp;""carcass ""&amp;RIGHT(A145,LEN(A145)-(LEN(A145)-3)),KitchensData,5,0),IF(ISERROR(FIND(""sink"",A145))=FALSE,VLOOKUP(LEFT(A145,FIND("" "",A145))&amp;""carcass ""&amp;VALUE(REGEXREPLACE(A145,""[^[:digit:]]"", """")),Kitchen"&amp;"sData,5,0)+(((C145/1000)*(300/1000))*VLOOKUP(KitchenCarcassMaterial,SheetsData,8,0)),IF(ISERROR(FIND(""bins"",A145))=FALSE,IF(ISERROR(FIND(""veneer"",KitchenCarcassMaterial))=FALSE,VLOOKUP(""Base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600"",A145))=FALSE,IF(ISERR"&amp;"OR(FIND(""veneer"",KitchenCarcassMaterial))=FALSE,0.54*(VLOOKUP(LEFT(KitchenCarcassMaterial,FIND(""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1"&amp;"200"",A145))=FALSE,IF(ISERROR(FIND(""veneer"",KitchenCarcassMaterial))=FALSE,0.84*(VLOOKUP(LEFT(KitchenCarcassMaterial,FIND(""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600"",A145))=FALSE,IF(ISERROR(FIND(""veneer"",KitchenCarcassMaterial))=FALSE,1.44*(VLOOKUP(LEFT(KitchenCarcassMaterial,FIND(""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1200"",A145))=FALSE,IF(ISERROR(FIND(""veneer"",KitchenCarcassMaterial))=FALSE,2.7*(VLOOKUP(LEFT(KitchenCarcassMaterial,FIND(""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front"",A145))=FALSE,((B145/1000)*(C145/1000))*VLOOKUP(KitchenDoorMaterial,SheetsData,8,0),IF(AND(KitchenDrawerType=""Match carcass"",ISERROR(FIND(""drawer box"",A145))=FALSE),(((((B145/10"&amp;"00)*(C145/1000))+((B145/1000)*(D145/1000)))*2)*VLOOKUP(KitchenCarcassMaterial,SheetsData,8,0))+(((C145/1000)*(D145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box"",A145))=FALSE),(((((B145/1000)*(C145/1000))+((B145/1000)*(D145/1000)))*2)*(16/1000)*VLOOKUP(L"&amp;"EFT(KitchenCarcassMaterial,FIND("" "",KitchenCarcassMaterial))&amp;""(solid m3)"",SolidData,5,0))+(((C145/1000)*(D145/1000))*VLOOKUP(LEFT(KitchenCarcassMaterial,FIND(""("",KitchenCarcassMaterial)-1)&amp;IF(OR(ISERROR(FIND(""ply"",KitchenCarcassMaterial))=FALSE,IS"&amp;"ERROR(FIND(""H/F"",KitchenCarcassMaterial))=FALSE),""(9mm)"",""(10mm)""),SheetsData,8,0)),IF(ISERROR(FIND(""spacer"",A145))=FALSE,((D145/1000)*(C145/1000))*VLOOKUP(""Poplar ply (18mm)"",SheetsData,8,0),IF(ISERROR(FIND(""filler panel"",A145))=FALSE,((B145/"&amp;"1000)*(C145/1000))*VLOOKUP(KitchenDoorMaterial,SheetsData,8,0),IF(ISERROR(FIND(""shelf"",A145))=FALSE,((D145/1000)*(C145/1000))*VLOOKUP(KitchenCarcassMaterial,SheetsData,8,0),IF(ISERROR(FIND(""lost corner"",A145))=FALSE,VLOOKUP(LEFT(A145,FIND("" "",A145))"&amp;"&amp;""carcass ""&amp;VALUE(REGEXREPLACE(A145,""[^[:digit:]]"", """")),KitchensData,5,0)+((((B145/1000)*(C145/1000))+((B145/1000)*(60/1000)))*VLOOKUP(KitchenCarcassMaterial,SheetsData,8,0)),IF(ISERROR(FIND(""carcass"",A145))=FALSE,(((((B145/1000)*2)*(D145/1000))+"&amp;"(((C145/1000)*2)*(D145/1000)))*VLOOKUP(KitchenCarcassMaterial,SheetsData,8,0))+((B145/1000)*(C145/1000))*VLOOKUP(LEFT(KitchenCarcassMaterial,FIND(""("",KitchenCarcassMaterial)-1)&amp;IF(OR(ISERROR(FIND(""ply"",KitchenCarcassMaterial))=FALSE,ISERROR(FIND(""H/F"&amp;""",KitchenCarcassMaterial))=FALSE),""(9mm)"",""(10mm)""),SheetsData,8,0),IF(OR(ISERROR(FIND(""Plinth"",A145))=FALSE,ISERROR(FIND(""Cornice (flat)"",A145))=FALSE),((B145/1000)*(C145/1000))*VLOOKUP(""H/F (18mm)"",SheetsData,8,0),IF(ISERROR(FIND(""Cornice (s"&amp;"tacked)"",A145))=FALSE,((0.08*(C145/1000))*2)*VLOOKUP(""H/F (22mm)"",SheetsData,8,0),IF(ISERROR(FIND(""Base end panel"",A145))=FALSE,VLOOKUP(KitchenDoorMaterial,SheetsData,5,0)/3,IF(ISERROR(FIND(""Wall end panel"",A145))=FALSE,VLOOKUP(KitchenDoorMaterial,"&amp;"SheetsData,5,0)/9,IF(ISERROR(FIND(""Tower end panel"",A145))=FALSE,VLOOKUP(KitchenDoorMaterial,SheetsData,5,0),IF(ISERROR(FIND(""Fillers"",A145))=FALSE,(((0.06*(C145/1000))*2)*VLOOKUP(""H/F (18mm)"",SheetsData,8,0))+(((0.06*(C145/1000))*2)*VLOOKUP(""H/F ("&amp;"9mm)"",SheetsData,8,0)),IF(ISERROR(FIND(""corner post"",A145))=FALSE,(((B145/1000)*0.05)*2)*VLOOKUP(KitchenDoorMaterial,SheetsData,8,0),IF(ISERROR(FIND(""Pelmet"",A145))=FALSE,((((B145/1000)*(C145/1000))*2)*VLOOKUP(""H/F (18mm)"",SheetsData,8,0)),IF(ISERR"&amp;"OR(FIND(""door"",A145))=TRUE,""Check description"",IF(KitchenDoorStyle=""Flat"",((B145/1000)*(C145/1000))*VLOOKUP(KitchenDoorMaterial,SheetsData,8,0),IF(LEFT(KitchenDoorStyle,5)=""Panel"",(((((B145/1000)*2)*0.08)+((((C145/1000)-0.16)*2)*0.08))*VLOOKUP(""H"&amp;"/F (22mm)"",SheetsData,8,0))+(((B145/1000)-0.14)*((C145/1000)-0.14)*VLOOKUP(""H/F (9mm)"",SheetsData,8,0)),IF(KitchenDoorStyle=""In-frame flat"",((((((B145/1000)*0.019)*0.038)+((((C145-38)/1000)*0.038)*0.038))*2)*VLOOKUP(""Tulip (solid m3)"",SolidData,5,0"&amp;"))+(((B145-76)/1000)*((C145-38)/1000))*VLOOKUP(""H/F (22mm)"",SheetsData,8,0),IF(LEFT(KitchenDoorStyle,14)=""In-frame panel"",(((((((B145/1000)*0.019)*0.038)+((((C145-38)/1000)*0.038)*0.038))*2)*VLOOKUP(""Tulip (solid m3)"",SolidData,5,0))+(((((((B145-76)"&amp;"/1000)*2)*0.08)+(((((C145-198)/1000)*2)*0.08)))*VLOOKUP(""H/F (22mm)"",SheetsData,8,0))+(((B145-216)/1000)*((C145-178)/1000)*VLOOKUP(""H/F (9mm)"",SheetsData,8,0)))))))))))))))))))))))))))))))))"),"")</f>
        <v/>
      </c>
      <c r="F145" s="152" t="str">
        <f>IFERROR(__xludf.DUMMYFUNCTION("IF(OR(A145="""",AND(ISERROR(FIND(""drawer box"",A145))=FALSE,KitchenDrawerType=""Solid dovetail"")),"""",IF(ISERROR(FIND(""bins"",A145))=FALSE,VLOOKUP(""Base carcass 600"",KitchensData,6,0),IF(OR(ISERROR(FIND(""larder"",A145))=FALSE,ISERROR(FIND(""unit"","&amp;"A145))=FALSE),VLOOKUP(LEFT(A145,FIND("" "",A145))&amp;""carcass ""&amp;RIGHT(A145,LEN(A145)-len(regexextract(A145,"".* ""))),KitchensData,6,0),IF(ISERROR(FIND(""drawer front"",A145))=FALSE,IF(ISERROR(FIND(""veneer"",KitchenCarcassMaterial))=TRUE,0,(((B145+C145)/1"&amp;"000)*2)*VLOOKUP(""Edge banding (per M)"",SheetsData,5,0)),IF(ISERROR(FIND(""drawer box"",A145))=FALSE,IF(ISERROR(FIND(""veneer"",KitchenCarcassMaterial))=TRUE,0,(((C145+D145)/1000)*2)*VLOOKUP(""Edge banding (per M)"",SheetsData,5,0)),IF(ISERROR(FIND(""she"&amp;"lf"",A145))=FALSE,IF(ISERROR(FIND(""veneer"",KitchenCarcassMaterial))=TRUE,0,(C145/1000)*VLOOKUP(""Edge banding (per M)"",SheetsData,5,0)),IF(AND(ISERROR(FIND(""carcass"",A145))=FALSE,ISERROR(FIND(""shelf"",A145))=TRUE),IF(ISERROR(FIND(""veneer"",KitchenC"&amp;"arcassMaterial))=TRUE,0,((2*(B145+C145))/1000)*VLOOKUP(""Edge banding (per M)"",SheetsData,5,0)),IF(ISERROR(FIND(""door"",A145))=TRUE,"""",IF(ISERROR(FIND(""veneer"",KitchenDoorMaterial))=TRUE,"""",((2*(B145+C145))/1000)*VLOOKUP(""Edge banding (per M)"",S"&amp;"heetsData,5,0))))))))))"),"")</f>
        <v/>
      </c>
      <c r="G145" s="153" t="str">
        <f>IF(A145="","",IF(ISERROR(FIND("bins",A145))=FALSE,VLOOKUP("Base carcass 600",KitchensData,7,0),IF(OR(ISERROR(FIND("larder",A145))=FALSE,ISERROR(FIND("fridge/freezer",A145))=FALSE,ISERROR(FIND("double oven",A145))=FALSE,ISERROR(FIND("single oven",A145))=FALSE),VLOOKUP(LEFT(A145,FIND(" ",A145))&amp;"carcass "&amp;RIGHT(A145,LEN(A145)-(LEN(A145)-3)),KitchensData,7,0),IF(AND(ISERROR(FIND("carcass",A145))=FALSE,ISERROR(FIND("shelf",A145))=TRUE),IF(OR(ISERROR(FIND("Base",A145))=FALSE,ISERROR(FIND("Tower",A145))=FALSE),IF(OR(ISERROR(FIND("1200",A145))=FALSE, ISERROR(FIND("lost corner",A145))=FALSE),6*VLOOKUP("Plinth foot (2 Parts 80mm)",FurnitureData,5,0),4*VLOOKUP("Plinth foot (2 Parts 80mm)",FurnitureData,5,0)),""),""))))</f>
        <v/>
      </c>
      <c r="H145" s="115" t="str">
        <f>IF(OR(A145="",ISERROR(FIND("door",A145))=TRUE),"",IF(ISERROR(FIND("Wall",A145))=FALSE,VLOOKUP("Hinges &amp; plates (Hettich thick door)",FurnitureData,5,0)*2,IF(ISERROR(FIND("Base",A145))=FALSE,VLOOKUP("Hinges &amp; plates (Hettich thick door)",FurnitureData,5,0)*3,IF(ISERROR(FIND("Boiler",A145))=FALSE,VLOOKUP("Hinges &amp; plates (Hettich thick door)",FurnitureData,5,0)*4,IF(ISERROR(FIND("Tower",A145))=FALSE,VLOOKUP("Hinges &amp; plates (Hettich thick door)",FurnitureData,5,0)*5)))))</f>
        <v/>
      </c>
      <c r="I145" s="115" t="str">
        <f>IF(ISERROR(FIND("shelf",A145))=FALSE,(VLOOKUP("Shelf pegs",FurnitureData,5,0)/100)*4,"")</f>
        <v/>
      </c>
      <c r="J145" s="152" t="str">
        <f>IF(OR(ISERROR(FIND("fridge/freezer",A145))=FALSE,ISERROR(FIND("larder",A145))=FALSE,AND(ISERROR(FIND("Base",A145))=FALSE,ISERROR(FIND("bins",A145))=TRUE,ISERROR(FIND("no shelves",A145))=TRUE,OR(ISERROR(FIND("carcass",A145))=FALSE,ISERROR(FIND("unit",A145))=FALSE))),VLOOKUP("Deep shelf "&amp;C145,KitchensData,18,0),IF(AND(ISERROR(FIND("Wall",A145))=FALSE,ISERROR(FIND("carcass",A145))=FALSE),2*VLOOKUP("Shallow shelf "&amp;C145,KitchensData,18,0),IF(AND(ISERROR(FIND("Tower",A145))=FALSE,ISERROR(FIND("oven",A145))=FALSE),4*VLOOKUP("Deep shelf "&amp;C145,KitchensData,18,0),IF(AND(ISERROR(FIND("Tower",A145))=FALSE,ISERROR(FIND("carcass",A145))=FALSE),5*VLOOKUP("Deep shelf "&amp;C145,KitchensData,18,0),""))))</f>
        <v/>
      </c>
      <c r="K145" s="152" t="str">
        <f>IF(ISERROR(FIND("sink",A145))=FALSE,VLOOKUP("Sink liner - Aluminium "&amp;RIGHT(A145,LEN(A145)-22)&amp;"mm",ExceptionalData,5,0),IF(ISERROR(FIND("bins",A145))=FALSE,VLOOKUP("Drawer runners and clip set for bin unit (500) Dynapro",FurnitureData,5,0)+(2*VLOOKUP("Bin (42L Anthracite)",FurnitureData,5,0)),IF(ISERROR(FIND("larder",A145))=FALSE,VLOOKUP("Pull out larder unit 600mm",FurnitureData,5,0),IF(AND(ISERROR(FIND("drawer box",A145))=FALSE,ISERROR(FIND("internal",A145))=TRUE),VLOOKUP("Drawer runners and clip set (550) Dynapro",FurnitureData,5,0),IF(ISERROR(FIND("internal drawer box",A145))=FALSE,VLOOKUP("Drawer runners and clip set (450) Dynapro",FurnitureData,5,0),"")))))</f>
        <v/>
      </c>
      <c r="L145" s="152" t="str">
        <f t="shared" si="3"/>
        <v/>
      </c>
      <c r="M145" s="154" t="str">
        <f>IFERROR(__xludf.DUMMYFUNCTION("IF(A145="""","""",IF(OR(ISERROR(FIND(""larder"",A145))=FALSE,ISERROR(FIND(""unit"",A145))=FALSE),VLOOKUP(LEFT(A145,FIND("" "",A145))&amp;""carcass ""&amp;RIGHT(A145,LEN(A145)-len(regexextract(A145,"".* ""))),KitchensData,13,0),IF(ISERROR(FIND(""bins"",A145))=FALS"&amp;"E,0.95,IF(ISERROR(FIND(""Cutlery insert 600"",A145))=FALSE,1.3,IF(ISERROR(FIND(""Cutlery insert 1200"",A145))=FALSE,2,IF(ISERROR(FIND(""Pan/tray rack 600"",A145))=FALSE,3.25,IF(ISERROR(FIND(""Pan/tray rack 1200"",A145))=FALSE,5.9,IF(ISERROR(FIND(""split"""&amp;",A145))=FALSE,(((C145/1000)*0.022)*2)+VLOOKUP(SUBSTITUTE(A145,"" split"",""""),KitchensData,13,0),IF(AND(ISERROR(FIND(""drawer front"",A145))=FALSE,KitchenDoorStyle=""Flat""),(((B145/1000)*(C145/1000))*2)+((((B145+C145)/1000)*2)*0.022),IF(AND(ISERROR(FIND"&amp;"(""drawer front"",A145))=FALSE,LEFT(KitchenDoorStyle,5)=""Panel""),(((B145/1000)*(C145/1000))*2)+((((B145+C145)/1000)*2)*0.022)+((((C145/1000)-0.16)*0.013)*2)+((((D145/1000)-0.16)*0.013)*2),IF(AND(ISERROR(FIND(""drawer front"",A145))=FALSE,KitchenDoorStyl"&amp;"e=""In-frame flat""),((((B145-76)/1000)*((C145-38)/1000))*2)+(MID(KitchenDoorMaterial,FIND(""("",KitchenDoorMaterial)+1,2)/1000)*((((B145-76)+(C145-38))/1000)*2)+(((B145/1000)*0.032)*2)+((((B145-76)/1000)*0.032)*2)+(((B145/1000)*0.019)*4)+(((C145/1000)*0."&amp;"032)*2)+((((C145-38)/1000)*0.032)*2)+(((C145/1000)*0.038)*4),IF(AND(ISERROR(FIND(""drawer front"",A145))=FALSE,LEFT(KitchenDoorStyle,14)=""In-frame panel""),((((B145-76)/1000)*((C145-38)/1000))*2)+((MID(KitchenDoorMaterial,FIND(""("",KitchenDoorMaterial)+"&amp;"1,2)/1000)*((((B145-76)+(C145-38))/1000)*2))+((((B145-236)/1000)+((C145-198)/1000)*2)*0.013)+(((B145/1000)*0.032)*2)+((((B145-76)/1000)*0.032)*2)+(((B145/1000)*0.019)*4)+(((C145/1000)*0.032)*2)+((((C145-38)/1000)*0.032)*2)+(((C145/1000)*0.038)*4),IF(ISERR"&amp;"OR(FIND(""drawer box"",A145))=FALSE,((((B145/1000)*(D145/1000))+((B145/1000)*(C145/1000)))*4)+((((D145/1000)+(C145/1000))*0.016)*4)+(((C145/1000)*(D145/1000))*2),IF(OR(ISERROR(FIND(""shelf"",A145))=FALSE,ISERROR(FIND(""spacer"",A145))=FALSE,,ISERROR(FIND("&amp;"""filler panel"",A145))=FALSE),(((C145/1000)*(D145/1000))*2)+((((C145+D145)*2)/1000)*0.022),IF(ISERROR(FIND(""lost corner"",A145))=FALSE,(((B145/1000)*(C145/1000))*2)+((B145/1000)*(C145/1000))+((B145/1000)*((C145/2)/1000))+((((B145/1000)*0.025)+((C145/100"&amp;"0)*0.025))*2),IF(ISERROR(FIND(""carcass"",A145))=FALSE,(((C145/1000)*(D145/1000))*2)+(((B145/1000)*(D145/1000))*2)+((B145/1000)*(C145/1000))+((((B145/1000)*0.025)+((C145/1000)*0.025))*2),IF(AND(ISERROR(FIND(""door"",A145))=FALSE,KitchenDoorStyle=""Flat"")"&amp;",(((B145/1000)*(C145/1000))*2)+(MID(KitchenDoorMaterial,FIND(""("",KitchenDoorMaterial)+1,2)/1000)*(((B145+C145)/1000)*2),IF(AND(ISERROR(FIND(""door"",A145))=FALSE,LEFT(KitchenDoorStyle,5)=""Panel""),(((B145/1000)*(C145/1000))*2)+((MID(KitchenDoorMaterial"&amp;",FIND(""("",KitchenDoorMaterial)+1,2)/1000)*(((B145+C145)/1000)*2))+(((((B145-160)+(C145-160))*2)/1000)*(0.013)),IF(AND(ISERROR(FIND(""door"",A145))=FALSE,KitchenDoorStyle=""In-frame flat""),((((B145-76)/1000)*((C145-38)/1000))*2)+(MID(KitchenDoorMaterial"&amp;",FIND(""("",KitchenDoorMaterial)+1,2)/1000)*((((B145-76)+(C145-38))/1000)*2)+(((B145/1000)*0.032)*2)+((((B145-76)/1000)*0.032)*2)+(((B145/1000)*0.019)*4)+(((C145/1000)*0.032)*2)+((((C145-38)/1000)*0.032)*2)+(((C145/1000)*0.038)*4),IF(AND(ISERROR(FIND(""do"&amp;"or"",A145))=FALSE,LEFT(KitchenDoorStyle,14)=""In-frame panel""),((((B145-76)/1000)*((C145-38)/1000))*2)+((MID(KitchenDoorMaterial,FIND(""("",KitchenDoorMaterial)+1,2)/1000)*((((B145-76)+(C145-38))/1000)*2))+((((B145-236)/1000)+((C145-198)/1000)*2)*0.013)+"&amp;"(((B145/1000)*0.032)*2)+((((B145-76)/1000)*0.032)*2)+(((B145/1000)*0.019)*4)+(((C145/1000)*0.032)*2)+((((C145-38)/1000)*0.032)*2)+(((C145/1000)*0.038)*4),IF(ISERROR(FIND(""Plinth"",A145))=FALSE,((B145/1000)*(C145/1000))+(((C145/1000)*0.018)*2)+(((B145/100"&amp;"0)*0.018)*2),IF(ISERROR(FIND(""Cornice"",A145))=FALSE,(((C145/1000)*0.1)*2)+(((C145/1000)*0.044)*2)+(((B145/1000)*0.08)*2),IF(ISERROR(FIND(""Base end panel"",A145))=FALSE,((B145/1000)*(C145/1000))+(0.022*((B145/1000)+((C145/1000)*2)))+((B145/1000)*0.05),I"&amp;"F(ISERROR(FIND(""Wall end panel"",A145))=FALSE,((B145/1000)*(C145/1000))+(0.022*((B145/1000)+((C145/1000)*2)))+((B145/1000)*0.05),IF(ISERROR(FIND(""Tower end panel"",A145))=FALSE,((B145/1000)*(C145/1000))+(0.022*((B145/1000)+((C145/1000)*2)))+((B145/1000)"&amp;"*0.05),IF(ISERROR(FIND(""Fillers"",A145))=FALSE,((C145/1000)*0.06)+((C145/1000)*0.069)+((0.06*0.018)*2)+((0.06*0.009)*2)+((C145/1000)*0.009)+((C145/1000)*0.018),IF(ISERROR(FIND(""corner post"",A145))=FALSE,(((B145/1000*0.05)*2)+((B145/1000)*0.022)*2)+((B1"&amp;"45/1000)*0.072)+((B145/1000)*0.05)+((0.072*0.022)*2)+((0.05*0.022)*2),IF(ISERROR(FIND(""Pelmet"",A145))=FALSE,((C145/1000)*0.05)+((C145/1000)*0.068)+((0.05*0.018)*4)+(((C145/1000)*0.018))*2))))))))))))))))))))))))))))"),"")</f>
        <v/>
      </c>
      <c r="N145" s="152" t="str">
        <f>IF(M145="","",IF(AND(ISERROR(FIND("carcass",A145))=TRUE,ISERROR(FIND("unit",A145))=TRUE,ISERROR(FIND("insert",A145))=TRUE,ISERROR(FIND("rack",A145))=TRUE,ISERROR(FIND("box",A145))=TRUE,ISERROR(FIND("shelf",#REF!))=TRUE),VLOOKUP(KitchenDoorFinish,Finishing!$A$2:$K$10,9,0)*M145,VLOOKUP(KitchenCarcassFinish,Finishing!$A$2:$K$40,9,0)*M145))</f>
        <v/>
      </c>
      <c r="O145" s="155"/>
      <c r="P145" s="155"/>
      <c r="Q145" s="152" t="str">
        <f>IF(OR(O145="",P145=""),"",((O145*X145)*(VLOOKUP("Workshop",Labour!$A$3:$E$20,4,0)/8))+((P145*AE145)*(VLOOKUP("Finishing",Labour!$A$3:$E$20,4,0)/8)))</f>
        <v/>
      </c>
      <c r="R145" s="152" t="str">
        <f t="shared" si="4"/>
        <v/>
      </c>
      <c r="S145" s="156" t="str">
        <f>IF(OR(O145="",P145=""),"",IF(OR(ISERROR(FIND("carcass",$A145))=FALSE,ISERROR(FIND("unit",$A145))=FALSE),VLOOKUP(KitchenCarcassMaterial,FixedListsCarcassMaterial,2,0),0))</f>
        <v/>
      </c>
      <c r="T145" s="156" t="str">
        <f>IF(OR(O145="",P145=""),"",IF(ISERROR(FIND("door",$A145))=FALSE,VLOOKUP(KitchenDoorStyle,FixedListsDoorStyle,2,0),0))</f>
        <v/>
      </c>
      <c r="U145" s="156" t="str">
        <f>IF(OR(O145="",P145=""),"",IF(ISERROR(FIND("door",$A145))=FALSE,VLOOKUP(KitchenDoorMaterial,FixedListsDoorMaterial,2,0),0))</f>
        <v/>
      </c>
      <c r="V145" s="156" t="str">
        <f>IF(OR(O145="",P145=""),"",IF(ISERROR(FIND("drawer",$A145))=FALSE,VLOOKUP(KitchenDrawerType,FixedListsDrawerType,2,0),0))</f>
        <v/>
      </c>
      <c r="W145" s="156" t="str">
        <f>IF(OR(O145="",P145=""),"",IF(OR(S145&gt;0, T145&gt;0,V145&gt;0),VLOOKUP(KitchenHandleType,FixedListsHandleType,2,FALSE)*IF(KitchenHandleType="Simple",0,IF(S145&gt;0,VLOOKUP(KitchenHandleType,FixedListsHandleType,4,FALSE),IF(OR(T145&gt;0,V145&gt;0),1-VLOOKUP(KitchenHandleType,FixedListsHandleType,4,FALSE),"Error"))),0))</f>
        <v/>
      </c>
      <c r="X145" s="156" t="str">
        <f t="shared" si="5"/>
        <v/>
      </c>
      <c r="Y145" s="156" t="str">
        <f>IF(OR(O145="",P145=""),"",IF(OR(ISERROR(FIND("carcass",$A145))=FALSE,ISERROR(FIND("unit",$A145))=FALSE),VLOOKUP(KitchenCarcassMaterial,FixedListsCarcassMaterial,3,0),0))</f>
        <v/>
      </c>
      <c r="Z145" s="156" t="str">
        <f>IF(OR(O145="",P145=""),"",IF(ISERROR(FIND("door",$A145))=FALSE,VLOOKUP(KitchenDoorStyle,FixedListsDoorStyle,3,0),0))</f>
        <v/>
      </c>
      <c r="AA145" s="156" t="str">
        <f>IF(OR(O145="",P145=""),"",IF(ISERROR(FIND("door",$A145))=FALSE,VLOOKUP(KitchenDoorMaterial,FixedListsDoorMaterial,3,0),0))</f>
        <v/>
      </c>
      <c r="AB145" s="156" t="str">
        <f>IF(OR(O145="",P145=""),"",IF(ISERROR(FIND("drawer",$A145))=FALSE,VLOOKUP(KitchenDrawerType,FixedListsDrawerType,3,0),0))</f>
        <v/>
      </c>
      <c r="AC145" s="156" t="str">
        <f>IF(OR(O145="",P145=""),"",IF(OR(Y145&gt;0,Z145&gt;0,AB145&gt;0),VLOOKUP(KitchenHandleType,FixedListsHandleType,3,FALSE),0))</f>
        <v/>
      </c>
      <c r="AD145" s="156" t="str">
        <f>IF(OR(O145="",P145=""),"",IF(OR(ISERROR(FIND("carcass",$A145))=FALSE,ISERROR(FIND("unit",$A145))=FALSE),VLOOKUP(KitchenCarcassFinish,FixedListsFinishes,3,0),IF(OR(ISERROR(FIND("door",$A145))=FALSE,ISERROR(FIND("Plinth",$A145))=FALSE,ISERROR(FIND("Cornice",$A145))=FALSE,ISERROR(FIND("Fillers",$A145))=FALSE,ISERROR(FIND("Pelmet",$A145))=FALSE,ISERROR(FIND("panel",$A145))=FALSE,ISERROR(FIND("post",$A145))=FALSE),VLOOKUP(KitchenDoorFinish,FixedListsFinishes,3,0),IF(OR(ISERROR(FIND("drawer",$A145))=FALSE,ISERROR(FIND("insert",$A145))=FALSE,ISERROR(FIND("rck",$A145))=FALSE),VLOOKUP(KitchenCarcassFinish,FixedListsFinishes,3,0),0))))</f>
        <v/>
      </c>
      <c r="AE145" s="156" t="str">
        <f t="shared" si="6"/>
        <v/>
      </c>
      <c r="AF145" s="157" t="str">
        <f>IF(AND(KitchenHandleType="Channel",OR(ISERROR(FIND("arcass",$A145))=FALSE,ISERROR(FIND("unit",$A145))=FALSE)),IF(ISERROR(FIND("Tower",$A145))=TRUE,IF(KitchenHandleFinish="Match carcass",IF(ISERROR(FIND("Walnut",KitchenCarcassMaterial))=FALSE,(0.035*0.075*($C145/1000))*VLOOKUP("Walnut (solid m3)",SolidData,4,FALSE),IF(ISERROR(FIND("Oak",KitchenCarcassMaterial))=FALSE,(0.035*0.075*($C145/1000))*VLOOKUP("Oak (solid m3)",SolidData,4,FALSE),IF(ISERROR(FIND("ply",KitchenCarcassMaterial))=FALSE,(0.1*($C145/1000))*VLOOKUP("Birch ply (24mm)",SheetsData,7,FALSE),IF(ISERROR(FIND("H/F",KitchenCarcassMaterial))=FALSE,(0.1*($C145/1000))*VLOOKUP("H/F (22mm)",SheetsData,7,FALSE),"Carcass - not tower - new material")))),IF(KitchenHandleFinish="Match door",IF(ISERROR(FIND("Walnut",KitchenDoorMaterial))=FALSE,(0.035*0.075*($C145/1000))*VLOOKUP("Walnut (solid m3)",SolidData,4,FALSE),IF(ISERROR(FIND("Oak",KitchenDoorMaterial))=FALSE,(0.035*0.075*($C145/1000))*VLOOKUP("Oak (solid m3)",SolidData,4,FALSE),IF(ISERROR(FIND("ply",KitchenDoorMaterial))=FALSE,(0.1*($C145/1000))*VLOOKUP("Birch ply (24mm)",SheetsData,7,FALSE),IF(ISERROR(FIND("H/F",KitchenCarcassMaterial))=FALSE,(0.1*($C145/1000))*VLOOKUP("H/F (22mm)",SheetsData,7,FALSE),"Door - not tower - new material")))),"Channel - not tower - handle set to other")),IF(ISERROR(FIND("Tower",$A145))=FALSE,IF(KitchenHandleFinish="Match carcass",IF(ISERROR(FIND("Walnut",KitchenCarcassMaterial))=FALSE,(0.035*0.075*($B145/1000))*VLOOKUP("Walnut (solid m3)",SolidData,4,FALSE),IF(ISERROR(FIND("Oak",KitchenCarcassMaterial))=FALSE,(0.035*0.075*($B145/1000))*VLOOKUP("Oak (solid m3)",SolidData,4,FALSE),IF(ISERROR(FIND("ply",KitchenCarcassMaterial))=FALSE,(0.1*($B145/1000))*VLOOKUP("Birch ply (24mm)",SheetsData,7,FALSE),IF(ISERROR(FIND("H/F",KitchenCarcassMaterial))=FALSE,(0.1*($C145/1000))*VLOOKUP("H/F (22mm)",SheetsData,7,FALSE),"Carcass - tower - new material")))),IF(KitchenHandleFinish="Match door",IF(ISERROR(FIND("Walnut",KitchenDoorMaterial))=FALSE,(0.035*0.075*($B145/1000))*VLOOKUP("Walnut (solid m3)",SolidData,4,FALSE),IF(ISERROR(FIND("Oak",KitchenDoorMaterial))=FALSE,(0.035*0.075*($B145/1000))*VLOOKUP("Oak (solid m3)",SolidData,4,FALSE),IF(ISERROR(FIND("ply",KitchenDoorMaterial))=FALSE,(0.1*($B145/1000))*VLOOKUP("Birch ply (24mm)",SheetData,7,FALSE),IF(ISERROR(FIND("H/F",KitchenCarcassMaterial))=FALSE,(0.1*($C145/1000))*VLOOKUP("H/F (22mm)",SheetsData,7,FALSE),"Door - tower - new material")))),"Channel - tower - handle set to other")))),"")</f>
        <v/>
      </c>
    </row>
    <row r="146">
      <c r="A146" s="150"/>
      <c r="B146" s="115" t="str">
        <f t="shared" si="1"/>
        <v/>
      </c>
      <c r="C146" s="115" t="str">
        <f>IFERROR(__xludf.DUMMYFUNCTION("IF(A146="""","""",IF(OR(RIGHT(A146,LEN(A146)-len(regexextract(A146,"".* "")))=""1200"",RIGHT(A146,LEN(A146)-len(regexextract(A146,"".* "")))=""600"",RIGHT(A146,LEN(A146)-len(regexextract(A146,"".* "")))=""400"",RIGHT(A146,LEN(A146)-len(regexextract(A146,"&amp;""".* "")))=""300"",RIGHT(A146,LEN(A146)-len(regexextract(A146,"".* "")))=""700"",RIGHT(A146,LEN(A146)-len(regexextract(A146,"".* "")))=""2400"",RIGHT(A146,LEN(A146)-len(regexextract(A146,"".* "")))=""650"",RIGHT(A146,LEN(A146)-len(regexextract(A146,"".* "&amp;""")))=""350"",RIGHT(A146,LEN(A146)-len(regexextract(A146,"".* "")))=""50""),RIGHT(A146,LEN(A146)-len(regexextract(A146,"".* ""))),IF(OR(ISERROR(FIND(""spacer"",A146))=FALSE,ISERROR(FIND(""filler panel"",A146))=FALSE),""1000"",""Unexpected size in descript"&amp;"ion"")))"),"")</f>
        <v/>
      </c>
      <c r="D146" s="151" t="str">
        <f t="shared" si="2"/>
        <v/>
      </c>
      <c r="E146" s="152" t="str">
        <f>IFERROR(__xludf.DUMMYFUNCTION("IF(OR(A146="""",AND(ISERROR(FIND(""drawer box"",A146))=FALSE,KitchenDrawerType="""")),"""",IF(OR(ISERROR(FIND(""larder"",A146))=FALSE,ISERROR(FIND(""fridge/freezer"",A146))=FALSE,ISERROR(FIND(""double oven"",A146))=FALSE,ISERROR(FIND(""single oven"",A146)"&amp;")=FALSE),VLOOKUP(LEFT(A146,FIND("" "",A146))&amp;""carcass ""&amp;RIGHT(A146,LEN(A146)-(LEN(A146)-3)),KitchensData,5,0),IF(ISERROR(FIND(""sink"",A146))=FALSE,VLOOKUP(LEFT(A146,FIND("" "",A146))&amp;""carcass ""&amp;VALUE(REGEXREPLACE(A146,""[^[:digit:]]"", """")),Kitchen"&amp;"sData,5,0)+(((C146/1000)*(300/1000))*VLOOKUP(KitchenCarcassMaterial,SheetsData,8,0)),IF(ISERROR(FIND(""bins"",A146))=FALSE,IF(ISERROR(FIND(""veneer"",KitchenCarcassMaterial))=FALSE,VLOOKUP(""Base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600"",A146))=FALSE,IF(ISERR"&amp;"OR(FIND(""veneer"",KitchenCarcassMaterial))=FALSE,0.54*(VLOOKUP(LEFT(KitchenCarcassMaterial,FIND(""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1"&amp;"200"",A146))=FALSE,IF(ISERROR(FIND(""veneer"",KitchenCarcassMaterial))=FALSE,0.84*(VLOOKUP(LEFT(KitchenCarcassMaterial,FIND(""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600"",A146))=FALSE,IF(ISERROR(FIND(""veneer"",KitchenCarcassMaterial))=FALSE,1.44*(VLOOKUP(LEFT(KitchenCarcassMaterial,FIND(""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1200"",A146))=FALSE,IF(ISERROR(FIND(""veneer"",KitchenCarcassMaterial))=FALSE,2.7*(VLOOKUP(LEFT(KitchenCarcassMaterial,FIND(""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front"",A146))=FALSE,((B146/1000)*(C146/1000))*VLOOKUP(KitchenDoorMaterial,SheetsData,8,0),IF(AND(KitchenDrawerType=""Match carcass"",ISERROR(FIND(""drawer box"",A146))=FALSE),(((((B146/10"&amp;"00)*(C146/1000))+((B146/1000)*(D146/1000)))*2)*VLOOKUP(KitchenCarcassMaterial,SheetsData,8,0))+(((C146/1000)*(D146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box"",A146))=FALSE),(((((B146/1000)*(C146/1000))+((B146/1000)*(D146/1000)))*2)*(16/1000)*VLOOKUP(L"&amp;"EFT(KitchenCarcassMaterial,FIND("" "",KitchenCarcassMaterial))&amp;""(solid m3)"",SolidData,5,0))+(((C146/1000)*(D146/1000))*VLOOKUP(LEFT(KitchenCarcassMaterial,FIND(""("",KitchenCarcassMaterial)-1)&amp;IF(OR(ISERROR(FIND(""ply"",KitchenCarcassMaterial))=FALSE,IS"&amp;"ERROR(FIND(""H/F"",KitchenCarcassMaterial))=FALSE),""(9mm)"",""(10mm)""),SheetsData,8,0)),IF(ISERROR(FIND(""spacer"",A146))=FALSE,((D146/1000)*(C146/1000))*VLOOKUP(""Poplar ply (18mm)"",SheetsData,8,0),IF(ISERROR(FIND(""filler panel"",A146))=FALSE,((B146/"&amp;"1000)*(C146/1000))*VLOOKUP(KitchenDoorMaterial,SheetsData,8,0),IF(ISERROR(FIND(""shelf"",A146))=FALSE,((D146/1000)*(C146/1000))*VLOOKUP(KitchenCarcassMaterial,SheetsData,8,0),IF(ISERROR(FIND(""lost corner"",A146))=FALSE,VLOOKUP(LEFT(A146,FIND("" "",A146))"&amp;"&amp;""carcass ""&amp;VALUE(REGEXREPLACE(A146,""[^[:digit:]]"", """")),KitchensData,5,0)+((((B146/1000)*(C146/1000))+((B146/1000)*(60/1000)))*VLOOKUP(KitchenCarcassMaterial,SheetsData,8,0)),IF(ISERROR(FIND(""carcass"",A146))=FALSE,(((((B146/1000)*2)*(D146/1000))+"&amp;"(((C146/1000)*2)*(D146/1000)))*VLOOKUP(KitchenCarcassMaterial,SheetsData,8,0))+((B146/1000)*(C146/1000))*VLOOKUP(LEFT(KitchenCarcassMaterial,FIND(""("",KitchenCarcassMaterial)-1)&amp;IF(OR(ISERROR(FIND(""ply"",KitchenCarcassMaterial))=FALSE,ISERROR(FIND(""H/F"&amp;""",KitchenCarcassMaterial))=FALSE),""(9mm)"",""(10mm)""),SheetsData,8,0),IF(OR(ISERROR(FIND(""Plinth"",A146))=FALSE,ISERROR(FIND(""Cornice (flat)"",A146))=FALSE),((B146/1000)*(C146/1000))*VLOOKUP(""H/F (18mm)"",SheetsData,8,0),IF(ISERROR(FIND(""Cornice (s"&amp;"tacked)"",A146))=FALSE,((0.08*(C146/1000))*2)*VLOOKUP(""H/F (22mm)"",SheetsData,8,0),IF(ISERROR(FIND(""Base end panel"",A146))=FALSE,VLOOKUP(KitchenDoorMaterial,SheetsData,5,0)/3,IF(ISERROR(FIND(""Wall end panel"",A146))=FALSE,VLOOKUP(KitchenDoorMaterial,"&amp;"SheetsData,5,0)/9,IF(ISERROR(FIND(""Tower end panel"",A146))=FALSE,VLOOKUP(KitchenDoorMaterial,SheetsData,5,0),IF(ISERROR(FIND(""Fillers"",A146))=FALSE,(((0.06*(C146/1000))*2)*VLOOKUP(""H/F (18mm)"",SheetsData,8,0))+(((0.06*(C146/1000))*2)*VLOOKUP(""H/F ("&amp;"9mm)"",SheetsData,8,0)),IF(ISERROR(FIND(""corner post"",A146))=FALSE,(((B146/1000)*0.05)*2)*VLOOKUP(KitchenDoorMaterial,SheetsData,8,0),IF(ISERROR(FIND(""Pelmet"",A146))=FALSE,((((B146/1000)*(C146/1000))*2)*VLOOKUP(""H/F (18mm)"",SheetsData,8,0)),IF(ISERR"&amp;"OR(FIND(""door"",A146))=TRUE,""Check description"",IF(KitchenDoorStyle=""Flat"",((B146/1000)*(C146/1000))*VLOOKUP(KitchenDoorMaterial,SheetsData,8,0),IF(LEFT(KitchenDoorStyle,5)=""Panel"",(((((B146/1000)*2)*0.08)+((((C146/1000)-0.16)*2)*0.08))*VLOOKUP(""H"&amp;"/F (22mm)"",SheetsData,8,0))+(((B146/1000)-0.14)*((C146/1000)-0.14)*VLOOKUP(""H/F (9mm)"",SheetsData,8,0)),IF(KitchenDoorStyle=""In-frame flat"",((((((B146/1000)*0.019)*0.038)+((((C146-38)/1000)*0.038)*0.038))*2)*VLOOKUP(""Tulip (solid m3)"",SolidData,5,0"&amp;"))+(((B146-76)/1000)*((C146-38)/1000))*VLOOKUP(""H/F (22mm)"",SheetsData,8,0),IF(LEFT(KitchenDoorStyle,14)=""In-frame panel"",(((((((B146/1000)*0.019)*0.038)+((((C146-38)/1000)*0.038)*0.038))*2)*VLOOKUP(""Tulip (solid m3)"",SolidData,5,0))+(((((((B146-76)"&amp;"/1000)*2)*0.08)+(((((C146-198)/1000)*2)*0.08)))*VLOOKUP(""H/F (22mm)"",SheetsData,8,0))+(((B146-216)/1000)*((C146-178)/1000)*VLOOKUP(""H/F (9mm)"",SheetsData,8,0)))))))))))))))))))))))))))))))))"),"")</f>
        <v/>
      </c>
      <c r="F146" s="152" t="str">
        <f>IFERROR(__xludf.DUMMYFUNCTION("IF(OR(A146="""",AND(ISERROR(FIND(""drawer box"",A146))=FALSE,KitchenDrawerType=""Solid dovetail"")),"""",IF(ISERROR(FIND(""bins"",A146))=FALSE,VLOOKUP(""Base carcass 600"",KitchensData,6,0),IF(OR(ISERROR(FIND(""larder"",A146))=FALSE,ISERROR(FIND(""unit"","&amp;"A146))=FALSE),VLOOKUP(LEFT(A146,FIND("" "",A146))&amp;""carcass ""&amp;RIGHT(A146,LEN(A146)-len(regexextract(A146,"".* ""))),KitchensData,6,0),IF(ISERROR(FIND(""drawer front"",A146))=FALSE,IF(ISERROR(FIND(""veneer"",KitchenCarcassMaterial))=TRUE,0,(((B146+C146)/1"&amp;"000)*2)*VLOOKUP(""Edge banding (per M)"",SheetsData,5,0)),IF(ISERROR(FIND(""drawer box"",A146))=FALSE,IF(ISERROR(FIND(""veneer"",KitchenCarcassMaterial))=TRUE,0,(((C146+D146)/1000)*2)*VLOOKUP(""Edge banding (per M)"",SheetsData,5,0)),IF(ISERROR(FIND(""she"&amp;"lf"",A146))=FALSE,IF(ISERROR(FIND(""veneer"",KitchenCarcassMaterial))=TRUE,0,(C146/1000)*VLOOKUP(""Edge banding (per M)"",SheetsData,5,0)),IF(AND(ISERROR(FIND(""carcass"",A146))=FALSE,ISERROR(FIND(""shelf"",A146))=TRUE),IF(ISERROR(FIND(""veneer"",KitchenC"&amp;"arcassMaterial))=TRUE,0,((2*(B146+C146))/1000)*VLOOKUP(""Edge banding (per M)"",SheetsData,5,0)),IF(ISERROR(FIND(""door"",A146))=TRUE,"""",IF(ISERROR(FIND(""veneer"",KitchenDoorMaterial))=TRUE,"""",((2*(B146+C146))/1000)*VLOOKUP(""Edge banding (per M)"",S"&amp;"heetsData,5,0))))))))))"),"")</f>
        <v/>
      </c>
      <c r="G146" s="153" t="str">
        <f>IF(A146="","",IF(ISERROR(FIND("bins",A146))=FALSE,VLOOKUP("Base carcass 600",KitchensData,7,0),IF(OR(ISERROR(FIND("larder",A146))=FALSE,ISERROR(FIND("fridge/freezer",A146))=FALSE,ISERROR(FIND("double oven",A146))=FALSE,ISERROR(FIND("single oven",A146))=FALSE),VLOOKUP(LEFT(A146,FIND(" ",A146))&amp;"carcass "&amp;RIGHT(A146,LEN(A146)-(LEN(A146)-3)),KitchensData,7,0),IF(AND(ISERROR(FIND("carcass",A146))=FALSE,ISERROR(FIND("shelf",A146))=TRUE),IF(OR(ISERROR(FIND("Base",A146))=FALSE,ISERROR(FIND("Tower",A146))=FALSE),IF(OR(ISERROR(FIND("1200",A146))=FALSE, ISERROR(FIND("lost corner",A146))=FALSE),6*VLOOKUP("Plinth foot (2 Parts 80mm)",FurnitureData,5,0),4*VLOOKUP("Plinth foot (2 Parts 80mm)",FurnitureData,5,0)),""),""))))</f>
        <v/>
      </c>
      <c r="H146" s="115" t="str">
        <f>IF(OR(A146="",ISERROR(FIND("door",A146))=TRUE),"",IF(ISERROR(FIND("Wall",A146))=FALSE,VLOOKUP("Hinges &amp; plates (Hettich thick door)",FurnitureData,5,0)*2,IF(ISERROR(FIND("Base",A146))=FALSE,VLOOKUP("Hinges &amp; plates (Hettich thick door)",FurnitureData,5,0)*3,IF(ISERROR(FIND("Boiler",A146))=FALSE,VLOOKUP("Hinges &amp; plates (Hettich thick door)",FurnitureData,5,0)*4,IF(ISERROR(FIND("Tower",A146))=FALSE,VLOOKUP("Hinges &amp; plates (Hettich thick door)",FurnitureData,5,0)*5)))))</f>
        <v/>
      </c>
      <c r="I146" s="115" t="str">
        <f>IF(ISERROR(FIND("shelf",A146))=FALSE,(VLOOKUP("Shelf pegs",FurnitureData,5,0)/100)*4,"")</f>
        <v/>
      </c>
      <c r="J146" s="152" t="str">
        <f>IF(OR(ISERROR(FIND("fridge/freezer",A146))=FALSE,ISERROR(FIND("larder",A146))=FALSE,AND(ISERROR(FIND("Base",A146))=FALSE,ISERROR(FIND("bins",A146))=TRUE,ISERROR(FIND("no shelves",A146))=TRUE,OR(ISERROR(FIND("carcass",A146))=FALSE,ISERROR(FIND("unit",A146))=FALSE))),VLOOKUP("Deep shelf "&amp;C146,KitchensData,18,0),IF(AND(ISERROR(FIND("Wall",A146))=FALSE,ISERROR(FIND("carcass",A146))=FALSE),2*VLOOKUP("Shallow shelf "&amp;C146,KitchensData,18,0),IF(AND(ISERROR(FIND("Tower",A146))=FALSE,ISERROR(FIND("oven",A146))=FALSE),4*VLOOKUP("Deep shelf "&amp;C146,KitchensData,18,0),IF(AND(ISERROR(FIND("Tower",A146))=FALSE,ISERROR(FIND("carcass",A146))=FALSE),5*VLOOKUP("Deep shelf "&amp;C146,KitchensData,18,0),""))))</f>
        <v/>
      </c>
      <c r="K146" s="152" t="str">
        <f>IF(ISERROR(FIND("sink",A146))=FALSE,VLOOKUP("Sink liner - Aluminium "&amp;RIGHT(A146,LEN(A146)-22)&amp;"mm",ExceptionalData,5,0),IF(ISERROR(FIND("bins",A146))=FALSE,VLOOKUP("Drawer runners and clip set for bin unit (500) Dynapro",FurnitureData,5,0)+(2*VLOOKUP("Bin (42L Anthracite)",FurnitureData,5,0)),IF(ISERROR(FIND("larder",A146))=FALSE,VLOOKUP("Pull out larder unit 600mm",FurnitureData,5,0),IF(AND(ISERROR(FIND("drawer box",A146))=FALSE,ISERROR(FIND("internal",A146))=TRUE),VLOOKUP("Drawer runners and clip set (550) Dynapro",FurnitureData,5,0),IF(ISERROR(FIND("internal drawer box",A146))=FALSE,VLOOKUP("Drawer runners and clip set (450) Dynapro",FurnitureData,5,0),"")))))</f>
        <v/>
      </c>
      <c r="L146" s="152" t="str">
        <f t="shared" si="3"/>
        <v/>
      </c>
      <c r="M146" s="154" t="str">
        <f>IFERROR(__xludf.DUMMYFUNCTION("IF(A146="""","""",IF(OR(ISERROR(FIND(""larder"",A146))=FALSE,ISERROR(FIND(""unit"",A146))=FALSE),VLOOKUP(LEFT(A146,FIND("" "",A146))&amp;""carcass ""&amp;RIGHT(A146,LEN(A146)-len(regexextract(A146,"".* ""))),KitchensData,13,0),IF(ISERROR(FIND(""bins"",A146))=FALS"&amp;"E,0.95,IF(ISERROR(FIND(""Cutlery insert 600"",A146))=FALSE,1.3,IF(ISERROR(FIND(""Cutlery insert 1200"",A146))=FALSE,2,IF(ISERROR(FIND(""Pan/tray rack 600"",A146))=FALSE,3.25,IF(ISERROR(FIND(""Pan/tray rack 1200"",A146))=FALSE,5.9,IF(ISERROR(FIND(""split"""&amp;",A146))=FALSE,(((C146/1000)*0.022)*2)+VLOOKUP(SUBSTITUTE(A146,"" split"",""""),KitchensData,13,0),IF(AND(ISERROR(FIND(""drawer front"",A146))=FALSE,KitchenDoorStyle=""Flat""),(((B146/1000)*(C146/1000))*2)+((((B146+C146)/1000)*2)*0.022),IF(AND(ISERROR(FIND"&amp;"(""drawer front"",A146))=FALSE,LEFT(KitchenDoorStyle,5)=""Panel""),(((B146/1000)*(C146/1000))*2)+((((B146+C146)/1000)*2)*0.022)+((((C146/1000)-0.16)*0.013)*2)+((((D146/1000)-0.16)*0.013)*2),IF(AND(ISERROR(FIND(""drawer front"",A146))=FALSE,KitchenDoorStyl"&amp;"e=""In-frame flat""),((((B146-76)/1000)*((C146-38)/1000))*2)+(MID(KitchenDoorMaterial,FIND(""("",KitchenDoorMaterial)+1,2)/1000)*((((B146-76)+(C146-38))/1000)*2)+(((B146/1000)*0.032)*2)+((((B146-76)/1000)*0.032)*2)+(((B146/1000)*0.019)*4)+(((C146/1000)*0."&amp;"032)*2)+((((C146-38)/1000)*0.032)*2)+(((C146/1000)*0.038)*4),IF(AND(ISERROR(FIND(""drawer front"",A146))=FALSE,LEFT(KitchenDoorStyle,14)=""In-frame panel""),((((B146-76)/1000)*((C146-38)/1000))*2)+((MID(KitchenDoorMaterial,FIND(""("",KitchenDoorMaterial)+"&amp;"1,2)/1000)*((((B146-76)+(C146-38))/1000)*2))+((((B146-236)/1000)+((C146-198)/1000)*2)*0.013)+(((B146/1000)*0.032)*2)+((((B146-76)/1000)*0.032)*2)+(((B146/1000)*0.019)*4)+(((C146/1000)*0.032)*2)+((((C146-38)/1000)*0.032)*2)+(((C146/1000)*0.038)*4),IF(ISERR"&amp;"OR(FIND(""drawer box"",A146))=FALSE,((((B146/1000)*(D146/1000))+((B146/1000)*(C146/1000)))*4)+((((D146/1000)+(C146/1000))*0.016)*4)+(((C146/1000)*(D146/1000))*2),IF(OR(ISERROR(FIND(""shelf"",A146))=FALSE,ISERROR(FIND(""spacer"",A146))=FALSE,,ISERROR(FIND("&amp;"""filler panel"",A146))=FALSE),(((C146/1000)*(D146/1000))*2)+((((C146+D146)*2)/1000)*0.022),IF(ISERROR(FIND(""lost corner"",A146))=FALSE,(((B146/1000)*(C146/1000))*2)+((B146/1000)*(C146/1000))+((B146/1000)*((C146/2)/1000))+((((B146/1000)*0.025)+((C146/100"&amp;"0)*0.025))*2),IF(ISERROR(FIND(""carcass"",A146))=FALSE,(((C146/1000)*(D146/1000))*2)+(((B146/1000)*(D146/1000))*2)+((B146/1000)*(C146/1000))+((((B146/1000)*0.025)+((C146/1000)*0.025))*2),IF(AND(ISERROR(FIND(""door"",A146))=FALSE,KitchenDoorStyle=""Flat"")"&amp;",(((B146/1000)*(C146/1000))*2)+(MID(KitchenDoorMaterial,FIND(""("",KitchenDoorMaterial)+1,2)/1000)*(((B146+C146)/1000)*2),IF(AND(ISERROR(FIND(""door"",A146))=FALSE,LEFT(KitchenDoorStyle,5)=""Panel""),(((B146/1000)*(C146/1000))*2)+((MID(KitchenDoorMaterial"&amp;",FIND(""("",KitchenDoorMaterial)+1,2)/1000)*(((B146+C146)/1000)*2))+(((((B146-160)+(C146-160))*2)/1000)*(0.013)),IF(AND(ISERROR(FIND(""door"",A146))=FALSE,KitchenDoorStyle=""In-frame flat""),((((B146-76)/1000)*((C146-38)/1000))*2)+(MID(KitchenDoorMaterial"&amp;",FIND(""("",KitchenDoorMaterial)+1,2)/1000)*((((B146-76)+(C146-38))/1000)*2)+(((B146/1000)*0.032)*2)+((((B146-76)/1000)*0.032)*2)+(((B146/1000)*0.019)*4)+(((C146/1000)*0.032)*2)+((((C146-38)/1000)*0.032)*2)+(((C146/1000)*0.038)*4),IF(AND(ISERROR(FIND(""do"&amp;"or"",A146))=FALSE,LEFT(KitchenDoorStyle,14)=""In-frame panel""),((((B146-76)/1000)*((C146-38)/1000))*2)+((MID(KitchenDoorMaterial,FIND(""("",KitchenDoorMaterial)+1,2)/1000)*((((B146-76)+(C146-38))/1000)*2))+((((B146-236)/1000)+((C146-198)/1000)*2)*0.013)+"&amp;"(((B146/1000)*0.032)*2)+((((B146-76)/1000)*0.032)*2)+(((B146/1000)*0.019)*4)+(((C146/1000)*0.032)*2)+((((C146-38)/1000)*0.032)*2)+(((C146/1000)*0.038)*4),IF(ISERROR(FIND(""Plinth"",A146))=FALSE,((B146/1000)*(C146/1000))+(((C146/1000)*0.018)*2)+(((B146/100"&amp;"0)*0.018)*2),IF(ISERROR(FIND(""Cornice"",A146))=FALSE,(((C146/1000)*0.1)*2)+(((C146/1000)*0.044)*2)+(((B146/1000)*0.08)*2),IF(ISERROR(FIND(""Base end panel"",A146))=FALSE,((B146/1000)*(C146/1000))+(0.022*((B146/1000)+((C146/1000)*2)))+((B146/1000)*0.05),I"&amp;"F(ISERROR(FIND(""Wall end panel"",A146))=FALSE,((B146/1000)*(C146/1000))+(0.022*((B146/1000)+((C146/1000)*2)))+((B146/1000)*0.05),IF(ISERROR(FIND(""Tower end panel"",A146))=FALSE,((B146/1000)*(C146/1000))+(0.022*((B146/1000)+((C146/1000)*2)))+((B146/1000)"&amp;"*0.05),IF(ISERROR(FIND(""Fillers"",A146))=FALSE,((C146/1000)*0.06)+((C146/1000)*0.069)+((0.06*0.018)*2)+((0.06*0.009)*2)+((C146/1000)*0.009)+((C146/1000)*0.018),IF(ISERROR(FIND(""corner post"",A146))=FALSE,(((B146/1000*0.05)*2)+((B146/1000)*0.022)*2)+((B1"&amp;"46/1000)*0.072)+((B146/1000)*0.05)+((0.072*0.022)*2)+((0.05*0.022)*2),IF(ISERROR(FIND(""Pelmet"",A146))=FALSE,((C146/1000)*0.05)+((C146/1000)*0.068)+((0.05*0.018)*4)+(((C146/1000)*0.018))*2))))))))))))))))))))))))))))"),"")</f>
        <v/>
      </c>
      <c r="N146" s="152" t="str">
        <f>IF(M146="","",IF(AND(ISERROR(FIND("carcass",A146))=TRUE,ISERROR(FIND("unit",A146))=TRUE,ISERROR(FIND("insert",A146))=TRUE,ISERROR(FIND("rack",A146))=TRUE,ISERROR(FIND("box",A146))=TRUE,ISERROR(FIND("shelf",#REF!))=TRUE),VLOOKUP(KitchenDoorFinish,Finishing!$A$2:$K$10,9,0)*M146,VLOOKUP(KitchenCarcassFinish,Finishing!$A$2:$K$40,9,0)*M146))</f>
        <v/>
      </c>
      <c r="O146" s="155"/>
      <c r="P146" s="155"/>
      <c r="Q146" s="152" t="str">
        <f>IF(OR(O146="",P146=""),"",((O146*X146)*(VLOOKUP("Workshop",Labour!$A$3:$E$20,4,0)/8))+((P146*AE146)*(VLOOKUP("Finishing",Labour!$A$3:$E$20,4,0)/8)))</f>
        <v/>
      </c>
      <c r="R146" s="152" t="str">
        <f t="shared" si="4"/>
        <v/>
      </c>
      <c r="S146" s="156" t="str">
        <f>IF(OR(O146="",P146=""),"",IF(OR(ISERROR(FIND("carcass",$A146))=FALSE,ISERROR(FIND("unit",$A146))=FALSE),VLOOKUP(KitchenCarcassMaterial,FixedListsCarcassMaterial,2,0),0))</f>
        <v/>
      </c>
      <c r="T146" s="156" t="str">
        <f>IF(OR(O146="",P146=""),"",IF(ISERROR(FIND("door",$A146))=FALSE,VLOOKUP(KitchenDoorStyle,FixedListsDoorStyle,2,0),0))</f>
        <v/>
      </c>
      <c r="U146" s="156" t="str">
        <f>IF(OR(O146="",P146=""),"",IF(ISERROR(FIND("door",$A146))=FALSE,VLOOKUP(KitchenDoorMaterial,FixedListsDoorMaterial,2,0),0))</f>
        <v/>
      </c>
      <c r="V146" s="156" t="str">
        <f>IF(OR(O146="",P146=""),"",IF(ISERROR(FIND("drawer",$A146))=FALSE,VLOOKUP(KitchenDrawerType,FixedListsDrawerType,2,0),0))</f>
        <v/>
      </c>
      <c r="W146" s="156" t="str">
        <f>IF(OR(O146="",P146=""),"",IF(OR(S146&gt;0, T146&gt;0,V146&gt;0),VLOOKUP(KitchenHandleType,FixedListsHandleType,2,FALSE)*IF(KitchenHandleType="Simple",0,IF(S146&gt;0,VLOOKUP(KitchenHandleType,FixedListsHandleType,4,FALSE),IF(OR(T146&gt;0,V146&gt;0),1-VLOOKUP(KitchenHandleType,FixedListsHandleType,4,FALSE),"Error"))),0))</f>
        <v/>
      </c>
      <c r="X146" s="156" t="str">
        <f t="shared" si="5"/>
        <v/>
      </c>
      <c r="Y146" s="156" t="str">
        <f>IF(OR(O146="",P146=""),"",IF(OR(ISERROR(FIND("carcass",$A146))=FALSE,ISERROR(FIND("unit",$A146))=FALSE),VLOOKUP(KitchenCarcassMaterial,FixedListsCarcassMaterial,3,0),0))</f>
        <v/>
      </c>
      <c r="Z146" s="156" t="str">
        <f>IF(OR(O146="",P146=""),"",IF(ISERROR(FIND("door",$A146))=FALSE,VLOOKUP(KitchenDoorStyle,FixedListsDoorStyle,3,0),0))</f>
        <v/>
      </c>
      <c r="AA146" s="156" t="str">
        <f>IF(OR(O146="",P146=""),"",IF(ISERROR(FIND("door",$A146))=FALSE,VLOOKUP(KitchenDoorMaterial,FixedListsDoorMaterial,3,0),0))</f>
        <v/>
      </c>
      <c r="AB146" s="156" t="str">
        <f>IF(OR(O146="",P146=""),"",IF(ISERROR(FIND("drawer",$A146))=FALSE,VLOOKUP(KitchenDrawerType,FixedListsDrawerType,3,0),0))</f>
        <v/>
      </c>
      <c r="AC146" s="156" t="str">
        <f>IF(OR(O146="",P146=""),"",IF(OR(Y146&gt;0,Z146&gt;0,AB146&gt;0),VLOOKUP(KitchenHandleType,FixedListsHandleType,3,FALSE),0))</f>
        <v/>
      </c>
      <c r="AD146" s="156" t="str">
        <f>IF(OR(O146="",P146=""),"",IF(OR(ISERROR(FIND("carcass",$A146))=FALSE,ISERROR(FIND("unit",$A146))=FALSE),VLOOKUP(KitchenCarcassFinish,FixedListsFinishes,3,0),IF(OR(ISERROR(FIND("door",$A146))=FALSE,ISERROR(FIND("Plinth",$A146))=FALSE,ISERROR(FIND("Cornice",$A146))=FALSE,ISERROR(FIND("Fillers",$A146))=FALSE,ISERROR(FIND("Pelmet",$A146))=FALSE,ISERROR(FIND("panel",$A146))=FALSE,ISERROR(FIND("post",$A146))=FALSE),VLOOKUP(KitchenDoorFinish,FixedListsFinishes,3,0),IF(OR(ISERROR(FIND("drawer",$A146))=FALSE,ISERROR(FIND("insert",$A146))=FALSE,ISERROR(FIND("rck",$A146))=FALSE),VLOOKUP(KitchenCarcassFinish,FixedListsFinishes,3,0),0))))</f>
        <v/>
      </c>
      <c r="AE146" s="156" t="str">
        <f t="shared" si="6"/>
        <v/>
      </c>
      <c r="AF146" s="157" t="str">
        <f>IF(AND(KitchenHandleType="Channel",OR(ISERROR(FIND("arcass",$A146))=FALSE,ISERROR(FIND("unit",$A146))=FALSE)),IF(ISERROR(FIND("Tower",$A146))=TRUE,IF(KitchenHandleFinish="Match carcass",IF(ISERROR(FIND("Walnut",KitchenCarcassMaterial))=FALSE,(0.035*0.075*($C146/1000))*VLOOKUP("Walnut (solid m3)",SolidData,4,FALSE),IF(ISERROR(FIND("Oak",KitchenCarcassMaterial))=FALSE,(0.035*0.075*($C146/1000))*VLOOKUP("Oak (solid m3)",SolidData,4,FALSE),IF(ISERROR(FIND("ply",KitchenCarcassMaterial))=FALSE,(0.1*($C146/1000))*VLOOKUP("Birch ply (24mm)",SheetsData,7,FALSE),IF(ISERROR(FIND("H/F",KitchenCarcassMaterial))=FALSE,(0.1*($C146/1000))*VLOOKUP("H/F (22mm)",SheetsData,7,FALSE),"Carcass - not tower - new material")))),IF(KitchenHandleFinish="Match door",IF(ISERROR(FIND("Walnut",KitchenDoorMaterial))=FALSE,(0.035*0.075*($C146/1000))*VLOOKUP("Walnut (solid m3)",SolidData,4,FALSE),IF(ISERROR(FIND("Oak",KitchenDoorMaterial))=FALSE,(0.035*0.075*($C146/1000))*VLOOKUP("Oak (solid m3)",SolidData,4,FALSE),IF(ISERROR(FIND("ply",KitchenDoorMaterial))=FALSE,(0.1*($C146/1000))*VLOOKUP("Birch ply (24mm)",SheetsData,7,FALSE),IF(ISERROR(FIND("H/F",KitchenCarcassMaterial))=FALSE,(0.1*($C146/1000))*VLOOKUP("H/F (22mm)",SheetsData,7,FALSE),"Door - not tower - new material")))),"Channel - not tower - handle set to other")),IF(ISERROR(FIND("Tower",$A146))=FALSE,IF(KitchenHandleFinish="Match carcass",IF(ISERROR(FIND("Walnut",KitchenCarcassMaterial))=FALSE,(0.035*0.075*($B146/1000))*VLOOKUP("Walnut (solid m3)",SolidData,4,FALSE),IF(ISERROR(FIND("Oak",KitchenCarcassMaterial))=FALSE,(0.035*0.075*($B146/1000))*VLOOKUP("Oak (solid m3)",SolidData,4,FALSE),IF(ISERROR(FIND("ply",KitchenCarcassMaterial))=FALSE,(0.1*($B146/1000))*VLOOKUP("Birch ply (24mm)",SheetsData,7,FALSE),IF(ISERROR(FIND("H/F",KitchenCarcassMaterial))=FALSE,(0.1*($C146/1000))*VLOOKUP("H/F (22mm)",SheetsData,7,FALSE),"Carcass - tower - new material")))),IF(KitchenHandleFinish="Match door",IF(ISERROR(FIND("Walnut",KitchenDoorMaterial))=FALSE,(0.035*0.075*($B146/1000))*VLOOKUP("Walnut (solid m3)",SolidData,4,FALSE),IF(ISERROR(FIND("Oak",KitchenDoorMaterial))=FALSE,(0.035*0.075*($B146/1000))*VLOOKUP("Oak (solid m3)",SolidData,4,FALSE),IF(ISERROR(FIND("ply",KitchenDoorMaterial))=FALSE,(0.1*($B146/1000))*VLOOKUP("Birch ply (24mm)",SheetData,7,FALSE),IF(ISERROR(FIND("H/F",KitchenCarcassMaterial))=FALSE,(0.1*($C146/1000))*VLOOKUP("H/F (22mm)",SheetsData,7,FALSE),"Door - tower - new material")))),"Channel - tower - handle set to other")))),"")</f>
        <v/>
      </c>
    </row>
    <row r="147">
      <c r="A147" s="150"/>
      <c r="B147" s="115" t="str">
        <f t="shared" si="1"/>
        <v/>
      </c>
      <c r="C147" s="115" t="str">
        <f>IFERROR(__xludf.DUMMYFUNCTION("IF(A147="""","""",IF(OR(RIGHT(A147,LEN(A147)-len(regexextract(A147,"".* "")))=""1200"",RIGHT(A147,LEN(A147)-len(regexextract(A147,"".* "")))=""600"",RIGHT(A147,LEN(A147)-len(regexextract(A147,"".* "")))=""400"",RIGHT(A147,LEN(A147)-len(regexextract(A147,"&amp;""".* "")))=""300"",RIGHT(A147,LEN(A147)-len(regexextract(A147,"".* "")))=""700"",RIGHT(A147,LEN(A147)-len(regexextract(A147,"".* "")))=""2400"",RIGHT(A147,LEN(A147)-len(regexextract(A147,"".* "")))=""650"",RIGHT(A147,LEN(A147)-len(regexextract(A147,"".* "&amp;""")))=""350"",RIGHT(A147,LEN(A147)-len(regexextract(A147,"".* "")))=""50""),RIGHT(A147,LEN(A147)-len(regexextract(A147,"".* ""))),IF(OR(ISERROR(FIND(""spacer"",A147))=FALSE,ISERROR(FIND(""filler panel"",A147))=FALSE),""1000"",""Unexpected size in descript"&amp;"ion"")))"),"")</f>
        <v/>
      </c>
      <c r="D147" s="151" t="str">
        <f t="shared" si="2"/>
        <v/>
      </c>
      <c r="E147" s="152" t="str">
        <f>IFERROR(__xludf.DUMMYFUNCTION("IF(OR(A147="""",AND(ISERROR(FIND(""drawer box"",A147))=FALSE,KitchenDrawerType="""")),"""",IF(OR(ISERROR(FIND(""larder"",A147))=FALSE,ISERROR(FIND(""fridge/freezer"",A147))=FALSE,ISERROR(FIND(""double oven"",A147))=FALSE,ISERROR(FIND(""single oven"",A147)"&amp;")=FALSE),VLOOKUP(LEFT(A147,FIND("" "",A147))&amp;""carcass ""&amp;RIGHT(A147,LEN(A147)-(LEN(A147)-3)),KitchensData,5,0),IF(ISERROR(FIND(""sink"",A147))=FALSE,VLOOKUP(LEFT(A147,FIND("" "",A147))&amp;""carcass ""&amp;VALUE(REGEXREPLACE(A147,""[^[:digit:]]"", """")),Kitchen"&amp;"sData,5,0)+(((C147/1000)*(300/1000))*VLOOKUP(KitchenCarcassMaterial,SheetsData,8,0)),IF(ISERROR(FIND(""bins"",A147))=FALSE,IF(ISERROR(FIND(""veneer"",KitchenCarcassMaterial))=FALSE,VLOOKUP(""Base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600"",A147))=FALSE,IF(ISERR"&amp;"OR(FIND(""veneer"",KitchenCarcassMaterial))=FALSE,0.54*(VLOOKUP(LEFT(KitchenCarcassMaterial,FIND(""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1"&amp;"200"",A147))=FALSE,IF(ISERROR(FIND(""veneer"",KitchenCarcassMaterial))=FALSE,0.84*(VLOOKUP(LEFT(KitchenCarcassMaterial,FIND(""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600"",A147))=FALSE,IF(ISERROR(FIND(""veneer"",KitchenCarcassMaterial))=FALSE,1.44*(VLOOKUP(LEFT(KitchenCarcassMaterial,FIND(""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1200"",A147))=FALSE,IF(ISERROR(FIND(""veneer"",KitchenCarcassMaterial))=FALSE,2.7*(VLOOKUP(LEFT(KitchenCarcassMaterial,FIND(""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front"",A147))=FALSE,((B147/1000)*(C147/1000))*VLOOKUP(KitchenDoorMaterial,SheetsData,8,0),IF(AND(KitchenDrawerType=""Match carcass"",ISERROR(FIND(""drawer box"",A147))=FALSE),(((((B147/10"&amp;"00)*(C147/1000))+((B147/1000)*(D147/1000)))*2)*VLOOKUP(KitchenCarcassMaterial,SheetsData,8,0))+(((C147/1000)*(D147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box"",A147))=FALSE),(((((B147/1000)*(C147/1000))+((B147/1000)*(D147/1000)))*2)*(16/1000)*VLOOKUP(L"&amp;"EFT(KitchenCarcassMaterial,FIND("" "",KitchenCarcassMaterial))&amp;""(solid m3)"",SolidData,5,0))+(((C147/1000)*(D147/1000))*VLOOKUP(LEFT(KitchenCarcassMaterial,FIND(""("",KitchenCarcassMaterial)-1)&amp;IF(OR(ISERROR(FIND(""ply"",KitchenCarcassMaterial))=FALSE,IS"&amp;"ERROR(FIND(""H/F"",KitchenCarcassMaterial))=FALSE),""(9mm)"",""(10mm)""),SheetsData,8,0)),IF(ISERROR(FIND(""spacer"",A147))=FALSE,((D147/1000)*(C147/1000))*VLOOKUP(""Poplar ply (18mm)"",SheetsData,8,0),IF(ISERROR(FIND(""filler panel"",A147))=FALSE,((B147/"&amp;"1000)*(C147/1000))*VLOOKUP(KitchenDoorMaterial,SheetsData,8,0),IF(ISERROR(FIND(""shelf"",A147))=FALSE,((D147/1000)*(C147/1000))*VLOOKUP(KitchenCarcassMaterial,SheetsData,8,0),IF(ISERROR(FIND(""lost corner"",A147))=FALSE,VLOOKUP(LEFT(A147,FIND("" "",A147))"&amp;"&amp;""carcass ""&amp;VALUE(REGEXREPLACE(A147,""[^[:digit:]]"", """")),KitchensData,5,0)+((((B147/1000)*(C147/1000))+((B147/1000)*(60/1000)))*VLOOKUP(KitchenCarcassMaterial,SheetsData,8,0)),IF(ISERROR(FIND(""carcass"",A147))=FALSE,(((((B147/1000)*2)*(D147/1000))+"&amp;"(((C147/1000)*2)*(D147/1000)))*VLOOKUP(KitchenCarcassMaterial,SheetsData,8,0))+((B147/1000)*(C147/1000))*VLOOKUP(LEFT(KitchenCarcassMaterial,FIND(""("",KitchenCarcassMaterial)-1)&amp;IF(OR(ISERROR(FIND(""ply"",KitchenCarcassMaterial))=FALSE,ISERROR(FIND(""H/F"&amp;""",KitchenCarcassMaterial))=FALSE),""(9mm)"",""(10mm)""),SheetsData,8,0),IF(OR(ISERROR(FIND(""Plinth"",A147))=FALSE,ISERROR(FIND(""Cornice (flat)"",A147))=FALSE),((B147/1000)*(C147/1000))*VLOOKUP(""H/F (18mm)"",SheetsData,8,0),IF(ISERROR(FIND(""Cornice (s"&amp;"tacked)"",A147))=FALSE,((0.08*(C147/1000))*2)*VLOOKUP(""H/F (22mm)"",SheetsData,8,0),IF(ISERROR(FIND(""Base end panel"",A147))=FALSE,VLOOKUP(KitchenDoorMaterial,SheetsData,5,0)/3,IF(ISERROR(FIND(""Wall end panel"",A147))=FALSE,VLOOKUP(KitchenDoorMaterial,"&amp;"SheetsData,5,0)/9,IF(ISERROR(FIND(""Tower end panel"",A147))=FALSE,VLOOKUP(KitchenDoorMaterial,SheetsData,5,0),IF(ISERROR(FIND(""Fillers"",A147))=FALSE,(((0.06*(C147/1000))*2)*VLOOKUP(""H/F (18mm)"",SheetsData,8,0))+(((0.06*(C147/1000))*2)*VLOOKUP(""H/F ("&amp;"9mm)"",SheetsData,8,0)),IF(ISERROR(FIND(""corner post"",A147))=FALSE,(((B147/1000)*0.05)*2)*VLOOKUP(KitchenDoorMaterial,SheetsData,8,0),IF(ISERROR(FIND(""Pelmet"",A147))=FALSE,((((B147/1000)*(C147/1000))*2)*VLOOKUP(""H/F (18mm)"",SheetsData,8,0)),IF(ISERR"&amp;"OR(FIND(""door"",A147))=TRUE,""Check description"",IF(KitchenDoorStyle=""Flat"",((B147/1000)*(C147/1000))*VLOOKUP(KitchenDoorMaterial,SheetsData,8,0),IF(LEFT(KitchenDoorStyle,5)=""Panel"",(((((B147/1000)*2)*0.08)+((((C147/1000)-0.16)*2)*0.08))*VLOOKUP(""H"&amp;"/F (22mm)"",SheetsData,8,0))+(((B147/1000)-0.14)*((C147/1000)-0.14)*VLOOKUP(""H/F (9mm)"",SheetsData,8,0)),IF(KitchenDoorStyle=""In-frame flat"",((((((B147/1000)*0.019)*0.038)+((((C147-38)/1000)*0.038)*0.038))*2)*VLOOKUP(""Tulip (solid m3)"",SolidData,5,0"&amp;"))+(((B147-76)/1000)*((C147-38)/1000))*VLOOKUP(""H/F (22mm)"",SheetsData,8,0),IF(LEFT(KitchenDoorStyle,14)=""In-frame panel"",(((((((B147/1000)*0.019)*0.038)+((((C147-38)/1000)*0.038)*0.038))*2)*VLOOKUP(""Tulip (solid m3)"",SolidData,5,0))+(((((((B147-76)"&amp;"/1000)*2)*0.08)+(((((C147-198)/1000)*2)*0.08)))*VLOOKUP(""H/F (22mm)"",SheetsData,8,0))+(((B147-216)/1000)*((C147-178)/1000)*VLOOKUP(""H/F (9mm)"",SheetsData,8,0)))))))))))))))))))))))))))))))))"),"")</f>
        <v/>
      </c>
      <c r="F147" s="152" t="str">
        <f>IFERROR(__xludf.DUMMYFUNCTION("IF(OR(A147="""",AND(ISERROR(FIND(""drawer box"",A147))=FALSE,KitchenDrawerType=""Solid dovetail"")),"""",IF(ISERROR(FIND(""bins"",A147))=FALSE,VLOOKUP(""Base carcass 600"",KitchensData,6,0),IF(OR(ISERROR(FIND(""larder"",A147))=FALSE,ISERROR(FIND(""unit"","&amp;"A147))=FALSE),VLOOKUP(LEFT(A147,FIND("" "",A147))&amp;""carcass ""&amp;RIGHT(A147,LEN(A147)-len(regexextract(A147,"".* ""))),KitchensData,6,0),IF(ISERROR(FIND(""drawer front"",A147))=FALSE,IF(ISERROR(FIND(""veneer"",KitchenCarcassMaterial))=TRUE,0,(((B147+C147)/1"&amp;"000)*2)*VLOOKUP(""Edge banding (per M)"",SheetsData,5,0)),IF(ISERROR(FIND(""drawer box"",A147))=FALSE,IF(ISERROR(FIND(""veneer"",KitchenCarcassMaterial))=TRUE,0,(((C147+D147)/1000)*2)*VLOOKUP(""Edge banding (per M)"",SheetsData,5,0)),IF(ISERROR(FIND(""she"&amp;"lf"",A147))=FALSE,IF(ISERROR(FIND(""veneer"",KitchenCarcassMaterial))=TRUE,0,(C147/1000)*VLOOKUP(""Edge banding (per M)"",SheetsData,5,0)),IF(AND(ISERROR(FIND(""carcass"",A147))=FALSE,ISERROR(FIND(""shelf"",A147))=TRUE),IF(ISERROR(FIND(""veneer"",KitchenC"&amp;"arcassMaterial))=TRUE,0,((2*(B147+C147))/1000)*VLOOKUP(""Edge banding (per M)"",SheetsData,5,0)),IF(ISERROR(FIND(""door"",A147))=TRUE,"""",IF(ISERROR(FIND(""veneer"",KitchenDoorMaterial))=TRUE,"""",((2*(B147+C147))/1000)*VLOOKUP(""Edge banding (per M)"",S"&amp;"heetsData,5,0))))))))))"),"")</f>
        <v/>
      </c>
      <c r="G147" s="153" t="str">
        <f>IF(A147="","",IF(ISERROR(FIND("bins",A147))=FALSE,VLOOKUP("Base carcass 600",KitchensData,7,0),IF(OR(ISERROR(FIND("larder",A147))=FALSE,ISERROR(FIND("fridge/freezer",A147))=FALSE,ISERROR(FIND("double oven",A147))=FALSE,ISERROR(FIND("single oven",A147))=FALSE),VLOOKUP(LEFT(A147,FIND(" ",A147))&amp;"carcass "&amp;RIGHT(A147,LEN(A147)-(LEN(A147)-3)),KitchensData,7,0),IF(AND(ISERROR(FIND("carcass",A147))=FALSE,ISERROR(FIND("shelf",A147))=TRUE),IF(OR(ISERROR(FIND("Base",A147))=FALSE,ISERROR(FIND("Tower",A147))=FALSE),IF(OR(ISERROR(FIND("1200",A147))=FALSE, ISERROR(FIND("lost corner",A147))=FALSE),6*VLOOKUP("Plinth foot (2 Parts 80mm)",FurnitureData,5,0),4*VLOOKUP("Plinth foot (2 Parts 80mm)",FurnitureData,5,0)),""),""))))</f>
        <v/>
      </c>
      <c r="H147" s="115" t="str">
        <f>IF(OR(A147="",ISERROR(FIND("door",A147))=TRUE),"",IF(ISERROR(FIND("Wall",A147))=FALSE,VLOOKUP("Hinges &amp; plates (Hettich thick door)",FurnitureData,5,0)*2,IF(ISERROR(FIND("Base",A147))=FALSE,VLOOKUP("Hinges &amp; plates (Hettich thick door)",FurnitureData,5,0)*3,IF(ISERROR(FIND("Boiler",A147))=FALSE,VLOOKUP("Hinges &amp; plates (Hettich thick door)",FurnitureData,5,0)*4,IF(ISERROR(FIND("Tower",A147))=FALSE,VLOOKUP("Hinges &amp; plates (Hettich thick door)",FurnitureData,5,0)*5)))))</f>
        <v/>
      </c>
      <c r="I147" s="115" t="str">
        <f>IF(ISERROR(FIND("shelf",A147))=FALSE,(VLOOKUP("Shelf pegs",FurnitureData,5,0)/100)*4,"")</f>
        <v/>
      </c>
      <c r="J147" s="152" t="str">
        <f>IF(OR(ISERROR(FIND("fridge/freezer",A147))=FALSE,ISERROR(FIND("larder",A147))=FALSE,AND(ISERROR(FIND("Base",A147))=FALSE,ISERROR(FIND("bins",A147))=TRUE,ISERROR(FIND("no shelves",A147))=TRUE,OR(ISERROR(FIND("carcass",A147))=FALSE,ISERROR(FIND("unit",A147))=FALSE))),VLOOKUP("Deep shelf "&amp;C147,KitchensData,18,0),IF(AND(ISERROR(FIND("Wall",A147))=FALSE,ISERROR(FIND("carcass",A147))=FALSE),2*VLOOKUP("Shallow shelf "&amp;C147,KitchensData,18,0),IF(AND(ISERROR(FIND("Tower",A147))=FALSE,ISERROR(FIND("oven",A147))=FALSE),4*VLOOKUP("Deep shelf "&amp;C147,KitchensData,18,0),IF(AND(ISERROR(FIND("Tower",A147))=FALSE,ISERROR(FIND("carcass",A147))=FALSE),5*VLOOKUP("Deep shelf "&amp;C147,KitchensData,18,0),""))))</f>
        <v/>
      </c>
      <c r="K147" s="152" t="str">
        <f>IF(ISERROR(FIND("sink",A147))=FALSE,VLOOKUP("Sink liner - Aluminium "&amp;RIGHT(A147,LEN(A147)-22)&amp;"mm",ExceptionalData,5,0),IF(ISERROR(FIND("bins",A147))=FALSE,VLOOKUP("Drawer runners and clip set for bin unit (500) Dynapro",FurnitureData,5,0)+(2*VLOOKUP("Bin (42L Anthracite)",FurnitureData,5,0)),IF(ISERROR(FIND("larder",A147))=FALSE,VLOOKUP("Pull out larder unit 600mm",FurnitureData,5,0),IF(AND(ISERROR(FIND("drawer box",A147))=FALSE,ISERROR(FIND("internal",A147))=TRUE),VLOOKUP("Drawer runners and clip set (550) Dynapro",FurnitureData,5,0),IF(ISERROR(FIND("internal drawer box",A147))=FALSE,VLOOKUP("Drawer runners and clip set (450) Dynapro",FurnitureData,5,0),"")))))</f>
        <v/>
      </c>
      <c r="L147" s="152" t="str">
        <f t="shared" si="3"/>
        <v/>
      </c>
      <c r="M147" s="154" t="str">
        <f>IFERROR(__xludf.DUMMYFUNCTION("IF(A147="""","""",IF(OR(ISERROR(FIND(""larder"",A147))=FALSE,ISERROR(FIND(""unit"",A147))=FALSE),VLOOKUP(LEFT(A147,FIND("" "",A147))&amp;""carcass ""&amp;RIGHT(A147,LEN(A147)-len(regexextract(A147,"".* ""))),KitchensData,13,0),IF(ISERROR(FIND(""bins"",A147))=FALS"&amp;"E,0.95,IF(ISERROR(FIND(""Cutlery insert 600"",A147))=FALSE,1.3,IF(ISERROR(FIND(""Cutlery insert 1200"",A147))=FALSE,2,IF(ISERROR(FIND(""Pan/tray rack 600"",A147))=FALSE,3.25,IF(ISERROR(FIND(""Pan/tray rack 1200"",A147))=FALSE,5.9,IF(ISERROR(FIND(""split"""&amp;",A147))=FALSE,(((C147/1000)*0.022)*2)+VLOOKUP(SUBSTITUTE(A147,"" split"",""""),KitchensData,13,0),IF(AND(ISERROR(FIND(""drawer front"",A147))=FALSE,KitchenDoorStyle=""Flat""),(((B147/1000)*(C147/1000))*2)+((((B147+C147)/1000)*2)*0.022),IF(AND(ISERROR(FIND"&amp;"(""drawer front"",A147))=FALSE,LEFT(KitchenDoorStyle,5)=""Panel""),(((B147/1000)*(C147/1000))*2)+((((B147+C147)/1000)*2)*0.022)+((((C147/1000)-0.16)*0.013)*2)+((((D147/1000)-0.16)*0.013)*2),IF(AND(ISERROR(FIND(""drawer front"",A147))=FALSE,KitchenDoorStyl"&amp;"e=""In-frame flat""),((((B147-76)/1000)*((C147-38)/1000))*2)+(MID(KitchenDoorMaterial,FIND(""("",KitchenDoorMaterial)+1,2)/1000)*((((B147-76)+(C147-38))/1000)*2)+(((B147/1000)*0.032)*2)+((((B147-76)/1000)*0.032)*2)+(((B147/1000)*0.019)*4)+(((C147/1000)*0."&amp;"032)*2)+((((C147-38)/1000)*0.032)*2)+(((C147/1000)*0.038)*4),IF(AND(ISERROR(FIND(""drawer front"",A147))=FALSE,LEFT(KitchenDoorStyle,14)=""In-frame panel""),((((B147-76)/1000)*((C147-38)/1000))*2)+((MID(KitchenDoorMaterial,FIND(""("",KitchenDoorMaterial)+"&amp;"1,2)/1000)*((((B147-76)+(C147-38))/1000)*2))+((((B147-236)/1000)+((C147-198)/1000)*2)*0.013)+(((B147/1000)*0.032)*2)+((((B147-76)/1000)*0.032)*2)+(((B147/1000)*0.019)*4)+(((C147/1000)*0.032)*2)+((((C147-38)/1000)*0.032)*2)+(((C147/1000)*0.038)*4),IF(ISERR"&amp;"OR(FIND(""drawer box"",A147))=FALSE,((((B147/1000)*(D147/1000))+((B147/1000)*(C147/1000)))*4)+((((D147/1000)+(C147/1000))*0.016)*4)+(((C147/1000)*(D147/1000))*2),IF(OR(ISERROR(FIND(""shelf"",A147))=FALSE,ISERROR(FIND(""spacer"",A147))=FALSE,,ISERROR(FIND("&amp;"""filler panel"",A147))=FALSE),(((C147/1000)*(D147/1000))*2)+((((C147+D147)*2)/1000)*0.022),IF(ISERROR(FIND(""lost corner"",A147))=FALSE,(((B147/1000)*(C147/1000))*2)+((B147/1000)*(C147/1000))+((B147/1000)*((C147/2)/1000))+((((B147/1000)*0.025)+((C147/100"&amp;"0)*0.025))*2),IF(ISERROR(FIND(""carcass"",A147))=FALSE,(((C147/1000)*(D147/1000))*2)+(((B147/1000)*(D147/1000))*2)+((B147/1000)*(C147/1000))+((((B147/1000)*0.025)+((C147/1000)*0.025))*2),IF(AND(ISERROR(FIND(""door"",A147))=FALSE,KitchenDoorStyle=""Flat"")"&amp;",(((B147/1000)*(C147/1000))*2)+(MID(KitchenDoorMaterial,FIND(""("",KitchenDoorMaterial)+1,2)/1000)*(((B147+C147)/1000)*2),IF(AND(ISERROR(FIND(""door"",A147))=FALSE,LEFT(KitchenDoorStyle,5)=""Panel""),(((B147/1000)*(C147/1000))*2)+((MID(KitchenDoorMaterial"&amp;",FIND(""("",KitchenDoorMaterial)+1,2)/1000)*(((B147+C147)/1000)*2))+(((((B147-160)+(C147-160))*2)/1000)*(0.013)),IF(AND(ISERROR(FIND(""door"",A147))=FALSE,KitchenDoorStyle=""In-frame flat""),((((B147-76)/1000)*((C147-38)/1000))*2)+(MID(KitchenDoorMaterial"&amp;",FIND(""("",KitchenDoorMaterial)+1,2)/1000)*((((B147-76)+(C147-38))/1000)*2)+(((B147/1000)*0.032)*2)+((((B147-76)/1000)*0.032)*2)+(((B147/1000)*0.019)*4)+(((C147/1000)*0.032)*2)+((((C147-38)/1000)*0.032)*2)+(((C147/1000)*0.038)*4),IF(AND(ISERROR(FIND(""do"&amp;"or"",A147))=FALSE,LEFT(KitchenDoorStyle,14)=""In-frame panel""),((((B147-76)/1000)*((C147-38)/1000))*2)+((MID(KitchenDoorMaterial,FIND(""("",KitchenDoorMaterial)+1,2)/1000)*((((B147-76)+(C147-38))/1000)*2))+((((B147-236)/1000)+((C147-198)/1000)*2)*0.013)+"&amp;"(((B147/1000)*0.032)*2)+((((B147-76)/1000)*0.032)*2)+(((B147/1000)*0.019)*4)+(((C147/1000)*0.032)*2)+((((C147-38)/1000)*0.032)*2)+(((C147/1000)*0.038)*4),IF(ISERROR(FIND(""Plinth"",A147))=FALSE,((B147/1000)*(C147/1000))+(((C147/1000)*0.018)*2)+(((B147/100"&amp;"0)*0.018)*2),IF(ISERROR(FIND(""Cornice"",A147))=FALSE,(((C147/1000)*0.1)*2)+(((C147/1000)*0.044)*2)+(((B147/1000)*0.08)*2),IF(ISERROR(FIND(""Base end panel"",A147))=FALSE,((B147/1000)*(C147/1000))+(0.022*((B147/1000)+((C147/1000)*2)))+((B147/1000)*0.05),I"&amp;"F(ISERROR(FIND(""Wall end panel"",A147))=FALSE,((B147/1000)*(C147/1000))+(0.022*((B147/1000)+((C147/1000)*2)))+((B147/1000)*0.05),IF(ISERROR(FIND(""Tower end panel"",A147))=FALSE,((B147/1000)*(C147/1000))+(0.022*((B147/1000)+((C147/1000)*2)))+((B147/1000)"&amp;"*0.05),IF(ISERROR(FIND(""Fillers"",A147))=FALSE,((C147/1000)*0.06)+((C147/1000)*0.069)+((0.06*0.018)*2)+((0.06*0.009)*2)+((C147/1000)*0.009)+((C147/1000)*0.018),IF(ISERROR(FIND(""corner post"",A147))=FALSE,(((B147/1000*0.05)*2)+((B147/1000)*0.022)*2)+((B1"&amp;"47/1000)*0.072)+((B147/1000)*0.05)+((0.072*0.022)*2)+((0.05*0.022)*2),IF(ISERROR(FIND(""Pelmet"",A147))=FALSE,((C147/1000)*0.05)+((C147/1000)*0.068)+((0.05*0.018)*4)+(((C147/1000)*0.018))*2))))))))))))))))))))))))))))"),"")</f>
        <v/>
      </c>
      <c r="N147" s="152" t="str">
        <f>IF(M147="","",IF(AND(ISERROR(FIND("carcass",A147))=TRUE,ISERROR(FIND("unit",A147))=TRUE,ISERROR(FIND("insert",A147))=TRUE,ISERROR(FIND("rack",A147))=TRUE,ISERROR(FIND("box",A147))=TRUE,ISERROR(FIND("shelf",#REF!))=TRUE),VLOOKUP(KitchenDoorFinish,Finishing!$A$2:$K$10,9,0)*M147,VLOOKUP(KitchenCarcassFinish,Finishing!$A$2:$K$40,9,0)*M147))</f>
        <v/>
      </c>
      <c r="O147" s="155"/>
      <c r="P147" s="155"/>
      <c r="Q147" s="152" t="str">
        <f>IF(OR(O147="",P147=""),"",((O147*X147)*(VLOOKUP("Workshop",Labour!$A$3:$E$20,4,0)/8))+((P147*AE147)*(VLOOKUP("Finishing",Labour!$A$3:$E$20,4,0)/8)))</f>
        <v/>
      </c>
      <c r="R147" s="152" t="str">
        <f t="shared" si="4"/>
        <v/>
      </c>
      <c r="S147" s="156" t="str">
        <f>IF(OR(O147="",P147=""),"",IF(OR(ISERROR(FIND("carcass",$A147))=FALSE,ISERROR(FIND("unit",$A147))=FALSE),VLOOKUP(KitchenCarcassMaterial,FixedListsCarcassMaterial,2,0),0))</f>
        <v/>
      </c>
      <c r="T147" s="156" t="str">
        <f>IF(OR(O147="",P147=""),"",IF(ISERROR(FIND("door",$A147))=FALSE,VLOOKUP(KitchenDoorStyle,FixedListsDoorStyle,2,0),0))</f>
        <v/>
      </c>
      <c r="U147" s="156" t="str">
        <f>IF(OR(O147="",P147=""),"",IF(ISERROR(FIND("door",$A147))=FALSE,VLOOKUP(KitchenDoorMaterial,FixedListsDoorMaterial,2,0),0))</f>
        <v/>
      </c>
      <c r="V147" s="156" t="str">
        <f>IF(OR(O147="",P147=""),"",IF(ISERROR(FIND("drawer",$A147))=FALSE,VLOOKUP(KitchenDrawerType,FixedListsDrawerType,2,0),0))</f>
        <v/>
      </c>
      <c r="W147" s="156" t="str">
        <f>IF(OR(O147="",P147=""),"",IF(OR(S147&gt;0, T147&gt;0,V147&gt;0),VLOOKUP(KitchenHandleType,FixedListsHandleType,2,FALSE)*IF(KitchenHandleType="Simple",0,IF(S147&gt;0,VLOOKUP(KitchenHandleType,FixedListsHandleType,4,FALSE),IF(OR(T147&gt;0,V147&gt;0),1-VLOOKUP(KitchenHandleType,FixedListsHandleType,4,FALSE),"Error"))),0))</f>
        <v/>
      </c>
      <c r="X147" s="156" t="str">
        <f t="shared" si="5"/>
        <v/>
      </c>
      <c r="Y147" s="156" t="str">
        <f>IF(OR(O147="",P147=""),"",IF(OR(ISERROR(FIND("carcass",$A147))=FALSE,ISERROR(FIND("unit",$A147))=FALSE),VLOOKUP(KitchenCarcassMaterial,FixedListsCarcassMaterial,3,0),0))</f>
        <v/>
      </c>
      <c r="Z147" s="156" t="str">
        <f>IF(OR(O147="",P147=""),"",IF(ISERROR(FIND("door",$A147))=FALSE,VLOOKUP(KitchenDoorStyle,FixedListsDoorStyle,3,0),0))</f>
        <v/>
      </c>
      <c r="AA147" s="156" t="str">
        <f>IF(OR(O147="",P147=""),"",IF(ISERROR(FIND("door",$A147))=FALSE,VLOOKUP(KitchenDoorMaterial,FixedListsDoorMaterial,3,0),0))</f>
        <v/>
      </c>
      <c r="AB147" s="156" t="str">
        <f>IF(OR(O147="",P147=""),"",IF(ISERROR(FIND("drawer",$A147))=FALSE,VLOOKUP(KitchenDrawerType,FixedListsDrawerType,3,0),0))</f>
        <v/>
      </c>
      <c r="AC147" s="156" t="str">
        <f>IF(OR(O147="",P147=""),"",IF(OR(Y147&gt;0,Z147&gt;0,AB147&gt;0),VLOOKUP(KitchenHandleType,FixedListsHandleType,3,FALSE),0))</f>
        <v/>
      </c>
      <c r="AD147" s="156" t="str">
        <f>IF(OR(O147="",P147=""),"",IF(OR(ISERROR(FIND("carcass",$A147))=FALSE,ISERROR(FIND("unit",$A147))=FALSE),VLOOKUP(KitchenCarcassFinish,FixedListsFinishes,3,0),IF(OR(ISERROR(FIND("door",$A147))=FALSE,ISERROR(FIND("Plinth",$A147))=FALSE,ISERROR(FIND("Cornice",$A147))=FALSE,ISERROR(FIND("Fillers",$A147))=FALSE,ISERROR(FIND("Pelmet",$A147))=FALSE,ISERROR(FIND("panel",$A147))=FALSE,ISERROR(FIND("post",$A147))=FALSE),VLOOKUP(KitchenDoorFinish,FixedListsFinishes,3,0),IF(OR(ISERROR(FIND("drawer",$A147))=FALSE,ISERROR(FIND("insert",$A147))=FALSE,ISERROR(FIND("rck",$A147))=FALSE),VLOOKUP(KitchenCarcassFinish,FixedListsFinishes,3,0),0))))</f>
        <v/>
      </c>
      <c r="AE147" s="156" t="str">
        <f t="shared" si="6"/>
        <v/>
      </c>
      <c r="AF147" s="157" t="str">
        <f>IF(AND(KitchenHandleType="Channel",OR(ISERROR(FIND("arcass",$A147))=FALSE,ISERROR(FIND("unit",$A147))=FALSE)),IF(ISERROR(FIND("Tower",$A147))=TRUE,IF(KitchenHandleFinish="Match carcass",IF(ISERROR(FIND("Walnut",KitchenCarcassMaterial))=FALSE,(0.035*0.075*($C147/1000))*VLOOKUP("Walnut (solid m3)",SolidData,4,FALSE),IF(ISERROR(FIND("Oak",KitchenCarcassMaterial))=FALSE,(0.035*0.075*($C147/1000))*VLOOKUP("Oak (solid m3)",SolidData,4,FALSE),IF(ISERROR(FIND("ply",KitchenCarcassMaterial))=FALSE,(0.1*($C147/1000))*VLOOKUP("Birch ply (24mm)",SheetsData,7,FALSE),IF(ISERROR(FIND("H/F",KitchenCarcassMaterial))=FALSE,(0.1*($C147/1000))*VLOOKUP("H/F (22mm)",SheetsData,7,FALSE),"Carcass - not tower - new material")))),IF(KitchenHandleFinish="Match door",IF(ISERROR(FIND("Walnut",KitchenDoorMaterial))=FALSE,(0.035*0.075*($C147/1000))*VLOOKUP("Walnut (solid m3)",SolidData,4,FALSE),IF(ISERROR(FIND("Oak",KitchenDoorMaterial))=FALSE,(0.035*0.075*($C147/1000))*VLOOKUP("Oak (solid m3)",SolidData,4,FALSE),IF(ISERROR(FIND("ply",KitchenDoorMaterial))=FALSE,(0.1*($C147/1000))*VLOOKUP("Birch ply (24mm)",SheetsData,7,FALSE),IF(ISERROR(FIND("H/F",KitchenCarcassMaterial))=FALSE,(0.1*($C147/1000))*VLOOKUP("H/F (22mm)",SheetsData,7,FALSE),"Door - not tower - new material")))),"Channel - not tower - handle set to other")),IF(ISERROR(FIND("Tower",$A147))=FALSE,IF(KitchenHandleFinish="Match carcass",IF(ISERROR(FIND("Walnut",KitchenCarcassMaterial))=FALSE,(0.035*0.075*($B147/1000))*VLOOKUP("Walnut (solid m3)",SolidData,4,FALSE),IF(ISERROR(FIND("Oak",KitchenCarcassMaterial))=FALSE,(0.035*0.075*($B147/1000))*VLOOKUP("Oak (solid m3)",SolidData,4,FALSE),IF(ISERROR(FIND("ply",KitchenCarcassMaterial))=FALSE,(0.1*($B147/1000))*VLOOKUP("Birch ply (24mm)",SheetsData,7,FALSE),IF(ISERROR(FIND("H/F",KitchenCarcassMaterial))=FALSE,(0.1*($C147/1000))*VLOOKUP("H/F (22mm)",SheetsData,7,FALSE),"Carcass - tower - new material")))),IF(KitchenHandleFinish="Match door",IF(ISERROR(FIND("Walnut",KitchenDoorMaterial))=FALSE,(0.035*0.075*($B147/1000))*VLOOKUP("Walnut (solid m3)",SolidData,4,FALSE),IF(ISERROR(FIND("Oak",KitchenDoorMaterial))=FALSE,(0.035*0.075*($B147/1000))*VLOOKUP("Oak (solid m3)",SolidData,4,FALSE),IF(ISERROR(FIND("ply",KitchenDoorMaterial))=FALSE,(0.1*($B147/1000))*VLOOKUP("Birch ply (24mm)",SheetData,7,FALSE),IF(ISERROR(FIND("H/F",KitchenCarcassMaterial))=FALSE,(0.1*($C147/1000))*VLOOKUP("H/F (22mm)",SheetsData,7,FALSE),"Door - tower - new material")))),"Channel - tower - handle set to other")))),"")</f>
        <v/>
      </c>
    </row>
    <row r="148">
      <c r="A148" s="150"/>
      <c r="B148" s="115" t="str">
        <f t="shared" si="1"/>
        <v/>
      </c>
      <c r="C148" s="115" t="str">
        <f>IFERROR(__xludf.DUMMYFUNCTION("IF(A148="""","""",IF(OR(RIGHT(A148,LEN(A148)-len(regexextract(A148,"".* "")))=""1200"",RIGHT(A148,LEN(A148)-len(regexextract(A148,"".* "")))=""600"",RIGHT(A148,LEN(A148)-len(regexextract(A148,"".* "")))=""400"",RIGHT(A148,LEN(A148)-len(regexextract(A148,"&amp;""".* "")))=""300"",RIGHT(A148,LEN(A148)-len(regexextract(A148,"".* "")))=""700"",RIGHT(A148,LEN(A148)-len(regexextract(A148,"".* "")))=""2400"",RIGHT(A148,LEN(A148)-len(regexextract(A148,"".* "")))=""650"",RIGHT(A148,LEN(A148)-len(regexextract(A148,"".* "&amp;""")))=""350"",RIGHT(A148,LEN(A148)-len(regexextract(A148,"".* "")))=""50""),RIGHT(A148,LEN(A148)-len(regexextract(A148,"".* ""))),IF(OR(ISERROR(FIND(""spacer"",A148))=FALSE,ISERROR(FIND(""filler panel"",A148))=FALSE),""1000"",""Unexpected size in descript"&amp;"ion"")))"),"")</f>
        <v/>
      </c>
      <c r="D148" s="151" t="str">
        <f t="shared" si="2"/>
        <v/>
      </c>
      <c r="E148" s="152" t="str">
        <f>IFERROR(__xludf.DUMMYFUNCTION("IF(OR(A148="""",AND(ISERROR(FIND(""drawer box"",A148))=FALSE,KitchenDrawerType="""")),"""",IF(OR(ISERROR(FIND(""larder"",A148))=FALSE,ISERROR(FIND(""fridge/freezer"",A148))=FALSE,ISERROR(FIND(""double oven"",A148))=FALSE,ISERROR(FIND(""single oven"",A148)"&amp;")=FALSE),VLOOKUP(LEFT(A148,FIND("" "",A148))&amp;""carcass ""&amp;RIGHT(A148,LEN(A148)-(LEN(A148)-3)),KitchensData,5,0),IF(ISERROR(FIND(""sink"",A148))=FALSE,VLOOKUP(LEFT(A148,FIND("" "",A148))&amp;""carcass ""&amp;VALUE(REGEXREPLACE(A148,""[^[:digit:]]"", """")),Kitchen"&amp;"sData,5,0)+(((C148/1000)*(300/1000))*VLOOKUP(KitchenCarcassMaterial,SheetsData,8,0)),IF(ISERROR(FIND(""bins"",A148))=FALSE,IF(ISERROR(FIND(""veneer"",KitchenCarcassMaterial))=FALSE,VLOOKUP(""Base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600"",A148))=FALSE,IF(ISERR"&amp;"OR(FIND(""veneer"",KitchenCarcassMaterial))=FALSE,0.54*(VLOOKUP(LEFT(KitchenCarcassMaterial,FIND(""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1"&amp;"200"",A148))=FALSE,IF(ISERROR(FIND(""veneer"",KitchenCarcassMaterial))=FALSE,0.84*(VLOOKUP(LEFT(KitchenCarcassMaterial,FIND(""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600"",A148))=FALSE,IF(ISERROR(FIND(""veneer"",KitchenCarcassMaterial))=FALSE,1.44*(VLOOKUP(LEFT(KitchenCarcassMaterial,FIND(""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1200"",A148))=FALSE,IF(ISERROR(FIND(""veneer"",KitchenCarcassMaterial))=FALSE,2.7*(VLOOKUP(LEFT(KitchenCarcassMaterial,FIND(""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front"",A148))=FALSE,((B148/1000)*(C148/1000))*VLOOKUP(KitchenDoorMaterial,SheetsData,8,0),IF(AND(KitchenDrawerType=""Match carcass"",ISERROR(FIND(""drawer box"",A148))=FALSE),(((((B148/10"&amp;"00)*(C148/1000))+((B148/1000)*(D148/1000)))*2)*VLOOKUP(KitchenCarcassMaterial,SheetsData,8,0))+(((C148/1000)*(D148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box"",A148))=FALSE),(((((B148/1000)*(C148/1000))+((B148/1000)*(D148/1000)))*2)*(16/1000)*VLOOKUP(L"&amp;"EFT(KitchenCarcassMaterial,FIND("" "",KitchenCarcassMaterial))&amp;""(solid m3)"",SolidData,5,0))+(((C148/1000)*(D148/1000))*VLOOKUP(LEFT(KitchenCarcassMaterial,FIND(""("",KitchenCarcassMaterial)-1)&amp;IF(OR(ISERROR(FIND(""ply"",KitchenCarcassMaterial))=FALSE,IS"&amp;"ERROR(FIND(""H/F"",KitchenCarcassMaterial))=FALSE),""(9mm)"",""(10mm)""),SheetsData,8,0)),IF(ISERROR(FIND(""spacer"",A148))=FALSE,((D148/1000)*(C148/1000))*VLOOKUP(""Poplar ply (18mm)"",SheetsData,8,0),IF(ISERROR(FIND(""filler panel"",A148))=FALSE,((B148/"&amp;"1000)*(C148/1000))*VLOOKUP(KitchenDoorMaterial,SheetsData,8,0),IF(ISERROR(FIND(""shelf"",A148))=FALSE,((D148/1000)*(C148/1000))*VLOOKUP(KitchenCarcassMaterial,SheetsData,8,0),IF(ISERROR(FIND(""lost corner"",A148))=FALSE,VLOOKUP(LEFT(A148,FIND("" "",A148))"&amp;"&amp;""carcass ""&amp;VALUE(REGEXREPLACE(A148,""[^[:digit:]]"", """")),KitchensData,5,0)+((((B148/1000)*(C148/1000))+((B148/1000)*(60/1000)))*VLOOKUP(KitchenCarcassMaterial,SheetsData,8,0)),IF(ISERROR(FIND(""carcass"",A148))=FALSE,(((((B148/1000)*2)*(D148/1000))+"&amp;"(((C148/1000)*2)*(D148/1000)))*VLOOKUP(KitchenCarcassMaterial,SheetsData,8,0))+((B148/1000)*(C148/1000))*VLOOKUP(LEFT(KitchenCarcassMaterial,FIND(""("",KitchenCarcassMaterial)-1)&amp;IF(OR(ISERROR(FIND(""ply"",KitchenCarcassMaterial))=FALSE,ISERROR(FIND(""H/F"&amp;""",KitchenCarcassMaterial))=FALSE),""(9mm)"",""(10mm)""),SheetsData,8,0),IF(OR(ISERROR(FIND(""Plinth"",A148))=FALSE,ISERROR(FIND(""Cornice (flat)"",A148))=FALSE),((B148/1000)*(C148/1000))*VLOOKUP(""H/F (18mm)"",SheetsData,8,0),IF(ISERROR(FIND(""Cornice (s"&amp;"tacked)"",A148))=FALSE,((0.08*(C148/1000))*2)*VLOOKUP(""H/F (22mm)"",SheetsData,8,0),IF(ISERROR(FIND(""Base end panel"",A148))=FALSE,VLOOKUP(KitchenDoorMaterial,SheetsData,5,0)/3,IF(ISERROR(FIND(""Wall end panel"",A148))=FALSE,VLOOKUP(KitchenDoorMaterial,"&amp;"SheetsData,5,0)/9,IF(ISERROR(FIND(""Tower end panel"",A148))=FALSE,VLOOKUP(KitchenDoorMaterial,SheetsData,5,0),IF(ISERROR(FIND(""Fillers"",A148))=FALSE,(((0.06*(C148/1000))*2)*VLOOKUP(""H/F (18mm)"",SheetsData,8,0))+(((0.06*(C148/1000))*2)*VLOOKUP(""H/F ("&amp;"9mm)"",SheetsData,8,0)),IF(ISERROR(FIND(""corner post"",A148))=FALSE,(((B148/1000)*0.05)*2)*VLOOKUP(KitchenDoorMaterial,SheetsData,8,0),IF(ISERROR(FIND(""Pelmet"",A148))=FALSE,((((B148/1000)*(C148/1000))*2)*VLOOKUP(""H/F (18mm)"",SheetsData,8,0)),IF(ISERR"&amp;"OR(FIND(""door"",A148))=TRUE,""Check description"",IF(KitchenDoorStyle=""Flat"",((B148/1000)*(C148/1000))*VLOOKUP(KitchenDoorMaterial,SheetsData,8,0),IF(LEFT(KitchenDoorStyle,5)=""Panel"",(((((B148/1000)*2)*0.08)+((((C148/1000)-0.16)*2)*0.08))*VLOOKUP(""H"&amp;"/F (22mm)"",SheetsData,8,0))+(((B148/1000)-0.14)*((C148/1000)-0.14)*VLOOKUP(""H/F (9mm)"",SheetsData,8,0)),IF(KitchenDoorStyle=""In-frame flat"",((((((B148/1000)*0.019)*0.038)+((((C148-38)/1000)*0.038)*0.038))*2)*VLOOKUP(""Tulip (solid m3)"",SolidData,5,0"&amp;"))+(((B148-76)/1000)*((C148-38)/1000))*VLOOKUP(""H/F (22mm)"",SheetsData,8,0),IF(LEFT(KitchenDoorStyle,14)=""In-frame panel"",(((((((B148/1000)*0.019)*0.038)+((((C148-38)/1000)*0.038)*0.038))*2)*VLOOKUP(""Tulip (solid m3)"",SolidData,5,0))+(((((((B148-76)"&amp;"/1000)*2)*0.08)+(((((C148-198)/1000)*2)*0.08)))*VLOOKUP(""H/F (22mm)"",SheetsData,8,0))+(((B148-216)/1000)*((C148-178)/1000)*VLOOKUP(""H/F (9mm)"",SheetsData,8,0)))))))))))))))))))))))))))))))))"),"")</f>
        <v/>
      </c>
      <c r="F148" s="152" t="str">
        <f>IFERROR(__xludf.DUMMYFUNCTION("IF(OR(A148="""",AND(ISERROR(FIND(""drawer box"",A148))=FALSE,KitchenDrawerType=""Solid dovetail"")),"""",IF(ISERROR(FIND(""bins"",A148))=FALSE,VLOOKUP(""Base carcass 600"",KitchensData,6,0),IF(OR(ISERROR(FIND(""larder"",A148))=FALSE,ISERROR(FIND(""unit"","&amp;"A148))=FALSE),VLOOKUP(LEFT(A148,FIND("" "",A148))&amp;""carcass ""&amp;RIGHT(A148,LEN(A148)-len(regexextract(A148,"".* ""))),KitchensData,6,0),IF(ISERROR(FIND(""drawer front"",A148))=FALSE,IF(ISERROR(FIND(""veneer"",KitchenCarcassMaterial))=TRUE,0,(((B148+C148)/1"&amp;"000)*2)*VLOOKUP(""Edge banding (per M)"",SheetsData,5,0)),IF(ISERROR(FIND(""drawer box"",A148))=FALSE,IF(ISERROR(FIND(""veneer"",KitchenCarcassMaterial))=TRUE,0,(((C148+D148)/1000)*2)*VLOOKUP(""Edge banding (per M)"",SheetsData,5,0)),IF(ISERROR(FIND(""she"&amp;"lf"",A148))=FALSE,IF(ISERROR(FIND(""veneer"",KitchenCarcassMaterial))=TRUE,0,(C148/1000)*VLOOKUP(""Edge banding (per M)"",SheetsData,5,0)),IF(AND(ISERROR(FIND(""carcass"",A148))=FALSE,ISERROR(FIND(""shelf"",A148))=TRUE),IF(ISERROR(FIND(""veneer"",KitchenC"&amp;"arcassMaterial))=TRUE,0,((2*(B148+C148))/1000)*VLOOKUP(""Edge banding (per M)"",SheetsData,5,0)),IF(ISERROR(FIND(""door"",A148))=TRUE,"""",IF(ISERROR(FIND(""veneer"",KitchenDoorMaterial))=TRUE,"""",((2*(B148+C148))/1000)*VLOOKUP(""Edge banding (per M)"",S"&amp;"heetsData,5,0))))))))))"),"")</f>
        <v/>
      </c>
      <c r="G148" s="153" t="str">
        <f>IF(A148="","",IF(ISERROR(FIND("bins",A148))=FALSE,VLOOKUP("Base carcass 600",KitchensData,7,0),IF(OR(ISERROR(FIND("larder",A148))=FALSE,ISERROR(FIND("fridge/freezer",A148))=FALSE,ISERROR(FIND("double oven",A148))=FALSE,ISERROR(FIND("single oven",A148))=FALSE),VLOOKUP(LEFT(A148,FIND(" ",A148))&amp;"carcass "&amp;RIGHT(A148,LEN(A148)-(LEN(A148)-3)),KitchensData,7,0),IF(AND(ISERROR(FIND("carcass",A148))=FALSE,ISERROR(FIND("shelf",A148))=TRUE),IF(OR(ISERROR(FIND("Base",A148))=FALSE,ISERROR(FIND("Tower",A148))=FALSE),IF(OR(ISERROR(FIND("1200",A148))=FALSE, ISERROR(FIND("lost corner",A148))=FALSE),6*VLOOKUP("Plinth foot (2 Parts 80mm)",FurnitureData,5,0),4*VLOOKUP("Plinth foot (2 Parts 80mm)",FurnitureData,5,0)),""),""))))</f>
        <v/>
      </c>
      <c r="H148" s="115" t="str">
        <f>IF(OR(A148="",ISERROR(FIND("door",A148))=TRUE),"",IF(ISERROR(FIND("Wall",A148))=FALSE,VLOOKUP("Hinges &amp; plates (Hettich thick door)",FurnitureData,5,0)*2,IF(ISERROR(FIND("Base",A148))=FALSE,VLOOKUP("Hinges &amp; plates (Hettich thick door)",FurnitureData,5,0)*3,IF(ISERROR(FIND("Boiler",A148))=FALSE,VLOOKUP("Hinges &amp; plates (Hettich thick door)",FurnitureData,5,0)*4,IF(ISERROR(FIND("Tower",A148))=FALSE,VLOOKUP("Hinges &amp; plates (Hettich thick door)",FurnitureData,5,0)*5)))))</f>
        <v/>
      </c>
      <c r="I148" s="115" t="str">
        <f>IF(ISERROR(FIND("shelf",A148))=FALSE,(VLOOKUP("Shelf pegs",FurnitureData,5,0)/100)*4,"")</f>
        <v/>
      </c>
      <c r="J148" s="152" t="str">
        <f>IF(OR(ISERROR(FIND("fridge/freezer",A148))=FALSE,ISERROR(FIND("larder",A148))=FALSE,AND(ISERROR(FIND("Base",A148))=FALSE,ISERROR(FIND("bins",A148))=TRUE,ISERROR(FIND("no shelves",A148))=TRUE,OR(ISERROR(FIND("carcass",A148))=FALSE,ISERROR(FIND("unit",A148))=FALSE))),VLOOKUP("Deep shelf "&amp;C148,KitchensData,18,0),IF(AND(ISERROR(FIND("Wall",A148))=FALSE,ISERROR(FIND("carcass",A148))=FALSE),2*VLOOKUP("Shallow shelf "&amp;C148,KitchensData,18,0),IF(AND(ISERROR(FIND("Tower",A148))=FALSE,ISERROR(FIND("oven",A148))=FALSE),4*VLOOKUP("Deep shelf "&amp;C148,KitchensData,18,0),IF(AND(ISERROR(FIND("Tower",A148))=FALSE,ISERROR(FIND("carcass",A148))=FALSE),5*VLOOKUP("Deep shelf "&amp;C148,KitchensData,18,0),""))))</f>
        <v/>
      </c>
      <c r="K148" s="152" t="str">
        <f>IF(ISERROR(FIND("sink",A148))=FALSE,VLOOKUP("Sink liner - Aluminium "&amp;RIGHT(A148,LEN(A148)-22)&amp;"mm",ExceptionalData,5,0),IF(ISERROR(FIND("bins",A148))=FALSE,VLOOKUP("Drawer runners and clip set for bin unit (500) Dynapro",FurnitureData,5,0)+(2*VLOOKUP("Bin (42L Anthracite)",FurnitureData,5,0)),IF(ISERROR(FIND("larder",A148))=FALSE,VLOOKUP("Pull out larder unit 600mm",FurnitureData,5,0),IF(AND(ISERROR(FIND("drawer box",A148))=FALSE,ISERROR(FIND("internal",A148))=TRUE),VLOOKUP("Drawer runners and clip set (550) Dynapro",FurnitureData,5,0),IF(ISERROR(FIND("internal drawer box",A148))=FALSE,VLOOKUP("Drawer runners and clip set (450) Dynapro",FurnitureData,5,0),"")))))</f>
        <v/>
      </c>
      <c r="L148" s="152" t="str">
        <f t="shared" si="3"/>
        <v/>
      </c>
      <c r="M148" s="154" t="str">
        <f>IFERROR(__xludf.DUMMYFUNCTION("IF(A148="""","""",IF(OR(ISERROR(FIND(""larder"",A148))=FALSE,ISERROR(FIND(""unit"",A148))=FALSE),VLOOKUP(LEFT(A148,FIND("" "",A148))&amp;""carcass ""&amp;RIGHT(A148,LEN(A148)-len(regexextract(A148,"".* ""))),KitchensData,13,0),IF(ISERROR(FIND(""bins"",A148))=FALS"&amp;"E,0.95,IF(ISERROR(FIND(""Cutlery insert 600"",A148))=FALSE,1.3,IF(ISERROR(FIND(""Cutlery insert 1200"",A148))=FALSE,2,IF(ISERROR(FIND(""Pan/tray rack 600"",A148))=FALSE,3.25,IF(ISERROR(FIND(""Pan/tray rack 1200"",A148))=FALSE,5.9,IF(ISERROR(FIND(""split"""&amp;",A148))=FALSE,(((C148/1000)*0.022)*2)+VLOOKUP(SUBSTITUTE(A148,"" split"",""""),KitchensData,13,0),IF(AND(ISERROR(FIND(""drawer front"",A148))=FALSE,KitchenDoorStyle=""Flat""),(((B148/1000)*(C148/1000))*2)+((((B148+C148)/1000)*2)*0.022),IF(AND(ISERROR(FIND"&amp;"(""drawer front"",A148))=FALSE,LEFT(KitchenDoorStyle,5)=""Panel""),(((B148/1000)*(C148/1000))*2)+((((B148+C148)/1000)*2)*0.022)+((((C148/1000)-0.16)*0.013)*2)+((((D148/1000)-0.16)*0.013)*2),IF(AND(ISERROR(FIND(""drawer front"",A148))=FALSE,KitchenDoorStyl"&amp;"e=""In-frame flat""),((((B148-76)/1000)*((C148-38)/1000))*2)+(MID(KitchenDoorMaterial,FIND(""("",KitchenDoorMaterial)+1,2)/1000)*((((B148-76)+(C148-38))/1000)*2)+(((B148/1000)*0.032)*2)+((((B148-76)/1000)*0.032)*2)+(((B148/1000)*0.019)*4)+(((C148/1000)*0."&amp;"032)*2)+((((C148-38)/1000)*0.032)*2)+(((C148/1000)*0.038)*4),IF(AND(ISERROR(FIND(""drawer front"",A148))=FALSE,LEFT(KitchenDoorStyle,14)=""In-frame panel""),((((B148-76)/1000)*((C148-38)/1000))*2)+((MID(KitchenDoorMaterial,FIND(""("",KitchenDoorMaterial)+"&amp;"1,2)/1000)*((((B148-76)+(C148-38))/1000)*2))+((((B148-236)/1000)+((C148-198)/1000)*2)*0.013)+(((B148/1000)*0.032)*2)+((((B148-76)/1000)*0.032)*2)+(((B148/1000)*0.019)*4)+(((C148/1000)*0.032)*2)+((((C148-38)/1000)*0.032)*2)+(((C148/1000)*0.038)*4),IF(ISERR"&amp;"OR(FIND(""drawer box"",A148))=FALSE,((((B148/1000)*(D148/1000))+((B148/1000)*(C148/1000)))*4)+((((D148/1000)+(C148/1000))*0.016)*4)+(((C148/1000)*(D148/1000))*2),IF(OR(ISERROR(FIND(""shelf"",A148))=FALSE,ISERROR(FIND(""spacer"",A148))=FALSE,,ISERROR(FIND("&amp;"""filler panel"",A148))=FALSE),(((C148/1000)*(D148/1000))*2)+((((C148+D148)*2)/1000)*0.022),IF(ISERROR(FIND(""lost corner"",A148))=FALSE,(((B148/1000)*(C148/1000))*2)+((B148/1000)*(C148/1000))+((B148/1000)*((C148/2)/1000))+((((B148/1000)*0.025)+((C148/100"&amp;"0)*0.025))*2),IF(ISERROR(FIND(""carcass"",A148))=FALSE,(((C148/1000)*(D148/1000))*2)+(((B148/1000)*(D148/1000))*2)+((B148/1000)*(C148/1000))+((((B148/1000)*0.025)+((C148/1000)*0.025))*2),IF(AND(ISERROR(FIND(""door"",A148))=FALSE,KitchenDoorStyle=""Flat"")"&amp;",(((B148/1000)*(C148/1000))*2)+(MID(KitchenDoorMaterial,FIND(""("",KitchenDoorMaterial)+1,2)/1000)*(((B148+C148)/1000)*2),IF(AND(ISERROR(FIND(""door"",A148))=FALSE,LEFT(KitchenDoorStyle,5)=""Panel""),(((B148/1000)*(C148/1000))*2)+((MID(KitchenDoorMaterial"&amp;",FIND(""("",KitchenDoorMaterial)+1,2)/1000)*(((B148+C148)/1000)*2))+(((((B148-160)+(C148-160))*2)/1000)*(0.013)),IF(AND(ISERROR(FIND(""door"",A148))=FALSE,KitchenDoorStyle=""In-frame flat""),((((B148-76)/1000)*((C148-38)/1000))*2)+(MID(KitchenDoorMaterial"&amp;",FIND(""("",KitchenDoorMaterial)+1,2)/1000)*((((B148-76)+(C148-38))/1000)*2)+(((B148/1000)*0.032)*2)+((((B148-76)/1000)*0.032)*2)+(((B148/1000)*0.019)*4)+(((C148/1000)*0.032)*2)+((((C148-38)/1000)*0.032)*2)+(((C148/1000)*0.038)*4),IF(AND(ISERROR(FIND(""do"&amp;"or"",A148))=FALSE,LEFT(KitchenDoorStyle,14)=""In-frame panel""),((((B148-76)/1000)*((C148-38)/1000))*2)+((MID(KitchenDoorMaterial,FIND(""("",KitchenDoorMaterial)+1,2)/1000)*((((B148-76)+(C148-38))/1000)*2))+((((B148-236)/1000)+((C148-198)/1000)*2)*0.013)+"&amp;"(((B148/1000)*0.032)*2)+((((B148-76)/1000)*0.032)*2)+(((B148/1000)*0.019)*4)+(((C148/1000)*0.032)*2)+((((C148-38)/1000)*0.032)*2)+(((C148/1000)*0.038)*4),IF(ISERROR(FIND(""Plinth"",A148))=FALSE,((B148/1000)*(C148/1000))+(((C148/1000)*0.018)*2)+(((B148/100"&amp;"0)*0.018)*2),IF(ISERROR(FIND(""Cornice"",A148))=FALSE,(((C148/1000)*0.1)*2)+(((C148/1000)*0.044)*2)+(((B148/1000)*0.08)*2),IF(ISERROR(FIND(""Base end panel"",A148))=FALSE,((B148/1000)*(C148/1000))+(0.022*((B148/1000)+((C148/1000)*2)))+((B148/1000)*0.05),I"&amp;"F(ISERROR(FIND(""Wall end panel"",A148))=FALSE,((B148/1000)*(C148/1000))+(0.022*((B148/1000)+((C148/1000)*2)))+((B148/1000)*0.05),IF(ISERROR(FIND(""Tower end panel"",A148))=FALSE,((B148/1000)*(C148/1000))+(0.022*((B148/1000)+((C148/1000)*2)))+((B148/1000)"&amp;"*0.05),IF(ISERROR(FIND(""Fillers"",A148))=FALSE,((C148/1000)*0.06)+((C148/1000)*0.069)+((0.06*0.018)*2)+((0.06*0.009)*2)+((C148/1000)*0.009)+((C148/1000)*0.018),IF(ISERROR(FIND(""corner post"",A148))=FALSE,(((B148/1000*0.05)*2)+((B148/1000)*0.022)*2)+((B1"&amp;"48/1000)*0.072)+((B148/1000)*0.05)+((0.072*0.022)*2)+((0.05*0.022)*2),IF(ISERROR(FIND(""Pelmet"",A148))=FALSE,((C148/1000)*0.05)+((C148/1000)*0.068)+((0.05*0.018)*4)+(((C148/1000)*0.018))*2))))))))))))))))))))))))))))"),"")</f>
        <v/>
      </c>
      <c r="N148" s="152" t="str">
        <f>IF(M148="","",IF(AND(ISERROR(FIND("carcass",A148))=TRUE,ISERROR(FIND("unit",A148))=TRUE,ISERROR(FIND("insert",A148))=TRUE,ISERROR(FIND("rack",A148))=TRUE,ISERROR(FIND("box",A148))=TRUE,ISERROR(FIND("shelf",#REF!))=TRUE),VLOOKUP(KitchenDoorFinish,Finishing!$A$2:$K$10,9,0)*M148,VLOOKUP(KitchenCarcassFinish,Finishing!$A$2:$K$40,9,0)*M148))</f>
        <v/>
      </c>
      <c r="O148" s="155"/>
      <c r="P148" s="155"/>
      <c r="Q148" s="152" t="str">
        <f>IF(OR(O148="",P148=""),"",((O148*X148)*(VLOOKUP("Workshop",Labour!$A$3:$E$20,4,0)/8))+((P148*AE148)*(VLOOKUP("Finishing",Labour!$A$3:$E$20,4,0)/8)))</f>
        <v/>
      </c>
      <c r="R148" s="152" t="str">
        <f t="shared" si="4"/>
        <v/>
      </c>
      <c r="S148" s="156" t="str">
        <f>IF(OR(O148="",P148=""),"",IF(OR(ISERROR(FIND("carcass",$A148))=FALSE,ISERROR(FIND("unit",$A148))=FALSE),VLOOKUP(KitchenCarcassMaterial,FixedListsCarcassMaterial,2,0),0))</f>
        <v/>
      </c>
      <c r="T148" s="156" t="str">
        <f>IF(OR(O148="",P148=""),"",IF(ISERROR(FIND("door",$A148))=FALSE,VLOOKUP(KitchenDoorStyle,FixedListsDoorStyle,2,0),0))</f>
        <v/>
      </c>
      <c r="U148" s="156" t="str">
        <f>IF(OR(O148="",P148=""),"",IF(ISERROR(FIND("door",$A148))=FALSE,VLOOKUP(KitchenDoorMaterial,FixedListsDoorMaterial,2,0),0))</f>
        <v/>
      </c>
      <c r="V148" s="156" t="str">
        <f>IF(OR(O148="",P148=""),"",IF(ISERROR(FIND("drawer",$A148))=FALSE,VLOOKUP(KitchenDrawerType,FixedListsDrawerType,2,0),0))</f>
        <v/>
      </c>
      <c r="W148" s="156" t="str">
        <f>IF(OR(O148="",P148=""),"",IF(OR(S148&gt;0, T148&gt;0,V148&gt;0),VLOOKUP(KitchenHandleType,FixedListsHandleType,2,FALSE)*IF(KitchenHandleType="Simple",0,IF(S148&gt;0,VLOOKUP(KitchenHandleType,FixedListsHandleType,4,FALSE),IF(OR(T148&gt;0,V148&gt;0),1-VLOOKUP(KitchenHandleType,FixedListsHandleType,4,FALSE),"Error"))),0))</f>
        <v/>
      </c>
      <c r="X148" s="156" t="str">
        <f t="shared" si="5"/>
        <v/>
      </c>
      <c r="Y148" s="156" t="str">
        <f>IF(OR(O148="",P148=""),"",IF(OR(ISERROR(FIND("carcass",$A148))=FALSE,ISERROR(FIND("unit",$A148))=FALSE),VLOOKUP(KitchenCarcassMaterial,FixedListsCarcassMaterial,3,0),0))</f>
        <v/>
      </c>
      <c r="Z148" s="156" t="str">
        <f>IF(OR(O148="",P148=""),"",IF(ISERROR(FIND("door",$A148))=FALSE,VLOOKUP(KitchenDoorStyle,FixedListsDoorStyle,3,0),0))</f>
        <v/>
      </c>
      <c r="AA148" s="156" t="str">
        <f>IF(OR(O148="",P148=""),"",IF(ISERROR(FIND("door",$A148))=FALSE,VLOOKUP(KitchenDoorMaterial,FixedListsDoorMaterial,3,0),0))</f>
        <v/>
      </c>
      <c r="AB148" s="156" t="str">
        <f>IF(OR(O148="",P148=""),"",IF(ISERROR(FIND("drawer",$A148))=FALSE,VLOOKUP(KitchenDrawerType,FixedListsDrawerType,3,0),0))</f>
        <v/>
      </c>
      <c r="AC148" s="156" t="str">
        <f>IF(OR(O148="",P148=""),"",IF(OR(Y148&gt;0,Z148&gt;0,AB148&gt;0),VLOOKUP(KitchenHandleType,FixedListsHandleType,3,FALSE),0))</f>
        <v/>
      </c>
      <c r="AD148" s="156" t="str">
        <f>IF(OR(O148="",P148=""),"",IF(OR(ISERROR(FIND("carcass",$A148))=FALSE,ISERROR(FIND("unit",$A148))=FALSE),VLOOKUP(KitchenCarcassFinish,FixedListsFinishes,3,0),IF(OR(ISERROR(FIND("door",$A148))=FALSE,ISERROR(FIND("Plinth",$A148))=FALSE,ISERROR(FIND("Cornice",$A148))=FALSE,ISERROR(FIND("Fillers",$A148))=FALSE,ISERROR(FIND("Pelmet",$A148))=FALSE,ISERROR(FIND("panel",$A148))=FALSE,ISERROR(FIND("post",$A148))=FALSE),VLOOKUP(KitchenDoorFinish,FixedListsFinishes,3,0),IF(OR(ISERROR(FIND("drawer",$A148))=FALSE,ISERROR(FIND("insert",$A148))=FALSE,ISERROR(FIND("rck",$A148))=FALSE),VLOOKUP(KitchenCarcassFinish,FixedListsFinishes,3,0),0))))</f>
        <v/>
      </c>
      <c r="AE148" s="156" t="str">
        <f t="shared" si="6"/>
        <v/>
      </c>
      <c r="AF148" s="157" t="str">
        <f>IF(AND(KitchenHandleType="Channel",OR(ISERROR(FIND("arcass",$A148))=FALSE,ISERROR(FIND("unit",$A148))=FALSE)),IF(ISERROR(FIND("Tower",$A148))=TRUE,IF(KitchenHandleFinish="Match carcass",IF(ISERROR(FIND("Walnut",KitchenCarcassMaterial))=FALSE,(0.035*0.075*($C148/1000))*VLOOKUP("Walnut (solid m3)",SolidData,4,FALSE),IF(ISERROR(FIND("Oak",KitchenCarcassMaterial))=FALSE,(0.035*0.075*($C148/1000))*VLOOKUP("Oak (solid m3)",SolidData,4,FALSE),IF(ISERROR(FIND("ply",KitchenCarcassMaterial))=FALSE,(0.1*($C148/1000))*VLOOKUP("Birch ply (24mm)",SheetsData,7,FALSE),IF(ISERROR(FIND("H/F",KitchenCarcassMaterial))=FALSE,(0.1*($C148/1000))*VLOOKUP("H/F (22mm)",SheetsData,7,FALSE),"Carcass - not tower - new material")))),IF(KitchenHandleFinish="Match door",IF(ISERROR(FIND("Walnut",KitchenDoorMaterial))=FALSE,(0.035*0.075*($C148/1000))*VLOOKUP("Walnut (solid m3)",SolidData,4,FALSE),IF(ISERROR(FIND("Oak",KitchenDoorMaterial))=FALSE,(0.035*0.075*($C148/1000))*VLOOKUP("Oak (solid m3)",SolidData,4,FALSE),IF(ISERROR(FIND("ply",KitchenDoorMaterial))=FALSE,(0.1*($C148/1000))*VLOOKUP("Birch ply (24mm)",SheetsData,7,FALSE),IF(ISERROR(FIND("H/F",KitchenCarcassMaterial))=FALSE,(0.1*($C148/1000))*VLOOKUP("H/F (22mm)",SheetsData,7,FALSE),"Door - not tower - new material")))),"Channel - not tower - handle set to other")),IF(ISERROR(FIND("Tower",$A148))=FALSE,IF(KitchenHandleFinish="Match carcass",IF(ISERROR(FIND("Walnut",KitchenCarcassMaterial))=FALSE,(0.035*0.075*($B148/1000))*VLOOKUP("Walnut (solid m3)",SolidData,4,FALSE),IF(ISERROR(FIND("Oak",KitchenCarcassMaterial))=FALSE,(0.035*0.075*($B148/1000))*VLOOKUP("Oak (solid m3)",SolidData,4,FALSE),IF(ISERROR(FIND("ply",KitchenCarcassMaterial))=FALSE,(0.1*($B148/1000))*VLOOKUP("Birch ply (24mm)",SheetsData,7,FALSE),IF(ISERROR(FIND("H/F",KitchenCarcassMaterial))=FALSE,(0.1*($C148/1000))*VLOOKUP("H/F (22mm)",SheetsData,7,FALSE),"Carcass - tower - new material")))),IF(KitchenHandleFinish="Match door",IF(ISERROR(FIND("Walnut",KitchenDoorMaterial))=FALSE,(0.035*0.075*($B148/1000))*VLOOKUP("Walnut (solid m3)",SolidData,4,FALSE),IF(ISERROR(FIND("Oak",KitchenDoorMaterial))=FALSE,(0.035*0.075*($B148/1000))*VLOOKUP("Oak (solid m3)",SolidData,4,FALSE),IF(ISERROR(FIND("ply",KitchenDoorMaterial))=FALSE,(0.1*($B148/1000))*VLOOKUP("Birch ply (24mm)",SheetData,7,FALSE),IF(ISERROR(FIND("H/F",KitchenCarcassMaterial))=FALSE,(0.1*($C148/1000))*VLOOKUP("H/F (22mm)",SheetsData,7,FALSE),"Door - tower - new material")))),"Channel - tower - handle set to other")))),"")</f>
        <v/>
      </c>
    </row>
    <row r="149">
      <c r="A149" s="150"/>
      <c r="B149" s="115" t="str">
        <f t="shared" si="1"/>
        <v/>
      </c>
      <c r="C149" s="115" t="str">
        <f>IFERROR(__xludf.DUMMYFUNCTION("IF(A149="""","""",IF(OR(RIGHT(A149,LEN(A149)-len(regexextract(A149,"".* "")))=""1200"",RIGHT(A149,LEN(A149)-len(regexextract(A149,"".* "")))=""600"",RIGHT(A149,LEN(A149)-len(regexextract(A149,"".* "")))=""400"",RIGHT(A149,LEN(A149)-len(regexextract(A149,"&amp;""".* "")))=""300"",RIGHT(A149,LEN(A149)-len(regexextract(A149,"".* "")))=""700"",RIGHT(A149,LEN(A149)-len(regexextract(A149,"".* "")))=""2400"",RIGHT(A149,LEN(A149)-len(regexextract(A149,"".* "")))=""650"",RIGHT(A149,LEN(A149)-len(regexextract(A149,"".* "&amp;""")))=""350"",RIGHT(A149,LEN(A149)-len(regexextract(A149,"".* "")))=""50""),RIGHT(A149,LEN(A149)-len(regexextract(A149,"".* ""))),IF(OR(ISERROR(FIND(""spacer"",A149))=FALSE,ISERROR(FIND(""filler panel"",A149))=FALSE),""1000"",""Unexpected size in descript"&amp;"ion"")))"),"")</f>
        <v/>
      </c>
      <c r="D149" s="151" t="str">
        <f t="shared" si="2"/>
        <v/>
      </c>
      <c r="E149" s="152" t="str">
        <f>IFERROR(__xludf.DUMMYFUNCTION("IF(OR(A149="""",AND(ISERROR(FIND(""drawer box"",A149))=FALSE,KitchenDrawerType="""")),"""",IF(OR(ISERROR(FIND(""larder"",A149))=FALSE,ISERROR(FIND(""fridge/freezer"",A149))=FALSE,ISERROR(FIND(""double oven"",A149))=FALSE,ISERROR(FIND(""single oven"",A149)"&amp;")=FALSE),VLOOKUP(LEFT(A149,FIND("" "",A149))&amp;""carcass ""&amp;RIGHT(A149,LEN(A149)-(LEN(A149)-3)),KitchensData,5,0),IF(ISERROR(FIND(""sink"",A149))=FALSE,VLOOKUP(LEFT(A149,FIND("" "",A149))&amp;""carcass ""&amp;VALUE(REGEXREPLACE(A149,""[^[:digit:]]"", """")),Kitchen"&amp;"sData,5,0)+(((C149/1000)*(300/1000))*VLOOKUP(KitchenCarcassMaterial,SheetsData,8,0)),IF(ISERROR(FIND(""bins"",A149))=FALSE,IF(ISERROR(FIND(""veneer"",KitchenCarcassMaterial))=FALSE,VLOOKUP(""Base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600"",A149))=FALSE,IF(ISERR"&amp;"OR(FIND(""veneer"",KitchenCarcassMaterial))=FALSE,0.54*(VLOOKUP(LEFT(KitchenCarcassMaterial,FIND(""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1"&amp;"200"",A149))=FALSE,IF(ISERROR(FIND(""veneer"",KitchenCarcassMaterial))=FALSE,0.84*(VLOOKUP(LEFT(KitchenCarcassMaterial,FIND(""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600"",A149))=FALSE,IF(ISERROR(FIND(""veneer"",KitchenCarcassMaterial))=FALSE,1.44*(VLOOKUP(LEFT(KitchenCarcassMaterial,FIND(""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1200"",A149))=FALSE,IF(ISERROR(FIND(""veneer"",KitchenCarcassMaterial))=FALSE,2.7*(VLOOKUP(LEFT(KitchenCarcassMaterial,FIND(""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front"",A149))=FALSE,((B149/1000)*(C149/1000))*VLOOKUP(KitchenDoorMaterial,SheetsData,8,0),IF(AND(KitchenDrawerType=""Match carcass"",ISERROR(FIND(""drawer box"",A149))=FALSE),(((((B149/10"&amp;"00)*(C149/1000))+((B149/1000)*(D149/1000)))*2)*VLOOKUP(KitchenCarcassMaterial,SheetsData,8,0))+(((C149/1000)*(D149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box"",A149))=FALSE),(((((B149/1000)*(C149/1000))+((B149/1000)*(D149/1000)))*2)*(16/1000)*VLOOKUP(L"&amp;"EFT(KitchenCarcassMaterial,FIND("" "",KitchenCarcassMaterial))&amp;""(solid m3)"",SolidData,5,0))+(((C149/1000)*(D149/1000))*VLOOKUP(LEFT(KitchenCarcassMaterial,FIND(""("",KitchenCarcassMaterial)-1)&amp;IF(OR(ISERROR(FIND(""ply"",KitchenCarcassMaterial))=FALSE,IS"&amp;"ERROR(FIND(""H/F"",KitchenCarcassMaterial))=FALSE),""(9mm)"",""(10mm)""),SheetsData,8,0)),IF(ISERROR(FIND(""spacer"",A149))=FALSE,((D149/1000)*(C149/1000))*VLOOKUP(""Poplar ply (18mm)"",SheetsData,8,0),IF(ISERROR(FIND(""filler panel"",A149))=FALSE,((B149/"&amp;"1000)*(C149/1000))*VLOOKUP(KitchenDoorMaterial,SheetsData,8,0),IF(ISERROR(FIND(""shelf"",A149))=FALSE,((D149/1000)*(C149/1000))*VLOOKUP(KitchenCarcassMaterial,SheetsData,8,0),IF(ISERROR(FIND(""lost corner"",A149))=FALSE,VLOOKUP(LEFT(A149,FIND("" "",A149))"&amp;"&amp;""carcass ""&amp;VALUE(REGEXREPLACE(A149,""[^[:digit:]]"", """")),KitchensData,5,0)+((((B149/1000)*(C149/1000))+((B149/1000)*(60/1000)))*VLOOKUP(KitchenCarcassMaterial,SheetsData,8,0)),IF(ISERROR(FIND(""carcass"",A149))=FALSE,(((((B149/1000)*2)*(D149/1000))+"&amp;"(((C149/1000)*2)*(D149/1000)))*VLOOKUP(KitchenCarcassMaterial,SheetsData,8,0))+((B149/1000)*(C149/1000))*VLOOKUP(LEFT(KitchenCarcassMaterial,FIND(""("",KitchenCarcassMaterial)-1)&amp;IF(OR(ISERROR(FIND(""ply"",KitchenCarcassMaterial))=FALSE,ISERROR(FIND(""H/F"&amp;""",KitchenCarcassMaterial))=FALSE),""(9mm)"",""(10mm)""),SheetsData,8,0),IF(OR(ISERROR(FIND(""Plinth"",A149))=FALSE,ISERROR(FIND(""Cornice (flat)"",A149))=FALSE),((B149/1000)*(C149/1000))*VLOOKUP(""H/F (18mm)"",SheetsData,8,0),IF(ISERROR(FIND(""Cornice (s"&amp;"tacked)"",A149))=FALSE,((0.08*(C149/1000))*2)*VLOOKUP(""H/F (22mm)"",SheetsData,8,0),IF(ISERROR(FIND(""Base end panel"",A149))=FALSE,VLOOKUP(KitchenDoorMaterial,SheetsData,5,0)/3,IF(ISERROR(FIND(""Wall end panel"",A149))=FALSE,VLOOKUP(KitchenDoorMaterial,"&amp;"SheetsData,5,0)/9,IF(ISERROR(FIND(""Tower end panel"",A149))=FALSE,VLOOKUP(KitchenDoorMaterial,SheetsData,5,0),IF(ISERROR(FIND(""Fillers"",A149))=FALSE,(((0.06*(C149/1000))*2)*VLOOKUP(""H/F (18mm)"",SheetsData,8,0))+(((0.06*(C149/1000))*2)*VLOOKUP(""H/F ("&amp;"9mm)"",SheetsData,8,0)),IF(ISERROR(FIND(""corner post"",A149))=FALSE,(((B149/1000)*0.05)*2)*VLOOKUP(KitchenDoorMaterial,SheetsData,8,0),IF(ISERROR(FIND(""Pelmet"",A149))=FALSE,((((B149/1000)*(C149/1000))*2)*VLOOKUP(""H/F (18mm)"",SheetsData,8,0)),IF(ISERR"&amp;"OR(FIND(""door"",A149))=TRUE,""Check description"",IF(KitchenDoorStyle=""Flat"",((B149/1000)*(C149/1000))*VLOOKUP(KitchenDoorMaterial,SheetsData,8,0),IF(LEFT(KitchenDoorStyle,5)=""Panel"",(((((B149/1000)*2)*0.08)+((((C149/1000)-0.16)*2)*0.08))*VLOOKUP(""H"&amp;"/F (22mm)"",SheetsData,8,0))+(((B149/1000)-0.14)*((C149/1000)-0.14)*VLOOKUP(""H/F (9mm)"",SheetsData,8,0)),IF(KitchenDoorStyle=""In-frame flat"",((((((B149/1000)*0.019)*0.038)+((((C149-38)/1000)*0.038)*0.038))*2)*VLOOKUP(""Tulip (solid m3)"",SolidData,5,0"&amp;"))+(((B149-76)/1000)*((C149-38)/1000))*VLOOKUP(""H/F (22mm)"",SheetsData,8,0),IF(LEFT(KitchenDoorStyle,14)=""In-frame panel"",(((((((B149/1000)*0.019)*0.038)+((((C149-38)/1000)*0.038)*0.038))*2)*VLOOKUP(""Tulip (solid m3)"",SolidData,5,0))+(((((((B149-76)"&amp;"/1000)*2)*0.08)+(((((C149-198)/1000)*2)*0.08)))*VLOOKUP(""H/F (22mm)"",SheetsData,8,0))+(((B149-216)/1000)*((C149-178)/1000)*VLOOKUP(""H/F (9mm)"",SheetsData,8,0)))))))))))))))))))))))))))))))))"),"")</f>
        <v/>
      </c>
      <c r="F149" s="152" t="str">
        <f>IFERROR(__xludf.DUMMYFUNCTION("IF(OR(A149="""",AND(ISERROR(FIND(""drawer box"",A149))=FALSE,KitchenDrawerType=""Solid dovetail"")),"""",IF(ISERROR(FIND(""bins"",A149))=FALSE,VLOOKUP(""Base carcass 600"",KitchensData,6,0),IF(OR(ISERROR(FIND(""larder"",A149))=FALSE,ISERROR(FIND(""unit"","&amp;"A149))=FALSE),VLOOKUP(LEFT(A149,FIND("" "",A149))&amp;""carcass ""&amp;RIGHT(A149,LEN(A149)-len(regexextract(A149,"".* ""))),KitchensData,6,0),IF(ISERROR(FIND(""drawer front"",A149))=FALSE,IF(ISERROR(FIND(""veneer"",KitchenCarcassMaterial))=TRUE,0,(((B149+C149)/1"&amp;"000)*2)*VLOOKUP(""Edge banding (per M)"",SheetsData,5,0)),IF(ISERROR(FIND(""drawer box"",A149))=FALSE,IF(ISERROR(FIND(""veneer"",KitchenCarcassMaterial))=TRUE,0,(((C149+D149)/1000)*2)*VLOOKUP(""Edge banding (per M)"",SheetsData,5,0)),IF(ISERROR(FIND(""she"&amp;"lf"",A149))=FALSE,IF(ISERROR(FIND(""veneer"",KitchenCarcassMaterial))=TRUE,0,(C149/1000)*VLOOKUP(""Edge banding (per M)"",SheetsData,5,0)),IF(AND(ISERROR(FIND(""carcass"",A149))=FALSE,ISERROR(FIND(""shelf"",A149))=TRUE),IF(ISERROR(FIND(""veneer"",KitchenC"&amp;"arcassMaterial))=TRUE,0,((2*(B149+C149))/1000)*VLOOKUP(""Edge banding (per M)"",SheetsData,5,0)),IF(ISERROR(FIND(""door"",A149))=TRUE,"""",IF(ISERROR(FIND(""veneer"",KitchenDoorMaterial))=TRUE,"""",((2*(B149+C149))/1000)*VLOOKUP(""Edge banding (per M)"",S"&amp;"heetsData,5,0))))))))))"),"")</f>
        <v/>
      </c>
      <c r="G149" s="153" t="str">
        <f>IF(A149="","",IF(ISERROR(FIND("bins",A149))=FALSE,VLOOKUP("Base carcass 600",KitchensData,7,0),IF(OR(ISERROR(FIND("larder",A149))=FALSE,ISERROR(FIND("fridge/freezer",A149))=FALSE,ISERROR(FIND("double oven",A149))=FALSE,ISERROR(FIND("single oven",A149))=FALSE),VLOOKUP(LEFT(A149,FIND(" ",A149))&amp;"carcass "&amp;RIGHT(A149,LEN(A149)-(LEN(A149)-3)),KitchensData,7,0),IF(AND(ISERROR(FIND("carcass",A149))=FALSE,ISERROR(FIND("shelf",A149))=TRUE),IF(OR(ISERROR(FIND("Base",A149))=FALSE,ISERROR(FIND("Tower",A149))=FALSE),IF(OR(ISERROR(FIND("1200",A149))=FALSE, ISERROR(FIND("lost corner",A149))=FALSE),6*VLOOKUP("Plinth foot (2 Parts 80mm)",FurnitureData,5,0),4*VLOOKUP("Plinth foot (2 Parts 80mm)",FurnitureData,5,0)),""),""))))</f>
        <v/>
      </c>
      <c r="H149" s="115" t="str">
        <f>IF(OR(A149="",ISERROR(FIND("door",A149))=TRUE),"",IF(ISERROR(FIND("Wall",A149))=FALSE,VLOOKUP("Hinges &amp; plates (Hettich thick door)",FurnitureData,5,0)*2,IF(ISERROR(FIND("Base",A149))=FALSE,VLOOKUP("Hinges &amp; plates (Hettich thick door)",FurnitureData,5,0)*3,IF(ISERROR(FIND("Boiler",A149))=FALSE,VLOOKUP("Hinges &amp; plates (Hettich thick door)",FurnitureData,5,0)*4,IF(ISERROR(FIND("Tower",A149))=FALSE,VLOOKUP("Hinges &amp; plates (Hettich thick door)",FurnitureData,5,0)*5)))))</f>
        <v/>
      </c>
      <c r="I149" s="115" t="str">
        <f>IF(ISERROR(FIND("shelf",A149))=FALSE,(VLOOKUP("Shelf pegs",FurnitureData,5,0)/100)*4,"")</f>
        <v/>
      </c>
      <c r="J149" s="152" t="str">
        <f>IF(OR(ISERROR(FIND("fridge/freezer",A149))=FALSE,ISERROR(FIND("larder",A149))=FALSE,AND(ISERROR(FIND("Base",A149))=FALSE,ISERROR(FIND("bins",A149))=TRUE,ISERROR(FIND("no shelves",A149))=TRUE,OR(ISERROR(FIND("carcass",A149))=FALSE,ISERROR(FIND("unit",A149))=FALSE))),VLOOKUP("Deep shelf "&amp;C149,KitchensData,18,0),IF(AND(ISERROR(FIND("Wall",A149))=FALSE,ISERROR(FIND("carcass",A149))=FALSE),2*VLOOKUP("Shallow shelf "&amp;C149,KitchensData,18,0),IF(AND(ISERROR(FIND("Tower",A149))=FALSE,ISERROR(FIND("oven",A149))=FALSE),4*VLOOKUP("Deep shelf "&amp;C149,KitchensData,18,0),IF(AND(ISERROR(FIND("Tower",A149))=FALSE,ISERROR(FIND("carcass",A149))=FALSE),5*VLOOKUP("Deep shelf "&amp;C149,KitchensData,18,0),""))))</f>
        <v/>
      </c>
      <c r="K149" s="152" t="str">
        <f>IF(ISERROR(FIND("sink",A149))=FALSE,VLOOKUP("Sink liner - Aluminium "&amp;RIGHT(A149,LEN(A149)-22)&amp;"mm",ExceptionalData,5,0),IF(ISERROR(FIND("bins",A149))=FALSE,VLOOKUP("Drawer runners and clip set for bin unit (500) Dynapro",FurnitureData,5,0)+(2*VLOOKUP("Bin (42L Anthracite)",FurnitureData,5,0)),IF(ISERROR(FIND("larder",A149))=FALSE,VLOOKUP("Pull out larder unit 600mm",FurnitureData,5,0),IF(AND(ISERROR(FIND("drawer box",A149))=FALSE,ISERROR(FIND("internal",A149))=TRUE),VLOOKUP("Drawer runners and clip set (550) Dynapro",FurnitureData,5,0),IF(ISERROR(FIND("internal drawer box",A149))=FALSE,VLOOKUP("Drawer runners and clip set (450) Dynapro",FurnitureData,5,0),"")))))</f>
        <v/>
      </c>
      <c r="L149" s="152" t="str">
        <f t="shared" si="3"/>
        <v/>
      </c>
      <c r="M149" s="154" t="str">
        <f>IFERROR(__xludf.DUMMYFUNCTION("IF(A149="""","""",IF(OR(ISERROR(FIND(""larder"",A149))=FALSE,ISERROR(FIND(""unit"",A149))=FALSE),VLOOKUP(LEFT(A149,FIND("" "",A149))&amp;""carcass ""&amp;RIGHT(A149,LEN(A149)-len(regexextract(A149,"".* ""))),KitchensData,13,0),IF(ISERROR(FIND(""bins"",A149))=FALS"&amp;"E,0.95,IF(ISERROR(FIND(""Cutlery insert 600"",A149))=FALSE,1.3,IF(ISERROR(FIND(""Cutlery insert 1200"",A149))=FALSE,2,IF(ISERROR(FIND(""Pan/tray rack 600"",A149))=FALSE,3.25,IF(ISERROR(FIND(""Pan/tray rack 1200"",A149))=FALSE,5.9,IF(ISERROR(FIND(""split"""&amp;",A149))=FALSE,(((C149/1000)*0.022)*2)+VLOOKUP(SUBSTITUTE(A149,"" split"",""""),KitchensData,13,0),IF(AND(ISERROR(FIND(""drawer front"",A149))=FALSE,KitchenDoorStyle=""Flat""),(((B149/1000)*(C149/1000))*2)+((((B149+C149)/1000)*2)*0.022),IF(AND(ISERROR(FIND"&amp;"(""drawer front"",A149))=FALSE,LEFT(KitchenDoorStyle,5)=""Panel""),(((B149/1000)*(C149/1000))*2)+((((B149+C149)/1000)*2)*0.022)+((((C149/1000)-0.16)*0.013)*2)+((((D149/1000)-0.16)*0.013)*2),IF(AND(ISERROR(FIND(""drawer front"",A149))=FALSE,KitchenDoorStyl"&amp;"e=""In-frame flat""),((((B149-76)/1000)*((C149-38)/1000))*2)+(MID(KitchenDoorMaterial,FIND(""("",KitchenDoorMaterial)+1,2)/1000)*((((B149-76)+(C149-38))/1000)*2)+(((B149/1000)*0.032)*2)+((((B149-76)/1000)*0.032)*2)+(((B149/1000)*0.019)*4)+(((C149/1000)*0."&amp;"032)*2)+((((C149-38)/1000)*0.032)*2)+(((C149/1000)*0.038)*4),IF(AND(ISERROR(FIND(""drawer front"",A149))=FALSE,LEFT(KitchenDoorStyle,14)=""In-frame panel""),((((B149-76)/1000)*((C149-38)/1000))*2)+((MID(KitchenDoorMaterial,FIND(""("",KitchenDoorMaterial)+"&amp;"1,2)/1000)*((((B149-76)+(C149-38))/1000)*2))+((((B149-236)/1000)+((C149-198)/1000)*2)*0.013)+(((B149/1000)*0.032)*2)+((((B149-76)/1000)*0.032)*2)+(((B149/1000)*0.019)*4)+(((C149/1000)*0.032)*2)+((((C149-38)/1000)*0.032)*2)+(((C149/1000)*0.038)*4),IF(ISERR"&amp;"OR(FIND(""drawer box"",A149))=FALSE,((((B149/1000)*(D149/1000))+((B149/1000)*(C149/1000)))*4)+((((D149/1000)+(C149/1000))*0.016)*4)+(((C149/1000)*(D149/1000))*2),IF(OR(ISERROR(FIND(""shelf"",A149))=FALSE,ISERROR(FIND(""spacer"",A149))=FALSE,,ISERROR(FIND("&amp;"""filler panel"",A149))=FALSE),(((C149/1000)*(D149/1000))*2)+((((C149+D149)*2)/1000)*0.022),IF(ISERROR(FIND(""lost corner"",A149))=FALSE,(((B149/1000)*(C149/1000))*2)+((B149/1000)*(C149/1000))+((B149/1000)*((C149/2)/1000))+((((B149/1000)*0.025)+((C149/100"&amp;"0)*0.025))*2),IF(ISERROR(FIND(""carcass"",A149))=FALSE,(((C149/1000)*(D149/1000))*2)+(((B149/1000)*(D149/1000))*2)+((B149/1000)*(C149/1000))+((((B149/1000)*0.025)+((C149/1000)*0.025))*2),IF(AND(ISERROR(FIND(""door"",A149))=FALSE,KitchenDoorStyle=""Flat"")"&amp;",(((B149/1000)*(C149/1000))*2)+(MID(KitchenDoorMaterial,FIND(""("",KitchenDoorMaterial)+1,2)/1000)*(((B149+C149)/1000)*2),IF(AND(ISERROR(FIND(""door"",A149))=FALSE,LEFT(KitchenDoorStyle,5)=""Panel""),(((B149/1000)*(C149/1000))*2)+((MID(KitchenDoorMaterial"&amp;",FIND(""("",KitchenDoorMaterial)+1,2)/1000)*(((B149+C149)/1000)*2))+(((((B149-160)+(C149-160))*2)/1000)*(0.013)),IF(AND(ISERROR(FIND(""door"",A149))=FALSE,KitchenDoorStyle=""In-frame flat""),((((B149-76)/1000)*((C149-38)/1000))*2)+(MID(KitchenDoorMaterial"&amp;",FIND(""("",KitchenDoorMaterial)+1,2)/1000)*((((B149-76)+(C149-38))/1000)*2)+(((B149/1000)*0.032)*2)+((((B149-76)/1000)*0.032)*2)+(((B149/1000)*0.019)*4)+(((C149/1000)*0.032)*2)+((((C149-38)/1000)*0.032)*2)+(((C149/1000)*0.038)*4),IF(AND(ISERROR(FIND(""do"&amp;"or"",A149))=FALSE,LEFT(KitchenDoorStyle,14)=""In-frame panel""),((((B149-76)/1000)*((C149-38)/1000))*2)+((MID(KitchenDoorMaterial,FIND(""("",KitchenDoorMaterial)+1,2)/1000)*((((B149-76)+(C149-38))/1000)*2))+((((B149-236)/1000)+((C149-198)/1000)*2)*0.013)+"&amp;"(((B149/1000)*0.032)*2)+((((B149-76)/1000)*0.032)*2)+(((B149/1000)*0.019)*4)+(((C149/1000)*0.032)*2)+((((C149-38)/1000)*0.032)*2)+(((C149/1000)*0.038)*4),IF(ISERROR(FIND(""Plinth"",A149))=FALSE,((B149/1000)*(C149/1000))+(((C149/1000)*0.018)*2)+(((B149/100"&amp;"0)*0.018)*2),IF(ISERROR(FIND(""Cornice"",A149))=FALSE,(((C149/1000)*0.1)*2)+(((C149/1000)*0.044)*2)+(((B149/1000)*0.08)*2),IF(ISERROR(FIND(""Base end panel"",A149))=FALSE,((B149/1000)*(C149/1000))+(0.022*((B149/1000)+((C149/1000)*2)))+((B149/1000)*0.05),I"&amp;"F(ISERROR(FIND(""Wall end panel"",A149))=FALSE,((B149/1000)*(C149/1000))+(0.022*((B149/1000)+((C149/1000)*2)))+((B149/1000)*0.05),IF(ISERROR(FIND(""Tower end panel"",A149))=FALSE,((B149/1000)*(C149/1000))+(0.022*((B149/1000)+((C149/1000)*2)))+((B149/1000)"&amp;"*0.05),IF(ISERROR(FIND(""Fillers"",A149))=FALSE,((C149/1000)*0.06)+((C149/1000)*0.069)+((0.06*0.018)*2)+((0.06*0.009)*2)+((C149/1000)*0.009)+((C149/1000)*0.018),IF(ISERROR(FIND(""corner post"",A149))=FALSE,(((B149/1000*0.05)*2)+((B149/1000)*0.022)*2)+((B1"&amp;"49/1000)*0.072)+((B149/1000)*0.05)+((0.072*0.022)*2)+((0.05*0.022)*2),IF(ISERROR(FIND(""Pelmet"",A149))=FALSE,((C149/1000)*0.05)+((C149/1000)*0.068)+((0.05*0.018)*4)+(((C149/1000)*0.018))*2))))))))))))))))))))))))))))"),"")</f>
        <v/>
      </c>
      <c r="N149" s="152" t="str">
        <f>IF(M149="","",IF(AND(ISERROR(FIND("carcass",A149))=TRUE,ISERROR(FIND("unit",A149))=TRUE,ISERROR(FIND("insert",A149))=TRUE,ISERROR(FIND("rack",A149))=TRUE,ISERROR(FIND("box",A149))=TRUE,ISERROR(FIND("shelf",#REF!))=TRUE),VLOOKUP(KitchenDoorFinish,Finishing!$A$2:$K$10,9,0)*M149,VLOOKUP(KitchenCarcassFinish,Finishing!$A$2:$K$40,9,0)*M149))</f>
        <v/>
      </c>
      <c r="O149" s="155"/>
      <c r="P149" s="155"/>
      <c r="Q149" s="152" t="str">
        <f>IF(OR(O149="",P149=""),"",((O149*X149)*(VLOOKUP("Workshop",Labour!$A$3:$E$20,4,0)/8))+((P149*AE149)*(VLOOKUP("Finishing",Labour!$A$3:$E$20,4,0)/8)))</f>
        <v/>
      </c>
      <c r="R149" s="152" t="str">
        <f t="shared" si="4"/>
        <v/>
      </c>
      <c r="S149" s="156" t="str">
        <f>IF(OR(O149="",P149=""),"",IF(OR(ISERROR(FIND("carcass",$A149))=FALSE,ISERROR(FIND("unit",$A149))=FALSE),VLOOKUP(KitchenCarcassMaterial,FixedListsCarcassMaterial,2,0),0))</f>
        <v/>
      </c>
      <c r="T149" s="156" t="str">
        <f>IF(OR(O149="",P149=""),"",IF(ISERROR(FIND("door",$A149))=FALSE,VLOOKUP(KitchenDoorStyle,FixedListsDoorStyle,2,0),0))</f>
        <v/>
      </c>
      <c r="U149" s="156" t="str">
        <f>IF(OR(O149="",P149=""),"",IF(ISERROR(FIND("door",$A149))=FALSE,VLOOKUP(KitchenDoorMaterial,FixedListsDoorMaterial,2,0),0))</f>
        <v/>
      </c>
      <c r="V149" s="156" t="str">
        <f>IF(OR(O149="",P149=""),"",IF(ISERROR(FIND("drawer",$A149))=FALSE,VLOOKUP(KitchenDrawerType,FixedListsDrawerType,2,0),0))</f>
        <v/>
      </c>
      <c r="W149" s="156" t="str">
        <f>IF(OR(O149="",P149=""),"",IF(OR(S149&gt;0, T149&gt;0,V149&gt;0),VLOOKUP(KitchenHandleType,FixedListsHandleType,2,FALSE)*IF(KitchenHandleType="Simple",0,IF(S149&gt;0,VLOOKUP(KitchenHandleType,FixedListsHandleType,4,FALSE),IF(OR(T149&gt;0,V149&gt;0),1-VLOOKUP(KitchenHandleType,FixedListsHandleType,4,FALSE),"Error"))),0))</f>
        <v/>
      </c>
      <c r="X149" s="156" t="str">
        <f t="shared" si="5"/>
        <v/>
      </c>
      <c r="Y149" s="156" t="str">
        <f>IF(OR(O149="",P149=""),"",IF(OR(ISERROR(FIND("carcass",$A149))=FALSE,ISERROR(FIND("unit",$A149))=FALSE),VLOOKUP(KitchenCarcassMaterial,FixedListsCarcassMaterial,3,0),0))</f>
        <v/>
      </c>
      <c r="Z149" s="156" t="str">
        <f>IF(OR(O149="",P149=""),"",IF(ISERROR(FIND("door",$A149))=FALSE,VLOOKUP(KitchenDoorStyle,FixedListsDoorStyle,3,0),0))</f>
        <v/>
      </c>
      <c r="AA149" s="156" t="str">
        <f>IF(OR(O149="",P149=""),"",IF(ISERROR(FIND("door",$A149))=FALSE,VLOOKUP(KitchenDoorMaterial,FixedListsDoorMaterial,3,0),0))</f>
        <v/>
      </c>
      <c r="AB149" s="156" t="str">
        <f>IF(OR(O149="",P149=""),"",IF(ISERROR(FIND("drawer",$A149))=FALSE,VLOOKUP(KitchenDrawerType,FixedListsDrawerType,3,0),0))</f>
        <v/>
      </c>
      <c r="AC149" s="156" t="str">
        <f>IF(OR(O149="",P149=""),"",IF(OR(Y149&gt;0,Z149&gt;0,AB149&gt;0),VLOOKUP(KitchenHandleType,FixedListsHandleType,3,FALSE),0))</f>
        <v/>
      </c>
      <c r="AD149" s="156" t="str">
        <f>IF(OR(O149="",P149=""),"",IF(OR(ISERROR(FIND("carcass",$A149))=FALSE,ISERROR(FIND("unit",$A149))=FALSE),VLOOKUP(KitchenCarcassFinish,FixedListsFinishes,3,0),IF(OR(ISERROR(FIND("door",$A149))=FALSE,ISERROR(FIND("Plinth",$A149))=FALSE,ISERROR(FIND("Cornice",$A149))=FALSE,ISERROR(FIND("Fillers",$A149))=FALSE,ISERROR(FIND("Pelmet",$A149))=FALSE,ISERROR(FIND("panel",$A149))=FALSE,ISERROR(FIND("post",$A149))=FALSE),VLOOKUP(KitchenDoorFinish,FixedListsFinishes,3,0),IF(OR(ISERROR(FIND("drawer",$A149))=FALSE,ISERROR(FIND("insert",$A149))=FALSE,ISERROR(FIND("rck",$A149))=FALSE),VLOOKUP(KitchenCarcassFinish,FixedListsFinishes,3,0),0))))</f>
        <v/>
      </c>
      <c r="AE149" s="156" t="str">
        <f t="shared" si="6"/>
        <v/>
      </c>
      <c r="AF149" s="157" t="str">
        <f>IF(AND(KitchenHandleType="Channel",OR(ISERROR(FIND("arcass",$A149))=FALSE,ISERROR(FIND("unit",$A149))=FALSE)),IF(ISERROR(FIND("Tower",$A149))=TRUE,IF(KitchenHandleFinish="Match carcass",IF(ISERROR(FIND("Walnut",KitchenCarcassMaterial))=FALSE,(0.035*0.075*($C149/1000))*VLOOKUP("Walnut (solid m3)",SolidData,4,FALSE),IF(ISERROR(FIND("Oak",KitchenCarcassMaterial))=FALSE,(0.035*0.075*($C149/1000))*VLOOKUP("Oak (solid m3)",SolidData,4,FALSE),IF(ISERROR(FIND("ply",KitchenCarcassMaterial))=FALSE,(0.1*($C149/1000))*VLOOKUP("Birch ply (24mm)",SheetsData,7,FALSE),IF(ISERROR(FIND("H/F",KitchenCarcassMaterial))=FALSE,(0.1*($C149/1000))*VLOOKUP("H/F (22mm)",SheetsData,7,FALSE),"Carcass - not tower - new material")))),IF(KitchenHandleFinish="Match door",IF(ISERROR(FIND("Walnut",KitchenDoorMaterial))=FALSE,(0.035*0.075*($C149/1000))*VLOOKUP("Walnut (solid m3)",SolidData,4,FALSE),IF(ISERROR(FIND("Oak",KitchenDoorMaterial))=FALSE,(0.035*0.075*($C149/1000))*VLOOKUP("Oak (solid m3)",SolidData,4,FALSE),IF(ISERROR(FIND("ply",KitchenDoorMaterial))=FALSE,(0.1*($C149/1000))*VLOOKUP("Birch ply (24mm)",SheetsData,7,FALSE),IF(ISERROR(FIND("H/F",KitchenCarcassMaterial))=FALSE,(0.1*($C149/1000))*VLOOKUP("H/F (22mm)",SheetsData,7,FALSE),"Door - not tower - new material")))),"Channel - not tower - handle set to other")),IF(ISERROR(FIND("Tower",$A149))=FALSE,IF(KitchenHandleFinish="Match carcass",IF(ISERROR(FIND("Walnut",KitchenCarcassMaterial))=FALSE,(0.035*0.075*($B149/1000))*VLOOKUP("Walnut (solid m3)",SolidData,4,FALSE),IF(ISERROR(FIND("Oak",KitchenCarcassMaterial))=FALSE,(0.035*0.075*($B149/1000))*VLOOKUP("Oak (solid m3)",SolidData,4,FALSE),IF(ISERROR(FIND("ply",KitchenCarcassMaterial))=FALSE,(0.1*($B149/1000))*VLOOKUP("Birch ply (24mm)",SheetsData,7,FALSE),IF(ISERROR(FIND("H/F",KitchenCarcassMaterial))=FALSE,(0.1*($C149/1000))*VLOOKUP("H/F (22mm)",SheetsData,7,FALSE),"Carcass - tower - new material")))),IF(KitchenHandleFinish="Match door",IF(ISERROR(FIND("Walnut",KitchenDoorMaterial))=FALSE,(0.035*0.075*($B149/1000))*VLOOKUP("Walnut (solid m3)",SolidData,4,FALSE),IF(ISERROR(FIND("Oak",KitchenDoorMaterial))=FALSE,(0.035*0.075*($B149/1000))*VLOOKUP("Oak (solid m3)",SolidData,4,FALSE),IF(ISERROR(FIND("ply",KitchenDoorMaterial))=FALSE,(0.1*($B149/1000))*VLOOKUP("Birch ply (24mm)",SheetData,7,FALSE),IF(ISERROR(FIND("H/F",KitchenCarcassMaterial))=FALSE,(0.1*($C149/1000))*VLOOKUP("H/F (22mm)",SheetsData,7,FALSE),"Door - tower - new material")))),"Channel - tower - handle set to other")))),"")</f>
        <v/>
      </c>
    </row>
    <row r="150">
      <c r="A150" s="150"/>
      <c r="B150" s="115" t="str">
        <f t="shared" si="1"/>
        <v/>
      </c>
      <c r="C150" s="115" t="str">
        <f>IFERROR(__xludf.DUMMYFUNCTION("IF(A150="""","""",IF(OR(RIGHT(A150,LEN(A150)-len(regexextract(A150,"".* "")))=""1200"",RIGHT(A150,LEN(A150)-len(regexextract(A150,"".* "")))=""600"",RIGHT(A150,LEN(A150)-len(regexextract(A150,"".* "")))=""400"",RIGHT(A150,LEN(A150)-len(regexextract(A150,"&amp;""".* "")))=""300"",RIGHT(A150,LEN(A150)-len(regexextract(A150,"".* "")))=""700"",RIGHT(A150,LEN(A150)-len(regexextract(A150,"".* "")))=""2400"",RIGHT(A150,LEN(A150)-len(regexextract(A150,"".* "")))=""650"",RIGHT(A150,LEN(A150)-len(regexextract(A150,"".* "&amp;""")))=""350"",RIGHT(A150,LEN(A150)-len(regexextract(A150,"".* "")))=""50""),RIGHT(A150,LEN(A150)-len(regexextract(A150,"".* ""))),IF(OR(ISERROR(FIND(""spacer"",A150))=FALSE,ISERROR(FIND(""filler panel"",A150))=FALSE),""1000"",""Unexpected size in descript"&amp;"ion"")))"),"")</f>
        <v/>
      </c>
      <c r="D150" s="151" t="str">
        <f t="shared" si="2"/>
        <v/>
      </c>
      <c r="E150" s="152" t="str">
        <f>IFERROR(__xludf.DUMMYFUNCTION("IF(OR(A150="""",AND(ISERROR(FIND(""drawer box"",A150))=FALSE,KitchenDrawerType="""")),"""",IF(OR(ISERROR(FIND(""larder"",A150))=FALSE,ISERROR(FIND(""fridge/freezer"",A150))=FALSE,ISERROR(FIND(""double oven"",A150))=FALSE,ISERROR(FIND(""single oven"",A150)"&amp;")=FALSE),VLOOKUP(LEFT(A150,FIND("" "",A150))&amp;""carcass ""&amp;RIGHT(A150,LEN(A150)-(LEN(A150)-3)),KitchensData,5,0),IF(ISERROR(FIND(""sink"",A150))=FALSE,VLOOKUP(LEFT(A150,FIND("" "",A150))&amp;""carcass ""&amp;VALUE(REGEXREPLACE(A150,""[^[:digit:]]"", """")),Kitchen"&amp;"sData,5,0)+(((C150/1000)*(300/1000))*VLOOKUP(KitchenCarcassMaterial,SheetsData,8,0)),IF(ISERROR(FIND(""bins"",A150))=FALSE,IF(ISERROR(FIND(""veneer"",KitchenCarcassMaterial))=FALSE,VLOOKUP(""Base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600"",A150))=FALSE,IF(ISERR"&amp;"OR(FIND(""veneer"",KitchenCarcassMaterial))=FALSE,0.54*(VLOOKUP(LEFT(KitchenCarcassMaterial,FIND(""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1"&amp;"200"",A150))=FALSE,IF(ISERROR(FIND(""veneer"",KitchenCarcassMaterial))=FALSE,0.84*(VLOOKUP(LEFT(KitchenCarcassMaterial,FIND(""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600"",A150))=FALSE,IF(ISERROR(FIND(""veneer"",KitchenCarcassMaterial))=FALSE,1.44*(VLOOKUP(LEFT(KitchenCarcassMaterial,FIND(""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1200"",A150))=FALSE,IF(ISERROR(FIND(""veneer"",KitchenCarcassMaterial))=FALSE,2.7*(VLOOKUP(LEFT(KitchenCarcassMaterial,FIND(""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front"",A150))=FALSE,((B150/1000)*(C150/1000))*VLOOKUP(KitchenDoorMaterial,SheetsData,8,0),IF(AND(KitchenDrawerType=""Match carcass"",ISERROR(FIND(""drawer box"",A150))=FALSE),(((((B150/10"&amp;"00)*(C150/1000))+((B150/1000)*(D150/1000)))*2)*VLOOKUP(KitchenCarcassMaterial,SheetsData,8,0))+(((C150/1000)*(D150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box"",A150))=FALSE),(((((B150/1000)*(C150/1000))+((B150/1000)*(D150/1000)))*2)*(16/1000)*VLOOKUP(L"&amp;"EFT(KitchenCarcassMaterial,FIND("" "",KitchenCarcassMaterial))&amp;""(solid m3)"",SolidData,5,0))+(((C150/1000)*(D150/1000))*VLOOKUP(LEFT(KitchenCarcassMaterial,FIND(""("",KitchenCarcassMaterial)-1)&amp;IF(OR(ISERROR(FIND(""ply"",KitchenCarcassMaterial))=FALSE,IS"&amp;"ERROR(FIND(""H/F"",KitchenCarcassMaterial))=FALSE),""(9mm)"",""(10mm)""),SheetsData,8,0)),IF(ISERROR(FIND(""spacer"",A150))=FALSE,((D150/1000)*(C150/1000))*VLOOKUP(""Poplar ply (18mm)"",SheetsData,8,0),IF(ISERROR(FIND(""filler panel"",A150))=FALSE,((B150/"&amp;"1000)*(C150/1000))*VLOOKUP(KitchenDoorMaterial,SheetsData,8,0),IF(ISERROR(FIND(""shelf"",A150))=FALSE,((D150/1000)*(C150/1000))*VLOOKUP(KitchenCarcassMaterial,SheetsData,8,0),IF(ISERROR(FIND(""lost corner"",A150))=FALSE,VLOOKUP(LEFT(A150,FIND("" "",A150))"&amp;"&amp;""carcass ""&amp;VALUE(REGEXREPLACE(A150,""[^[:digit:]]"", """")),KitchensData,5,0)+((((B150/1000)*(C150/1000))+((B150/1000)*(60/1000)))*VLOOKUP(KitchenCarcassMaterial,SheetsData,8,0)),IF(ISERROR(FIND(""carcass"",A150))=FALSE,(((((B150/1000)*2)*(D150/1000))+"&amp;"(((C150/1000)*2)*(D150/1000)))*VLOOKUP(KitchenCarcassMaterial,SheetsData,8,0))+((B150/1000)*(C150/1000))*VLOOKUP(LEFT(KitchenCarcassMaterial,FIND(""("",KitchenCarcassMaterial)-1)&amp;IF(OR(ISERROR(FIND(""ply"",KitchenCarcassMaterial))=FALSE,ISERROR(FIND(""H/F"&amp;""",KitchenCarcassMaterial))=FALSE),""(9mm)"",""(10mm)""),SheetsData,8,0),IF(OR(ISERROR(FIND(""Plinth"",A150))=FALSE,ISERROR(FIND(""Cornice (flat)"",A150))=FALSE),((B150/1000)*(C150/1000))*VLOOKUP(""H/F (18mm)"",SheetsData,8,0),IF(ISERROR(FIND(""Cornice (s"&amp;"tacked)"",A150))=FALSE,((0.08*(C150/1000))*2)*VLOOKUP(""H/F (22mm)"",SheetsData,8,0),IF(ISERROR(FIND(""Base end panel"",A150))=FALSE,VLOOKUP(KitchenDoorMaterial,SheetsData,5,0)/3,IF(ISERROR(FIND(""Wall end panel"",A150))=FALSE,VLOOKUP(KitchenDoorMaterial,"&amp;"SheetsData,5,0)/9,IF(ISERROR(FIND(""Tower end panel"",A150))=FALSE,VLOOKUP(KitchenDoorMaterial,SheetsData,5,0),IF(ISERROR(FIND(""Fillers"",A150))=FALSE,(((0.06*(C150/1000))*2)*VLOOKUP(""H/F (18mm)"",SheetsData,8,0))+(((0.06*(C150/1000))*2)*VLOOKUP(""H/F ("&amp;"9mm)"",SheetsData,8,0)),IF(ISERROR(FIND(""corner post"",A150))=FALSE,(((B150/1000)*0.05)*2)*VLOOKUP(KitchenDoorMaterial,SheetsData,8,0),IF(ISERROR(FIND(""Pelmet"",A150))=FALSE,((((B150/1000)*(C150/1000))*2)*VLOOKUP(""H/F (18mm)"",SheetsData,8,0)),IF(ISERR"&amp;"OR(FIND(""door"",A150))=TRUE,""Check description"",IF(KitchenDoorStyle=""Flat"",((B150/1000)*(C150/1000))*VLOOKUP(KitchenDoorMaterial,SheetsData,8,0),IF(LEFT(KitchenDoorStyle,5)=""Panel"",(((((B150/1000)*2)*0.08)+((((C150/1000)-0.16)*2)*0.08))*VLOOKUP(""H"&amp;"/F (22mm)"",SheetsData,8,0))+(((B150/1000)-0.14)*((C150/1000)-0.14)*VLOOKUP(""H/F (9mm)"",SheetsData,8,0)),IF(KitchenDoorStyle=""In-frame flat"",((((((B150/1000)*0.019)*0.038)+((((C150-38)/1000)*0.038)*0.038))*2)*VLOOKUP(""Tulip (solid m3)"",SolidData,5,0"&amp;"))+(((B150-76)/1000)*((C150-38)/1000))*VLOOKUP(""H/F (22mm)"",SheetsData,8,0),IF(LEFT(KitchenDoorStyle,14)=""In-frame panel"",(((((((B150/1000)*0.019)*0.038)+((((C150-38)/1000)*0.038)*0.038))*2)*VLOOKUP(""Tulip (solid m3)"",SolidData,5,0))+(((((((B150-76)"&amp;"/1000)*2)*0.08)+(((((C150-198)/1000)*2)*0.08)))*VLOOKUP(""H/F (22mm)"",SheetsData,8,0))+(((B150-216)/1000)*((C150-178)/1000)*VLOOKUP(""H/F (9mm)"",SheetsData,8,0)))))))))))))))))))))))))))))))))"),"")</f>
        <v/>
      </c>
      <c r="F150" s="152" t="str">
        <f>IFERROR(__xludf.DUMMYFUNCTION("IF(OR(A150="""",AND(ISERROR(FIND(""drawer box"",A150))=FALSE,KitchenDrawerType=""Solid dovetail"")),"""",IF(ISERROR(FIND(""bins"",A150))=FALSE,VLOOKUP(""Base carcass 600"",KitchensData,6,0),IF(OR(ISERROR(FIND(""larder"",A150))=FALSE,ISERROR(FIND(""unit"","&amp;"A150))=FALSE),VLOOKUP(LEFT(A150,FIND("" "",A150))&amp;""carcass ""&amp;RIGHT(A150,LEN(A150)-len(regexextract(A150,"".* ""))),KitchensData,6,0),IF(ISERROR(FIND(""drawer front"",A150))=FALSE,IF(ISERROR(FIND(""veneer"",KitchenCarcassMaterial))=TRUE,0,(((B150+C150)/1"&amp;"000)*2)*VLOOKUP(""Edge banding (per M)"",SheetsData,5,0)),IF(ISERROR(FIND(""drawer box"",A150))=FALSE,IF(ISERROR(FIND(""veneer"",KitchenCarcassMaterial))=TRUE,0,(((C150+D150)/1000)*2)*VLOOKUP(""Edge banding (per M)"",SheetsData,5,0)),IF(ISERROR(FIND(""she"&amp;"lf"",A150))=FALSE,IF(ISERROR(FIND(""veneer"",KitchenCarcassMaterial))=TRUE,0,(C150/1000)*VLOOKUP(""Edge banding (per M)"",SheetsData,5,0)),IF(AND(ISERROR(FIND(""carcass"",A150))=FALSE,ISERROR(FIND(""shelf"",A150))=TRUE),IF(ISERROR(FIND(""veneer"",KitchenC"&amp;"arcassMaterial))=TRUE,0,((2*(B150+C150))/1000)*VLOOKUP(""Edge banding (per M)"",SheetsData,5,0)),IF(ISERROR(FIND(""door"",A150))=TRUE,"""",IF(ISERROR(FIND(""veneer"",KitchenDoorMaterial))=TRUE,"""",((2*(B150+C150))/1000)*VLOOKUP(""Edge banding (per M)"",S"&amp;"heetsData,5,0))))))))))"),"")</f>
        <v/>
      </c>
      <c r="G150" s="153" t="str">
        <f>IF(A150="","",IF(ISERROR(FIND("bins",A150))=FALSE,VLOOKUP("Base carcass 600",KitchensData,7,0),IF(OR(ISERROR(FIND("larder",A150))=FALSE,ISERROR(FIND("fridge/freezer",A150))=FALSE,ISERROR(FIND("double oven",A150))=FALSE,ISERROR(FIND("single oven",A150))=FALSE),VLOOKUP(LEFT(A150,FIND(" ",A150))&amp;"carcass "&amp;RIGHT(A150,LEN(A150)-(LEN(A150)-3)),KitchensData,7,0),IF(AND(ISERROR(FIND("carcass",A150))=FALSE,ISERROR(FIND("shelf",A150))=TRUE),IF(OR(ISERROR(FIND("Base",A150))=FALSE,ISERROR(FIND("Tower",A150))=FALSE),IF(OR(ISERROR(FIND("1200",A150))=FALSE, ISERROR(FIND("lost corner",A150))=FALSE),6*VLOOKUP("Plinth foot (2 Parts 80mm)",FurnitureData,5,0),4*VLOOKUP("Plinth foot (2 Parts 80mm)",FurnitureData,5,0)),""),""))))</f>
        <v/>
      </c>
      <c r="H150" s="115" t="str">
        <f>IF(OR(A150="",ISERROR(FIND("door",A150))=TRUE),"",IF(ISERROR(FIND("Wall",A150))=FALSE,VLOOKUP("Hinges &amp; plates (Hettich thick door)",FurnitureData,5,0)*2,IF(ISERROR(FIND("Base",A150))=FALSE,VLOOKUP("Hinges &amp; plates (Hettich thick door)",FurnitureData,5,0)*3,IF(ISERROR(FIND("Boiler",A150))=FALSE,VLOOKUP("Hinges &amp; plates (Hettich thick door)",FurnitureData,5,0)*4,IF(ISERROR(FIND("Tower",A150))=FALSE,VLOOKUP("Hinges &amp; plates (Hettich thick door)",FurnitureData,5,0)*5)))))</f>
        <v/>
      </c>
      <c r="I150" s="115" t="str">
        <f>IF(ISERROR(FIND("shelf",A150))=FALSE,(VLOOKUP("Shelf pegs",FurnitureData,5,0)/100)*4,"")</f>
        <v/>
      </c>
      <c r="J150" s="152" t="str">
        <f>IF(OR(ISERROR(FIND("fridge/freezer",A150))=FALSE,ISERROR(FIND("larder",A150))=FALSE,AND(ISERROR(FIND("Base",A150))=FALSE,ISERROR(FIND("bins",A150))=TRUE,ISERROR(FIND("no shelves",A150))=TRUE,OR(ISERROR(FIND("carcass",A150))=FALSE,ISERROR(FIND("unit",A150))=FALSE))),VLOOKUP("Deep shelf "&amp;C150,KitchensData,18,0),IF(AND(ISERROR(FIND("Wall",A150))=FALSE,ISERROR(FIND("carcass",A150))=FALSE),2*VLOOKUP("Shallow shelf "&amp;C150,KitchensData,18,0),IF(AND(ISERROR(FIND("Tower",A150))=FALSE,ISERROR(FIND("oven",A150))=FALSE),4*VLOOKUP("Deep shelf "&amp;C150,KitchensData,18,0),IF(AND(ISERROR(FIND("Tower",A150))=FALSE,ISERROR(FIND("carcass",A150))=FALSE),5*VLOOKUP("Deep shelf "&amp;C150,KitchensData,18,0),""))))</f>
        <v/>
      </c>
      <c r="K150" s="152" t="str">
        <f>IF(ISERROR(FIND("sink",A150))=FALSE,VLOOKUP("Sink liner - Aluminium "&amp;RIGHT(A150,LEN(A150)-22)&amp;"mm",ExceptionalData,5,0),IF(ISERROR(FIND("bins",A150))=FALSE,VLOOKUP("Drawer runners and clip set for bin unit (500) Dynapro",FurnitureData,5,0)+(2*VLOOKUP("Bin (42L Anthracite)",FurnitureData,5,0)),IF(ISERROR(FIND("larder",A150))=FALSE,VLOOKUP("Pull out larder unit 600mm",FurnitureData,5,0),IF(AND(ISERROR(FIND("drawer box",A150))=FALSE,ISERROR(FIND("internal",A150))=TRUE),VLOOKUP("Drawer runners and clip set (550) Dynapro",FurnitureData,5,0),IF(ISERROR(FIND("internal drawer box",A150))=FALSE,VLOOKUP("Drawer runners and clip set (450) Dynapro",FurnitureData,5,0),"")))))</f>
        <v/>
      </c>
      <c r="L150" s="152" t="str">
        <f t="shared" si="3"/>
        <v/>
      </c>
      <c r="M150" s="154" t="str">
        <f>IFERROR(__xludf.DUMMYFUNCTION("IF(A150="""","""",IF(OR(ISERROR(FIND(""larder"",A150))=FALSE,ISERROR(FIND(""unit"",A150))=FALSE),VLOOKUP(LEFT(A150,FIND("" "",A150))&amp;""carcass ""&amp;RIGHT(A150,LEN(A150)-len(regexextract(A150,"".* ""))),KitchensData,13,0),IF(ISERROR(FIND(""bins"",A150))=FALS"&amp;"E,0.95,IF(ISERROR(FIND(""Cutlery insert 600"",A150))=FALSE,1.3,IF(ISERROR(FIND(""Cutlery insert 1200"",A150))=FALSE,2,IF(ISERROR(FIND(""Pan/tray rack 600"",A150))=FALSE,3.25,IF(ISERROR(FIND(""Pan/tray rack 1200"",A150))=FALSE,5.9,IF(ISERROR(FIND(""split"""&amp;",A150))=FALSE,(((C150/1000)*0.022)*2)+VLOOKUP(SUBSTITUTE(A150,"" split"",""""),KitchensData,13,0),IF(AND(ISERROR(FIND(""drawer front"",A150))=FALSE,KitchenDoorStyle=""Flat""),(((B150/1000)*(C150/1000))*2)+((((B150+C150)/1000)*2)*0.022),IF(AND(ISERROR(FIND"&amp;"(""drawer front"",A150))=FALSE,LEFT(KitchenDoorStyle,5)=""Panel""),(((B150/1000)*(C150/1000))*2)+((((B150+C150)/1000)*2)*0.022)+((((C150/1000)-0.16)*0.013)*2)+((((D150/1000)-0.16)*0.013)*2),IF(AND(ISERROR(FIND(""drawer front"",A150))=FALSE,KitchenDoorStyl"&amp;"e=""In-frame flat""),((((B150-76)/1000)*((C150-38)/1000))*2)+(MID(KitchenDoorMaterial,FIND(""("",KitchenDoorMaterial)+1,2)/1000)*((((B150-76)+(C150-38))/1000)*2)+(((B150/1000)*0.032)*2)+((((B150-76)/1000)*0.032)*2)+(((B150/1000)*0.019)*4)+(((C150/1000)*0."&amp;"032)*2)+((((C150-38)/1000)*0.032)*2)+(((C150/1000)*0.038)*4),IF(AND(ISERROR(FIND(""drawer front"",A150))=FALSE,LEFT(KitchenDoorStyle,14)=""In-frame panel""),((((B150-76)/1000)*((C150-38)/1000))*2)+((MID(KitchenDoorMaterial,FIND(""("",KitchenDoorMaterial)+"&amp;"1,2)/1000)*((((B150-76)+(C150-38))/1000)*2))+((((B150-236)/1000)+((C150-198)/1000)*2)*0.013)+(((B150/1000)*0.032)*2)+((((B150-76)/1000)*0.032)*2)+(((B150/1000)*0.019)*4)+(((C150/1000)*0.032)*2)+((((C150-38)/1000)*0.032)*2)+(((C150/1000)*0.038)*4),IF(ISERR"&amp;"OR(FIND(""drawer box"",A150))=FALSE,((((B150/1000)*(D150/1000))+((B150/1000)*(C150/1000)))*4)+((((D150/1000)+(C150/1000))*0.016)*4)+(((C150/1000)*(D150/1000))*2),IF(OR(ISERROR(FIND(""shelf"",A150))=FALSE,ISERROR(FIND(""spacer"",A150))=FALSE,,ISERROR(FIND("&amp;"""filler panel"",A150))=FALSE),(((C150/1000)*(D150/1000))*2)+((((C150+D150)*2)/1000)*0.022),IF(ISERROR(FIND(""lost corner"",A150))=FALSE,(((B150/1000)*(C150/1000))*2)+((B150/1000)*(C150/1000))+((B150/1000)*((C150/2)/1000))+((((B150/1000)*0.025)+((C150/100"&amp;"0)*0.025))*2),IF(ISERROR(FIND(""carcass"",A150))=FALSE,(((C150/1000)*(D150/1000))*2)+(((B150/1000)*(D150/1000))*2)+((B150/1000)*(C150/1000))+((((B150/1000)*0.025)+((C150/1000)*0.025))*2),IF(AND(ISERROR(FIND(""door"",A150))=FALSE,KitchenDoorStyle=""Flat"")"&amp;",(((B150/1000)*(C150/1000))*2)+(MID(KitchenDoorMaterial,FIND(""("",KitchenDoorMaterial)+1,2)/1000)*(((B150+C150)/1000)*2),IF(AND(ISERROR(FIND(""door"",A150))=FALSE,LEFT(KitchenDoorStyle,5)=""Panel""),(((B150/1000)*(C150/1000))*2)+((MID(KitchenDoorMaterial"&amp;",FIND(""("",KitchenDoorMaterial)+1,2)/1000)*(((B150+C150)/1000)*2))+(((((B150-160)+(C150-160))*2)/1000)*(0.013)),IF(AND(ISERROR(FIND(""door"",A150))=FALSE,KitchenDoorStyle=""In-frame flat""),((((B150-76)/1000)*((C150-38)/1000))*2)+(MID(KitchenDoorMaterial"&amp;",FIND(""("",KitchenDoorMaterial)+1,2)/1000)*((((B150-76)+(C150-38))/1000)*2)+(((B150/1000)*0.032)*2)+((((B150-76)/1000)*0.032)*2)+(((B150/1000)*0.019)*4)+(((C150/1000)*0.032)*2)+((((C150-38)/1000)*0.032)*2)+(((C150/1000)*0.038)*4),IF(AND(ISERROR(FIND(""do"&amp;"or"",A150))=FALSE,LEFT(KitchenDoorStyle,14)=""In-frame panel""),((((B150-76)/1000)*((C150-38)/1000))*2)+((MID(KitchenDoorMaterial,FIND(""("",KitchenDoorMaterial)+1,2)/1000)*((((B150-76)+(C150-38))/1000)*2))+((((B150-236)/1000)+((C150-198)/1000)*2)*0.013)+"&amp;"(((B150/1000)*0.032)*2)+((((B150-76)/1000)*0.032)*2)+(((B150/1000)*0.019)*4)+(((C150/1000)*0.032)*2)+((((C150-38)/1000)*0.032)*2)+(((C150/1000)*0.038)*4),IF(ISERROR(FIND(""Plinth"",A150))=FALSE,((B150/1000)*(C150/1000))+(((C150/1000)*0.018)*2)+(((B150/100"&amp;"0)*0.018)*2),IF(ISERROR(FIND(""Cornice"",A150))=FALSE,(((C150/1000)*0.1)*2)+(((C150/1000)*0.044)*2)+(((B150/1000)*0.08)*2),IF(ISERROR(FIND(""Base end panel"",A150))=FALSE,((B150/1000)*(C150/1000))+(0.022*((B150/1000)+((C150/1000)*2)))+((B150/1000)*0.05),I"&amp;"F(ISERROR(FIND(""Wall end panel"",A150))=FALSE,((B150/1000)*(C150/1000))+(0.022*((B150/1000)+((C150/1000)*2)))+((B150/1000)*0.05),IF(ISERROR(FIND(""Tower end panel"",A150))=FALSE,((B150/1000)*(C150/1000))+(0.022*((B150/1000)+((C150/1000)*2)))+((B150/1000)"&amp;"*0.05),IF(ISERROR(FIND(""Fillers"",A150))=FALSE,((C150/1000)*0.06)+((C150/1000)*0.069)+((0.06*0.018)*2)+((0.06*0.009)*2)+((C150/1000)*0.009)+((C150/1000)*0.018),IF(ISERROR(FIND(""corner post"",A150))=FALSE,(((B150/1000*0.05)*2)+((B150/1000)*0.022)*2)+((B1"&amp;"50/1000)*0.072)+((B150/1000)*0.05)+((0.072*0.022)*2)+((0.05*0.022)*2),IF(ISERROR(FIND(""Pelmet"",A150))=FALSE,((C150/1000)*0.05)+((C150/1000)*0.068)+((0.05*0.018)*4)+(((C150/1000)*0.018))*2))))))))))))))))))))))))))))"),"")</f>
        <v/>
      </c>
      <c r="N150" s="152" t="str">
        <f>IF(M150="","",IF(AND(ISERROR(FIND("carcass",A150))=TRUE,ISERROR(FIND("unit",A150))=TRUE,ISERROR(FIND("insert",A150))=TRUE,ISERROR(FIND("rack",A150))=TRUE,ISERROR(FIND("box",A150))=TRUE,ISERROR(FIND("shelf",#REF!))=TRUE),VLOOKUP(KitchenDoorFinish,Finishing!$A$2:$K$10,9,0)*M150,VLOOKUP(KitchenCarcassFinish,Finishing!$A$2:$K$40,9,0)*M150))</f>
        <v/>
      </c>
      <c r="O150" s="155"/>
      <c r="P150" s="155"/>
      <c r="Q150" s="152" t="str">
        <f>IF(OR(O150="",P150=""),"",((O150*X150)*(VLOOKUP("Workshop",Labour!$A$3:$E$20,4,0)/8))+((P150*AE150)*(VLOOKUP("Finishing",Labour!$A$3:$E$20,4,0)/8)))</f>
        <v/>
      </c>
      <c r="R150" s="152" t="str">
        <f t="shared" si="4"/>
        <v/>
      </c>
      <c r="S150" s="156" t="str">
        <f>IF(OR(O150="",P150=""),"",IF(OR(ISERROR(FIND("carcass",$A150))=FALSE,ISERROR(FIND("unit",$A150))=FALSE),VLOOKUP(KitchenCarcassMaterial,FixedListsCarcassMaterial,2,0),0))</f>
        <v/>
      </c>
      <c r="T150" s="156" t="str">
        <f>IF(OR(O150="",P150=""),"",IF(ISERROR(FIND("door",$A150))=FALSE,VLOOKUP(KitchenDoorStyle,FixedListsDoorStyle,2,0),0))</f>
        <v/>
      </c>
      <c r="U150" s="156" t="str">
        <f>IF(OR(O150="",P150=""),"",IF(ISERROR(FIND("door",$A150))=FALSE,VLOOKUP(KitchenDoorMaterial,FixedListsDoorMaterial,2,0),0))</f>
        <v/>
      </c>
      <c r="V150" s="156" t="str">
        <f>IF(OR(O150="",P150=""),"",IF(ISERROR(FIND("drawer",$A150))=FALSE,VLOOKUP(KitchenDrawerType,FixedListsDrawerType,2,0),0))</f>
        <v/>
      </c>
      <c r="W150" s="156" t="str">
        <f>IF(OR(O150="",P150=""),"",IF(OR(S150&gt;0, T150&gt;0,V150&gt;0),VLOOKUP(KitchenHandleType,FixedListsHandleType,2,FALSE)*IF(KitchenHandleType="Simple",0,IF(S150&gt;0,VLOOKUP(KitchenHandleType,FixedListsHandleType,4,FALSE),IF(OR(T150&gt;0,V150&gt;0),1-VLOOKUP(KitchenHandleType,FixedListsHandleType,4,FALSE),"Error"))),0))</f>
        <v/>
      </c>
      <c r="X150" s="156" t="str">
        <f t="shared" si="5"/>
        <v/>
      </c>
      <c r="Y150" s="156" t="str">
        <f>IF(OR(O150="",P150=""),"",IF(OR(ISERROR(FIND("carcass",$A150))=FALSE,ISERROR(FIND("unit",$A150))=FALSE),VLOOKUP(KitchenCarcassMaterial,FixedListsCarcassMaterial,3,0),0))</f>
        <v/>
      </c>
      <c r="Z150" s="156" t="str">
        <f>IF(OR(O150="",P150=""),"",IF(ISERROR(FIND("door",$A150))=FALSE,VLOOKUP(KitchenDoorStyle,FixedListsDoorStyle,3,0),0))</f>
        <v/>
      </c>
      <c r="AA150" s="156" t="str">
        <f>IF(OR(O150="",P150=""),"",IF(ISERROR(FIND("door",$A150))=FALSE,VLOOKUP(KitchenDoorMaterial,FixedListsDoorMaterial,3,0),0))</f>
        <v/>
      </c>
      <c r="AB150" s="156" t="str">
        <f>IF(OR(O150="",P150=""),"",IF(ISERROR(FIND("drawer",$A150))=FALSE,VLOOKUP(KitchenDrawerType,FixedListsDrawerType,3,0),0))</f>
        <v/>
      </c>
      <c r="AC150" s="156" t="str">
        <f>IF(OR(O150="",P150=""),"",IF(OR(Y150&gt;0,Z150&gt;0,AB150&gt;0),VLOOKUP(KitchenHandleType,FixedListsHandleType,3,FALSE),0))</f>
        <v/>
      </c>
      <c r="AD150" s="156" t="str">
        <f>IF(OR(O150="",P150=""),"",IF(OR(ISERROR(FIND("carcass",$A150))=FALSE,ISERROR(FIND("unit",$A150))=FALSE),VLOOKUP(KitchenCarcassFinish,FixedListsFinishes,3,0),IF(OR(ISERROR(FIND("door",$A150))=FALSE,ISERROR(FIND("Plinth",$A150))=FALSE,ISERROR(FIND("Cornice",$A150))=FALSE,ISERROR(FIND("Fillers",$A150))=FALSE,ISERROR(FIND("Pelmet",$A150))=FALSE,ISERROR(FIND("panel",$A150))=FALSE,ISERROR(FIND("post",$A150))=FALSE),VLOOKUP(KitchenDoorFinish,FixedListsFinishes,3,0),IF(OR(ISERROR(FIND("drawer",$A150))=FALSE,ISERROR(FIND("insert",$A150))=FALSE,ISERROR(FIND("rck",$A150))=FALSE),VLOOKUP(KitchenCarcassFinish,FixedListsFinishes,3,0),0))))</f>
        <v/>
      </c>
      <c r="AE150" s="156" t="str">
        <f t="shared" si="6"/>
        <v/>
      </c>
      <c r="AF150" s="157" t="str">
        <f>IF(AND(KitchenHandleType="Channel",OR(ISERROR(FIND("arcass",$A150))=FALSE,ISERROR(FIND("unit",$A150))=FALSE)),IF(ISERROR(FIND("Tower",$A150))=TRUE,IF(KitchenHandleFinish="Match carcass",IF(ISERROR(FIND("Walnut",KitchenCarcassMaterial))=FALSE,(0.035*0.075*($C150/1000))*VLOOKUP("Walnut (solid m3)",SolidData,4,FALSE),IF(ISERROR(FIND("Oak",KitchenCarcassMaterial))=FALSE,(0.035*0.075*($C150/1000))*VLOOKUP("Oak (solid m3)",SolidData,4,FALSE),IF(ISERROR(FIND("ply",KitchenCarcassMaterial))=FALSE,(0.1*($C150/1000))*VLOOKUP("Birch ply (24mm)",SheetsData,7,FALSE),IF(ISERROR(FIND("H/F",KitchenCarcassMaterial))=FALSE,(0.1*($C150/1000))*VLOOKUP("H/F (22mm)",SheetsData,7,FALSE),"Carcass - not tower - new material")))),IF(KitchenHandleFinish="Match door",IF(ISERROR(FIND("Walnut",KitchenDoorMaterial))=FALSE,(0.035*0.075*($C150/1000))*VLOOKUP("Walnut (solid m3)",SolidData,4,FALSE),IF(ISERROR(FIND("Oak",KitchenDoorMaterial))=FALSE,(0.035*0.075*($C150/1000))*VLOOKUP("Oak (solid m3)",SolidData,4,FALSE),IF(ISERROR(FIND("ply",KitchenDoorMaterial))=FALSE,(0.1*($C150/1000))*VLOOKUP("Birch ply (24mm)",SheetsData,7,FALSE),IF(ISERROR(FIND("H/F",KitchenCarcassMaterial))=FALSE,(0.1*($C150/1000))*VLOOKUP("H/F (22mm)",SheetsData,7,FALSE),"Door - not tower - new material")))),"Channel - not tower - handle set to other")),IF(ISERROR(FIND("Tower",$A150))=FALSE,IF(KitchenHandleFinish="Match carcass",IF(ISERROR(FIND("Walnut",KitchenCarcassMaterial))=FALSE,(0.035*0.075*($B150/1000))*VLOOKUP("Walnut (solid m3)",SolidData,4,FALSE),IF(ISERROR(FIND("Oak",KitchenCarcassMaterial))=FALSE,(0.035*0.075*($B150/1000))*VLOOKUP("Oak (solid m3)",SolidData,4,FALSE),IF(ISERROR(FIND("ply",KitchenCarcassMaterial))=FALSE,(0.1*($B150/1000))*VLOOKUP("Birch ply (24mm)",SheetsData,7,FALSE),IF(ISERROR(FIND("H/F",KitchenCarcassMaterial))=FALSE,(0.1*($C150/1000))*VLOOKUP("H/F (22mm)",SheetsData,7,FALSE),"Carcass - tower - new material")))),IF(KitchenHandleFinish="Match door",IF(ISERROR(FIND("Walnut",KitchenDoorMaterial))=FALSE,(0.035*0.075*($B150/1000))*VLOOKUP("Walnut (solid m3)",SolidData,4,FALSE),IF(ISERROR(FIND("Oak",KitchenDoorMaterial))=FALSE,(0.035*0.075*($B150/1000))*VLOOKUP("Oak (solid m3)",SolidData,4,FALSE),IF(ISERROR(FIND("ply",KitchenDoorMaterial))=FALSE,(0.1*($B150/1000))*VLOOKUP("Birch ply (24mm)",SheetData,7,FALSE),IF(ISERROR(FIND("H/F",KitchenCarcassMaterial))=FALSE,(0.1*($C150/1000))*VLOOKUP("H/F (22mm)",SheetsData,7,FALSE),"Door - tower - new material")))),"Channel - tower - handle set to other")))),"")</f>
        <v/>
      </c>
    </row>
    <row r="151">
      <c r="A151" s="150"/>
      <c r="B151" s="115" t="str">
        <f t="shared" si="1"/>
        <v/>
      </c>
      <c r="C151" s="115" t="str">
        <f>IFERROR(__xludf.DUMMYFUNCTION("IF(A151="""","""",IF(OR(RIGHT(A151,LEN(A151)-len(regexextract(A151,"".* "")))=""1200"",RIGHT(A151,LEN(A151)-len(regexextract(A151,"".* "")))=""600"",RIGHT(A151,LEN(A151)-len(regexextract(A151,"".* "")))=""400"",RIGHT(A151,LEN(A151)-len(regexextract(A151,"&amp;""".* "")))=""300"",RIGHT(A151,LEN(A151)-len(regexextract(A151,"".* "")))=""700"",RIGHT(A151,LEN(A151)-len(regexextract(A151,"".* "")))=""2400"",RIGHT(A151,LEN(A151)-len(regexextract(A151,"".* "")))=""650"",RIGHT(A151,LEN(A151)-len(regexextract(A151,"".* "&amp;""")))=""350"",RIGHT(A151,LEN(A151)-len(regexextract(A151,"".* "")))=""50""),RIGHT(A151,LEN(A151)-len(regexextract(A151,"".* ""))),IF(OR(ISERROR(FIND(""spacer"",A151))=FALSE,ISERROR(FIND(""filler panel"",A151))=FALSE),""1000"",""Unexpected size in descript"&amp;"ion"")))"),"")</f>
        <v/>
      </c>
      <c r="D151" s="151" t="str">
        <f t="shared" si="2"/>
        <v/>
      </c>
      <c r="E151" s="152" t="str">
        <f>IFERROR(__xludf.DUMMYFUNCTION("IF(OR(A151="""",AND(ISERROR(FIND(""drawer box"",A151))=FALSE,KitchenDrawerType="""")),"""",IF(OR(ISERROR(FIND(""larder"",A151))=FALSE,ISERROR(FIND(""fridge/freezer"",A151))=FALSE,ISERROR(FIND(""double oven"",A151))=FALSE,ISERROR(FIND(""single oven"",A151)"&amp;")=FALSE),VLOOKUP(LEFT(A151,FIND("" "",A151))&amp;""carcass ""&amp;RIGHT(A151,LEN(A151)-(LEN(A151)-3)),KitchensData,5,0),IF(ISERROR(FIND(""sink"",A151))=FALSE,VLOOKUP(LEFT(A151,FIND("" "",A151))&amp;""carcass ""&amp;VALUE(REGEXREPLACE(A151,""[^[:digit:]]"", """")),Kitchen"&amp;"sData,5,0)+(((C151/1000)*(300/1000))*VLOOKUP(KitchenCarcassMaterial,SheetsData,8,0)),IF(ISERROR(FIND(""bins"",A151))=FALSE,IF(ISERROR(FIND(""veneer"",KitchenCarcassMaterial))=FALSE,VLOOKUP(""Base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600"",A151))=FALSE,IF(ISERR"&amp;"OR(FIND(""veneer"",KitchenCarcassMaterial))=FALSE,0.54*(VLOOKUP(LEFT(KitchenCarcassMaterial,FIND(""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1"&amp;"200"",A151))=FALSE,IF(ISERROR(FIND(""veneer"",KitchenCarcassMaterial))=FALSE,0.84*(VLOOKUP(LEFT(KitchenCarcassMaterial,FIND(""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600"",A151))=FALSE,IF(ISERROR(FIND(""veneer"",KitchenCarcassMaterial))=FALSE,1.44*(VLOOKUP(LEFT(KitchenCarcassMaterial,FIND(""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1200"",A151))=FALSE,IF(ISERROR(FIND(""veneer"",KitchenCarcassMaterial))=FALSE,2.7*(VLOOKUP(LEFT(KitchenCarcassMaterial,FIND(""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front"",A151))=FALSE,((B151/1000)*(C151/1000))*VLOOKUP(KitchenDoorMaterial,SheetsData,8,0),IF(AND(KitchenDrawerType=""Match carcass"",ISERROR(FIND(""drawer box"",A151))=FALSE),(((((B151/10"&amp;"00)*(C151/1000))+((B151/1000)*(D151/1000)))*2)*VLOOKUP(KitchenCarcassMaterial,SheetsData,8,0))+(((C151/1000)*(D151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box"",A151))=FALSE),(((((B151/1000)*(C151/1000))+((B151/1000)*(D151/1000)))*2)*(16/1000)*VLOOKUP(L"&amp;"EFT(KitchenCarcassMaterial,FIND("" "",KitchenCarcassMaterial))&amp;""(solid m3)"",SolidData,5,0))+(((C151/1000)*(D151/1000))*VLOOKUP(LEFT(KitchenCarcassMaterial,FIND(""("",KitchenCarcassMaterial)-1)&amp;IF(OR(ISERROR(FIND(""ply"",KitchenCarcassMaterial))=FALSE,IS"&amp;"ERROR(FIND(""H/F"",KitchenCarcassMaterial))=FALSE),""(9mm)"",""(10mm)""),SheetsData,8,0)),IF(ISERROR(FIND(""spacer"",A151))=FALSE,((D151/1000)*(C151/1000))*VLOOKUP(""Poplar ply (18mm)"",SheetsData,8,0),IF(ISERROR(FIND(""filler panel"",A151))=FALSE,((B151/"&amp;"1000)*(C151/1000))*VLOOKUP(KitchenDoorMaterial,SheetsData,8,0),IF(ISERROR(FIND(""shelf"",A151))=FALSE,((D151/1000)*(C151/1000))*VLOOKUP(KitchenCarcassMaterial,SheetsData,8,0),IF(ISERROR(FIND(""lost corner"",A151))=FALSE,VLOOKUP(LEFT(A151,FIND("" "",A151))"&amp;"&amp;""carcass ""&amp;VALUE(REGEXREPLACE(A151,""[^[:digit:]]"", """")),KitchensData,5,0)+((((B151/1000)*(C151/1000))+((B151/1000)*(60/1000)))*VLOOKUP(KitchenCarcassMaterial,SheetsData,8,0)),IF(ISERROR(FIND(""carcass"",A151))=FALSE,(((((B151/1000)*2)*(D151/1000))+"&amp;"(((C151/1000)*2)*(D151/1000)))*VLOOKUP(KitchenCarcassMaterial,SheetsData,8,0))+((B151/1000)*(C151/1000))*VLOOKUP(LEFT(KitchenCarcassMaterial,FIND(""("",KitchenCarcassMaterial)-1)&amp;IF(OR(ISERROR(FIND(""ply"",KitchenCarcassMaterial))=FALSE,ISERROR(FIND(""H/F"&amp;""",KitchenCarcassMaterial))=FALSE),""(9mm)"",""(10mm)""),SheetsData,8,0),IF(OR(ISERROR(FIND(""Plinth"",A151))=FALSE,ISERROR(FIND(""Cornice (flat)"",A151))=FALSE),((B151/1000)*(C151/1000))*VLOOKUP(""H/F (18mm)"",SheetsData,8,0),IF(ISERROR(FIND(""Cornice (s"&amp;"tacked)"",A151))=FALSE,((0.08*(C151/1000))*2)*VLOOKUP(""H/F (22mm)"",SheetsData,8,0),IF(ISERROR(FIND(""Base end panel"",A151))=FALSE,VLOOKUP(KitchenDoorMaterial,SheetsData,5,0)/3,IF(ISERROR(FIND(""Wall end panel"",A151))=FALSE,VLOOKUP(KitchenDoorMaterial,"&amp;"SheetsData,5,0)/9,IF(ISERROR(FIND(""Tower end panel"",A151))=FALSE,VLOOKUP(KitchenDoorMaterial,SheetsData,5,0),IF(ISERROR(FIND(""Fillers"",A151))=FALSE,(((0.06*(C151/1000))*2)*VLOOKUP(""H/F (18mm)"",SheetsData,8,0))+(((0.06*(C151/1000))*2)*VLOOKUP(""H/F ("&amp;"9mm)"",SheetsData,8,0)),IF(ISERROR(FIND(""corner post"",A151))=FALSE,(((B151/1000)*0.05)*2)*VLOOKUP(KitchenDoorMaterial,SheetsData,8,0),IF(ISERROR(FIND(""Pelmet"",A151))=FALSE,((((B151/1000)*(C151/1000))*2)*VLOOKUP(""H/F (18mm)"",SheetsData,8,0)),IF(ISERR"&amp;"OR(FIND(""door"",A151))=TRUE,""Check description"",IF(KitchenDoorStyle=""Flat"",((B151/1000)*(C151/1000))*VLOOKUP(KitchenDoorMaterial,SheetsData,8,0),IF(LEFT(KitchenDoorStyle,5)=""Panel"",(((((B151/1000)*2)*0.08)+((((C151/1000)-0.16)*2)*0.08))*VLOOKUP(""H"&amp;"/F (22mm)"",SheetsData,8,0))+(((B151/1000)-0.14)*((C151/1000)-0.14)*VLOOKUP(""H/F (9mm)"",SheetsData,8,0)),IF(KitchenDoorStyle=""In-frame flat"",((((((B151/1000)*0.019)*0.038)+((((C151-38)/1000)*0.038)*0.038))*2)*VLOOKUP(""Tulip (solid m3)"",SolidData,5,0"&amp;"))+(((B151-76)/1000)*((C151-38)/1000))*VLOOKUP(""H/F (22mm)"",SheetsData,8,0),IF(LEFT(KitchenDoorStyle,14)=""In-frame panel"",(((((((B151/1000)*0.019)*0.038)+((((C151-38)/1000)*0.038)*0.038))*2)*VLOOKUP(""Tulip (solid m3)"",SolidData,5,0))+(((((((B151-76)"&amp;"/1000)*2)*0.08)+(((((C151-198)/1000)*2)*0.08)))*VLOOKUP(""H/F (22mm)"",SheetsData,8,0))+(((B151-216)/1000)*((C151-178)/1000)*VLOOKUP(""H/F (9mm)"",SheetsData,8,0)))))))))))))))))))))))))))))))))"),"")</f>
        <v/>
      </c>
      <c r="F151" s="152" t="str">
        <f>IFERROR(__xludf.DUMMYFUNCTION("IF(OR(A151="""",AND(ISERROR(FIND(""drawer box"",A151))=FALSE,KitchenDrawerType=""Solid dovetail"")),"""",IF(ISERROR(FIND(""bins"",A151))=FALSE,VLOOKUP(""Base carcass 600"",KitchensData,6,0),IF(OR(ISERROR(FIND(""larder"",A151))=FALSE,ISERROR(FIND(""unit"","&amp;"A151))=FALSE),VLOOKUP(LEFT(A151,FIND("" "",A151))&amp;""carcass ""&amp;RIGHT(A151,LEN(A151)-len(regexextract(A151,"".* ""))),KitchensData,6,0),IF(ISERROR(FIND(""drawer front"",A151))=FALSE,IF(ISERROR(FIND(""veneer"",KitchenCarcassMaterial))=TRUE,0,(((B151+C151)/1"&amp;"000)*2)*VLOOKUP(""Edge banding (per M)"",SheetsData,5,0)),IF(ISERROR(FIND(""drawer box"",A151))=FALSE,IF(ISERROR(FIND(""veneer"",KitchenCarcassMaterial))=TRUE,0,(((C151+D151)/1000)*2)*VLOOKUP(""Edge banding (per M)"",SheetsData,5,0)),IF(ISERROR(FIND(""she"&amp;"lf"",A151))=FALSE,IF(ISERROR(FIND(""veneer"",KitchenCarcassMaterial))=TRUE,0,(C151/1000)*VLOOKUP(""Edge banding (per M)"",SheetsData,5,0)),IF(AND(ISERROR(FIND(""carcass"",A151))=FALSE,ISERROR(FIND(""shelf"",A151))=TRUE),IF(ISERROR(FIND(""veneer"",KitchenC"&amp;"arcassMaterial))=TRUE,0,((2*(B151+C151))/1000)*VLOOKUP(""Edge banding (per M)"",SheetsData,5,0)),IF(ISERROR(FIND(""door"",A151))=TRUE,"""",IF(ISERROR(FIND(""veneer"",KitchenDoorMaterial))=TRUE,"""",((2*(B151+C151))/1000)*VLOOKUP(""Edge banding (per M)"",S"&amp;"heetsData,5,0))))))))))"),"")</f>
        <v/>
      </c>
      <c r="G151" s="153" t="str">
        <f>IF(A151="","",IF(ISERROR(FIND("bins",A151))=FALSE,VLOOKUP("Base carcass 600",KitchensData,7,0),IF(OR(ISERROR(FIND("larder",A151))=FALSE,ISERROR(FIND("fridge/freezer",A151))=FALSE,ISERROR(FIND("double oven",A151))=FALSE,ISERROR(FIND("single oven",A151))=FALSE),VLOOKUP(LEFT(A151,FIND(" ",A151))&amp;"carcass "&amp;RIGHT(A151,LEN(A151)-(LEN(A151)-3)),KitchensData,7,0),IF(AND(ISERROR(FIND("carcass",A151))=FALSE,ISERROR(FIND("shelf",A151))=TRUE),IF(OR(ISERROR(FIND("Base",A151))=FALSE,ISERROR(FIND("Tower",A151))=FALSE),IF(OR(ISERROR(FIND("1200",A151))=FALSE, ISERROR(FIND("lost corner",A151))=FALSE),6*VLOOKUP("Plinth foot (2 Parts 80mm)",FurnitureData,5,0),4*VLOOKUP("Plinth foot (2 Parts 80mm)",FurnitureData,5,0)),""),""))))</f>
        <v/>
      </c>
      <c r="H151" s="115" t="str">
        <f>IF(OR(A151="",ISERROR(FIND("door",A151))=TRUE),"",IF(ISERROR(FIND("Wall",A151))=FALSE,VLOOKUP("Hinges &amp; plates (Hettich thick door)",FurnitureData,5,0)*2,IF(ISERROR(FIND("Base",A151))=FALSE,VLOOKUP("Hinges &amp; plates (Hettich thick door)",FurnitureData,5,0)*3,IF(ISERROR(FIND("Boiler",A151))=FALSE,VLOOKUP("Hinges &amp; plates (Hettich thick door)",FurnitureData,5,0)*4,IF(ISERROR(FIND("Tower",A151))=FALSE,VLOOKUP("Hinges &amp; plates (Hettich thick door)",FurnitureData,5,0)*5)))))</f>
        <v/>
      </c>
      <c r="I151" s="115" t="str">
        <f>IF(ISERROR(FIND("shelf",A151))=FALSE,(VLOOKUP("Shelf pegs",FurnitureData,5,0)/100)*4,"")</f>
        <v/>
      </c>
      <c r="J151" s="152" t="str">
        <f>IF(OR(ISERROR(FIND("fridge/freezer",A151))=FALSE,ISERROR(FIND("larder",A151))=FALSE,AND(ISERROR(FIND("Base",A151))=FALSE,ISERROR(FIND("bins",A151))=TRUE,ISERROR(FIND("no shelves",A151))=TRUE,OR(ISERROR(FIND("carcass",A151))=FALSE,ISERROR(FIND("unit",A151))=FALSE))),VLOOKUP("Deep shelf "&amp;C151,KitchensData,18,0),IF(AND(ISERROR(FIND("Wall",A151))=FALSE,ISERROR(FIND("carcass",A151))=FALSE),2*VLOOKUP("Shallow shelf "&amp;C151,KitchensData,18,0),IF(AND(ISERROR(FIND("Tower",A151))=FALSE,ISERROR(FIND("oven",A151))=FALSE),4*VLOOKUP("Deep shelf "&amp;C151,KitchensData,18,0),IF(AND(ISERROR(FIND("Tower",A151))=FALSE,ISERROR(FIND("carcass",A151))=FALSE),5*VLOOKUP("Deep shelf "&amp;C151,KitchensData,18,0),""))))</f>
        <v/>
      </c>
      <c r="K151" s="152" t="str">
        <f>IF(ISERROR(FIND("sink",A151))=FALSE,VLOOKUP("Sink liner - Aluminium "&amp;RIGHT(A151,LEN(A151)-22)&amp;"mm",ExceptionalData,5,0),IF(ISERROR(FIND("bins",A151))=FALSE,VLOOKUP("Drawer runners and clip set for bin unit (500) Dynapro",FurnitureData,5,0)+(2*VLOOKUP("Bin (42L Anthracite)",FurnitureData,5,0)),IF(ISERROR(FIND("larder",A151))=FALSE,VLOOKUP("Pull out larder unit 600mm",FurnitureData,5,0),IF(AND(ISERROR(FIND("drawer box",A151))=FALSE,ISERROR(FIND("internal",A151))=TRUE),VLOOKUP("Drawer runners and clip set (550) Dynapro",FurnitureData,5,0),IF(ISERROR(FIND("internal drawer box",A151))=FALSE,VLOOKUP("Drawer runners and clip set (450) Dynapro",FurnitureData,5,0),"")))))</f>
        <v/>
      </c>
      <c r="L151" s="152" t="str">
        <f t="shared" si="3"/>
        <v/>
      </c>
      <c r="M151" s="154" t="str">
        <f>IFERROR(__xludf.DUMMYFUNCTION("IF(A151="""","""",IF(OR(ISERROR(FIND(""larder"",A151))=FALSE,ISERROR(FIND(""unit"",A151))=FALSE),VLOOKUP(LEFT(A151,FIND("" "",A151))&amp;""carcass ""&amp;RIGHT(A151,LEN(A151)-len(regexextract(A151,"".* ""))),KitchensData,13,0),IF(ISERROR(FIND(""bins"",A151))=FALS"&amp;"E,0.95,IF(ISERROR(FIND(""Cutlery insert 600"",A151))=FALSE,1.3,IF(ISERROR(FIND(""Cutlery insert 1200"",A151))=FALSE,2,IF(ISERROR(FIND(""Pan/tray rack 600"",A151))=FALSE,3.25,IF(ISERROR(FIND(""Pan/tray rack 1200"",A151))=FALSE,5.9,IF(ISERROR(FIND(""split"""&amp;",A151))=FALSE,(((C151/1000)*0.022)*2)+VLOOKUP(SUBSTITUTE(A151,"" split"",""""),KitchensData,13,0),IF(AND(ISERROR(FIND(""drawer front"",A151))=FALSE,KitchenDoorStyle=""Flat""),(((B151/1000)*(C151/1000))*2)+((((B151+C151)/1000)*2)*0.022),IF(AND(ISERROR(FIND"&amp;"(""drawer front"",A151))=FALSE,LEFT(KitchenDoorStyle,5)=""Panel""),(((B151/1000)*(C151/1000))*2)+((((B151+C151)/1000)*2)*0.022)+((((C151/1000)-0.16)*0.013)*2)+((((D151/1000)-0.16)*0.013)*2),IF(AND(ISERROR(FIND(""drawer front"",A151))=FALSE,KitchenDoorStyl"&amp;"e=""In-frame flat""),((((B151-76)/1000)*((C151-38)/1000))*2)+(MID(KitchenDoorMaterial,FIND(""("",KitchenDoorMaterial)+1,2)/1000)*((((B151-76)+(C151-38))/1000)*2)+(((B151/1000)*0.032)*2)+((((B151-76)/1000)*0.032)*2)+(((B151/1000)*0.019)*4)+(((C151/1000)*0."&amp;"032)*2)+((((C151-38)/1000)*0.032)*2)+(((C151/1000)*0.038)*4),IF(AND(ISERROR(FIND(""drawer front"",A151))=FALSE,LEFT(KitchenDoorStyle,14)=""In-frame panel""),((((B151-76)/1000)*((C151-38)/1000))*2)+((MID(KitchenDoorMaterial,FIND(""("",KitchenDoorMaterial)+"&amp;"1,2)/1000)*((((B151-76)+(C151-38))/1000)*2))+((((B151-236)/1000)+((C151-198)/1000)*2)*0.013)+(((B151/1000)*0.032)*2)+((((B151-76)/1000)*0.032)*2)+(((B151/1000)*0.019)*4)+(((C151/1000)*0.032)*2)+((((C151-38)/1000)*0.032)*2)+(((C151/1000)*0.038)*4),IF(ISERR"&amp;"OR(FIND(""drawer box"",A151))=FALSE,((((B151/1000)*(D151/1000))+((B151/1000)*(C151/1000)))*4)+((((D151/1000)+(C151/1000))*0.016)*4)+(((C151/1000)*(D151/1000))*2),IF(OR(ISERROR(FIND(""shelf"",A151))=FALSE,ISERROR(FIND(""spacer"",A151))=FALSE,,ISERROR(FIND("&amp;"""filler panel"",A151))=FALSE),(((C151/1000)*(D151/1000))*2)+((((C151+D151)*2)/1000)*0.022),IF(ISERROR(FIND(""lost corner"",A151))=FALSE,(((B151/1000)*(C151/1000))*2)+((B151/1000)*(C151/1000))+((B151/1000)*((C151/2)/1000))+((((B151/1000)*0.025)+((C151/100"&amp;"0)*0.025))*2),IF(ISERROR(FIND(""carcass"",A151))=FALSE,(((C151/1000)*(D151/1000))*2)+(((B151/1000)*(D151/1000))*2)+((B151/1000)*(C151/1000))+((((B151/1000)*0.025)+((C151/1000)*0.025))*2),IF(AND(ISERROR(FIND(""door"",A151))=FALSE,KitchenDoorStyle=""Flat"")"&amp;",(((B151/1000)*(C151/1000))*2)+(MID(KitchenDoorMaterial,FIND(""("",KitchenDoorMaterial)+1,2)/1000)*(((B151+C151)/1000)*2),IF(AND(ISERROR(FIND(""door"",A151))=FALSE,LEFT(KitchenDoorStyle,5)=""Panel""),(((B151/1000)*(C151/1000))*2)+((MID(KitchenDoorMaterial"&amp;",FIND(""("",KitchenDoorMaterial)+1,2)/1000)*(((B151+C151)/1000)*2))+(((((B151-160)+(C151-160))*2)/1000)*(0.013)),IF(AND(ISERROR(FIND(""door"",A151))=FALSE,KitchenDoorStyle=""In-frame flat""),((((B151-76)/1000)*((C151-38)/1000))*2)+(MID(KitchenDoorMaterial"&amp;",FIND(""("",KitchenDoorMaterial)+1,2)/1000)*((((B151-76)+(C151-38))/1000)*2)+(((B151/1000)*0.032)*2)+((((B151-76)/1000)*0.032)*2)+(((B151/1000)*0.019)*4)+(((C151/1000)*0.032)*2)+((((C151-38)/1000)*0.032)*2)+(((C151/1000)*0.038)*4),IF(AND(ISERROR(FIND(""do"&amp;"or"",A151))=FALSE,LEFT(KitchenDoorStyle,14)=""In-frame panel""),((((B151-76)/1000)*((C151-38)/1000))*2)+((MID(KitchenDoorMaterial,FIND(""("",KitchenDoorMaterial)+1,2)/1000)*((((B151-76)+(C151-38))/1000)*2))+((((B151-236)/1000)+((C151-198)/1000)*2)*0.013)+"&amp;"(((B151/1000)*0.032)*2)+((((B151-76)/1000)*0.032)*2)+(((B151/1000)*0.019)*4)+(((C151/1000)*0.032)*2)+((((C151-38)/1000)*0.032)*2)+(((C151/1000)*0.038)*4),IF(ISERROR(FIND(""Plinth"",A151))=FALSE,((B151/1000)*(C151/1000))+(((C151/1000)*0.018)*2)+(((B151/100"&amp;"0)*0.018)*2),IF(ISERROR(FIND(""Cornice"",A151))=FALSE,(((C151/1000)*0.1)*2)+(((C151/1000)*0.044)*2)+(((B151/1000)*0.08)*2),IF(ISERROR(FIND(""Base end panel"",A151))=FALSE,((B151/1000)*(C151/1000))+(0.022*((B151/1000)+((C151/1000)*2)))+((B151/1000)*0.05),I"&amp;"F(ISERROR(FIND(""Wall end panel"",A151))=FALSE,((B151/1000)*(C151/1000))+(0.022*((B151/1000)+((C151/1000)*2)))+((B151/1000)*0.05),IF(ISERROR(FIND(""Tower end panel"",A151))=FALSE,((B151/1000)*(C151/1000))+(0.022*((B151/1000)+((C151/1000)*2)))+((B151/1000)"&amp;"*0.05),IF(ISERROR(FIND(""Fillers"",A151))=FALSE,((C151/1000)*0.06)+((C151/1000)*0.069)+((0.06*0.018)*2)+((0.06*0.009)*2)+((C151/1000)*0.009)+((C151/1000)*0.018),IF(ISERROR(FIND(""corner post"",A151))=FALSE,(((B151/1000*0.05)*2)+((B151/1000)*0.022)*2)+((B1"&amp;"51/1000)*0.072)+((B151/1000)*0.05)+((0.072*0.022)*2)+((0.05*0.022)*2),IF(ISERROR(FIND(""Pelmet"",A151))=FALSE,((C151/1000)*0.05)+((C151/1000)*0.068)+((0.05*0.018)*4)+(((C151/1000)*0.018))*2))))))))))))))))))))))))))))"),"")</f>
        <v/>
      </c>
      <c r="N151" s="152" t="str">
        <f>IF(M151="","",IF(AND(ISERROR(FIND("carcass",A151))=TRUE,ISERROR(FIND("unit",A151))=TRUE,ISERROR(FIND("insert",A151))=TRUE,ISERROR(FIND("rack",A151))=TRUE,ISERROR(FIND("box",A151))=TRUE,ISERROR(FIND("shelf",#REF!))=TRUE),VLOOKUP(KitchenDoorFinish,Finishing!$A$2:$K$10,9,0)*M151,VLOOKUP(KitchenCarcassFinish,Finishing!$A$2:$K$40,9,0)*M151))</f>
        <v/>
      </c>
      <c r="O151" s="155"/>
      <c r="P151" s="155"/>
      <c r="Q151" s="152" t="str">
        <f>IF(OR(O151="",P151=""),"",((O151*X151)*(VLOOKUP("Workshop",Labour!$A$3:$E$20,4,0)/8))+((P151*AE151)*(VLOOKUP("Finishing",Labour!$A$3:$E$20,4,0)/8)))</f>
        <v/>
      </c>
      <c r="R151" s="152" t="str">
        <f t="shared" si="4"/>
        <v/>
      </c>
      <c r="S151" s="156" t="str">
        <f>IF(OR(O151="",P151=""),"",IF(OR(ISERROR(FIND("carcass",$A151))=FALSE,ISERROR(FIND("unit",$A151))=FALSE),VLOOKUP(KitchenCarcassMaterial,FixedListsCarcassMaterial,2,0),0))</f>
        <v/>
      </c>
      <c r="T151" s="156" t="str">
        <f>IF(OR(O151="",P151=""),"",IF(ISERROR(FIND("door",$A151))=FALSE,VLOOKUP(KitchenDoorStyle,FixedListsDoorStyle,2,0),0))</f>
        <v/>
      </c>
      <c r="U151" s="156" t="str">
        <f>IF(OR(O151="",P151=""),"",IF(ISERROR(FIND("door",$A151))=FALSE,VLOOKUP(KitchenDoorMaterial,FixedListsDoorMaterial,2,0),0))</f>
        <v/>
      </c>
      <c r="V151" s="156" t="str">
        <f>IF(OR(O151="",P151=""),"",IF(ISERROR(FIND("drawer",$A151))=FALSE,VLOOKUP(KitchenDrawerType,FixedListsDrawerType,2,0),0))</f>
        <v/>
      </c>
      <c r="W151" s="156" t="str">
        <f>IF(OR(O151="",P151=""),"",IF(OR(S151&gt;0, T151&gt;0,V151&gt;0),VLOOKUP(KitchenHandleType,FixedListsHandleType,2,FALSE)*IF(KitchenHandleType="Simple",0,IF(S151&gt;0,VLOOKUP(KitchenHandleType,FixedListsHandleType,4,FALSE),IF(OR(T151&gt;0,V151&gt;0),1-VLOOKUP(KitchenHandleType,FixedListsHandleType,4,FALSE),"Error"))),0))</f>
        <v/>
      </c>
      <c r="X151" s="156" t="str">
        <f t="shared" si="5"/>
        <v/>
      </c>
      <c r="Y151" s="156" t="str">
        <f>IF(OR(O151="",P151=""),"",IF(OR(ISERROR(FIND("carcass",$A151))=FALSE,ISERROR(FIND("unit",$A151))=FALSE),VLOOKUP(KitchenCarcassMaterial,FixedListsCarcassMaterial,3,0),0))</f>
        <v/>
      </c>
      <c r="Z151" s="156" t="str">
        <f>IF(OR(O151="",P151=""),"",IF(ISERROR(FIND("door",$A151))=FALSE,VLOOKUP(KitchenDoorStyle,FixedListsDoorStyle,3,0),0))</f>
        <v/>
      </c>
      <c r="AA151" s="156" t="str">
        <f>IF(OR(O151="",P151=""),"",IF(ISERROR(FIND("door",$A151))=FALSE,VLOOKUP(KitchenDoorMaterial,FixedListsDoorMaterial,3,0),0))</f>
        <v/>
      </c>
      <c r="AB151" s="156" t="str">
        <f>IF(OR(O151="",P151=""),"",IF(ISERROR(FIND("drawer",$A151))=FALSE,VLOOKUP(KitchenDrawerType,FixedListsDrawerType,3,0),0))</f>
        <v/>
      </c>
      <c r="AC151" s="156" t="str">
        <f>IF(OR(O151="",P151=""),"",IF(OR(Y151&gt;0,Z151&gt;0,AB151&gt;0),VLOOKUP(KitchenHandleType,FixedListsHandleType,3,FALSE),0))</f>
        <v/>
      </c>
      <c r="AD151" s="156" t="str">
        <f>IF(OR(O151="",P151=""),"",IF(OR(ISERROR(FIND("carcass",$A151))=FALSE,ISERROR(FIND("unit",$A151))=FALSE),VLOOKUP(KitchenCarcassFinish,FixedListsFinishes,3,0),IF(OR(ISERROR(FIND("door",$A151))=FALSE,ISERROR(FIND("Plinth",$A151))=FALSE,ISERROR(FIND("Cornice",$A151))=FALSE,ISERROR(FIND("Fillers",$A151))=FALSE,ISERROR(FIND("Pelmet",$A151))=FALSE,ISERROR(FIND("panel",$A151))=FALSE,ISERROR(FIND("post",$A151))=FALSE),VLOOKUP(KitchenDoorFinish,FixedListsFinishes,3,0),IF(OR(ISERROR(FIND("drawer",$A151))=FALSE,ISERROR(FIND("insert",$A151))=FALSE,ISERROR(FIND("rck",$A151))=FALSE),VLOOKUP(KitchenCarcassFinish,FixedListsFinishes,3,0),0))))</f>
        <v/>
      </c>
      <c r="AE151" s="156" t="str">
        <f t="shared" si="6"/>
        <v/>
      </c>
      <c r="AF151" s="157" t="str">
        <f>IF(AND(KitchenHandleType="Channel",OR(ISERROR(FIND("arcass",$A151))=FALSE,ISERROR(FIND("unit",$A151))=FALSE)),IF(ISERROR(FIND("Tower",$A151))=TRUE,IF(KitchenHandleFinish="Match carcass",IF(ISERROR(FIND("Walnut",KitchenCarcassMaterial))=FALSE,(0.035*0.075*($C151/1000))*VLOOKUP("Walnut (solid m3)",SolidData,4,FALSE),IF(ISERROR(FIND("Oak",KitchenCarcassMaterial))=FALSE,(0.035*0.075*($C151/1000))*VLOOKUP("Oak (solid m3)",SolidData,4,FALSE),IF(ISERROR(FIND("ply",KitchenCarcassMaterial))=FALSE,(0.1*($C151/1000))*VLOOKUP("Birch ply (24mm)",SheetsData,7,FALSE),IF(ISERROR(FIND("H/F",KitchenCarcassMaterial))=FALSE,(0.1*($C151/1000))*VLOOKUP("H/F (22mm)",SheetsData,7,FALSE),"Carcass - not tower - new material")))),IF(KitchenHandleFinish="Match door",IF(ISERROR(FIND("Walnut",KitchenDoorMaterial))=FALSE,(0.035*0.075*($C151/1000))*VLOOKUP("Walnut (solid m3)",SolidData,4,FALSE),IF(ISERROR(FIND("Oak",KitchenDoorMaterial))=FALSE,(0.035*0.075*($C151/1000))*VLOOKUP("Oak (solid m3)",SolidData,4,FALSE),IF(ISERROR(FIND("ply",KitchenDoorMaterial))=FALSE,(0.1*($C151/1000))*VLOOKUP("Birch ply (24mm)",SheetsData,7,FALSE),IF(ISERROR(FIND("H/F",KitchenCarcassMaterial))=FALSE,(0.1*($C151/1000))*VLOOKUP("H/F (22mm)",SheetsData,7,FALSE),"Door - not tower - new material")))),"Channel - not tower - handle set to other")),IF(ISERROR(FIND("Tower",$A151))=FALSE,IF(KitchenHandleFinish="Match carcass",IF(ISERROR(FIND("Walnut",KitchenCarcassMaterial))=FALSE,(0.035*0.075*($B151/1000))*VLOOKUP("Walnut (solid m3)",SolidData,4,FALSE),IF(ISERROR(FIND("Oak",KitchenCarcassMaterial))=FALSE,(0.035*0.075*($B151/1000))*VLOOKUP("Oak (solid m3)",SolidData,4,FALSE),IF(ISERROR(FIND("ply",KitchenCarcassMaterial))=FALSE,(0.1*($B151/1000))*VLOOKUP("Birch ply (24mm)",SheetsData,7,FALSE),IF(ISERROR(FIND("H/F",KitchenCarcassMaterial))=FALSE,(0.1*($C151/1000))*VLOOKUP("H/F (22mm)",SheetsData,7,FALSE),"Carcass - tower - new material")))),IF(KitchenHandleFinish="Match door",IF(ISERROR(FIND("Walnut",KitchenDoorMaterial))=FALSE,(0.035*0.075*($B151/1000))*VLOOKUP("Walnut (solid m3)",SolidData,4,FALSE),IF(ISERROR(FIND("Oak",KitchenDoorMaterial))=FALSE,(0.035*0.075*($B151/1000))*VLOOKUP("Oak (solid m3)",SolidData,4,FALSE),IF(ISERROR(FIND("ply",KitchenDoorMaterial))=FALSE,(0.1*($B151/1000))*VLOOKUP("Birch ply (24mm)",SheetData,7,FALSE),IF(ISERROR(FIND("H/F",KitchenCarcassMaterial))=FALSE,(0.1*($C151/1000))*VLOOKUP("H/F (22mm)",SheetsData,7,FALSE),"Door - tower - new material")))),"Channel - tower - handle set to other")))),"")</f>
        <v/>
      </c>
    </row>
    <row r="152">
      <c r="A152" s="150"/>
      <c r="B152" s="115" t="str">
        <f t="shared" si="1"/>
        <v/>
      </c>
      <c r="C152" s="115" t="str">
        <f>IFERROR(__xludf.DUMMYFUNCTION("IF(A152="""","""",IF(OR(RIGHT(A152,LEN(A152)-len(regexextract(A152,"".* "")))=""1200"",RIGHT(A152,LEN(A152)-len(regexextract(A152,"".* "")))=""600"",RIGHT(A152,LEN(A152)-len(regexextract(A152,"".* "")))=""400"",RIGHT(A152,LEN(A152)-len(regexextract(A152,"&amp;""".* "")))=""300"",RIGHT(A152,LEN(A152)-len(regexextract(A152,"".* "")))=""700"",RIGHT(A152,LEN(A152)-len(regexextract(A152,"".* "")))=""2400"",RIGHT(A152,LEN(A152)-len(regexextract(A152,"".* "")))=""650"",RIGHT(A152,LEN(A152)-len(regexextract(A152,"".* "&amp;""")))=""350"",RIGHT(A152,LEN(A152)-len(regexextract(A152,"".* "")))=""50""),RIGHT(A152,LEN(A152)-len(regexextract(A152,"".* ""))),IF(OR(ISERROR(FIND(""spacer"",A152))=FALSE,ISERROR(FIND(""filler panel"",A152))=FALSE),""1000"",""Unexpected size in descript"&amp;"ion"")))"),"")</f>
        <v/>
      </c>
      <c r="D152" s="151" t="str">
        <f t="shared" si="2"/>
        <v/>
      </c>
      <c r="E152" s="152" t="str">
        <f>IFERROR(__xludf.DUMMYFUNCTION("IF(OR(A152="""",AND(ISERROR(FIND(""drawer box"",A152))=FALSE,KitchenDrawerType="""")),"""",IF(OR(ISERROR(FIND(""larder"",A152))=FALSE,ISERROR(FIND(""fridge/freezer"",A152))=FALSE,ISERROR(FIND(""double oven"",A152))=FALSE,ISERROR(FIND(""single oven"",A152)"&amp;")=FALSE),VLOOKUP(LEFT(A152,FIND("" "",A152))&amp;""carcass ""&amp;RIGHT(A152,LEN(A152)-(LEN(A152)-3)),KitchensData,5,0),IF(ISERROR(FIND(""sink"",A152))=FALSE,VLOOKUP(LEFT(A152,FIND("" "",A152))&amp;""carcass ""&amp;VALUE(REGEXREPLACE(A152,""[^[:digit:]]"", """")),Kitchen"&amp;"sData,5,0)+(((C152/1000)*(300/1000))*VLOOKUP(KitchenCarcassMaterial,SheetsData,8,0)),IF(ISERROR(FIND(""bins"",A152))=FALSE,IF(ISERROR(FIND(""veneer"",KitchenCarcassMaterial))=FALSE,VLOOKUP(""Base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600"",A152))=FALSE,IF(ISERR"&amp;"OR(FIND(""veneer"",KitchenCarcassMaterial))=FALSE,0.54*(VLOOKUP(LEFT(KitchenCarcassMaterial,FIND(""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1"&amp;"200"",A152))=FALSE,IF(ISERROR(FIND(""veneer"",KitchenCarcassMaterial))=FALSE,0.84*(VLOOKUP(LEFT(KitchenCarcassMaterial,FIND(""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600"",A152))=FALSE,IF(ISERROR(FIND(""veneer"",KitchenCarcassMaterial))=FALSE,1.44*(VLOOKUP(LEFT(KitchenCarcassMaterial,FIND(""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1200"",A152))=FALSE,IF(ISERROR(FIND(""veneer"",KitchenCarcassMaterial))=FALSE,2.7*(VLOOKUP(LEFT(KitchenCarcassMaterial,FIND(""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front"",A152))=FALSE,((B152/1000)*(C152/1000))*VLOOKUP(KitchenDoorMaterial,SheetsData,8,0),IF(AND(KitchenDrawerType=""Match carcass"",ISERROR(FIND(""drawer box"",A152))=FALSE),(((((B152/10"&amp;"00)*(C152/1000))+((B152/1000)*(D152/1000)))*2)*VLOOKUP(KitchenCarcassMaterial,SheetsData,8,0))+(((C152/1000)*(D152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box"",A152))=FALSE),(((((B152/1000)*(C152/1000))+((B152/1000)*(D152/1000)))*2)*(16/1000)*VLOOKUP(L"&amp;"EFT(KitchenCarcassMaterial,FIND("" "",KitchenCarcassMaterial))&amp;""(solid m3)"",SolidData,5,0))+(((C152/1000)*(D152/1000))*VLOOKUP(LEFT(KitchenCarcassMaterial,FIND(""("",KitchenCarcassMaterial)-1)&amp;IF(OR(ISERROR(FIND(""ply"",KitchenCarcassMaterial))=FALSE,IS"&amp;"ERROR(FIND(""H/F"",KitchenCarcassMaterial))=FALSE),""(9mm)"",""(10mm)""),SheetsData,8,0)),IF(ISERROR(FIND(""spacer"",A152))=FALSE,((D152/1000)*(C152/1000))*VLOOKUP(""Poplar ply (18mm)"",SheetsData,8,0),IF(ISERROR(FIND(""filler panel"",A152))=FALSE,((B152/"&amp;"1000)*(C152/1000))*VLOOKUP(KitchenDoorMaterial,SheetsData,8,0),IF(ISERROR(FIND(""shelf"",A152))=FALSE,((D152/1000)*(C152/1000))*VLOOKUP(KitchenCarcassMaterial,SheetsData,8,0),IF(ISERROR(FIND(""lost corner"",A152))=FALSE,VLOOKUP(LEFT(A152,FIND("" "",A152))"&amp;"&amp;""carcass ""&amp;VALUE(REGEXREPLACE(A152,""[^[:digit:]]"", """")),KitchensData,5,0)+((((B152/1000)*(C152/1000))+((B152/1000)*(60/1000)))*VLOOKUP(KitchenCarcassMaterial,SheetsData,8,0)),IF(ISERROR(FIND(""carcass"",A152))=FALSE,(((((B152/1000)*2)*(D152/1000))+"&amp;"(((C152/1000)*2)*(D152/1000)))*VLOOKUP(KitchenCarcassMaterial,SheetsData,8,0))+((B152/1000)*(C152/1000))*VLOOKUP(LEFT(KitchenCarcassMaterial,FIND(""("",KitchenCarcassMaterial)-1)&amp;IF(OR(ISERROR(FIND(""ply"",KitchenCarcassMaterial))=FALSE,ISERROR(FIND(""H/F"&amp;""",KitchenCarcassMaterial))=FALSE),""(9mm)"",""(10mm)""),SheetsData,8,0),IF(OR(ISERROR(FIND(""Plinth"",A152))=FALSE,ISERROR(FIND(""Cornice (flat)"",A152))=FALSE),((B152/1000)*(C152/1000))*VLOOKUP(""H/F (18mm)"",SheetsData,8,0),IF(ISERROR(FIND(""Cornice (s"&amp;"tacked)"",A152))=FALSE,((0.08*(C152/1000))*2)*VLOOKUP(""H/F (22mm)"",SheetsData,8,0),IF(ISERROR(FIND(""Base end panel"",A152))=FALSE,VLOOKUP(KitchenDoorMaterial,SheetsData,5,0)/3,IF(ISERROR(FIND(""Wall end panel"",A152))=FALSE,VLOOKUP(KitchenDoorMaterial,"&amp;"SheetsData,5,0)/9,IF(ISERROR(FIND(""Tower end panel"",A152))=FALSE,VLOOKUP(KitchenDoorMaterial,SheetsData,5,0),IF(ISERROR(FIND(""Fillers"",A152))=FALSE,(((0.06*(C152/1000))*2)*VLOOKUP(""H/F (18mm)"",SheetsData,8,0))+(((0.06*(C152/1000))*2)*VLOOKUP(""H/F ("&amp;"9mm)"",SheetsData,8,0)),IF(ISERROR(FIND(""corner post"",A152))=FALSE,(((B152/1000)*0.05)*2)*VLOOKUP(KitchenDoorMaterial,SheetsData,8,0),IF(ISERROR(FIND(""Pelmet"",A152))=FALSE,((((B152/1000)*(C152/1000))*2)*VLOOKUP(""H/F (18mm)"",SheetsData,8,0)),IF(ISERR"&amp;"OR(FIND(""door"",A152))=TRUE,""Check description"",IF(KitchenDoorStyle=""Flat"",((B152/1000)*(C152/1000))*VLOOKUP(KitchenDoorMaterial,SheetsData,8,0),IF(LEFT(KitchenDoorStyle,5)=""Panel"",(((((B152/1000)*2)*0.08)+((((C152/1000)-0.16)*2)*0.08))*VLOOKUP(""H"&amp;"/F (22mm)"",SheetsData,8,0))+(((B152/1000)-0.14)*((C152/1000)-0.14)*VLOOKUP(""H/F (9mm)"",SheetsData,8,0)),IF(KitchenDoorStyle=""In-frame flat"",((((((B152/1000)*0.019)*0.038)+((((C152-38)/1000)*0.038)*0.038))*2)*VLOOKUP(""Tulip (solid m3)"",SolidData,5,0"&amp;"))+(((B152-76)/1000)*((C152-38)/1000))*VLOOKUP(""H/F (22mm)"",SheetsData,8,0),IF(LEFT(KitchenDoorStyle,14)=""In-frame panel"",(((((((B152/1000)*0.019)*0.038)+((((C152-38)/1000)*0.038)*0.038))*2)*VLOOKUP(""Tulip (solid m3)"",SolidData,5,0))+(((((((B152-76)"&amp;"/1000)*2)*0.08)+(((((C152-198)/1000)*2)*0.08)))*VLOOKUP(""H/F (22mm)"",SheetsData,8,0))+(((B152-216)/1000)*((C152-178)/1000)*VLOOKUP(""H/F (9mm)"",SheetsData,8,0)))))))))))))))))))))))))))))))))"),"")</f>
        <v/>
      </c>
      <c r="F152" s="152" t="str">
        <f>IFERROR(__xludf.DUMMYFUNCTION("IF(OR(A152="""",AND(ISERROR(FIND(""drawer box"",A152))=FALSE,KitchenDrawerType=""Solid dovetail"")),"""",IF(ISERROR(FIND(""bins"",A152))=FALSE,VLOOKUP(""Base carcass 600"",KitchensData,6,0),IF(OR(ISERROR(FIND(""larder"",A152))=FALSE,ISERROR(FIND(""unit"","&amp;"A152))=FALSE),VLOOKUP(LEFT(A152,FIND("" "",A152))&amp;""carcass ""&amp;RIGHT(A152,LEN(A152)-len(regexextract(A152,"".* ""))),KitchensData,6,0),IF(ISERROR(FIND(""drawer front"",A152))=FALSE,IF(ISERROR(FIND(""veneer"",KitchenCarcassMaterial))=TRUE,0,(((B152+C152)/1"&amp;"000)*2)*VLOOKUP(""Edge banding (per M)"",SheetsData,5,0)),IF(ISERROR(FIND(""drawer box"",A152))=FALSE,IF(ISERROR(FIND(""veneer"",KitchenCarcassMaterial))=TRUE,0,(((C152+D152)/1000)*2)*VLOOKUP(""Edge banding (per M)"",SheetsData,5,0)),IF(ISERROR(FIND(""she"&amp;"lf"",A152))=FALSE,IF(ISERROR(FIND(""veneer"",KitchenCarcassMaterial))=TRUE,0,(C152/1000)*VLOOKUP(""Edge banding (per M)"",SheetsData,5,0)),IF(AND(ISERROR(FIND(""carcass"",A152))=FALSE,ISERROR(FIND(""shelf"",A152))=TRUE),IF(ISERROR(FIND(""veneer"",KitchenC"&amp;"arcassMaterial))=TRUE,0,((2*(B152+C152))/1000)*VLOOKUP(""Edge banding (per M)"",SheetsData,5,0)),IF(ISERROR(FIND(""door"",A152))=TRUE,"""",IF(ISERROR(FIND(""veneer"",KitchenDoorMaterial))=TRUE,"""",((2*(B152+C152))/1000)*VLOOKUP(""Edge banding (per M)"",S"&amp;"heetsData,5,0))))))))))"),"")</f>
        <v/>
      </c>
      <c r="G152" s="153" t="str">
        <f>IF(A152="","",IF(ISERROR(FIND("bins",A152))=FALSE,VLOOKUP("Base carcass 600",KitchensData,7,0),IF(OR(ISERROR(FIND("larder",A152))=FALSE,ISERROR(FIND("fridge/freezer",A152))=FALSE,ISERROR(FIND("double oven",A152))=FALSE,ISERROR(FIND("single oven",A152))=FALSE),VLOOKUP(LEFT(A152,FIND(" ",A152))&amp;"carcass "&amp;RIGHT(A152,LEN(A152)-(LEN(A152)-3)),KitchensData,7,0),IF(AND(ISERROR(FIND("carcass",A152))=FALSE,ISERROR(FIND("shelf",A152))=TRUE),IF(OR(ISERROR(FIND("Base",A152))=FALSE,ISERROR(FIND("Tower",A152))=FALSE),IF(OR(ISERROR(FIND("1200",A152))=FALSE, ISERROR(FIND("lost corner",A152))=FALSE),6*VLOOKUP("Plinth foot (2 Parts 80mm)",FurnitureData,5,0),4*VLOOKUP("Plinth foot (2 Parts 80mm)",FurnitureData,5,0)),""),""))))</f>
        <v/>
      </c>
      <c r="H152" s="115" t="str">
        <f>IF(OR(A152="",ISERROR(FIND("door",A152))=TRUE),"",IF(ISERROR(FIND("Wall",A152))=FALSE,VLOOKUP("Hinges &amp; plates (Hettich thick door)",FurnitureData,5,0)*2,IF(ISERROR(FIND("Base",A152))=FALSE,VLOOKUP("Hinges &amp; plates (Hettich thick door)",FurnitureData,5,0)*3,IF(ISERROR(FIND("Boiler",A152))=FALSE,VLOOKUP("Hinges &amp; plates (Hettich thick door)",FurnitureData,5,0)*4,IF(ISERROR(FIND("Tower",A152))=FALSE,VLOOKUP("Hinges &amp; plates (Hettich thick door)",FurnitureData,5,0)*5)))))</f>
        <v/>
      </c>
      <c r="I152" s="115" t="str">
        <f>IF(ISERROR(FIND("shelf",A152))=FALSE,(VLOOKUP("Shelf pegs",FurnitureData,5,0)/100)*4,"")</f>
        <v/>
      </c>
      <c r="J152" s="152" t="str">
        <f>IF(OR(ISERROR(FIND("fridge/freezer",A152))=FALSE,ISERROR(FIND("larder",A152))=FALSE,AND(ISERROR(FIND("Base",A152))=FALSE,ISERROR(FIND("bins",A152))=TRUE,ISERROR(FIND("no shelves",A152))=TRUE,OR(ISERROR(FIND("carcass",A152))=FALSE,ISERROR(FIND("unit",A152))=FALSE))),VLOOKUP("Deep shelf "&amp;C152,KitchensData,18,0),IF(AND(ISERROR(FIND("Wall",A152))=FALSE,ISERROR(FIND("carcass",A152))=FALSE),2*VLOOKUP("Shallow shelf "&amp;C152,KitchensData,18,0),IF(AND(ISERROR(FIND("Tower",A152))=FALSE,ISERROR(FIND("oven",A152))=FALSE),4*VLOOKUP("Deep shelf "&amp;C152,KitchensData,18,0),IF(AND(ISERROR(FIND("Tower",A152))=FALSE,ISERROR(FIND("carcass",A152))=FALSE),5*VLOOKUP("Deep shelf "&amp;C152,KitchensData,18,0),""))))</f>
        <v/>
      </c>
      <c r="K152" s="152" t="str">
        <f>IF(ISERROR(FIND("sink",A152))=FALSE,VLOOKUP("Sink liner - Aluminium "&amp;RIGHT(A152,LEN(A152)-22)&amp;"mm",ExceptionalData,5,0),IF(ISERROR(FIND("bins",A152))=FALSE,VLOOKUP("Drawer runners and clip set for bin unit (500) Dynapro",FurnitureData,5,0)+(2*VLOOKUP("Bin (42L Anthracite)",FurnitureData,5,0)),IF(ISERROR(FIND("larder",A152))=FALSE,VLOOKUP("Pull out larder unit 600mm",FurnitureData,5,0),IF(AND(ISERROR(FIND("drawer box",A152))=FALSE,ISERROR(FIND("internal",A152))=TRUE),VLOOKUP("Drawer runners and clip set (550) Dynapro",FurnitureData,5,0),IF(ISERROR(FIND("internal drawer box",A152))=FALSE,VLOOKUP("Drawer runners and clip set (450) Dynapro",FurnitureData,5,0),"")))))</f>
        <v/>
      </c>
      <c r="L152" s="152" t="str">
        <f t="shared" si="3"/>
        <v/>
      </c>
      <c r="M152" s="154" t="str">
        <f>IFERROR(__xludf.DUMMYFUNCTION("IF(A152="""","""",IF(OR(ISERROR(FIND(""larder"",A152))=FALSE,ISERROR(FIND(""unit"",A152))=FALSE),VLOOKUP(LEFT(A152,FIND("" "",A152))&amp;""carcass ""&amp;RIGHT(A152,LEN(A152)-len(regexextract(A152,"".* ""))),KitchensData,13,0),IF(ISERROR(FIND(""bins"",A152))=FALS"&amp;"E,0.95,IF(ISERROR(FIND(""Cutlery insert 600"",A152))=FALSE,1.3,IF(ISERROR(FIND(""Cutlery insert 1200"",A152))=FALSE,2,IF(ISERROR(FIND(""Pan/tray rack 600"",A152))=FALSE,3.25,IF(ISERROR(FIND(""Pan/tray rack 1200"",A152))=FALSE,5.9,IF(ISERROR(FIND(""split"""&amp;",A152))=FALSE,(((C152/1000)*0.022)*2)+VLOOKUP(SUBSTITUTE(A152,"" split"",""""),KitchensData,13,0),IF(AND(ISERROR(FIND(""drawer front"",A152))=FALSE,KitchenDoorStyle=""Flat""),(((B152/1000)*(C152/1000))*2)+((((B152+C152)/1000)*2)*0.022),IF(AND(ISERROR(FIND"&amp;"(""drawer front"",A152))=FALSE,LEFT(KitchenDoorStyle,5)=""Panel""),(((B152/1000)*(C152/1000))*2)+((((B152+C152)/1000)*2)*0.022)+((((C152/1000)-0.16)*0.013)*2)+((((D152/1000)-0.16)*0.013)*2),IF(AND(ISERROR(FIND(""drawer front"",A152))=FALSE,KitchenDoorStyl"&amp;"e=""In-frame flat""),((((B152-76)/1000)*((C152-38)/1000))*2)+(MID(KitchenDoorMaterial,FIND(""("",KitchenDoorMaterial)+1,2)/1000)*((((B152-76)+(C152-38))/1000)*2)+(((B152/1000)*0.032)*2)+((((B152-76)/1000)*0.032)*2)+(((B152/1000)*0.019)*4)+(((C152/1000)*0."&amp;"032)*2)+((((C152-38)/1000)*0.032)*2)+(((C152/1000)*0.038)*4),IF(AND(ISERROR(FIND(""drawer front"",A152))=FALSE,LEFT(KitchenDoorStyle,14)=""In-frame panel""),((((B152-76)/1000)*((C152-38)/1000))*2)+((MID(KitchenDoorMaterial,FIND(""("",KitchenDoorMaterial)+"&amp;"1,2)/1000)*((((B152-76)+(C152-38))/1000)*2))+((((B152-236)/1000)+((C152-198)/1000)*2)*0.013)+(((B152/1000)*0.032)*2)+((((B152-76)/1000)*0.032)*2)+(((B152/1000)*0.019)*4)+(((C152/1000)*0.032)*2)+((((C152-38)/1000)*0.032)*2)+(((C152/1000)*0.038)*4),IF(ISERR"&amp;"OR(FIND(""drawer box"",A152))=FALSE,((((B152/1000)*(D152/1000))+((B152/1000)*(C152/1000)))*4)+((((D152/1000)+(C152/1000))*0.016)*4)+(((C152/1000)*(D152/1000))*2),IF(OR(ISERROR(FIND(""shelf"",A152))=FALSE,ISERROR(FIND(""spacer"",A152))=FALSE,,ISERROR(FIND("&amp;"""filler panel"",A152))=FALSE),(((C152/1000)*(D152/1000))*2)+((((C152+D152)*2)/1000)*0.022),IF(ISERROR(FIND(""lost corner"",A152))=FALSE,(((B152/1000)*(C152/1000))*2)+((B152/1000)*(C152/1000))+((B152/1000)*((C152/2)/1000))+((((B152/1000)*0.025)+((C152/100"&amp;"0)*0.025))*2),IF(ISERROR(FIND(""carcass"",A152))=FALSE,(((C152/1000)*(D152/1000))*2)+(((B152/1000)*(D152/1000))*2)+((B152/1000)*(C152/1000))+((((B152/1000)*0.025)+((C152/1000)*0.025))*2),IF(AND(ISERROR(FIND(""door"",A152))=FALSE,KitchenDoorStyle=""Flat"")"&amp;",(((B152/1000)*(C152/1000))*2)+(MID(KitchenDoorMaterial,FIND(""("",KitchenDoorMaterial)+1,2)/1000)*(((B152+C152)/1000)*2),IF(AND(ISERROR(FIND(""door"",A152))=FALSE,LEFT(KitchenDoorStyle,5)=""Panel""),(((B152/1000)*(C152/1000))*2)+((MID(KitchenDoorMaterial"&amp;",FIND(""("",KitchenDoorMaterial)+1,2)/1000)*(((B152+C152)/1000)*2))+(((((B152-160)+(C152-160))*2)/1000)*(0.013)),IF(AND(ISERROR(FIND(""door"",A152))=FALSE,KitchenDoorStyle=""In-frame flat""),((((B152-76)/1000)*((C152-38)/1000))*2)+(MID(KitchenDoorMaterial"&amp;",FIND(""("",KitchenDoorMaterial)+1,2)/1000)*((((B152-76)+(C152-38))/1000)*2)+(((B152/1000)*0.032)*2)+((((B152-76)/1000)*0.032)*2)+(((B152/1000)*0.019)*4)+(((C152/1000)*0.032)*2)+((((C152-38)/1000)*0.032)*2)+(((C152/1000)*0.038)*4),IF(AND(ISERROR(FIND(""do"&amp;"or"",A152))=FALSE,LEFT(KitchenDoorStyle,14)=""In-frame panel""),((((B152-76)/1000)*((C152-38)/1000))*2)+((MID(KitchenDoorMaterial,FIND(""("",KitchenDoorMaterial)+1,2)/1000)*((((B152-76)+(C152-38))/1000)*2))+((((B152-236)/1000)+((C152-198)/1000)*2)*0.013)+"&amp;"(((B152/1000)*0.032)*2)+((((B152-76)/1000)*0.032)*2)+(((B152/1000)*0.019)*4)+(((C152/1000)*0.032)*2)+((((C152-38)/1000)*0.032)*2)+(((C152/1000)*0.038)*4),IF(ISERROR(FIND(""Plinth"",A152))=FALSE,((B152/1000)*(C152/1000))+(((C152/1000)*0.018)*2)+(((B152/100"&amp;"0)*0.018)*2),IF(ISERROR(FIND(""Cornice"",A152))=FALSE,(((C152/1000)*0.1)*2)+(((C152/1000)*0.044)*2)+(((B152/1000)*0.08)*2),IF(ISERROR(FIND(""Base end panel"",A152))=FALSE,((B152/1000)*(C152/1000))+(0.022*((B152/1000)+((C152/1000)*2)))+((B152/1000)*0.05),I"&amp;"F(ISERROR(FIND(""Wall end panel"",A152))=FALSE,((B152/1000)*(C152/1000))+(0.022*((B152/1000)+((C152/1000)*2)))+((B152/1000)*0.05),IF(ISERROR(FIND(""Tower end panel"",A152))=FALSE,((B152/1000)*(C152/1000))+(0.022*((B152/1000)+((C152/1000)*2)))+((B152/1000)"&amp;"*0.05),IF(ISERROR(FIND(""Fillers"",A152))=FALSE,((C152/1000)*0.06)+((C152/1000)*0.069)+((0.06*0.018)*2)+((0.06*0.009)*2)+((C152/1000)*0.009)+((C152/1000)*0.018),IF(ISERROR(FIND(""corner post"",A152))=FALSE,(((B152/1000*0.05)*2)+((B152/1000)*0.022)*2)+((B1"&amp;"52/1000)*0.072)+((B152/1000)*0.05)+((0.072*0.022)*2)+((0.05*0.022)*2),IF(ISERROR(FIND(""Pelmet"",A152))=FALSE,((C152/1000)*0.05)+((C152/1000)*0.068)+((0.05*0.018)*4)+(((C152/1000)*0.018))*2))))))))))))))))))))))))))))"),"")</f>
        <v/>
      </c>
      <c r="N152" s="152" t="str">
        <f>IF(M152="","",IF(AND(ISERROR(FIND("carcass",A152))=TRUE,ISERROR(FIND("unit",A152))=TRUE,ISERROR(FIND("insert",A152))=TRUE,ISERROR(FIND("rack",A152))=TRUE,ISERROR(FIND("box",A152))=TRUE,ISERROR(FIND("shelf",#REF!))=TRUE),VLOOKUP(KitchenDoorFinish,Finishing!$A$2:$K$10,9,0)*M152,VLOOKUP(KitchenCarcassFinish,Finishing!$A$2:$K$40,9,0)*M152))</f>
        <v/>
      </c>
      <c r="O152" s="155"/>
      <c r="P152" s="155"/>
      <c r="Q152" s="152" t="str">
        <f>IF(OR(O152="",P152=""),"",((O152*X152)*(VLOOKUP("Workshop",Labour!$A$3:$E$20,4,0)/8))+((P152*AE152)*(VLOOKUP("Finishing",Labour!$A$3:$E$20,4,0)/8)))</f>
        <v/>
      </c>
      <c r="R152" s="152" t="str">
        <f t="shared" si="4"/>
        <v/>
      </c>
      <c r="S152" s="156" t="str">
        <f>IF(OR(O152="",P152=""),"",IF(OR(ISERROR(FIND("carcass",$A152))=FALSE,ISERROR(FIND("unit",$A152))=FALSE),VLOOKUP(KitchenCarcassMaterial,FixedListsCarcassMaterial,2,0),0))</f>
        <v/>
      </c>
      <c r="T152" s="156" t="str">
        <f>IF(OR(O152="",P152=""),"",IF(ISERROR(FIND("door",$A152))=FALSE,VLOOKUP(KitchenDoorStyle,FixedListsDoorStyle,2,0),0))</f>
        <v/>
      </c>
      <c r="U152" s="156" t="str">
        <f>IF(OR(O152="",P152=""),"",IF(ISERROR(FIND("door",$A152))=FALSE,VLOOKUP(KitchenDoorMaterial,FixedListsDoorMaterial,2,0),0))</f>
        <v/>
      </c>
      <c r="V152" s="156" t="str">
        <f>IF(OR(O152="",P152=""),"",IF(ISERROR(FIND("drawer",$A152))=FALSE,VLOOKUP(KitchenDrawerType,FixedListsDrawerType,2,0),0))</f>
        <v/>
      </c>
      <c r="W152" s="156" t="str">
        <f>IF(OR(O152="",P152=""),"",IF(OR(S152&gt;0, T152&gt;0,V152&gt;0),VLOOKUP(KitchenHandleType,FixedListsHandleType,2,FALSE)*IF(KitchenHandleType="Simple",0,IF(S152&gt;0,VLOOKUP(KitchenHandleType,FixedListsHandleType,4,FALSE),IF(OR(T152&gt;0,V152&gt;0),1-VLOOKUP(KitchenHandleType,FixedListsHandleType,4,FALSE),"Error"))),0))</f>
        <v/>
      </c>
      <c r="X152" s="156" t="str">
        <f t="shared" si="5"/>
        <v/>
      </c>
      <c r="Y152" s="156" t="str">
        <f>IF(OR(O152="",P152=""),"",IF(OR(ISERROR(FIND("carcass",$A152))=FALSE,ISERROR(FIND("unit",$A152))=FALSE),VLOOKUP(KitchenCarcassMaterial,FixedListsCarcassMaterial,3,0),0))</f>
        <v/>
      </c>
      <c r="Z152" s="156" t="str">
        <f>IF(OR(O152="",P152=""),"",IF(ISERROR(FIND("door",$A152))=FALSE,VLOOKUP(KitchenDoorStyle,FixedListsDoorStyle,3,0),0))</f>
        <v/>
      </c>
      <c r="AA152" s="156" t="str">
        <f>IF(OR(O152="",P152=""),"",IF(ISERROR(FIND("door",$A152))=FALSE,VLOOKUP(KitchenDoorMaterial,FixedListsDoorMaterial,3,0),0))</f>
        <v/>
      </c>
      <c r="AB152" s="156" t="str">
        <f>IF(OR(O152="",P152=""),"",IF(ISERROR(FIND("drawer",$A152))=FALSE,VLOOKUP(KitchenDrawerType,FixedListsDrawerType,3,0),0))</f>
        <v/>
      </c>
      <c r="AC152" s="156" t="str">
        <f>IF(OR(O152="",P152=""),"",IF(OR(Y152&gt;0,Z152&gt;0,AB152&gt;0),VLOOKUP(KitchenHandleType,FixedListsHandleType,3,FALSE),0))</f>
        <v/>
      </c>
      <c r="AD152" s="156" t="str">
        <f>IF(OR(O152="",P152=""),"",IF(OR(ISERROR(FIND("carcass",$A152))=FALSE,ISERROR(FIND("unit",$A152))=FALSE),VLOOKUP(KitchenCarcassFinish,FixedListsFinishes,3,0),IF(OR(ISERROR(FIND("door",$A152))=FALSE,ISERROR(FIND("Plinth",$A152))=FALSE,ISERROR(FIND("Cornice",$A152))=FALSE,ISERROR(FIND("Fillers",$A152))=FALSE,ISERROR(FIND("Pelmet",$A152))=FALSE,ISERROR(FIND("panel",$A152))=FALSE,ISERROR(FIND("post",$A152))=FALSE),VLOOKUP(KitchenDoorFinish,FixedListsFinishes,3,0),IF(OR(ISERROR(FIND("drawer",$A152))=FALSE,ISERROR(FIND("insert",$A152))=FALSE,ISERROR(FIND("rck",$A152))=FALSE),VLOOKUP(KitchenCarcassFinish,FixedListsFinishes,3,0),0))))</f>
        <v/>
      </c>
      <c r="AE152" s="156" t="str">
        <f t="shared" si="6"/>
        <v/>
      </c>
      <c r="AF152" s="157" t="str">
        <f>IF(AND(KitchenHandleType="Channel",OR(ISERROR(FIND("arcass",$A152))=FALSE,ISERROR(FIND("unit",$A152))=FALSE)),IF(ISERROR(FIND("Tower",$A152))=TRUE,IF(KitchenHandleFinish="Match carcass",IF(ISERROR(FIND("Walnut",KitchenCarcassMaterial))=FALSE,(0.035*0.075*($C152/1000))*VLOOKUP("Walnut (solid m3)",SolidData,4,FALSE),IF(ISERROR(FIND("Oak",KitchenCarcassMaterial))=FALSE,(0.035*0.075*($C152/1000))*VLOOKUP("Oak (solid m3)",SolidData,4,FALSE),IF(ISERROR(FIND("ply",KitchenCarcassMaterial))=FALSE,(0.1*($C152/1000))*VLOOKUP("Birch ply (24mm)",SheetsData,7,FALSE),IF(ISERROR(FIND("H/F",KitchenCarcassMaterial))=FALSE,(0.1*($C152/1000))*VLOOKUP("H/F (22mm)",SheetsData,7,FALSE),"Carcass - not tower - new material")))),IF(KitchenHandleFinish="Match door",IF(ISERROR(FIND("Walnut",KitchenDoorMaterial))=FALSE,(0.035*0.075*($C152/1000))*VLOOKUP("Walnut (solid m3)",SolidData,4,FALSE),IF(ISERROR(FIND("Oak",KitchenDoorMaterial))=FALSE,(0.035*0.075*($C152/1000))*VLOOKUP("Oak (solid m3)",SolidData,4,FALSE),IF(ISERROR(FIND("ply",KitchenDoorMaterial))=FALSE,(0.1*($C152/1000))*VLOOKUP("Birch ply (24mm)",SheetsData,7,FALSE),IF(ISERROR(FIND("H/F",KitchenCarcassMaterial))=FALSE,(0.1*($C152/1000))*VLOOKUP("H/F (22mm)",SheetsData,7,FALSE),"Door - not tower - new material")))),"Channel - not tower - handle set to other")),IF(ISERROR(FIND("Tower",$A152))=FALSE,IF(KitchenHandleFinish="Match carcass",IF(ISERROR(FIND("Walnut",KitchenCarcassMaterial))=FALSE,(0.035*0.075*($B152/1000))*VLOOKUP("Walnut (solid m3)",SolidData,4,FALSE),IF(ISERROR(FIND("Oak",KitchenCarcassMaterial))=FALSE,(0.035*0.075*($B152/1000))*VLOOKUP("Oak (solid m3)",SolidData,4,FALSE),IF(ISERROR(FIND("ply",KitchenCarcassMaterial))=FALSE,(0.1*($B152/1000))*VLOOKUP("Birch ply (24mm)",SheetsData,7,FALSE),IF(ISERROR(FIND("H/F",KitchenCarcassMaterial))=FALSE,(0.1*($C152/1000))*VLOOKUP("H/F (22mm)",SheetsData,7,FALSE),"Carcass - tower - new material")))),IF(KitchenHandleFinish="Match door",IF(ISERROR(FIND("Walnut",KitchenDoorMaterial))=FALSE,(0.035*0.075*($B152/1000))*VLOOKUP("Walnut (solid m3)",SolidData,4,FALSE),IF(ISERROR(FIND("Oak",KitchenDoorMaterial))=FALSE,(0.035*0.075*($B152/1000))*VLOOKUP("Oak (solid m3)",SolidData,4,FALSE),IF(ISERROR(FIND("ply",KitchenDoorMaterial))=FALSE,(0.1*($B152/1000))*VLOOKUP("Birch ply (24mm)",SheetData,7,FALSE),IF(ISERROR(FIND("H/F",KitchenCarcassMaterial))=FALSE,(0.1*($C152/1000))*VLOOKUP("H/F (22mm)",SheetsData,7,FALSE),"Door - tower - new material")))),"Channel - tower - handle set to other")))),"")</f>
        <v/>
      </c>
    </row>
    <row r="153">
      <c r="A153" s="150"/>
      <c r="B153" s="115" t="str">
        <f t="shared" si="1"/>
        <v/>
      </c>
      <c r="C153" s="115" t="str">
        <f>IFERROR(__xludf.DUMMYFUNCTION("IF(A153="""","""",IF(OR(RIGHT(A153,LEN(A153)-len(regexextract(A153,"".* "")))=""1200"",RIGHT(A153,LEN(A153)-len(regexextract(A153,"".* "")))=""600"",RIGHT(A153,LEN(A153)-len(regexextract(A153,"".* "")))=""400"",RIGHT(A153,LEN(A153)-len(regexextract(A153,"&amp;""".* "")))=""300"",RIGHT(A153,LEN(A153)-len(regexextract(A153,"".* "")))=""700"",RIGHT(A153,LEN(A153)-len(regexextract(A153,"".* "")))=""2400"",RIGHT(A153,LEN(A153)-len(regexextract(A153,"".* "")))=""650"",RIGHT(A153,LEN(A153)-len(regexextract(A153,"".* "&amp;""")))=""350"",RIGHT(A153,LEN(A153)-len(regexextract(A153,"".* "")))=""50""),RIGHT(A153,LEN(A153)-len(regexextract(A153,"".* ""))),IF(OR(ISERROR(FIND(""spacer"",A153))=FALSE,ISERROR(FIND(""filler panel"",A153))=FALSE),""1000"",""Unexpected size in descript"&amp;"ion"")))"),"")</f>
        <v/>
      </c>
      <c r="D153" s="151" t="str">
        <f t="shared" si="2"/>
        <v/>
      </c>
      <c r="E153" s="152" t="str">
        <f>IFERROR(__xludf.DUMMYFUNCTION("IF(OR(A153="""",AND(ISERROR(FIND(""drawer box"",A153))=FALSE,KitchenDrawerType="""")),"""",IF(OR(ISERROR(FIND(""larder"",A153))=FALSE,ISERROR(FIND(""fridge/freezer"",A153))=FALSE,ISERROR(FIND(""double oven"",A153))=FALSE,ISERROR(FIND(""single oven"",A153)"&amp;")=FALSE),VLOOKUP(LEFT(A153,FIND("" "",A153))&amp;""carcass ""&amp;RIGHT(A153,LEN(A153)-(LEN(A153)-3)),KitchensData,5,0),IF(ISERROR(FIND(""sink"",A153))=FALSE,VLOOKUP(LEFT(A153,FIND("" "",A153))&amp;""carcass ""&amp;VALUE(REGEXREPLACE(A153,""[^[:digit:]]"", """")),Kitchen"&amp;"sData,5,0)+(((C153/1000)*(300/1000))*VLOOKUP(KitchenCarcassMaterial,SheetsData,8,0)),IF(ISERROR(FIND(""bins"",A153))=FALSE,IF(ISERROR(FIND(""veneer"",KitchenCarcassMaterial))=FALSE,VLOOKUP(""Base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600"",A153))=FALSE,IF(ISERR"&amp;"OR(FIND(""veneer"",KitchenCarcassMaterial))=FALSE,0.54*(VLOOKUP(LEFT(KitchenCarcassMaterial,FIND(""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1"&amp;"200"",A153))=FALSE,IF(ISERROR(FIND(""veneer"",KitchenCarcassMaterial))=FALSE,0.84*(VLOOKUP(LEFT(KitchenCarcassMaterial,FIND(""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600"",A153))=FALSE,IF(ISERROR(FIND(""veneer"",KitchenCarcassMaterial))=FALSE,1.44*(VLOOKUP(LEFT(KitchenCarcassMaterial,FIND(""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1200"",A153))=FALSE,IF(ISERROR(FIND(""veneer"",KitchenCarcassMaterial))=FALSE,2.7*(VLOOKUP(LEFT(KitchenCarcassMaterial,FIND(""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front"",A153))=FALSE,((B153/1000)*(C153/1000))*VLOOKUP(KitchenDoorMaterial,SheetsData,8,0),IF(AND(KitchenDrawerType=""Match carcass"",ISERROR(FIND(""drawer box"",A153))=FALSE),(((((B153/10"&amp;"00)*(C153/1000))+((B153/1000)*(D153/1000)))*2)*VLOOKUP(KitchenCarcassMaterial,SheetsData,8,0))+(((C153/1000)*(D153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box"",A153))=FALSE),(((((B153/1000)*(C153/1000))+((B153/1000)*(D153/1000)))*2)*(16/1000)*VLOOKUP(L"&amp;"EFT(KitchenCarcassMaterial,FIND("" "",KitchenCarcassMaterial))&amp;""(solid m3)"",SolidData,5,0))+(((C153/1000)*(D153/1000))*VLOOKUP(LEFT(KitchenCarcassMaterial,FIND(""("",KitchenCarcassMaterial)-1)&amp;IF(OR(ISERROR(FIND(""ply"",KitchenCarcassMaterial))=FALSE,IS"&amp;"ERROR(FIND(""H/F"",KitchenCarcassMaterial))=FALSE),""(9mm)"",""(10mm)""),SheetsData,8,0)),IF(ISERROR(FIND(""spacer"",A153))=FALSE,((D153/1000)*(C153/1000))*VLOOKUP(""Poplar ply (18mm)"",SheetsData,8,0),IF(ISERROR(FIND(""filler panel"",A153))=FALSE,((B153/"&amp;"1000)*(C153/1000))*VLOOKUP(KitchenDoorMaterial,SheetsData,8,0),IF(ISERROR(FIND(""shelf"",A153))=FALSE,((D153/1000)*(C153/1000))*VLOOKUP(KitchenCarcassMaterial,SheetsData,8,0),IF(ISERROR(FIND(""lost corner"",A153))=FALSE,VLOOKUP(LEFT(A153,FIND("" "",A153))"&amp;"&amp;""carcass ""&amp;VALUE(REGEXREPLACE(A153,""[^[:digit:]]"", """")),KitchensData,5,0)+((((B153/1000)*(C153/1000))+((B153/1000)*(60/1000)))*VLOOKUP(KitchenCarcassMaterial,SheetsData,8,0)),IF(ISERROR(FIND(""carcass"",A153))=FALSE,(((((B153/1000)*2)*(D153/1000))+"&amp;"(((C153/1000)*2)*(D153/1000)))*VLOOKUP(KitchenCarcassMaterial,SheetsData,8,0))+((B153/1000)*(C153/1000))*VLOOKUP(LEFT(KitchenCarcassMaterial,FIND(""("",KitchenCarcassMaterial)-1)&amp;IF(OR(ISERROR(FIND(""ply"",KitchenCarcassMaterial))=FALSE,ISERROR(FIND(""H/F"&amp;""",KitchenCarcassMaterial))=FALSE),""(9mm)"",""(10mm)""),SheetsData,8,0),IF(OR(ISERROR(FIND(""Plinth"",A153))=FALSE,ISERROR(FIND(""Cornice (flat)"",A153))=FALSE),((B153/1000)*(C153/1000))*VLOOKUP(""H/F (18mm)"",SheetsData,8,0),IF(ISERROR(FIND(""Cornice (s"&amp;"tacked)"",A153))=FALSE,((0.08*(C153/1000))*2)*VLOOKUP(""H/F (22mm)"",SheetsData,8,0),IF(ISERROR(FIND(""Base end panel"",A153))=FALSE,VLOOKUP(KitchenDoorMaterial,SheetsData,5,0)/3,IF(ISERROR(FIND(""Wall end panel"",A153))=FALSE,VLOOKUP(KitchenDoorMaterial,"&amp;"SheetsData,5,0)/9,IF(ISERROR(FIND(""Tower end panel"",A153))=FALSE,VLOOKUP(KitchenDoorMaterial,SheetsData,5,0),IF(ISERROR(FIND(""Fillers"",A153))=FALSE,(((0.06*(C153/1000))*2)*VLOOKUP(""H/F (18mm)"",SheetsData,8,0))+(((0.06*(C153/1000))*2)*VLOOKUP(""H/F ("&amp;"9mm)"",SheetsData,8,0)),IF(ISERROR(FIND(""corner post"",A153))=FALSE,(((B153/1000)*0.05)*2)*VLOOKUP(KitchenDoorMaterial,SheetsData,8,0),IF(ISERROR(FIND(""Pelmet"",A153))=FALSE,((((B153/1000)*(C153/1000))*2)*VLOOKUP(""H/F (18mm)"",SheetsData,8,0)),IF(ISERR"&amp;"OR(FIND(""door"",A153))=TRUE,""Check description"",IF(KitchenDoorStyle=""Flat"",((B153/1000)*(C153/1000))*VLOOKUP(KitchenDoorMaterial,SheetsData,8,0),IF(LEFT(KitchenDoorStyle,5)=""Panel"",(((((B153/1000)*2)*0.08)+((((C153/1000)-0.16)*2)*0.08))*VLOOKUP(""H"&amp;"/F (22mm)"",SheetsData,8,0))+(((B153/1000)-0.14)*((C153/1000)-0.14)*VLOOKUP(""H/F (9mm)"",SheetsData,8,0)),IF(KitchenDoorStyle=""In-frame flat"",((((((B153/1000)*0.019)*0.038)+((((C153-38)/1000)*0.038)*0.038))*2)*VLOOKUP(""Tulip (solid m3)"",SolidData,5,0"&amp;"))+(((B153-76)/1000)*((C153-38)/1000))*VLOOKUP(""H/F (22mm)"",SheetsData,8,0),IF(LEFT(KitchenDoorStyle,14)=""In-frame panel"",(((((((B153/1000)*0.019)*0.038)+((((C153-38)/1000)*0.038)*0.038))*2)*VLOOKUP(""Tulip (solid m3)"",SolidData,5,0))+(((((((B153-76)"&amp;"/1000)*2)*0.08)+(((((C153-198)/1000)*2)*0.08)))*VLOOKUP(""H/F (22mm)"",SheetsData,8,0))+(((B153-216)/1000)*((C153-178)/1000)*VLOOKUP(""H/F (9mm)"",SheetsData,8,0)))))))))))))))))))))))))))))))))"),"")</f>
        <v/>
      </c>
      <c r="F153" s="152" t="str">
        <f>IFERROR(__xludf.DUMMYFUNCTION("IF(OR(A153="""",AND(ISERROR(FIND(""drawer box"",A153))=FALSE,KitchenDrawerType=""Solid dovetail"")),"""",IF(ISERROR(FIND(""bins"",A153))=FALSE,VLOOKUP(""Base carcass 600"",KitchensData,6,0),IF(OR(ISERROR(FIND(""larder"",A153))=FALSE,ISERROR(FIND(""unit"","&amp;"A153))=FALSE),VLOOKUP(LEFT(A153,FIND("" "",A153))&amp;""carcass ""&amp;RIGHT(A153,LEN(A153)-len(regexextract(A153,"".* ""))),KitchensData,6,0),IF(ISERROR(FIND(""drawer front"",A153))=FALSE,IF(ISERROR(FIND(""veneer"",KitchenCarcassMaterial))=TRUE,0,(((B153+C153)/1"&amp;"000)*2)*VLOOKUP(""Edge banding (per M)"",SheetsData,5,0)),IF(ISERROR(FIND(""drawer box"",A153))=FALSE,IF(ISERROR(FIND(""veneer"",KitchenCarcassMaterial))=TRUE,0,(((C153+D153)/1000)*2)*VLOOKUP(""Edge banding (per M)"",SheetsData,5,0)),IF(ISERROR(FIND(""she"&amp;"lf"",A153))=FALSE,IF(ISERROR(FIND(""veneer"",KitchenCarcassMaterial))=TRUE,0,(C153/1000)*VLOOKUP(""Edge banding (per M)"",SheetsData,5,0)),IF(AND(ISERROR(FIND(""carcass"",A153))=FALSE,ISERROR(FIND(""shelf"",A153))=TRUE),IF(ISERROR(FIND(""veneer"",KitchenC"&amp;"arcassMaterial))=TRUE,0,((2*(B153+C153))/1000)*VLOOKUP(""Edge banding (per M)"",SheetsData,5,0)),IF(ISERROR(FIND(""door"",A153))=TRUE,"""",IF(ISERROR(FIND(""veneer"",KitchenDoorMaterial))=TRUE,"""",((2*(B153+C153))/1000)*VLOOKUP(""Edge banding (per M)"",S"&amp;"heetsData,5,0))))))))))"),"")</f>
        <v/>
      </c>
      <c r="G153" s="153" t="str">
        <f>IF(A153="","",IF(ISERROR(FIND("bins",A153))=FALSE,VLOOKUP("Base carcass 600",KitchensData,7,0),IF(OR(ISERROR(FIND("larder",A153))=FALSE,ISERROR(FIND("fridge/freezer",A153))=FALSE,ISERROR(FIND("double oven",A153))=FALSE,ISERROR(FIND("single oven",A153))=FALSE),VLOOKUP(LEFT(A153,FIND(" ",A153))&amp;"carcass "&amp;RIGHT(A153,LEN(A153)-(LEN(A153)-3)),KitchensData,7,0),IF(AND(ISERROR(FIND("carcass",A153))=FALSE,ISERROR(FIND("shelf",A153))=TRUE),IF(OR(ISERROR(FIND("Base",A153))=FALSE,ISERROR(FIND("Tower",A153))=FALSE),IF(OR(ISERROR(FIND("1200",A153))=FALSE, ISERROR(FIND("lost corner",A153))=FALSE),6*VLOOKUP("Plinth foot (2 Parts 80mm)",FurnitureData,5,0),4*VLOOKUP("Plinth foot (2 Parts 80mm)",FurnitureData,5,0)),""),""))))</f>
        <v/>
      </c>
      <c r="H153" s="115" t="str">
        <f>IF(OR(A153="",ISERROR(FIND("door",A153))=TRUE),"",IF(ISERROR(FIND("Wall",A153))=FALSE,VLOOKUP("Hinges &amp; plates (Hettich thick door)",FurnitureData,5,0)*2,IF(ISERROR(FIND("Base",A153))=FALSE,VLOOKUP("Hinges &amp; plates (Hettich thick door)",FurnitureData,5,0)*3,IF(ISERROR(FIND("Boiler",A153))=FALSE,VLOOKUP("Hinges &amp; plates (Hettich thick door)",FurnitureData,5,0)*4,IF(ISERROR(FIND("Tower",A153))=FALSE,VLOOKUP("Hinges &amp; plates (Hettich thick door)",FurnitureData,5,0)*5)))))</f>
        <v/>
      </c>
      <c r="I153" s="115" t="str">
        <f>IF(ISERROR(FIND("shelf",A153))=FALSE,(VLOOKUP("Shelf pegs",FurnitureData,5,0)/100)*4,"")</f>
        <v/>
      </c>
      <c r="J153" s="152" t="str">
        <f>IF(OR(ISERROR(FIND("fridge/freezer",A153))=FALSE,ISERROR(FIND("larder",A153))=FALSE,AND(ISERROR(FIND("Base",A153))=FALSE,ISERROR(FIND("bins",A153))=TRUE,ISERROR(FIND("no shelves",A153))=TRUE,OR(ISERROR(FIND("carcass",A153))=FALSE,ISERROR(FIND("unit",A153))=FALSE))),VLOOKUP("Deep shelf "&amp;C153,KitchensData,18,0),IF(AND(ISERROR(FIND("Wall",A153))=FALSE,ISERROR(FIND("carcass",A153))=FALSE),2*VLOOKUP("Shallow shelf "&amp;C153,KitchensData,18,0),IF(AND(ISERROR(FIND("Tower",A153))=FALSE,ISERROR(FIND("oven",A153))=FALSE),4*VLOOKUP("Deep shelf "&amp;C153,KitchensData,18,0),IF(AND(ISERROR(FIND("Tower",A153))=FALSE,ISERROR(FIND("carcass",A153))=FALSE),5*VLOOKUP("Deep shelf "&amp;C153,KitchensData,18,0),""))))</f>
        <v/>
      </c>
      <c r="K153" s="152" t="str">
        <f>IF(ISERROR(FIND("sink",A153))=FALSE,VLOOKUP("Sink liner - Aluminium "&amp;RIGHT(A153,LEN(A153)-22)&amp;"mm",ExceptionalData,5,0),IF(ISERROR(FIND("bins",A153))=FALSE,VLOOKUP("Drawer runners and clip set for bin unit (500) Dynapro",FurnitureData,5,0)+(2*VLOOKUP("Bin (42L Anthracite)",FurnitureData,5,0)),IF(ISERROR(FIND("larder",A153))=FALSE,VLOOKUP("Pull out larder unit 600mm",FurnitureData,5,0),IF(AND(ISERROR(FIND("drawer box",A153))=FALSE,ISERROR(FIND("internal",A153))=TRUE),VLOOKUP("Drawer runners and clip set (550) Dynapro",FurnitureData,5,0),IF(ISERROR(FIND("internal drawer box",A153))=FALSE,VLOOKUP("Drawer runners and clip set (450) Dynapro",FurnitureData,5,0),"")))))</f>
        <v/>
      </c>
      <c r="L153" s="152" t="str">
        <f t="shared" si="3"/>
        <v/>
      </c>
      <c r="M153" s="154" t="str">
        <f>IFERROR(__xludf.DUMMYFUNCTION("IF(A153="""","""",IF(OR(ISERROR(FIND(""larder"",A153))=FALSE,ISERROR(FIND(""unit"",A153))=FALSE),VLOOKUP(LEFT(A153,FIND("" "",A153))&amp;""carcass ""&amp;RIGHT(A153,LEN(A153)-len(regexextract(A153,"".* ""))),KitchensData,13,0),IF(ISERROR(FIND(""bins"",A153))=FALS"&amp;"E,0.95,IF(ISERROR(FIND(""Cutlery insert 600"",A153))=FALSE,1.3,IF(ISERROR(FIND(""Cutlery insert 1200"",A153))=FALSE,2,IF(ISERROR(FIND(""Pan/tray rack 600"",A153))=FALSE,3.25,IF(ISERROR(FIND(""Pan/tray rack 1200"",A153))=FALSE,5.9,IF(ISERROR(FIND(""split"""&amp;",A153))=FALSE,(((C153/1000)*0.022)*2)+VLOOKUP(SUBSTITUTE(A153,"" split"",""""),KitchensData,13,0),IF(AND(ISERROR(FIND(""drawer front"",A153))=FALSE,KitchenDoorStyle=""Flat""),(((B153/1000)*(C153/1000))*2)+((((B153+C153)/1000)*2)*0.022),IF(AND(ISERROR(FIND"&amp;"(""drawer front"",A153))=FALSE,LEFT(KitchenDoorStyle,5)=""Panel""),(((B153/1000)*(C153/1000))*2)+((((B153+C153)/1000)*2)*0.022)+((((C153/1000)-0.16)*0.013)*2)+((((D153/1000)-0.16)*0.013)*2),IF(AND(ISERROR(FIND(""drawer front"",A153))=FALSE,KitchenDoorStyl"&amp;"e=""In-frame flat""),((((B153-76)/1000)*((C153-38)/1000))*2)+(MID(KitchenDoorMaterial,FIND(""("",KitchenDoorMaterial)+1,2)/1000)*((((B153-76)+(C153-38))/1000)*2)+(((B153/1000)*0.032)*2)+((((B153-76)/1000)*0.032)*2)+(((B153/1000)*0.019)*4)+(((C153/1000)*0."&amp;"032)*2)+((((C153-38)/1000)*0.032)*2)+(((C153/1000)*0.038)*4),IF(AND(ISERROR(FIND(""drawer front"",A153))=FALSE,LEFT(KitchenDoorStyle,14)=""In-frame panel""),((((B153-76)/1000)*((C153-38)/1000))*2)+((MID(KitchenDoorMaterial,FIND(""("",KitchenDoorMaterial)+"&amp;"1,2)/1000)*((((B153-76)+(C153-38))/1000)*2))+((((B153-236)/1000)+((C153-198)/1000)*2)*0.013)+(((B153/1000)*0.032)*2)+((((B153-76)/1000)*0.032)*2)+(((B153/1000)*0.019)*4)+(((C153/1000)*0.032)*2)+((((C153-38)/1000)*0.032)*2)+(((C153/1000)*0.038)*4),IF(ISERR"&amp;"OR(FIND(""drawer box"",A153))=FALSE,((((B153/1000)*(D153/1000))+((B153/1000)*(C153/1000)))*4)+((((D153/1000)+(C153/1000))*0.016)*4)+(((C153/1000)*(D153/1000))*2),IF(OR(ISERROR(FIND(""shelf"",A153))=FALSE,ISERROR(FIND(""spacer"",A153))=FALSE,,ISERROR(FIND("&amp;"""filler panel"",A153))=FALSE),(((C153/1000)*(D153/1000))*2)+((((C153+D153)*2)/1000)*0.022),IF(ISERROR(FIND(""lost corner"",A153))=FALSE,(((B153/1000)*(C153/1000))*2)+((B153/1000)*(C153/1000))+((B153/1000)*((C153/2)/1000))+((((B153/1000)*0.025)+((C153/100"&amp;"0)*0.025))*2),IF(ISERROR(FIND(""carcass"",A153))=FALSE,(((C153/1000)*(D153/1000))*2)+(((B153/1000)*(D153/1000))*2)+((B153/1000)*(C153/1000))+((((B153/1000)*0.025)+((C153/1000)*0.025))*2),IF(AND(ISERROR(FIND(""door"",A153))=FALSE,KitchenDoorStyle=""Flat"")"&amp;",(((B153/1000)*(C153/1000))*2)+(MID(KitchenDoorMaterial,FIND(""("",KitchenDoorMaterial)+1,2)/1000)*(((B153+C153)/1000)*2),IF(AND(ISERROR(FIND(""door"",A153))=FALSE,LEFT(KitchenDoorStyle,5)=""Panel""),(((B153/1000)*(C153/1000))*2)+((MID(KitchenDoorMaterial"&amp;",FIND(""("",KitchenDoorMaterial)+1,2)/1000)*(((B153+C153)/1000)*2))+(((((B153-160)+(C153-160))*2)/1000)*(0.013)),IF(AND(ISERROR(FIND(""door"",A153))=FALSE,KitchenDoorStyle=""In-frame flat""),((((B153-76)/1000)*((C153-38)/1000))*2)+(MID(KitchenDoorMaterial"&amp;",FIND(""("",KitchenDoorMaterial)+1,2)/1000)*((((B153-76)+(C153-38))/1000)*2)+(((B153/1000)*0.032)*2)+((((B153-76)/1000)*0.032)*2)+(((B153/1000)*0.019)*4)+(((C153/1000)*0.032)*2)+((((C153-38)/1000)*0.032)*2)+(((C153/1000)*0.038)*4),IF(AND(ISERROR(FIND(""do"&amp;"or"",A153))=FALSE,LEFT(KitchenDoorStyle,14)=""In-frame panel""),((((B153-76)/1000)*((C153-38)/1000))*2)+((MID(KitchenDoorMaterial,FIND(""("",KitchenDoorMaterial)+1,2)/1000)*((((B153-76)+(C153-38))/1000)*2))+((((B153-236)/1000)+((C153-198)/1000)*2)*0.013)+"&amp;"(((B153/1000)*0.032)*2)+((((B153-76)/1000)*0.032)*2)+(((B153/1000)*0.019)*4)+(((C153/1000)*0.032)*2)+((((C153-38)/1000)*0.032)*2)+(((C153/1000)*0.038)*4),IF(ISERROR(FIND(""Plinth"",A153))=FALSE,((B153/1000)*(C153/1000))+(((C153/1000)*0.018)*2)+(((B153/100"&amp;"0)*0.018)*2),IF(ISERROR(FIND(""Cornice"",A153))=FALSE,(((C153/1000)*0.1)*2)+(((C153/1000)*0.044)*2)+(((B153/1000)*0.08)*2),IF(ISERROR(FIND(""Base end panel"",A153))=FALSE,((B153/1000)*(C153/1000))+(0.022*((B153/1000)+((C153/1000)*2)))+((B153/1000)*0.05),I"&amp;"F(ISERROR(FIND(""Wall end panel"",A153))=FALSE,((B153/1000)*(C153/1000))+(0.022*((B153/1000)+((C153/1000)*2)))+((B153/1000)*0.05),IF(ISERROR(FIND(""Tower end panel"",A153))=FALSE,((B153/1000)*(C153/1000))+(0.022*((B153/1000)+((C153/1000)*2)))+((B153/1000)"&amp;"*0.05),IF(ISERROR(FIND(""Fillers"",A153))=FALSE,((C153/1000)*0.06)+((C153/1000)*0.069)+((0.06*0.018)*2)+((0.06*0.009)*2)+((C153/1000)*0.009)+((C153/1000)*0.018),IF(ISERROR(FIND(""corner post"",A153))=FALSE,(((B153/1000*0.05)*2)+((B153/1000)*0.022)*2)+((B1"&amp;"53/1000)*0.072)+((B153/1000)*0.05)+((0.072*0.022)*2)+((0.05*0.022)*2),IF(ISERROR(FIND(""Pelmet"",A153))=FALSE,((C153/1000)*0.05)+((C153/1000)*0.068)+((0.05*0.018)*4)+(((C153/1000)*0.018))*2))))))))))))))))))))))))))))"),"")</f>
        <v/>
      </c>
      <c r="N153" s="152" t="str">
        <f>IF(M153="","",IF(AND(ISERROR(FIND("carcass",A153))=TRUE,ISERROR(FIND("unit",A153))=TRUE,ISERROR(FIND("insert",A153))=TRUE,ISERROR(FIND("rack",A153))=TRUE,ISERROR(FIND("box",A153))=TRUE,ISERROR(FIND("shelf",#REF!))=TRUE),VLOOKUP(KitchenDoorFinish,Finishing!$A$2:$K$10,9,0)*M153,VLOOKUP(KitchenCarcassFinish,Finishing!$A$2:$K$40,9,0)*M153))</f>
        <v/>
      </c>
      <c r="O153" s="155"/>
      <c r="P153" s="155"/>
      <c r="Q153" s="152" t="str">
        <f>IF(OR(O153="",P153=""),"",((O153*X153)*(VLOOKUP("Workshop",Labour!$A$3:$E$20,4,0)/8))+((P153*AE153)*(VLOOKUP("Finishing",Labour!$A$3:$E$20,4,0)/8)))</f>
        <v/>
      </c>
      <c r="R153" s="152" t="str">
        <f t="shared" si="4"/>
        <v/>
      </c>
      <c r="S153" s="156" t="str">
        <f>IF(OR(O153="",P153=""),"",IF(OR(ISERROR(FIND("carcass",$A153))=FALSE,ISERROR(FIND("unit",$A153))=FALSE),VLOOKUP(KitchenCarcassMaterial,FixedListsCarcassMaterial,2,0),0))</f>
        <v/>
      </c>
      <c r="T153" s="156" t="str">
        <f>IF(OR(O153="",P153=""),"",IF(ISERROR(FIND("door",$A153))=FALSE,VLOOKUP(KitchenDoorStyle,FixedListsDoorStyle,2,0),0))</f>
        <v/>
      </c>
      <c r="U153" s="156" t="str">
        <f>IF(OR(O153="",P153=""),"",IF(ISERROR(FIND("door",$A153))=FALSE,VLOOKUP(KitchenDoorMaterial,FixedListsDoorMaterial,2,0),0))</f>
        <v/>
      </c>
      <c r="V153" s="156" t="str">
        <f>IF(OR(O153="",P153=""),"",IF(ISERROR(FIND("drawer",$A153))=FALSE,VLOOKUP(KitchenDrawerType,FixedListsDrawerType,2,0),0))</f>
        <v/>
      </c>
      <c r="W153" s="156" t="str">
        <f>IF(OR(O153="",P153=""),"",IF(OR(S153&gt;0, T153&gt;0,V153&gt;0),VLOOKUP(KitchenHandleType,FixedListsHandleType,2,FALSE)*IF(KitchenHandleType="Simple",0,IF(S153&gt;0,VLOOKUP(KitchenHandleType,FixedListsHandleType,4,FALSE),IF(OR(T153&gt;0,V153&gt;0),1-VLOOKUP(KitchenHandleType,FixedListsHandleType,4,FALSE),"Error"))),0))</f>
        <v/>
      </c>
      <c r="X153" s="156" t="str">
        <f t="shared" si="5"/>
        <v/>
      </c>
      <c r="Y153" s="156" t="str">
        <f>IF(OR(O153="",P153=""),"",IF(OR(ISERROR(FIND("carcass",$A153))=FALSE,ISERROR(FIND("unit",$A153))=FALSE),VLOOKUP(KitchenCarcassMaterial,FixedListsCarcassMaterial,3,0),0))</f>
        <v/>
      </c>
      <c r="Z153" s="156" t="str">
        <f>IF(OR(O153="",P153=""),"",IF(ISERROR(FIND("door",$A153))=FALSE,VLOOKUP(KitchenDoorStyle,FixedListsDoorStyle,3,0),0))</f>
        <v/>
      </c>
      <c r="AA153" s="156" t="str">
        <f>IF(OR(O153="",P153=""),"",IF(ISERROR(FIND("door",$A153))=FALSE,VLOOKUP(KitchenDoorMaterial,FixedListsDoorMaterial,3,0),0))</f>
        <v/>
      </c>
      <c r="AB153" s="156" t="str">
        <f>IF(OR(O153="",P153=""),"",IF(ISERROR(FIND("drawer",$A153))=FALSE,VLOOKUP(KitchenDrawerType,FixedListsDrawerType,3,0),0))</f>
        <v/>
      </c>
      <c r="AC153" s="156" t="str">
        <f>IF(OR(O153="",P153=""),"",IF(OR(Y153&gt;0,Z153&gt;0,AB153&gt;0),VLOOKUP(KitchenHandleType,FixedListsHandleType,3,FALSE),0))</f>
        <v/>
      </c>
      <c r="AD153" s="156" t="str">
        <f>IF(OR(O153="",P153=""),"",IF(OR(ISERROR(FIND("carcass",$A153))=FALSE,ISERROR(FIND("unit",$A153))=FALSE),VLOOKUP(KitchenCarcassFinish,FixedListsFinishes,3,0),IF(OR(ISERROR(FIND("door",$A153))=FALSE,ISERROR(FIND("Plinth",$A153))=FALSE,ISERROR(FIND("Cornice",$A153))=FALSE,ISERROR(FIND("Fillers",$A153))=FALSE,ISERROR(FIND("Pelmet",$A153))=FALSE,ISERROR(FIND("panel",$A153))=FALSE,ISERROR(FIND("post",$A153))=FALSE),VLOOKUP(KitchenDoorFinish,FixedListsFinishes,3,0),IF(OR(ISERROR(FIND("drawer",$A153))=FALSE,ISERROR(FIND("insert",$A153))=FALSE,ISERROR(FIND("rck",$A153))=FALSE),VLOOKUP(KitchenCarcassFinish,FixedListsFinishes,3,0),0))))</f>
        <v/>
      </c>
      <c r="AE153" s="156" t="str">
        <f t="shared" si="6"/>
        <v/>
      </c>
      <c r="AF153" s="157" t="str">
        <f>IF(AND(KitchenHandleType="Channel",OR(ISERROR(FIND("arcass",$A153))=FALSE,ISERROR(FIND("unit",$A153))=FALSE)),IF(ISERROR(FIND("Tower",$A153))=TRUE,IF(KitchenHandleFinish="Match carcass",IF(ISERROR(FIND("Walnut",KitchenCarcassMaterial))=FALSE,(0.035*0.075*($C153/1000))*VLOOKUP("Walnut (solid m3)",SolidData,4,FALSE),IF(ISERROR(FIND("Oak",KitchenCarcassMaterial))=FALSE,(0.035*0.075*($C153/1000))*VLOOKUP("Oak (solid m3)",SolidData,4,FALSE),IF(ISERROR(FIND("ply",KitchenCarcassMaterial))=FALSE,(0.1*($C153/1000))*VLOOKUP("Birch ply (24mm)",SheetsData,7,FALSE),IF(ISERROR(FIND("H/F",KitchenCarcassMaterial))=FALSE,(0.1*($C153/1000))*VLOOKUP("H/F (22mm)",SheetsData,7,FALSE),"Carcass - not tower - new material")))),IF(KitchenHandleFinish="Match door",IF(ISERROR(FIND("Walnut",KitchenDoorMaterial))=FALSE,(0.035*0.075*($C153/1000))*VLOOKUP("Walnut (solid m3)",SolidData,4,FALSE),IF(ISERROR(FIND("Oak",KitchenDoorMaterial))=FALSE,(0.035*0.075*($C153/1000))*VLOOKUP("Oak (solid m3)",SolidData,4,FALSE),IF(ISERROR(FIND("ply",KitchenDoorMaterial))=FALSE,(0.1*($C153/1000))*VLOOKUP("Birch ply (24mm)",SheetsData,7,FALSE),IF(ISERROR(FIND("H/F",KitchenCarcassMaterial))=FALSE,(0.1*($C153/1000))*VLOOKUP("H/F (22mm)",SheetsData,7,FALSE),"Door - not tower - new material")))),"Channel - not tower - handle set to other")),IF(ISERROR(FIND("Tower",$A153))=FALSE,IF(KitchenHandleFinish="Match carcass",IF(ISERROR(FIND("Walnut",KitchenCarcassMaterial))=FALSE,(0.035*0.075*($B153/1000))*VLOOKUP("Walnut (solid m3)",SolidData,4,FALSE),IF(ISERROR(FIND("Oak",KitchenCarcassMaterial))=FALSE,(0.035*0.075*($B153/1000))*VLOOKUP("Oak (solid m3)",SolidData,4,FALSE),IF(ISERROR(FIND("ply",KitchenCarcassMaterial))=FALSE,(0.1*($B153/1000))*VLOOKUP("Birch ply (24mm)",SheetsData,7,FALSE),IF(ISERROR(FIND("H/F",KitchenCarcassMaterial))=FALSE,(0.1*($C153/1000))*VLOOKUP("H/F (22mm)",SheetsData,7,FALSE),"Carcass - tower - new material")))),IF(KitchenHandleFinish="Match door",IF(ISERROR(FIND("Walnut",KitchenDoorMaterial))=FALSE,(0.035*0.075*($B153/1000))*VLOOKUP("Walnut (solid m3)",SolidData,4,FALSE),IF(ISERROR(FIND("Oak",KitchenDoorMaterial))=FALSE,(0.035*0.075*($B153/1000))*VLOOKUP("Oak (solid m3)",SolidData,4,FALSE),IF(ISERROR(FIND("ply",KitchenDoorMaterial))=FALSE,(0.1*($B153/1000))*VLOOKUP("Birch ply (24mm)",SheetData,7,FALSE),IF(ISERROR(FIND("H/F",KitchenCarcassMaterial))=FALSE,(0.1*($C153/1000))*VLOOKUP("H/F (22mm)",SheetsData,7,FALSE),"Door - tower - new material")))),"Channel - tower - handle set to other")))),"")</f>
        <v/>
      </c>
    </row>
    <row r="154">
      <c r="A154" s="150"/>
      <c r="B154" s="115" t="str">
        <f t="shared" si="1"/>
        <v/>
      </c>
      <c r="C154" s="115" t="str">
        <f>IFERROR(__xludf.DUMMYFUNCTION("IF(A154="""","""",IF(OR(RIGHT(A154,LEN(A154)-len(regexextract(A154,"".* "")))=""1200"",RIGHT(A154,LEN(A154)-len(regexextract(A154,"".* "")))=""600"",RIGHT(A154,LEN(A154)-len(regexextract(A154,"".* "")))=""400"",RIGHT(A154,LEN(A154)-len(regexextract(A154,"&amp;""".* "")))=""300"",RIGHT(A154,LEN(A154)-len(regexextract(A154,"".* "")))=""700"",RIGHT(A154,LEN(A154)-len(regexextract(A154,"".* "")))=""2400"",RIGHT(A154,LEN(A154)-len(regexextract(A154,"".* "")))=""650"",RIGHT(A154,LEN(A154)-len(regexextract(A154,"".* "&amp;""")))=""350"",RIGHT(A154,LEN(A154)-len(regexextract(A154,"".* "")))=""50""),RIGHT(A154,LEN(A154)-len(regexextract(A154,"".* ""))),IF(OR(ISERROR(FIND(""spacer"",A154))=FALSE,ISERROR(FIND(""filler panel"",A154))=FALSE),""1000"",""Unexpected size in descript"&amp;"ion"")))"),"")</f>
        <v/>
      </c>
      <c r="D154" s="151" t="str">
        <f t="shared" si="2"/>
        <v/>
      </c>
      <c r="E154" s="152" t="str">
        <f>IFERROR(__xludf.DUMMYFUNCTION("IF(OR(A154="""",AND(ISERROR(FIND(""drawer box"",A154))=FALSE,KitchenDrawerType="""")),"""",IF(OR(ISERROR(FIND(""larder"",A154))=FALSE,ISERROR(FIND(""fridge/freezer"",A154))=FALSE,ISERROR(FIND(""double oven"",A154))=FALSE,ISERROR(FIND(""single oven"",A154)"&amp;")=FALSE),VLOOKUP(LEFT(A154,FIND("" "",A154))&amp;""carcass ""&amp;RIGHT(A154,LEN(A154)-(LEN(A154)-3)),KitchensData,5,0),IF(ISERROR(FIND(""sink"",A154))=FALSE,VLOOKUP(LEFT(A154,FIND("" "",A154))&amp;""carcass ""&amp;VALUE(REGEXREPLACE(A154,""[^[:digit:]]"", """")),Kitchen"&amp;"sData,5,0)+(((C154/1000)*(300/1000))*VLOOKUP(KitchenCarcassMaterial,SheetsData,8,0)),IF(ISERROR(FIND(""bins"",A154))=FALSE,IF(ISERROR(FIND(""veneer"",KitchenCarcassMaterial))=FALSE,VLOOKUP(""Base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600"",A154))=FALSE,IF(ISERR"&amp;"OR(FIND(""veneer"",KitchenCarcassMaterial))=FALSE,0.54*(VLOOKUP(LEFT(KitchenCarcassMaterial,FIND(""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1"&amp;"200"",A154))=FALSE,IF(ISERROR(FIND(""veneer"",KitchenCarcassMaterial))=FALSE,0.84*(VLOOKUP(LEFT(KitchenCarcassMaterial,FIND(""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600"",A154))=FALSE,IF(ISERROR(FIND(""veneer"",KitchenCarcassMaterial))=FALSE,1.44*(VLOOKUP(LEFT(KitchenCarcassMaterial,FIND(""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1200"",A154))=FALSE,IF(ISERROR(FIND(""veneer"",KitchenCarcassMaterial))=FALSE,2.7*(VLOOKUP(LEFT(KitchenCarcassMaterial,FIND(""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front"",A154))=FALSE,((B154/1000)*(C154/1000))*VLOOKUP(KitchenDoorMaterial,SheetsData,8,0),IF(AND(KitchenDrawerType=""Match carcass"",ISERROR(FIND(""drawer box"",A154))=FALSE),(((((B154/10"&amp;"00)*(C154/1000))+((B154/1000)*(D154/1000)))*2)*VLOOKUP(KitchenCarcassMaterial,SheetsData,8,0))+(((C154/1000)*(D154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box"",A154))=FALSE),(((((B154/1000)*(C154/1000))+((B154/1000)*(D154/1000)))*2)*(16/1000)*VLOOKUP(L"&amp;"EFT(KitchenCarcassMaterial,FIND("" "",KitchenCarcassMaterial))&amp;""(solid m3)"",SolidData,5,0))+(((C154/1000)*(D154/1000))*VLOOKUP(LEFT(KitchenCarcassMaterial,FIND(""("",KitchenCarcassMaterial)-1)&amp;IF(OR(ISERROR(FIND(""ply"",KitchenCarcassMaterial))=FALSE,IS"&amp;"ERROR(FIND(""H/F"",KitchenCarcassMaterial))=FALSE),""(9mm)"",""(10mm)""),SheetsData,8,0)),IF(ISERROR(FIND(""spacer"",A154))=FALSE,((D154/1000)*(C154/1000))*VLOOKUP(""Poplar ply (18mm)"",SheetsData,8,0),IF(ISERROR(FIND(""filler panel"",A154))=FALSE,((B154/"&amp;"1000)*(C154/1000))*VLOOKUP(KitchenDoorMaterial,SheetsData,8,0),IF(ISERROR(FIND(""shelf"",A154))=FALSE,((D154/1000)*(C154/1000))*VLOOKUP(KitchenCarcassMaterial,SheetsData,8,0),IF(ISERROR(FIND(""lost corner"",A154))=FALSE,VLOOKUP(LEFT(A154,FIND("" "",A154))"&amp;"&amp;""carcass ""&amp;VALUE(REGEXREPLACE(A154,""[^[:digit:]]"", """")),KitchensData,5,0)+((((B154/1000)*(C154/1000))+((B154/1000)*(60/1000)))*VLOOKUP(KitchenCarcassMaterial,SheetsData,8,0)),IF(ISERROR(FIND(""carcass"",A154))=FALSE,(((((B154/1000)*2)*(D154/1000))+"&amp;"(((C154/1000)*2)*(D154/1000)))*VLOOKUP(KitchenCarcassMaterial,SheetsData,8,0))+((B154/1000)*(C154/1000))*VLOOKUP(LEFT(KitchenCarcassMaterial,FIND(""("",KitchenCarcassMaterial)-1)&amp;IF(OR(ISERROR(FIND(""ply"",KitchenCarcassMaterial))=FALSE,ISERROR(FIND(""H/F"&amp;""",KitchenCarcassMaterial))=FALSE),""(9mm)"",""(10mm)""),SheetsData,8,0),IF(OR(ISERROR(FIND(""Plinth"",A154))=FALSE,ISERROR(FIND(""Cornice (flat)"",A154))=FALSE),((B154/1000)*(C154/1000))*VLOOKUP(""H/F (18mm)"",SheetsData,8,0),IF(ISERROR(FIND(""Cornice (s"&amp;"tacked)"",A154))=FALSE,((0.08*(C154/1000))*2)*VLOOKUP(""H/F (22mm)"",SheetsData,8,0),IF(ISERROR(FIND(""Base end panel"",A154))=FALSE,VLOOKUP(KitchenDoorMaterial,SheetsData,5,0)/3,IF(ISERROR(FIND(""Wall end panel"",A154))=FALSE,VLOOKUP(KitchenDoorMaterial,"&amp;"SheetsData,5,0)/9,IF(ISERROR(FIND(""Tower end panel"",A154))=FALSE,VLOOKUP(KitchenDoorMaterial,SheetsData,5,0),IF(ISERROR(FIND(""Fillers"",A154))=FALSE,(((0.06*(C154/1000))*2)*VLOOKUP(""H/F (18mm)"",SheetsData,8,0))+(((0.06*(C154/1000))*2)*VLOOKUP(""H/F ("&amp;"9mm)"",SheetsData,8,0)),IF(ISERROR(FIND(""corner post"",A154))=FALSE,(((B154/1000)*0.05)*2)*VLOOKUP(KitchenDoorMaterial,SheetsData,8,0),IF(ISERROR(FIND(""Pelmet"",A154))=FALSE,((((B154/1000)*(C154/1000))*2)*VLOOKUP(""H/F (18mm)"",SheetsData,8,0)),IF(ISERR"&amp;"OR(FIND(""door"",A154))=TRUE,""Check description"",IF(KitchenDoorStyle=""Flat"",((B154/1000)*(C154/1000))*VLOOKUP(KitchenDoorMaterial,SheetsData,8,0),IF(LEFT(KitchenDoorStyle,5)=""Panel"",(((((B154/1000)*2)*0.08)+((((C154/1000)-0.16)*2)*0.08))*VLOOKUP(""H"&amp;"/F (22mm)"",SheetsData,8,0))+(((B154/1000)-0.14)*((C154/1000)-0.14)*VLOOKUP(""H/F (9mm)"",SheetsData,8,0)),IF(KitchenDoorStyle=""In-frame flat"",((((((B154/1000)*0.019)*0.038)+((((C154-38)/1000)*0.038)*0.038))*2)*VLOOKUP(""Tulip (solid m3)"",SolidData,5,0"&amp;"))+(((B154-76)/1000)*((C154-38)/1000))*VLOOKUP(""H/F (22mm)"",SheetsData,8,0),IF(LEFT(KitchenDoorStyle,14)=""In-frame panel"",(((((((B154/1000)*0.019)*0.038)+((((C154-38)/1000)*0.038)*0.038))*2)*VLOOKUP(""Tulip (solid m3)"",SolidData,5,0))+(((((((B154-76)"&amp;"/1000)*2)*0.08)+(((((C154-198)/1000)*2)*0.08)))*VLOOKUP(""H/F (22mm)"",SheetsData,8,0))+(((B154-216)/1000)*((C154-178)/1000)*VLOOKUP(""H/F (9mm)"",SheetsData,8,0)))))))))))))))))))))))))))))))))"),"")</f>
        <v/>
      </c>
      <c r="F154" s="152" t="str">
        <f>IFERROR(__xludf.DUMMYFUNCTION("IF(OR(A154="""",AND(ISERROR(FIND(""drawer box"",A154))=FALSE,KitchenDrawerType=""Solid dovetail"")),"""",IF(ISERROR(FIND(""bins"",A154))=FALSE,VLOOKUP(""Base carcass 600"",KitchensData,6,0),IF(OR(ISERROR(FIND(""larder"",A154))=FALSE,ISERROR(FIND(""unit"","&amp;"A154))=FALSE),VLOOKUP(LEFT(A154,FIND("" "",A154))&amp;""carcass ""&amp;RIGHT(A154,LEN(A154)-len(regexextract(A154,"".* ""))),KitchensData,6,0),IF(ISERROR(FIND(""drawer front"",A154))=FALSE,IF(ISERROR(FIND(""veneer"",KitchenCarcassMaterial))=TRUE,0,(((B154+C154)/1"&amp;"000)*2)*VLOOKUP(""Edge banding (per M)"",SheetsData,5,0)),IF(ISERROR(FIND(""drawer box"",A154))=FALSE,IF(ISERROR(FIND(""veneer"",KitchenCarcassMaterial))=TRUE,0,(((C154+D154)/1000)*2)*VLOOKUP(""Edge banding (per M)"",SheetsData,5,0)),IF(ISERROR(FIND(""she"&amp;"lf"",A154))=FALSE,IF(ISERROR(FIND(""veneer"",KitchenCarcassMaterial))=TRUE,0,(C154/1000)*VLOOKUP(""Edge banding (per M)"",SheetsData,5,0)),IF(AND(ISERROR(FIND(""carcass"",A154))=FALSE,ISERROR(FIND(""shelf"",A154))=TRUE),IF(ISERROR(FIND(""veneer"",KitchenC"&amp;"arcassMaterial))=TRUE,0,((2*(B154+C154))/1000)*VLOOKUP(""Edge banding (per M)"",SheetsData,5,0)),IF(ISERROR(FIND(""door"",A154))=TRUE,"""",IF(ISERROR(FIND(""veneer"",KitchenDoorMaterial))=TRUE,"""",((2*(B154+C154))/1000)*VLOOKUP(""Edge banding (per M)"",S"&amp;"heetsData,5,0))))))))))"),"")</f>
        <v/>
      </c>
      <c r="G154" s="153" t="str">
        <f>IF(A154="","",IF(ISERROR(FIND("bins",A154))=FALSE,VLOOKUP("Base carcass 600",KitchensData,7,0),IF(OR(ISERROR(FIND("larder",A154))=FALSE,ISERROR(FIND("fridge/freezer",A154))=FALSE,ISERROR(FIND("double oven",A154))=FALSE,ISERROR(FIND("single oven",A154))=FALSE),VLOOKUP(LEFT(A154,FIND(" ",A154))&amp;"carcass "&amp;RIGHT(A154,LEN(A154)-(LEN(A154)-3)),KitchensData,7,0),IF(AND(ISERROR(FIND("carcass",A154))=FALSE,ISERROR(FIND("shelf",A154))=TRUE),IF(OR(ISERROR(FIND("Base",A154))=FALSE,ISERROR(FIND("Tower",A154))=FALSE),IF(OR(ISERROR(FIND("1200",A154))=FALSE, ISERROR(FIND("lost corner",A154))=FALSE),6*VLOOKUP("Plinth foot (2 Parts 80mm)",FurnitureData,5,0),4*VLOOKUP("Plinth foot (2 Parts 80mm)",FurnitureData,5,0)),""),""))))</f>
        <v/>
      </c>
      <c r="H154" s="115" t="str">
        <f>IF(OR(A154="",ISERROR(FIND("door",A154))=TRUE),"",IF(ISERROR(FIND("Wall",A154))=FALSE,VLOOKUP("Hinges &amp; plates (Hettich thick door)",FurnitureData,5,0)*2,IF(ISERROR(FIND("Base",A154))=FALSE,VLOOKUP("Hinges &amp; plates (Hettich thick door)",FurnitureData,5,0)*3,IF(ISERROR(FIND("Boiler",A154))=FALSE,VLOOKUP("Hinges &amp; plates (Hettich thick door)",FurnitureData,5,0)*4,IF(ISERROR(FIND("Tower",A154))=FALSE,VLOOKUP("Hinges &amp; plates (Hettich thick door)",FurnitureData,5,0)*5)))))</f>
        <v/>
      </c>
      <c r="I154" s="115" t="str">
        <f>IF(ISERROR(FIND("shelf",A154))=FALSE,(VLOOKUP("Shelf pegs",FurnitureData,5,0)/100)*4,"")</f>
        <v/>
      </c>
      <c r="J154" s="152" t="str">
        <f>IF(OR(ISERROR(FIND("fridge/freezer",A154))=FALSE,ISERROR(FIND("larder",A154))=FALSE,AND(ISERROR(FIND("Base",A154))=FALSE,ISERROR(FIND("bins",A154))=TRUE,ISERROR(FIND("no shelves",A154))=TRUE,OR(ISERROR(FIND("carcass",A154))=FALSE,ISERROR(FIND("unit",A154))=FALSE))),VLOOKUP("Deep shelf "&amp;C154,KitchensData,18,0),IF(AND(ISERROR(FIND("Wall",A154))=FALSE,ISERROR(FIND("carcass",A154))=FALSE),2*VLOOKUP("Shallow shelf "&amp;C154,KitchensData,18,0),IF(AND(ISERROR(FIND("Tower",A154))=FALSE,ISERROR(FIND("oven",A154))=FALSE),4*VLOOKUP("Deep shelf "&amp;C154,KitchensData,18,0),IF(AND(ISERROR(FIND("Tower",A154))=FALSE,ISERROR(FIND("carcass",A154))=FALSE),5*VLOOKUP("Deep shelf "&amp;C154,KitchensData,18,0),""))))</f>
        <v/>
      </c>
      <c r="K154" s="152" t="str">
        <f>IF(ISERROR(FIND("sink",A154))=FALSE,VLOOKUP("Sink liner - Aluminium "&amp;RIGHT(A154,LEN(A154)-22)&amp;"mm",ExceptionalData,5,0),IF(ISERROR(FIND("bins",A154))=FALSE,VLOOKUP("Drawer runners and clip set for bin unit (500) Dynapro",FurnitureData,5,0)+(2*VLOOKUP("Bin (42L Anthracite)",FurnitureData,5,0)),IF(ISERROR(FIND("larder",A154))=FALSE,VLOOKUP("Pull out larder unit 600mm",FurnitureData,5,0),IF(AND(ISERROR(FIND("drawer box",A154))=FALSE,ISERROR(FIND("internal",A154))=TRUE),VLOOKUP("Drawer runners and clip set (550) Dynapro",FurnitureData,5,0),IF(ISERROR(FIND("internal drawer box",A154))=FALSE,VLOOKUP("Drawer runners and clip set (450) Dynapro",FurnitureData,5,0),"")))))</f>
        <v/>
      </c>
      <c r="L154" s="152" t="str">
        <f t="shared" si="3"/>
        <v/>
      </c>
      <c r="M154" s="154" t="str">
        <f>IFERROR(__xludf.DUMMYFUNCTION("IF(A154="""","""",IF(OR(ISERROR(FIND(""larder"",A154))=FALSE,ISERROR(FIND(""unit"",A154))=FALSE),VLOOKUP(LEFT(A154,FIND("" "",A154))&amp;""carcass ""&amp;RIGHT(A154,LEN(A154)-len(regexextract(A154,"".* ""))),KitchensData,13,0),IF(ISERROR(FIND(""bins"",A154))=FALS"&amp;"E,0.95,IF(ISERROR(FIND(""Cutlery insert 600"",A154))=FALSE,1.3,IF(ISERROR(FIND(""Cutlery insert 1200"",A154))=FALSE,2,IF(ISERROR(FIND(""Pan/tray rack 600"",A154))=FALSE,3.25,IF(ISERROR(FIND(""Pan/tray rack 1200"",A154))=FALSE,5.9,IF(ISERROR(FIND(""split"""&amp;",A154))=FALSE,(((C154/1000)*0.022)*2)+VLOOKUP(SUBSTITUTE(A154,"" split"",""""),KitchensData,13,0),IF(AND(ISERROR(FIND(""drawer front"",A154))=FALSE,KitchenDoorStyle=""Flat""),(((B154/1000)*(C154/1000))*2)+((((B154+C154)/1000)*2)*0.022),IF(AND(ISERROR(FIND"&amp;"(""drawer front"",A154))=FALSE,LEFT(KitchenDoorStyle,5)=""Panel""),(((B154/1000)*(C154/1000))*2)+((((B154+C154)/1000)*2)*0.022)+((((C154/1000)-0.16)*0.013)*2)+((((D154/1000)-0.16)*0.013)*2),IF(AND(ISERROR(FIND(""drawer front"",A154))=FALSE,KitchenDoorStyl"&amp;"e=""In-frame flat""),((((B154-76)/1000)*((C154-38)/1000))*2)+(MID(KitchenDoorMaterial,FIND(""("",KitchenDoorMaterial)+1,2)/1000)*((((B154-76)+(C154-38))/1000)*2)+(((B154/1000)*0.032)*2)+((((B154-76)/1000)*0.032)*2)+(((B154/1000)*0.019)*4)+(((C154/1000)*0."&amp;"032)*2)+((((C154-38)/1000)*0.032)*2)+(((C154/1000)*0.038)*4),IF(AND(ISERROR(FIND(""drawer front"",A154))=FALSE,LEFT(KitchenDoorStyle,14)=""In-frame panel""),((((B154-76)/1000)*((C154-38)/1000))*2)+((MID(KitchenDoorMaterial,FIND(""("",KitchenDoorMaterial)+"&amp;"1,2)/1000)*((((B154-76)+(C154-38))/1000)*2))+((((B154-236)/1000)+((C154-198)/1000)*2)*0.013)+(((B154/1000)*0.032)*2)+((((B154-76)/1000)*0.032)*2)+(((B154/1000)*0.019)*4)+(((C154/1000)*0.032)*2)+((((C154-38)/1000)*0.032)*2)+(((C154/1000)*0.038)*4),IF(ISERR"&amp;"OR(FIND(""drawer box"",A154))=FALSE,((((B154/1000)*(D154/1000))+((B154/1000)*(C154/1000)))*4)+((((D154/1000)+(C154/1000))*0.016)*4)+(((C154/1000)*(D154/1000))*2),IF(OR(ISERROR(FIND(""shelf"",A154))=FALSE,ISERROR(FIND(""spacer"",A154))=FALSE,,ISERROR(FIND("&amp;"""filler panel"",A154))=FALSE),(((C154/1000)*(D154/1000))*2)+((((C154+D154)*2)/1000)*0.022),IF(ISERROR(FIND(""lost corner"",A154))=FALSE,(((B154/1000)*(C154/1000))*2)+((B154/1000)*(C154/1000))+((B154/1000)*((C154/2)/1000))+((((B154/1000)*0.025)+((C154/100"&amp;"0)*0.025))*2),IF(ISERROR(FIND(""carcass"",A154))=FALSE,(((C154/1000)*(D154/1000))*2)+(((B154/1000)*(D154/1000))*2)+((B154/1000)*(C154/1000))+((((B154/1000)*0.025)+((C154/1000)*0.025))*2),IF(AND(ISERROR(FIND(""door"",A154))=FALSE,KitchenDoorStyle=""Flat"")"&amp;",(((B154/1000)*(C154/1000))*2)+(MID(KitchenDoorMaterial,FIND(""("",KitchenDoorMaterial)+1,2)/1000)*(((B154+C154)/1000)*2),IF(AND(ISERROR(FIND(""door"",A154))=FALSE,LEFT(KitchenDoorStyle,5)=""Panel""),(((B154/1000)*(C154/1000))*2)+((MID(KitchenDoorMaterial"&amp;",FIND(""("",KitchenDoorMaterial)+1,2)/1000)*(((B154+C154)/1000)*2))+(((((B154-160)+(C154-160))*2)/1000)*(0.013)),IF(AND(ISERROR(FIND(""door"",A154))=FALSE,KitchenDoorStyle=""In-frame flat""),((((B154-76)/1000)*((C154-38)/1000))*2)+(MID(KitchenDoorMaterial"&amp;",FIND(""("",KitchenDoorMaterial)+1,2)/1000)*((((B154-76)+(C154-38))/1000)*2)+(((B154/1000)*0.032)*2)+((((B154-76)/1000)*0.032)*2)+(((B154/1000)*0.019)*4)+(((C154/1000)*0.032)*2)+((((C154-38)/1000)*0.032)*2)+(((C154/1000)*0.038)*4),IF(AND(ISERROR(FIND(""do"&amp;"or"",A154))=FALSE,LEFT(KitchenDoorStyle,14)=""In-frame panel""),((((B154-76)/1000)*((C154-38)/1000))*2)+((MID(KitchenDoorMaterial,FIND(""("",KitchenDoorMaterial)+1,2)/1000)*((((B154-76)+(C154-38))/1000)*2))+((((B154-236)/1000)+((C154-198)/1000)*2)*0.013)+"&amp;"(((B154/1000)*0.032)*2)+((((B154-76)/1000)*0.032)*2)+(((B154/1000)*0.019)*4)+(((C154/1000)*0.032)*2)+((((C154-38)/1000)*0.032)*2)+(((C154/1000)*0.038)*4),IF(ISERROR(FIND(""Plinth"",A154))=FALSE,((B154/1000)*(C154/1000))+(((C154/1000)*0.018)*2)+(((B154/100"&amp;"0)*0.018)*2),IF(ISERROR(FIND(""Cornice"",A154))=FALSE,(((C154/1000)*0.1)*2)+(((C154/1000)*0.044)*2)+(((B154/1000)*0.08)*2),IF(ISERROR(FIND(""Base end panel"",A154))=FALSE,((B154/1000)*(C154/1000))+(0.022*((B154/1000)+((C154/1000)*2)))+((B154/1000)*0.05),I"&amp;"F(ISERROR(FIND(""Wall end panel"",A154))=FALSE,((B154/1000)*(C154/1000))+(0.022*((B154/1000)+((C154/1000)*2)))+((B154/1000)*0.05),IF(ISERROR(FIND(""Tower end panel"",A154))=FALSE,((B154/1000)*(C154/1000))+(0.022*((B154/1000)+((C154/1000)*2)))+((B154/1000)"&amp;"*0.05),IF(ISERROR(FIND(""Fillers"",A154))=FALSE,((C154/1000)*0.06)+((C154/1000)*0.069)+((0.06*0.018)*2)+((0.06*0.009)*2)+((C154/1000)*0.009)+((C154/1000)*0.018),IF(ISERROR(FIND(""corner post"",A154))=FALSE,(((B154/1000*0.05)*2)+((B154/1000)*0.022)*2)+((B1"&amp;"54/1000)*0.072)+((B154/1000)*0.05)+((0.072*0.022)*2)+((0.05*0.022)*2),IF(ISERROR(FIND(""Pelmet"",A154))=FALSE,((C154/1000)*0.05)+((C154/1000)*0.068)+((0.05*0.018)*4)+(((C154/1000)*0.018))*2))))))))))))))))))))))))))))"),"")</f>
        <v/>
      </c>
      <c r="N154" s="152" t="str">
        <f>IF(M154="","",IF(AND(ISERROR(FIND("carcass",A154))=TRUE,ISERROR(FIND("unit",A154))=TRUE,ISERROR(FIND("insert",A154))=TRUE,ISERROR(FIND("rack",A154))=TRUE,ISERROR(FIND("box",A154))=TRUE,ISERROR(FIND("shelf",#REF!))=TRUE),VLOOKUP(KitchenDoorFinish,Finishing!$A$2:$K$10,9,0)*M154,VLOOKUP(KitchenCarcassFinish,Finishing!$A$2:$K$40,9,0)*M154))</f>
        <v/>
      </c>
      <c r="O154" s="155"/>
      <c r="P154" s="155"/>
      <c r="Q154" s="152" t="str">
        <f>IF(OR(O154="",P154=""),"",((O154*X154)*(VLOOKUP("Workshop",Labour!$A$3:$E$20,4,0)/8))+((P154*AE154)*(VLOOKUP("Finishing",Labour!$A$3:$E$20,4,0)/8)))</f>
        <v/>
      </c>
      <c r="R154" s="152" t="str">
        <f t="shared" si="4"/>
        <v/>
      </c>
      <c r="S154" s="156" t="str">
        <f>IF(OR(O154="",P154=""),"",IF(OR(ISERROR(FIND("carcass",$A154))=FALSE,ISERROR(FIND("unit",$A154))=FALSE),VLOOKUP(KitchenCarcassMaterial,FixedListsCarcassMaterial,2,0),0))</f>
        <v/>
      </c>
      <c r="T154" s="156" t="str">
        <f>IF(OR(O154="",P154=""),"",IF(ISERROR(FIND("door",$A154))=FALSE,VLOOKUP(KitchenDoorStyle,FixedListsDoorStyle,2,0),0))</f>
        <v/>
      </c>
      <c r="U154" s="156" t="str">
        <f>IF(OR(O154="",P154=""),"",IF(ISERROR(FIND("door",$A154))=FALSE,VLOOKUP(KitchenDoorMaterial,FixedListsDoorMaterial,2,0),0))</f>
        <v/>
      </c>
      <c r="V154" s="156" t="str">
        <f>IF(OR(O154="",P154=""),"",IF(ISERROR(FIND("drawer",$A154))=FALSE,VLOOKUP(KitchenDrawerType,FixedListsDrawerType,2,0),0))</f>
        <v/>
      </c>
      <c r="W154" s="156" t="str">
        <f>IF(OR(O154="",P154=""),"",IF(OR(S154&gt;0, T154&gt;0,V154&gt;0),VLOOKUP(KitchenHandleType,FixedListsHandleType,2,FALSE)*IF(KitchenHandleType="Simple",0,IF(S154&gt;0,VLOOKUP(KitchenHandleType,FixedListsHandleType,4,FALSE),IF(OR(T154&gt;0,V154&gt;0),1-VLOOKUP(KitchenHandleType,FixedListsHandleType,4,FALSE),"Error"))),0))</f>
        <v/>
      </c>
      <c r="X154" s="156" t="str">
        <f t="shared" si="5"/>
        <v/>
      </c>
      <c r="Y154" s="156" t="str">
        <f>IF(OR(O154="",P154=""),"",IF(OR(ISERROR(FIND("carcass",$A154))=FALSE,ISERROR(FIND("unit",$A154))=FALSE),VLOOKUP(KitchenCarcassMaterial,FixedListsCarcassMaterial,3,0),0))</f>
        <v/>
      </c>
      <c r="Z154" s="156" t="str">
        <f>IF(OR(O154="",P154=""),"",IF(ISERROR(FIND("door",$A154))=FALSE,VLOOKUP(KitchenDoorStyle,FixedListsDoorStyle,3,0),0))</f>
        <v/>
      </c>
      <c r="AA154" s="156" t="str">
        <f>IF(OR(O154="",P154=""),"",IF(ISERROR(FIND("door",$A154))=FALSE,VLOOKUP(KitchenDoorMaterial,FixedListsDoorMaterial,3,0),0))</f>
        <v/>
      </c>
      <c r="AB154" s="156" t="str">
        <f>IF(OR(O154="",P154=""),"",IF(ISERROR(FIND("drawer",$A154))=FALSE,VLOOKUP(KitchenDrawerType,FixedListsDrawerType,3,0),0))</f>
        <v/>
      </c>
      <c r="AC154" s="156" t="str">
        <f>IF(OR(O154="",P154=""),"",IF(OR(Y154&gt;0,Z154&gt;0,AB154&gt;0),VLOOKUP(KitchenHandleType,FixedListsHandleType,3,FALSE),0))</f>
        <v/>
      </c>
      <c r="AD154" s="156" t="str">
        <f>IF(OR(O154="",P154=""),"",IF(OR(ISERROR(FIND("carcass",$A154))=FALSE,ISERROR(FIND("unit",$A154))=FALSE),VLOOKUP(KitchenCarcassFinish,FixedListsFinishes,3,0),IF(OR(ISERROR(FIND("door",$A154))=FALSE,ISERROR(FIND("Plinth",$A154))=FALSE,ISERROR(FIND("Cornice",$A154))=FALSE,ISERROR(FIND("Fillers",$A154))=FALSE,ISERROR(FIND("Pelmet",$A154))=FALSE,ISERROR(FIND("panel",$A154))=FALSE,ISERROR(FIND("post",$A154))=FALSE),VLOOKUP(KitchenDoorFinish,FixedListsFinishes,3,0),IF(OR(ISERROR(FIND("drawer",$A154))=FALSE,ISERROR(FIND("insert",$A154))=FALSE,ISERROR(FIND("rck",$A154))=FALSE),VLOOKUP(KitchenCarcassFinish,FixedListsFinishes,3,0),0))))</f>
        <v/>
      </c>
      <c r="AE154" s="156" t="str">
        <f t="shared" si="6"/>
        <v/>
      </c>
      <c r="AF154" s="157" t="str">
        <f>IF(AND(KitchenHandleType="Channel",OR(ISERROR(FIND("arcass",$A154))=FALSE,ISERROR(FIND("unit",$A154))=FALSE)),IF(ISERROR(FIND("Tower",$A154))=TRUE,IF(KitchenHandleFinish="Match carcass",IF(ISERROR(FIND("Walnut",KitchenCarcassMaterial))=FALSE,(0.035*0.075*($C154/1000))*VLOOKUP("Walnut (solid m3)",SolidData,4,FALSE),IF(ISERROR(FIND("Oak",KitchenCarcassMaterial))=FALSE,(0.035*0.075*($C154/1000))*VLOOKUP("Oak (solid m3)",SolidData,4,FALSE),IF(ISERROR(FIND("ply",KitchenCarcassMaterial))=FALSE,(0.1*($C154/1000))*VLOOKUP("Birch ply (24mm)",SheetsData,7,FALSE),IF(ISERROR(FIND("H/F",KitchenCarcassMaterial))=FALSE,(0.1*($C154/1000))*VLOOKUP("H/F (22mm)",SheetsData,7,FALSE),"Carcass - not tower - new material")))),IF(KitchenHandleFinish="Match door",IF(ISERROR(FIND("Walnut",KitchenDoorMaterial))=FALSE,(0.035*0.075*($C154/1000))*VLOOKUP("Walnut (solid m3)",SolidData,4,FALSE),IF(ISERROR(FIND("Oak",KitchenDoorMaterial))=FALSE,(0.035*0.075*($C154/1000))*VLOOKUP("Oak (solid m3)",SolidData,4,FALSE),IF(ISERROR(FIND("ply",KitchenDoorMaterial))=FALSE,(0.1*($C154/1000))*VLOOKUP("Birch ply (24mm)",SheetsData,7,FALSE),IF(ISERROR(FIND("H/F",KitchenCarcassMaterial))=FALSE,(0.1*($C154/1000))*VLOOKUP("H/F (22mm)",SheetsData,7,FALSE),"Door - not tower - new material")))),"Channel - not tower - handle set to other")),IF(ISERROR(FIND("Tower",$A154))=FALSE,IF(KitchenHandleFinish="Match carcass",IF(ISERROR(FIND("Walnut",KitchenCarcassMaterial))=FALSE,(0.035*0.075*($B154/1000))*VLOOKUP("Walnut (solid m3)",SolidData,4,FALSE),IF(ISERROR(FIND("Oak",KitchenCarcassMaterial))=FALSE,(0.035*0.075*($B154/1000))*VLOOKUP("Oak (solid m3)",SolidData,4,FALSE),IF(ISERROR(FIND("ply",KitchenCarcassMaterial))=FALSE,(0.1*($B154/1000))*VLOOKUP("Birch ply (24mm)",SheetsData,7,FALSE),IF(ISERROR(FIND("H/F",KitchenCarcassMaterial))=FALSE,(0.1*($C154/1000))*VLOOKUP("H/F (22mm)",SheetsData,7,FALSE),"Carcass - tower - new material")))),IF(KitchenHandleFinish="Match door",IF(ISERROR(FIND("Walnut",KitchenDoorMaterial))=FALSE,(0.035*0.075*($B154/1000))*VLOOKUP("Walnut (solid m3)",SolidData,4,FALSE),IF(ISERROR(FIND("Oak",KitchenDoorMaterial))=FALSE,(0.035*0.075*($B154/1000))*VLOOKUP("Oak (solid m3)",SolidData,4,FALSE),IF(ISERROR(FIND("ply",KitchenDoorMaterial))=FALSE,(0.1*($B154/1000))*VLOOKUP("Birch ply (24mm)",SheetData,7,FALSE),IF(ISERROR(FIND("H/F",KitchenCarcassMaterial))=FALSE,(0.1*($C154/1000))*VLOOKUP("H/F (22mm)",SheetsData,7,FALSE),"Door - tower - new material")))),"Channel - tower - handle set to other")))),"")</f>
        <v/>
      </c>
    </row>
    <row r="155">
      <c r="A155" s="150"/>
      <c r="B155" s="115" t="str">
        <f t="shared" si="1"/>
        <v/>
      </c>
      <c r="C155" s="115" t="str">
        <f>IFERROR(__xludf.DUMMYFUNCTION("IF(A155="""","""",IF(OR(RIGHT(A155,LEN(A155)-len(regexextract(A155,"".* "")))=""1200"",RIGHT(A155,LEN(A155)-len(regexextract(A155,"".* "")))=""600"",RIGHT(A155,LEN(A155)-len(regexextract(A155,"".* "")))=""400"",RIGHT(A155,LEN(A155)-len(regexextract(A155,"&amp;""".* "")))=""300"",RIGHT(A155,LEN(A155)-len(regexextract(A155,"".* "")))=""700"",RIGHT(A155,LEN(A155)-len(regexextract(A155,"".* "")))=""2400"",RIGHT(A155,LEN(A155)-len(regexextract(A155,"".* "")))=""650"",RIGHT(A155,LEN(A155)-len(regexextract(A155,"".* "&amp;""")))=""350"",RIGHT(A155,LEN(A155)-len(regexextract(A155,"".* "")))=""50""),RIGHT(A155,LEN(A155)-len(regexextract(A155,"".* ""))),IF(OR(ISERROR(FIND(""spacer"",A155))=FALSE,ISERROR(FIND(""filler panel"",A155))=FALSE),""1000"",""Unexpected size in descript"&amp;"ion"")))"),"")</f>
        <v/>
      </c>
      <c r="D155" s="151" t="str">
        <f t="shared" si="2"/>
        <v/>
      </c>
      <c r="E155" s="152" t="str">
        <f>IFERROR(__xludf.DUMMYFUNCTION("IF(OR(A155="""",AND(ISERROR(FIND(""drawer box"",A155))=FALSE,KitchenDrawerType="""")),"""",IF(OR(ISERROR(FIND(""larder"",A155))=FALSE,ISERROR(FIND(""fridge/freezer"",A155))=FALSE,ISERROR(FIND(""double oven"",A155))=FALSE,ISERROR(FIND(""single oven"",A155)"&amp;")=FALSE),VLOOKUP(LEFT(A155,FIND("" "",A155))&amp;""carcass ""&amp;RIGHT(A155,LEN(A155)-(LEN(A155)-3)),KitchensData,5,0),IF(ISERROR(FIND(""sink"",A155))=FALSE,VLOOKUP(LEFT(A155,FIND("" "",A155))&amp;""carcass ""&amp;VALUE(REGEXREPLACE(A155,""[^[:digit:]]"", """")),Kitchen"&amp;"sData,5,0)+(((C155/1000)*(300/1000))*VLOOKUP(KitchenCarcassMaterial,SheetsData,8,0)),IF(ISERROR(FIND(""bins"",A155))=FALSE,IF(ISERROR(FIND(""veneer"",KitchenCarcassMaterial))=FALSE,VLOOKUP(""Base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600"",A155))=FALSE,IF(ISERR"&amp;"OR(FIND(""veneer"",KitchenCarcassMaterial))=FALSE,0.54*(VLOOKUP(LEFT(KitchenCarcassMaterial,FIND(""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1"&amp;"200"",A155))=FALSE,IF(ISERROR(FIND(""veneer"",KitchenCarcassMaterial))=FALSE,0.84*(VLOOKUP(LEFT(KitchenCarcassMaterial,FIND(""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600"",A155))=FALSE,IF(ISERROR(FIND(""veneer"",KitchenCarcassMaterial))=FALSE,1.44*(VLOOKUP(LEFT(KitchenCarcassMaterial,FIND(""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1200"",A155))=FALSE,IF(ISERROR(FIND(""veneer"",KitchenCarcassMaterial))=FALSE,2.7*(VLOOKUP(LEFT(KitchenCarcassMaterial,FIND(""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front"",A155))=FALSE,((B155/1000)*(C155/1000))*VLOOKUP(KitchenDoorMaterial,SheetsData,8,0),IF(AND(KitchenDrawerType=""Match carcass"",ISERROR(FIND(""drawer box"",A155))=FALSE),(((((B155/10"&amp;"00)*(C155/1000))+((B155/1000)*(D155/1000)))*2)*VLOOKUP(KitchenCarcassMaterial,SheetsData,8,0))+(((C155/1000)*(D155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box"",A155))=FALSE),(((((B155/1000)*(C155/1000))+((B155/1000)*(D155/1000)))*2)*(16/1000)*VLOOKUP(L"&amp;"EFT(KitchenCarcassMaterial,FIND("" "",KitchenCarcassMaterial))&amp;""(solid m3)"",SolidData,5,0))+(((C155/1000)*(D155/1000))*VLOOKUP(LEFT(KitchenCarcassMaterial,FIND(""("",KitchenCarcassMaterial)-1)&amp;IF(OR(ISERROR(FIND(""ply"",KitchenCarcassMaterial))=FALSE,IS"&amp;"ERROR(FIND(""H/F"",KitchenCarcassMaterial))=FALSE),""(9mm)"",""(10mm)""),SheetsData,8,0)),IF(ISERROR(FIND(""spacer"",A155))=FALSE,((D155/1000)*(C155/1000))*VLOOKUP(""Poplar ply (18mm)"",SheetsData,8,0),IF(ISERROR(FIND(""filler panel"",A155))=FALSE,((B155/"&amp;"1000)*(C155/1000))*VLOOKUP(KitchenDoorMaterial,SheetsData,8,0),IF(ISERROR(FIND(""shelf"",A155))=FALSE,((D155/1000)*(C155/1000))*VLOOKUP(KitchenCarcassMaterial,SheetsData,8,0),IF(ISERROR(FIND(""lost corner"",A155))=FALSE,VLOOKUP(LEFT(A155,FIND("" "",A155))"&amp;"&amp;""carcass ""&amp;VALUE(REGEXREPLACE(A155,""[^[:digit:]]"", """")),KitchensData,5,0)+((((B155/1000)*(C155/1000))+((B155/1000)*(60/1000)))*VLOOKUP(KitchenCarcassMaterial,SheetsData,8,0)),IF(ISERROR(FIND(""carcass"",A155))=FALSE,(((((B155/1000)*2)*(D155/1000))+"&amp;"(((C155/1000)*2)*(D155/1000)))*VLOOKUP(KitchenCarcassMaterial,SheetsData,8,0))+((B155/1000)*(C155/1000))*VLOOKUP(LEFT(KitchenCarcassMaterial,FIND(""("",KitchenCarcassMaterial)-1)&amp;IF(OR(ISERROR(FIND(""ply"",KitchenCarcassMaterial))=FALSE,ISERROR(FIND(""H/F"&amp;""",KitchenCarcassMaterial))=FALSE),""(9mm)"",""(10mm)""),SheetsData,8,0),IF(OR(ISERROR(FIND(""Plinth"",A155))=FALSE,ISERROR(FIND(""Cornice (flat)"",A155))=FALSE),((B155/1000)*(C155/1000))*VLOOKUP(""H/F (18mm)"",SheetsData,8,0),IF(ISERROR(FIND(""Cornice (s"&amp;"tacked)"",A155))=FALSE,((0.08*(C155/1000))*2)*VLOOKUP(""H/F (22mm)"",SheetsData,8,0),IF(ISERROR(FIND(""Base end panel"",A155))=FALSE,VLOOKUP(KitchenDoorMaterial,SheetsData,5,0)/3,IF(ISERROR(FIND(""Wall end panel"",A155))=FALSE,VLOOKUP(KitchenDoorMaterial,"&amp;"SheetsData,5,0)/9,IF(ISERROR(FIND(""Tower end panel"",A155))=FALSE,VLOOKUP(KitchenDoorMaterial,SheetsData,5,0),IF(ISERROR(FIND(""Fillers"",A155))=FALSE,(((0.06*(C155/1000))*2)*VLOOKUP(""H/F (18mm)"",SheetsData,8,0))+(((0.06*(C155/1000))*2)*VLOOKUP(""H/F ("&amp;"9mm)"",SheetsData,8,0)),IF(ISERROR(FIND(""corner post"",A155))=FALSE,(((B155/1000)*0.05)*2)*VLOOKUP(KitchenDoorMaterial,SheetsData,8,0),IF(ISERROR(FIND(""Pelmet"",A155))=FALSE,((((B155/1000)*(C155/1000))*2)*VLOOKUP(""H/F (18mm)"",SheetsData,8,0)),IF(ISERR"&amp;"OR(FIND(""door"",A155))=TRUE,""Check description"",IF(KitchenDoorStyle=""Flat"",((B155/1000)*(C155/1000))*VLOOKUP(KitchenDoorMaterial,SheetsData,8,0),IF(LEFT(KitchenDoorStyle,5)=""Panel"",(((((B155/1000)*2)*0.08)+((((C155/1000)-0.16)*2)*0.08))*VLOOKUP(""H"&amp;"/F (22mm)"",SheetsData,8,0))+(((B155/1000)-0.14)*((C155/1000)-0.14)*VLOOKUP(""H/F (9mm)"",SheetsData,8,0)),IF(KitchenDoorStyle=""In-frame flat"",((((((B155/1000)*0.019)*0.038)+((((C155-38)/1000)*0.038)*0.038))*2)*VLOOKUP(""Tulip (solid m3)"",SolidData,5,0"&amp;"))+(((B155-76)/1000)*((C155-38)/1000))*VLOOKUP(""H/F (22mm)"",SheetsData,8,0),IF(LEFT(KitchenDoorStyle,14)=""In-frame panel"",(((((((B155/1000)*0.019)*0.038)+((((C155-38)/1000)*0.038)*0.038))*2)*VLOOKUP(""Tulip (solid m3)"",SolidData,5,0))+(((((((B155-76)"&amp;"/1000)*2)*0.08)+(((((C155-198)/1000)*2)*0.08)))*VLOOKUP(""H/F (22mm)"",SheetsData,8,0))+(((B155-216)/1000)*((C155-178)/1000)*VLOOKUP(""H/F (9mm)"",SheetsData,8,0)))))))))))))))))))))))))))))))))"),"")</f>
        <v/>
      </c>
      <c r="F155" s="152" t="str">
        <f>IFERROR(__xludf.DUMMYFUNCTION("IF(OR(A155="""",AND(ISERROR(FIND(""drawer box"",A155))=FALSE,KitchenDrawerType=""Solid dovetail"")),"""",IF(ISERROR(FIND(""bins"",A155))=FALSE,VLOOKUP(""Base carcass 600"",KitchensData,6,0),IF(OR(ISERROR(FIND(""larder"",A155))=FALSE,ISERROR(FIND(""unit"","&amp;"A155))=FALSE),VLOOKUP(LEFT(A155,FIND("" "",A155))&amp;""carcass ""&amp;RIGHT(A155,LEN(A155)-len(regexextract(A155,"".* ""))),KitchensData,6,0),IF(ISERROR(FIND(""drawer front"",A155))=FALSE,IF(ISERROR(FIND(""veneer"",KitchenCarcassMaterial))=TRUE,0,(((B155+C155)/1"&amp;"000)*2)*VLOOKUP(""Edge banding (per M)"",SheetsData,5,0)),IF(ISERROR(FIND(""drawer box"",A155))=FALSE,IF(ISERROR(FIND(""veneer"",KitchenCarcassMaterial))=TRUE,0,(((C155+D155)/1000)*2)*VLOOKUP(""Edge banding (per M)"",SheetsData,5,0)),IF(ISERROR(FIND(""she"&amp;"lf"",A155))=FALSE,IF(ISERROR(FIND(""veneer"",KitchenCarcassMaterial))=TRUE,0,(C155/1000)*VLOOKUP(""Edge banding (per M)"",SheetsData,5,0)),IF(AND(ISERROR(FIND(""carcass"",A155))=FALSE,ISERROR(FIND(""shelf"",A155))=TRUE),IF(ISERROR(FIND(""veneer"",KitchenC"&amp;"arcassMaterial))=TRUE,0,((2*(B155+C155))/1000)*VLOOKUP(""Edge banding (per M)"",SheetsData,5,0)),IF(ISERROR(FIND(""door"",A155))=TRUE,"""",IF(ISERROR(FIND(""veneer"",KitchenDoorMaterial))=TRUE,"""",((2*(B155+C155))/1000)*VLOOKUP(""Edge banding (per M)"",S"&amp;"heetsData,5,0))))))))))"),"")</f>
        <v/>
      </c>
      <c r="G155" s="153" t="str">
        <f>IF(A155="","",IF(ISERROR(FIND("bins",A155))=FALSE,VLOOKUP("Base carcass 600",KitchensData,7,0),IF(OR(ISERROR(FIND("larder",A155))=FALSE,ISERROR(FIND("fridge/freezer",A155))=FALSE,ISERROR(FIND("double oven",A155))=FALSE,ISERROR(FIND("single oven",A155))=FALSE),VLOOKUP(LEFT(A155,FIND(" ",A155))&amp;"carcass "&amp;RIGHT(A155,LEN(A155)-(LEN(A155)-3)),KitchensData,7,0),IF(AND(ISERROR(FIND("carcass",A155))=FALSE,ISERROR(FIND("shelf",A155))=TRUE),IF(OR(ISERROR(FIND("Base",A155))=FALSE,ISERROR(FIND("Tower",A155))=FALSE),IF(OR(ISERROR(FIND("1200",A155))=FALSE, ISERROR(FIND("lost corner",A155))=FALSE),6*VLOOKUP("Plinth foot (2 Parts 80mm)",FurnitureData,5,0),4*VLOOKUP("Plinth foot (2 Parts 80mm)",FurnitureData,5,0)),""),""))))</f>
        <v/>
      </c>
      <c r="H155" s="115" t="str">
        <f>IF(OR(A155="",ISERROR(FIND("door",A155))=TRUE),"",IF(ISERROR(FIND("Wall",A155))=FALSE,VLOOKUP("Hinges &amp; plates (Hettich thick door)",FurnitureData,5,0)*2,IF(ISERROR(FIND("Base",A155))=FALSE,VLOOKUP("Hinges &amp; plates (Hettich thick door)",FurnitureData,5,0)*3,IF(ISERROR(FIND("Boiler",A155))=FALSE,VLOOKUP("Hinges &amp; plates (Hettich thick door)",FurnitureData,5,0)*4,IF(ISERROR(FIND("Tower",A155))=FALSE,VLOOKUP("Hinges &amp; plates (Hettich thick door)",FurnitureData,5,0)*5)))))</f>
        <v/>
      </c>
      <c r="I155" s="115" t="str">
        <f>IF(ISERROR(FIND("shelf",A155))=FALSE,(VLOOKUP("Shelf pegs",FurnitureData,5,0)/100)*4,"")</f>
        <v/>
      </c>
      <c r="J155" s="152" t="str">
        <f>IF(OR(ISERROR(FIND("fridge/freezer",A155))=FALSE,ISERROR(FIND("larder",A155))=FALSE,AND(ISERROR(FIND("Base",A155))=FALSE,ISERROR(FIND("bins",A155))=TRUE,ISERROR(FIND("no shelves",A155))=TRUE,OR(ISERROR(FIND("carcass",A155))=FALSE,ISERROR(FIND("unit",A155))=FALSE))),VLOOKUP("Deep shelf "&amp;C155,KitchensData,18,0),IF(AND(ISERROR(FIND("Wall",A155))=FALSE,ISERROR(FIND("carcass",A155))=FALSE),2*VLOOKUP("Shallow shelf "&amp;C155,KitchensData,18,0),IF(AND(ISERROR(FIND("Tower",A155))=FALSE,ISERROR(FIND("oven",A155))=FALSE),4*VLOOKUP("Deep shelf "&amp;C155,KitchensData,18,0),IF(AND(ISERROR(FIND("Tower",A155))=FALSE,ISERROR(FIND("carcass",A155))=FALSE),5*VLOOKUP("Deep shelf "&amp;C155,KitchensData,18,0),""))))</f>
        <v/>
      </c>
      <c r="K155" s="152" t="str">
        <f>IF(ISERROR(FIND("sink",A155))=FALSE,VLOOKUP("Sink liner - Aluminium "&amp;RIGHT(A155,LEN(A155)-22)&amp;"mm",ExceptionalData,5,0),IF(ISERROR(FIND("bins",A155))=FALSE,VLOOKUP("Drawer runners and clip set for bin unit (500) Dynapro",FurnitureData,5,0)+(2*VLOOKUP("Bin (42L Anthracite)",FurnitureData,5,0)),IF(ISERROR(FIND("larder",A155))=FALSE,VLOOKUP("Pull out larder unit 600mm",FurnitureData,5,0),IF(AND(ISERROR(FIND("drawer box",A155))=FALSE,ISERROR(FIND("internal",A155))=TRUE),VLOOKUP("Drawer runners and clip set (550) Dynapro",FurnitureData,5,0),IF(ISERROR(FIND("internal drawer box",A155))=FALSE,VLOOKUP("Drawer runners and clip set (450) Dynapro",FurnitureData,5,0),"")))))</f>
        <v/>
      </c>
      <c r="L155" s="152" t="str">
        <f t="shared" si="3"/>
        <v/>
      </c>
      <c r="M155" s="154" t="str">
        <f>IFERROR(__xludf.DUMMYFUNCTION("IF(A155="""","""",IF(OR(ISERROR(FIND(""larder"",A155))=FALSE,ISERROR(FIND(""unit"",A155))=FALSE),VLOOKUP(LEFT(A155,FIND("" "",A155))&amp;""carcass ""&amp;RIGHT(A155,LEN(A155)-len(regexextract(A155,"".* ""))),KitchensData,13,0),IF(ISERROR(FIND(""bins"",A155))=FALS"&amp;"E,0.95,IF(ISERROR(FIND(""Cutlery insert 600"",A155))=FALSE,1.3,IF(ISERROR(FIND(""Cutlery insert 1200"",A155))=FALSE,2,IF(ISERROR(FIND(""Pan/tray rack 600"",A155))=FALSE,3.25,IF(ISERROR(FIND(""Pan/tray rack 1200"",A155))=FALSE,5.9,IF(ISERROR(FIND(""split"""&amp;",A155))=FALSE,(((C155/1000)*0.022)*2)+VLOOKUP(SUBSTITUTE(A155,"" split"",""""),KitchensData,13,0),IF(AND(ISERROR(FIND(""drawer front"",A155))=FALSE,KitchenDoorStyle=""Flat""),(((B155/1000)*(C155/1000))*2)+((((B155+C155)/1000)*2)*0.022),IF(AND(ISERROR(FIND"&amp;"(""drawer front"",A155))=FALSE,LEFT(KitchenDoorStyle,5)=""Panel""),(((B155/1000)*(C155/1000))*2)+((((B155+C155)/1000)*2)*0.022)+((((C155/1000)-0.16)*0.013)*2)+((((D155/1000)-0.16)*0.013)*2),IF(AND(ISERROR(FIND(""drawer front"",A155))=FALSE,KitchenDoorStyl"&amp;"e=""In-frame flat""),((((B155-76)/1000)*((C155-38)/1000))*2)+(MID(KitchenDoorMaterial,FIND(""("",KitchenDoorMaterial)+1,2)/1000)*((((B155-76)+(C155-38))/1000)*2)+(((B155/1000)*0.032)*2)+((((B155-76)/1000)*0.032)*2)+(((B155/1000)*0.019)*4)+(((C155/1000)*0."&amp;"032)*2)+((((C155-38)/1000)*0.032)*2)+(((C155/1000)*0.038)*4),IF(AND(ISERROR(FIND(""drawer front"",A155))=FALSE,LEFT(KitchenDoorStyle,14)=""In-frame panel""),((((B155-76)/1000)*((C155-38)/1000))*2)+((MID(KitchenDoorMaterial,FIND(""("",KitchenDoorMaterial)+"&amp;"1,2)/1000)*((((B155-76)+(C155-38))/1000)*2))+((((B155-236)/1000)+((C155-198)/1000)*2)*0.013)+(((B155/1000)*0.032)*2)+((((B155-76)/1000)*0.032)*2)+(((B155/1000)*0.019)*4)+(((C155/1000)*0.032)*2)+((((C155-38)/1000)*0.032)*2)+(((C155/1000)*0.038)*4),IF(ISERR"&amp;"OR(FIND(""drawer box"",A155))=FALSE,((((B155/1000)*(D155/1000))+((B155/1000)*(C155/1000)))*4)+((((D155/1000)+(C155/1000))*0.016)*4)+(((C155/1000)*(D155/1000))*2),IF(OR(ISERROR(FIND(""shelf"",A155))=FALSE,ISERROR(FIND(""spacer"",A155))=FALSE,,ISERROR(FIND("&amp;"""filler panel"",A155))=FALSE),(((C155/1000)*(D155/1000))*2)+((((C155+D155)*2)/1000)*0.022),IF(ISERROR(FIND(""lost corner"",A155))=FALSE,(((B155/1000)*(C155/1000))*2)+((B155/1000)*(C155/1000))+((B155/1000)*((C155/2)/1000))+((((B155/1000)*0.025)+((C155/100"&amp;"0)*0.025))*2),IF(ISERROR(FIND(""carcass"",A155))=FALSE,(((C155/1000)*(D155/1000))*2)+(((B155/1000)*(D155/1000))*2)+((B155/1000)*(C155/1000))+((((B155/1000)*0.025)+((C155/1000)*0.025))*2),IF(AND(ISERROR(FIND(""door"",A155))=FALSE,KitchenDoorStyle=""Flat"")"&amp;",(((B155/1000)*(C155/1000))*2)+(MID(KitchenDoorMaterial,FIND(""("",KitchenDoorMaterial)+1,2)/1000)*(((B155+C155)/1000)*2),IF(AND(ISERROR(FIND(""door"",A155))=FALSE,LEFT(KitchenDoorStyle,5)=""Panel""),(((B155/1000)*(C155/1000))*2)+((MID(KitchenDoorMaterial"&amp;",FIND(""("",KitchenDoorMaterial)+1,2)/1000)*(((B155+C155)/1000)*2))+(((((B155-160)+(C155-160))*2)/1000)*(0.013)),IF(AND(ISERROR(FIND(""door"",A155))=FALSE,KitchenDoorStyle=""In-frame flat""),((((B155-76)/1000)*((C155-38)/1000))*2)+(MID(KitchenDoorMaterial"&amp;",FIND(""("",KitchenDoorMaterial)+1,2)/1000)*((((B155-76)+(C155-38))/1000)*2)+(((B155/1000)*0.032)*2)+((((B155-76)/1000)*0.032)*2)+(((B155/1000)*0.019)*4)+(((C155/1000)*0.032)*2)+((((C155-38)/1000)*0.032)*2)+(((C155/1000)*0.038)*4),IF(AND(ISERROR(FIND(""do"&amp;"or"",A155))=FALSE,LEFT(KitchenDoorStyle,14)=""In-frame panel""),((((B155-76)/1000)*((C155-38)/1000))*2)+((MID(KitchenDoorMaterial,FIND(""("",KitchenDoorMaterial)+1,2)/1000)*((((B155-76)+(C155-38))/1000)*2))+((((B155-236)/1000)+((C155-198)/1000)*2)*0.013)+"&amp;"(((B155/1000)*0.032)*2)+((((B155-76)/1000)*0.032)*2)+(((B155/1000)*0.019)*4)+(((C155/1000)*0.032)*2)+((((C155-38)/1000)*0.032)*2)+(((C155/1000)*0.038)*4),IF(ISERROR(FIND(""Plinth"",A155))=FALSE,((B155/1000)*(C155/1000))+(((C155/1000)*0.018)*2)+(((B155/100"&amp;"0)*0.018)*2),IF(ISERROR(FIND(""Cornice"",A155))=FALSE,(((C155/1000)*0.1)*2)+(((C155/1000)*0.044)*2)+(((B155/1000)*0.08)*2),IF(ISERROR(FIND(""Base end panel"",A155))=FALSE,((B155/1000)*(C155/1000))+(0.022*((B155/1000)+((C155/1000)*2)))+((B155/1000)*0.05),I"&amp;"F(ISERROR(FIND(""Wall end panel"",A155))=FALSE,((B155/1000)*(C155/1000))+(0.022*((B155/1000)+((C155/1000)*2)))+((B155/1000)*0.05),IF(ISERROR(FIND(""Tower end panel"",A155))=FALSE,((B155/1000)*(C155/1000))+(0.022*((B155/1000)+((C155/1000)*2)))+((B155/1000)"&amp;"*0.05),IF(ISERROR(FIND(""Fillers"",A155))=FALSE,((C155/1000)*0.06)+((C155/1000)*0.069)+((0.06*0.018)*2)+((0.06*0.009)*2)+((C155/1000)*0.009)+((C155/1000)*0.018),IF(ISERROR(FIND(""corner post"",A155))=FALSE,(((B155/1000*0.05)*2)+((B155/1000)*0.022)*2)+((B1"&amp;"55/1000)*0.072)+((B155/1000)*0.05)+((0.072*0.022)*2)+((0.05*0.022)*2),IF(ISERROR(FIND(""Pelmet"",A155))=FALSE,((C155/1000)*0.05)+((C155/1000)*0.068)+((0.05*0.018)*4)+(((C155/1000)*0.018))*2))))))))))))))))))))))))))))"),"")</f>
        <v/>
      </c>
      <c r="N155" s="152" t="str">
        <f>IF(M155="","",IF(AND(ISERROR(FIND("carcass",A155))=TRUE,ISERROR(FIND("unit",A155))=TRUE,ISERROR(FIND("insert",A155))=TRUE,ISERROR(FIND("rack",A155))=TRUE,ISERROR(FIND("box",A155))=TRUE,ISERROR(FIND("shelf",#REF!))=TRUE),VLOOKUP(KitchenDoorFinish,Finishing!$A$2:$K$10,9,0)*M155,VLOOKUP(KitchenCarcassFinish,Finishing!$A$2:$K$40,9,0)*M155))</f>
        <v/>
      </c>
      <c r="O155" s="155"/>
      <c r="P155" s="155"/>
      <c r="Q155" s="152" t="str">
        <f>IF(OR(O155="",P155=""),"",((O155*X155)*(VLOOKUP("Workshop",Labour!$A$3:$E$20,4,0)/8))+((P155*AE155)*(VLOOKUP("Finishing",Labour!$A$3:$E$20,4,0)/8)))</f>
        <v/>
      </c>
      <c r="R155" s="152" t="str">
        <f t="shared" si="4"/>
        <v/>
      </c>
      <c r="S155" s="156" t="str">
        <f>IF(OR(O155="",P155=""),"",IF(OR(ISERROR(FIND("carcass",$A155))=FALSE,ISERROR(FIND("unit",$A155))=FALSE),VLOOKUP(KitchenCarcassMaterial,FixedListsCarcassMaterial,2,0),0))</f>
        <v/>
      </c>
      <c r="T155" s="156" t="str">
        <f>IF(OR(O155="",P155=""),"",IF(ISERROR(FIND("door",$A155))=FALSE,VLOOKUP(KitchenDoorStyle,FixedListsDoorStyle,2,0),0))</f>
        <v/>
      </c>
      <c r="U155" s="156" t="str">
        <f>IF(OR(O155="",P155=""),"",IF(ISERROR(FIND("door",$A155))=FALSE,VLOOKUP(KitchenDoorMaterial,FixedListsDoorMaterial,2,0),0))</f>
        <v/>
      </c>
      <c r="V155" s="156" t="str">
        <f>IF(OR(O155="",P155=""),"",IF(ISERROR(FIND("drawer",$A155))=FALSE,VLOOKUP(KitchenDrawerType,FixedListsDrawerType,2,0),0))</f>
        <v/>
      </c>
      <c r="W155" s="156" t="str">
        <f>IF(OR(O155="",P155=""),"",IF(OR(S155&gt;0, T155&gt;0,V155&gt;0),VLOOKUP(KitchenHandleType,FixedListsHandleType,2,FALSE)*IF(KitchenHandleType="Simple",0,IF(S155&gt;0,VLOOKUP(KitchenHandleType,FixedListsHandleType,4,FALSE),IF(OR(T155&gt;0,V155&gt;0),1-VLOOKUP(KitchenHandleType,FixedListsHandleType,4,FALSE),"Error"))),0))</f>
        <v/>
      </c>
      <c r="X155" s="156" t="str">
        <f t="shared" si="5"/>
        <v/>
      </c>
      <c r="Y155" s="156" t="str">
        <f>IF(OR(O155="",P155=""),"",IF(OR(ISERROR(FIND("carcass",$A155))=FALSE,ISERROR(FIND("unit",$A155))=FALSE),VLOOKUP(KitchenCarcassMaterial,FixedListsCarcassMaterial,3,0),0))</f>
        <v/>
      </c>
      <c r="Z155" s="156" t="str">
        <f>IF(OR(O155="",P155=""),"",IF(ISERROR(FIND("door",$A155))=FALSE,VLOOKUP(KitchenDoorStyle,FixedListsDoorStyle,3,0),0))</f>
        <v/>
      </c>
      <c r="AA155" s="156" t="str">
        <f>IF(OR(O155="",P155=""),"",IF(ISERROR(FIND("door",$A155))=FALSE,VLOOKUP(KitchenDoorMaterial,FixedListsDoorMaterial,3,0),0))</f>
        <v/>
      </c>
      <c r="AB155" s="156" t="str">
        <f>IF(OR(O155="",P155=""),"",IF(ISERROR(FIND("drawer",$A155))=FALSE,VLOOKUP(KitchenDrawerType,FixedListsDrawerType,3,0),0))</f>
        <v/>
      </c>
      <c r="AC155" s="156" t="str">
        <f>IF(OR(O155="",P155=""),"",IF(OR(Y155&gt;0,Z155&gt;0,AB155&gt;0),VLOOKUP(KitchenHandleType,FixedListsHandleType,3,FALSE),0))</f>
        <v/>
      </c>
      <c r="AD155" s="156" t="str">
        <f>IF(OR(O155="",P155=""),"",IF(OR(ISERROR(FIND("carcass",$A155))=FALSE,ISERROR(FIND("unit",$A155))=FALSE),VLOOKUP(KitchenCarcassFinish,FixedListsFinishes,3,0),IF(OR(ISERROR(FIND("door",$A155))=FALSE,ISERROR(FIND("Plinth",$A155))=FALSE,ISERROR(FIND("Cornice",$A155))=FALSE,ISERROR(FIND("Fillers",$A155))=FALSE,ISERROR(FIND("Pelmet",$A155))=FALSE,ISERROR(FIND("panel",$A155))=FALSE,ISERROR(FIND("post",$A155))=FALSE),VLOOKUP(KitchenDoorFinish,FixedListsFinishes,3,0),IF(OR(ISERROR(FIND("drawer",$A155))=FALSE,ISERROR(FIND("insert",$A155))=FALSE,ISERROR(FIND("rck",$A155))=FALSE),VLOOKUP(KitchenCarcassFinish,FixedListsFinishes,3,0),0))))</f>
        <v/>
      </c>
      <c r="AE155" s="156" t="str">
        <f t="shared" si="6"/>
        <v/>
      </c>
      <c r="AF155" s="157" t="str">
        <f>IF(AND(KitchenHandleType="Channel",OR(ISERROR(FIND("arcass",$A155))=FALSE,ISERROR(FIND("unit",$A155))=FALSE)),IF(ISERROR(FIND("Tower",$A155))=TRUE,IF(KitchenHandleFinish="Match carcass",IF(ISERROR(FIND("Walnut",KitchenCarcassMaterial))=FALSE,(0.035*0.075*($C155/1000))*VLOOKUP("Walnut (solid m3)",SolidData,4,FALSE),IF(ISERROR(FIND("Oak",KitchenCarcassMaterial))=FALSE,(0.035*0.075*($C155/1000))*VLOOKUP("Oak (solid m3)",SolidData,4,FALSE),IF(ISERROR(FIND("ply",KitchenCarcassMaterial))=FALSE,(0.1*($C155/1000))*VLOOKUP("Birch ply (24mm)",SheetsData,7,FALSE),IF(ISERROR(FIND("H/F",KitchenCarcassMaterial))=FALSE,(0.1*($C155/1000))*VLOOKUP("H/F (22mm)",SheetsData,7,FALSE),"Carcass - not tower - new material")))),IF(KitchenHandleFinish="Match door",IF(ISERROR(FIND("Walnut",KitchenDoorMaterial))=FALSE,(0.035*0.075*($C155/1000))*VLOOKUP("Walnut (solid m3)",SolidData,4,FALSE),IF(ISERROR(FIND("Oak",KitchenDoorMaterial))=FALSE,(0.035*0.075*($C155/1000))*VLOOKUP("Oak (solid m3)",SolidData,4,FALSE),IF(ISERROR(FIND("ply",KitchenDoorMaterial))=FALSE,(0.1*($C155/1000))*VLOOKUP("Birch ply (24mm)",SheetsData,7,FALSE),IF(ISERROR(FIND("H/F",KitchenCarcassMaterial))=FALSE,(0.1*($C155/1000))*VLOOKUP("H/F (22mm)",SheetsData,7,FALSE),"Door - not tower - new material")))),"Channel - not tower - handle set to other")),IF(ISERROR(FIND("Tower",$A155))=FALSE,IF(KitchenHandleFinish="Match carcass",IF(ISERROR(FIND("Walnut",KitchenCarcassMaterial))=FALSE,(0.035*0.075*($B155/1000))*VLOOKUP("Walnut (solid m3)",SolidData,4,FALSE),IF(ISERROR(FIND("Oak",KitchenCarcassMaterial))=FALSE,(0.035*0.075*($B155/1000))*VLOOKUP("Oak (solid m3)",SolidData,4,FALSE),IF(ISERROR(FIND("ply",KitchenCarcassMaterial))=FALSE,(0.1*($B155/1000))*VLOOKUP("Birch ply (24mm)",SheetsData,7,FALSE),IF(ISERROR(FIND("H/F",KitchenCarcassMaterial))=FALSE,(0.1*($C155/1000))*VLOOKUP("H/F (22mm)",SheetsData,7,FALSE),"Carcass - tower - new material")))),IF(KitchenHandleFinish="Match door",IF(ISERROR(FIND("Walnut",KitchenDoorMaterial))=FALSE,(0.035*0.075*($B155/1000))*VLOOKUP("Walnut (solid m3)",SolidData,4,FALSE),IF(ISERROR(FIND("Oak",KitchenDoorMaterial))=FALSE,(0.035*0.075*($B155/1000))*VLOOKUP("Oak (solid m3)",SolidData,4,FALSE),IF(ISERROR(FIND("ply",KitchenDoorMaterial))=FALSE,(0.1*($B155/1000))*VLOOKUP("Birch ply (24mm)",SheetData,7,FALSE),IF(ISERROR(FIND("H/F",KitchenCarcassMaterial))=FALSE,(0.1*($C155/1000))*VLOOKUP("H/F (22mm)",SheetsData,7,FALSE),"Door - tower - new material")))),"Channel - tower - handle set to other")))),"")</f>
        <v/>
      </c>
    </row>
    <row r="156">
      <c r="A156" s="150"/>
      <c r="B156" s="115" t="str">
        <f t="shared" si="1"/>
        <v/>
      </c>
      <c r="C156" s="115" t="str">
        <f>IFERROR(__xludf.DUMMYFUNCTION("IF(A156="""","""",IF(OR(RIGHT(A156,LEN(A156)-len(regexextract(A156,"".* "")))=""1200"",RIGHT(A156,LEN(A156)-len(regexextract(A156,"".* "")))=""600"",RIGHT(A156,LEN(A156)-len(regexextract(A156,"".* "")))=""400"",RIGHT(A156,LEN(A156)-len(regexextract(A156,"&amp;""".* "")))=""300"",RIGHT(A156,LEN(A156)-len(regexextract(A156,"".* "")))=""700"",RIGHT(A156,LEN(A156)-len(regexextract(A156,"".* "")))=""2400"",RIGHT(A156,LEN(A156)-len(regexextract(A156,"".* "")))=""650"",RIGHT(A156,LEN(A156)-len(regexextract(A156,"".* "&amp;""")))=""350"",RIGHT(A156,LEN(A156)-len(regexextract(A156,"".* "")))=""50""),RIGHT(A156,LEN(A156)-len(regexextract(A156,"".* ""))),IF(OR(ISERROR(FIND(""spacer"",A156))=FALSE,ISERROR(FIND(""filler panel"",A156))=FALSE),""1000"",""Unexpected size in descript"&amp;"ion"")))"),"")</f>
        <v/>
      </c>
      <c r="D156" s="151" t="str">
        <f t="shared" si="2"/>
        <v/>
      </c>
      <c r="E156" s="152" t="str">
        <f>IFERROR(__xludf.DUMMYFUNCTION("IF(OR(A156="""",AND(ISERROR(FIND(""drawer box"",A156))=FALSE,KitchenDrawerType="""")),"""",IF(OR(ISERROR(FIND(""larder"",A156))=FALSE,ISERROR(FIND(""fridge/freezer"",A156))=FALSE,ISERROR(FIND(""double oven"",A156))=FALSE,ISERROR(FIND(""single oven"",A156)"&amp;")=FALSE),VLOOKUP(LEFT(A156,FIND("" "",A156))&amp;""carcass ""&amp;RIGHT(A156,LEN(A156)-(LEN(A156)-3)),KitchensData,5,0),IF(ISERROR(FIND(""sink"",A156))=FALSE,VLOOKUP(LEFT(A156,FIND("" "",A156))&amp;""carcass ""&amp;VALUE(REGEXREPLACE(A156,""[^[:digit:]]"", """")),Kitchen"&amp;"sData,5,0)+(((C156/1000)*(300/1000))*VLOOKUP(KitchenCarcassMaterial,SheetsData,8,0)),IF(ISERROR(FIND(""bins"",A156))=FALSE,IF(ISERROR(FIND(""veneer"",KitchenCarcassMaterial))=FALSE,VLOOKUP(""Base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600"",A156))=FALSE,IF(ISERR"&amp;"OR(FIND(""veneer"",KitchenCarcassMaterial))=FALSE,0.54*(VLOOKUP(LEFT(KitchenCarcassMaterial,FIND(""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1"&amp;"200"",A156))=FALSE,IF(ISERROR(FIND(""veneer"",KitchenCarcassMaterial))=FALSE,0.84*(VLOOKUP(LEFT(KitchenCarcassMaterial,FIND(""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600"",A156))=FALSE,IF(ISERROR(FIND(""veneer"",KitchenCarcassMaterial))=FALSE,1.44*(VLOOKUP(LEFT(KitchenCarcassMaterial,FIND(""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1200"",A156))=FALSE,IF(ISERROR(FIND(""veneer"",KitchenCarcassMaterial))=FALSE,2.7*(VLOOKUP(LEFT(KitchenCarcassMaterial,FIND(""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front"",A156))=FALSE,((B156/1000)*(C156/1000))*VLOOKUP(KitchenDoorMaterial,SheetsData,8,0),IF(AND(KitchenDrawerType=""Match carcass"",ISERROR(FIND(""drawer box"",A156))=FALSE),(((((B156/10"&amp;"00)*(C156/1000))+((B156/1000)*(D156/1000)))*2)*VLOOKUP(KitchenCarcassMaterial,SheetsData,8,0))+(((C156/1000)*(D156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box"",A156))=FALSE),(((((B156/1000)*(C156/1000))+((B156/1000)*(D156/1000)))*2)*(16/1000)*VLOOKUP(L"&amp;"EFT(KitchenCarcassMaterial,FIND("" "",KitchenCarcassMaterial))&amp;""(solid m3)"",SolidData,5,0))+(((C156/1000)*(D156/1000))*VLOOKUP(LEFT(KitchenCarcassMaterial,FIND(""("",KitchenCarcassMaterial)-1)&amp;IF(OR(ISERROR(FIND(""ply"",KitchenCarcassMaterial))=FALSE,IS"&amp;"ERROR(FIND(""H/F"",KitchenCarcassMaterial))=FALSE),""(9mm)"",""(10mm)""),SheetsData,8,0)),IF(ISERROR(FIND(""spacer"",A156))=FALSE,((D156/1000)*(C156/1000))*VLOOKUP(""Poplar ply (18mm)"",SheetsData,8,0),IF(ISERROR(FIND(""filler panel"",A156))=FALSE,((B156/"&amp;"1000)*(C156/1000))*VLOOKUP(KitchenDoorMaterial,SheetsData,8,0),IF(ISERROR(FIND(""shelf"",A156))=FALSE,((D156/1000)*(C156/1000))*VLOOKUP(KitchenCarcassMaterial,SheetsData,8,0),IF(ISERROR(FIND(""lost corner"",A156))=FALSE,VLOOKUP(LEFT(A156,FIND("" "",A156))"&amp;"&amp;""carcass ""&amp;VALUE(REGEXREPLACE(A156,""[^[:digit:]]"", """")),KitchensData,5,0)+((((B156/1000)*(C156/1000))+((B156/1000)*(60/1000)))*VLOOKUP(KitchenCarcassMaterial,SheetsData,8,0)),IF(ISERROR(FIND(""carcass"",A156))=FALSE,(((((B156/1000)*2)*(D156/1000))+"&amp;"(((C156/1000)*2)*(D156/1000)))*VLOOKUP(KitchenCarcassMaterial,SheetsData,8,0))+((B156/1000)*(C156/1000))*VLOOKUP(LEFT(KitchenCarcassMaterial,FIND(""("",KitchenCarcassMaterial)-1)&amp;IF(OR(ISERROR(FIND(""ply"",KitchenCarcassMaterial))=FALSE,ISERROR(FIND(""H/F"&amp;""",KitchenCarcassMaterial))=FALSE),""(9mm)"",""(10mm)""),SheetsData,8,0),IF(OR(ISERROR(FIND(""Plinth"",A156))=FALSE,ISERROR(FIND(""Cornice (flat)"",A156))=FALSE),((B156/1000)*(C156/1000))*VLOOKUP(""H/F (18mm)"",SheetsData,8,0),IF(ISERROR(FIND(""Cornice (s"&amp;"tacked)"",A156))=FALSE,((0.08*(C156/1000))*2)*VLOOKUP(""H/F (22mm)"",SheetsData,8,0),IF(ISERROR(FIND(""Base end panel"",A156))=FALSE,VLOOKUP(KitchenDoorMaterial,SheetsData,5,0)/3,IF(ISERROR(FIND(""Wall end panel"",A156))=FALSE,VLOOKUP(KitchenDoorMaterial,"&amp;"SheetsData,5,0)/9,IF(ISERROR(FIND(""Tower end panel"",A156))=FALSE,VLOOKUP(KitchenDoorMaterial,SheetsData,5,0),IF(ISERROR(FIND(""Fillers"",A156))=FALSE,(((0.06*(C156/1000))*2)*VLOOKUP(""H/F (18mm)"",SheetsData,8,0))+(((0.06*(C156/1000))*2)*VLOOKUP(""H/F ("&amp;"9mm)"",SheetsData,8,0)),IF(ISERROR(FIND(""corner post"",A156))=FALSE,(((B156/1000)*0.05)*2)*VLOOKUP(KitchenDoorMaterial,SheetsData,8,0),IF(ISERROR(FIND(""Pelmet"",A156))=FALSE,((((B156/1000)*(C156/1000))*2)*VLOOKUP(""H/F (18mm)"",SheetsData,8,0)),IF(ISERR"&amp;"OR(FIND(""door"",A156))=TRUE,""Check description"",IF(KitchenDoorStyle=""Flat"",((B156/1000)*(C156/1000))*VLOOKUP(KitchenDoorMaterial,SheetsData,8,0),IF(LEFT(KitchenDoorStyle,5)=""Panel"",(((((B156/1000)*2)*0.08)+((((C156/1000)-0.16)*2)*0.08))*VLOOKUP(""H"&amp;"/F (22mm)"",SheetsData,8,0))+(((B156/1000)-0.14)*((C156/1000)-0.14)*VLOOKUP(""H/F (9mm)"",SheetsData,8,0)),IF(KitchenDoorStyle=""In-frame flat"",((((((B156/1000)*0.019)*0.038)+((((C156-38)/1000)*0.038)*0.038))*2)*VLOOKUP(""Tulip (solid m3)"",SolidData,5,0"&amp;"))+(((B156-76)/1000)*((C156-38)/1000))*VLOOKUP(""H/F (22mm)"",SheetsData,8,0),IF(LEFT(KitchenDoorStyle,14)=""In-frame panel"",(((((((B156/1000)*0.019)*0.038)+((((C156-38)/1000)*0.038)*0.038))*2)*VLOOKUP(""Tulip (solid m3)"",SolidData,5,0))+(((((((B156-76)"&amp;"/1000)*2)*0.08)+(((((C156-198)/1000)*2)*0.08)))*VLOOKUP(""H/F (22mm)"",SheetsData,8,0))+(((B156-216)/1000)*((C156-178)/1000)*VLOOKUP(""H/F (9mm)"",SheetsData,8,0)))))))))))))))))))))))))))))))))"),"")</f>
        <v/>
      </c>
      <c r="F156" s="152" t="str">
        <f>IFERROR(__xludf.DUMMYFUNCTION("IF(OR(A156="""",AND(ISERROR(FIND(""drawer box"",A156))=FALSE,KitchenDrawerType=""Solid dovetail"")),"""",IF(ISERROR(FIND(""bins"",A156))=FALSE,VLOOKUP(""Base carcass 600"",KitchensData,6,0),IF(OR(ISERROR(FIND(""larder"",A156))=FALSE,ISERROR(FIND(""unit"","&amp;"A156))=FALSE),VLOOKUP(LEFT(A156,FIND("" "",A156))&amp;""carcass ""&amp;RIGHT(A156,LEN(A156)-len(regexextract(A156,"".* ""))),KitchensData,6,0),IF(ISERROR(FIND(""drawer front"",A156))=FALSE,IF(ISERROR(FIND(""veneer"",KitchenCarcassMaterial))=TRUE,0,(((B156+C156)/1"&amp;"000)*2)*VLOOKUP(""Edge banding (per M)"",SheetsData,5,0)),IF(ISERROR(FIND(""drawer box"",A156))=FALSE,IF(ISERROR(FIND(""veneer"",KitchenCarcassMaterial))=TRUE,0,(((C156+D156)/1000)*2)*VLOOKUP(""Edge banding (per M)"",SheetsData,5,0)),IF(ISERROR(FIND(""she"&amp;"lf"",A156))=FALSE,IF(ISERROR(FIND(""veneer"",KitchenCarcassMaterial))=TRUE,0,(C156/1000)*VLOOKUP(""Edge banding (per M)"",SheetsData,5,0)),IF(AND(ISERROR(FIND(""carcass"",A156))=FALSE,ISERROR(FIND(""shelf"",A156))=TRUE),IF(ISERROR(FIND(""veneer"",KitchenC"&amp;"arcassMaterial))=TRUE,0,((2*(B156+C156))/1000)*VLOOKUP(""Edge banding (per M)"",SheetsData,5,0)),IF(ISERROR(FIND(""door"",A156))=TRUE,"""",IF(ISERROR(FIND(""veneer"",KitchenDoorMaterial))=TRUE,"""",((2*(B156+C156))/1000)*VLOOKUP(""Edge banding (per M)"",S"&amp;"heetsData,5,0))))))))))"),"")</f>
        <v/>
      </c>
      <c r="G156" s="153" t="str">
        <f>IF(A156="","",IF(ISERROR(FIND("bins",A156))=FALSE,VLOOKUP("Base carcass 600",KitchensData,7,0),IF(OR(ISERROR(FIND("larder",A156))=FALSE,ISERROR(FIND("fridge/freezer",A156))=FALSE,ISERROR(FIND("double oven",A156))=FALSE,ISERROR(FIND("single oven",A156))=FALSE),VLOOKUP(LEFT(A156,FIND(" ",A156))&amp;"carcass "&amp;RIGHT(A156,LEN(A156)-(LEN(A156)-3)),KitchensData,7,0),IF(AND(ISERROR(FIND("carcass",A156))=FALSE,ISERROR(FIND("shelf",A156))=TRUE),IF(OR(ISERROR(FIND("Base",A156))=FALSE,ISERROR(FIND("Tower",A156))=FALSE),IF(OR(ISERROR(FIND("1200",A156))=FALSE, ISERROR(FIND("lost corner",A156))=FALSE),6*VLOOKUP("Plinth foot (2 Parts 80mm)",FurnitureData,5,0),4*VLOOKUP("Plinth foot (2 Parts 80mm)",FurnitureData,5,0)),""),""))))</f>
        <v/>
      </c>
      <c r="H156" s="115" t="str">
        <f>IF(OR(A156="",ISERROR(FIND("door",A156))=TRUE),"",IF(ISERROR(FIND("Wall",A156))=FALSE,VLOOKUP("Hinges &amp; plates (Hettich thick door)",FurnitureData,5,0)*2,IF(ISERROR(FIND("Base",A156))=FALSE,VLOOKUP("Hinges &amp; plates (Hettich thick door)",FurnitureData,5,0)*3,IF(ISERROR(FIND("Boiler",A156))=FALSE,VLOOKUP("Hinges &amp; plates (Hettich thick door)",FurnitureData,5,0)*4,IF(ISERROR(FIND("Tower",A156))=FALSE,VLOOKUP("Hinges &amp; plates (Hettich thick door)",FurnitureData,5,0)*5)))))</f>
        <v/>
      </c>
      <c r="I156" s="115" t="str">
        <f>IF(ISERROR(FIND("shelf",A156))=FALSE,(VLOOKUP("Shelf pegs",FurnitureData,5,0)/100)*4,"")</f>
        <v/>
      </c>
      <c r="J156" s="152" t="str">
        <f>IF(OR(ISERROR(FIND("fridge/freezer",A156))=FALSE,ISERROR(FIND("larder",A156))=FALSE,AND(ISERROR(FIND("Base",A156))=FALSE,ISERROR(FIND("bins",A156))=TRUE,ISERROR(FIND("no shelves",A156))=TRUE,OR(ISERROR(FIND("carcass",A156))=FALSE,ISERROR(FIND("unit",A156))=FALSE))),VLOOKUP("Deep shelf "&amp;C156,KitchensData,18,0),IF(AND(ISERROR(FIND("Wall",A156))=FALSE,ISERROR(FIND("carcass",A156))=FALSE),2*VLOOKUP("Shallow shelf "&amp;C156,KitchensData,18,0),IF(AND(ISERROR(FIND("Tower",A156))=FALSE,ISERROR(FIND("oven",A156))=FALSE),4*VLOOKUP("Deep shelf "&amp;C156,KitchensData,18,0),IF(AND(ISERROR(FIND("Tower",A156))=FALSE,ISERROR(FIND("carcass",A156))=FALSE),5*VLOOKUP("Deep shelf "&amp;C156,KitchensData,18,0),""))))</f>
        <v/>
      </c>
      <c r="K156" s="152" t="str">
        <f>IF(ISERROR(FIND("sink",A156))=FALSE,VLOOKUP("Sink liner - Aluminium "&amp;RIGHT(A156,LEN(A156)-22)&amp;"mm",ExceptionalData,5,0),IF(ISERROR(FIND("bins",A156))=FALSE,VLOOKUP("Drawer runners and clip set for bin unit (500) Dynapro",FurnitureData,5,0)+(2*VLOOKUP("Bin (42L Anthracite)",FurnitureData,5,0)),IF(ISERROR(FIND("larder",A156))=FALSE,VLOOKUP("Pull out larder unit 600mm",FurnitureData,5,0),IF(AND(ISERROR(FIND("drawer box",A156))=FALSE,ISERROR(FIND("internal",A156))=TRUE),VLOOKUP("Drawer runners and clip set (550) Dynapro",FurnitureData,5,0),IF(ISERROR(FIND("internal drawer box",A156))=FALSE,VLOOKUP("Drawer runners and clip set (450) Dynapro",FurnitureData,5,0),"")))))</f>
        <v/>
      </c>
      <c r="L156" s="152" t="str">
        <f t="shared" si="3"/>
        <v/>
      </c>
      <c r="M156" s="154" t="str">
        <f>IFERROR(__xludf.DUMMYFUNCTION("IF(A156="""","""",IF(OR(ISERROR(FIND(""larder"",A156))=FALSE,ISERROR(FIND(""unit"",A156))=FALSE),VLOOKUP(LEFT(A156,FIND("" "",A156))&amp;""carcass ""&amp;RIGHT(A156,LEN(A156)-len(regexextract(A156,"".* ""))),KitchensData,13,0),IF(ISERROR(FIND(""bins"",A156))=FALS"&amp;"E,0.95,IF(ISERROR(FIND(""Cutlery insert 600"",A156))=FALSE,1.3,IF(ISERROR(FIND(""Cutlery insert 1200"",A156))=FALSE,2,IF(ISERROR(FIND(""Pan/tray rack 600"",A156))=FALSE,3.25,IF(ISERROR(FIND(""Pan/tray rack 1200"",A156))=FALSE,5.9,IF(ISERROR(FIND(""split"""&amp;",A156))=FALSE,(((C156/1000)*0.022)*2)+VLOOKUP(SUBSTITUTE(A156,"" split"",""""),KitchensData,13,0),IF(AND(ISERROR(FIND(""drawer front"",A156))=FALSE,KitchenDoorStyle=""Flat""),(((B156/1000)*(C156/1000))*2)+((((B156+C156)/1000)*2)*0.022),IF(AND(ISERROR(FIND"&amp;"(""drawer front"",A156))=FALSE,LEFT(KitchenDoorStyle,5)=""Panel""),(((B156/1000)*(C156/1000))*2)+((((B156+C156)/1000)*2)*0.022)+((((C156/1000)-0.16)*0.013)*2)+((((D156/1000)-0.16)*0.013)*2),IF(AND(ISERROR(FIND(""drawer front"",A156))=FALSE,KitchenDoorStyl"&amp;"e=""In-frame flat""),((((B156-76)/1000)*((C156-38)/1000))*2)+(MID(KitchenDoorMaterial,FIND(""("",KitchenDoorMaterial)+1,2)/1000)*((((B156-76)+(C156-38))/1000)*2)+(((B156/1000)*0.032)*2)+((((B156-76)/1000)*0.032)*2)+(((B156/1000)*0.019)*4)+(((C156/1000)*0."&amp;"032)*2)+((((C156-38)/1000)*0.032)*2)+(((C156/1000)*0.038)*4),IF(AND(ISERROR(FIND(""drawer front"",A156))=FALSE,LEFT(KitchenDoorStyle,14)=""In-frame panel""),((((B156-76)/1000)*((C156-38)/1000))*2)+((MID(KitchenDoorMaterial,FIND(""("",KitchenDoorMaterial)+"&amp;"1,2)/1000)*((((B156-76)+(C156-38))/1000)*2))+((((B156-236)/1000)+((C156-198)/1000)*2)*0.013)+(((B156/1000)*0.032)*2)+((((B156-76)/1000)*0.032)*2)+(((B156/1000)*0.019)*4)+(((C156/1000)*0.032)*2)+((((C156-38)/1000)*0.032)*2)+(((C156/1000)*0.038)*4),IF(ISERR"&amp;"OR(FIND(""drawer box"",A156))=FALSE,((((B156/1000)*(D156/1000))+((B156/1000)*(C156/1000)))*4)+((((D156/1000)+(C156/1000))*0.016)*4)+(((C156/1000)*(D156/1000))*2),IF(OR(ISERROR(FIND(""shelf"",A156))=FALSE,ISERROR(FIND(""spacer"",A156))=FALSE,,ISERROR(FIND("&amp;"""filler panel"",A156))=FALSE),(((C156/1000)*(D156/1000))*2)+((((C156+D156)*2)/1000)*0.022),IF(ISERROR(FIND(""lost corner"",A156))=FALSE,(((B156/1000)*(C156/1000))*2)+((B156/1000)*(C156/1000))+((B156/1000)*((C156/2)/1000))+((((B156/1000)*0.025)+((C156/100"&amp;"0)*0.025))*2),IF(ISERROR(FIND(""carcass"",A156))=FALSE,(((C156/1000)*(D156/1000))*2)+(((B156/1000)*(D156/1000))*2)+((B156/1000)*(C156/1000))+((((B156/1000)*0.025)+((C156/1000)*0.025))*2),IF(AND(ISERROR(FIND(""door"",A156))=FALSE,KitchenDoorStyle=""Flat"")"&amp;",(((B156/1000)*(C156/1000))*2)+(MID(KitchenDoorMaterial,FIND(""("",KitchenDoorMaterial)+1,2)/1000)*(((B156+C156)/1000)*2),IF(AND(ISERROR(FIND(""door"",A156))=FALSE,LEFT(KitchenDoorStyle,5)=""Panel""),(((B156/1000)*(C156/1000))*2)+((MID(KitchenDoorMaterial"&amp;",FIND(""("",KitchenDoorMaterial)+1,2)/1000)*(((B156+C156)/1000)*2))+(((((B156-160)+(C156-160))*2)/1000)*(0.013)),IF(AND(ISERROR(FIND(""door"",A156))=FALSE,KitchenDoorStyle=""In-frame flat""),((((B156-76)/1000)*((C156-38)/1000))*2)+(MID(KitchenDoorMaterial"&amp;",FIND(""("",KitchenDoorMaterial)+1,2)/1000)*((((B156-76)+(C156-38))/1000)*2)+(((B156/1000)*0.032)*2)+((((B156-76)/1000)*0.032)*2)+(((B156/1000)*0.019)*4)+(((C156/1000)*0.032)*2)+((((C156-38)/1000)*0.032)*2)+(((C156/1000)*0.038)*4),IF(AND(ISERROR(FIND(""do"&amp;"or"",A156))=FALSE,LEFT(KitchenDoorStyle,14)=""In-frame panel""),((((B156-76)/1000)*((C156-38)/1000))*2)+((MID(KitchenDoorMaterial,FIND(""("",KitchenDoorMaterial)+1,2)/1000)*((((B156-76)+(C156-38))/1000)*2))+((((B156-236)/1000)+((C156-198)/1000)*2)*0.013)+"&amp;"(((B156/1000)*0.032)*2)+((((B156-76)/1000)*0.032)*2)+(((B156/1000)*0.019)*4)+(((C156/1000)*0.032)*2)+((((C156-38)/1000)*0.032)*2)+(((C156/1000)*0.038)*4),IF(ISERROR(FIND(""Plinth"",A156))=FALSE,((B156/1000)*(C156/1000))+(((C156/1000)*0.018)*2)+(((B156/100"&amp;"0)*0.018)*2),IF(ISERROR(FIND(""Cornice"",A156))=FALSE,(((C156/1000)*0.1)*2)+(((C156/1000)*0.044)*2)+(((B156/1000)*0.08)*2),IF(ISERROR(FIND(""Base end panel"",A156))=FALSE,((B156/1000)*(C156/1000))+(0.022*((B156/1000)+((C156/1000)*2)))+((B156/1000)*0.05),I"&amp;"F(ISERROR(FIND(""Wall end panel"",A156))=FALSE,((B156/1000)*(C156/1000))+(0.022*((B156/1000)+((C156/1000)*2)))+((B156/1000)*0.05),IF(ISERROR(FIND(""Tower end panel"",A156))=FALSE,((B156/1000)*(C156/1000))+(0.022*((B156/1000)+((C156/1000)*2)))+((B156/1000)"&amp;"*0.05),IF(ISERROR(FIND(""Fillers"",A156))=FALSE,((C156/1000)*0.06)+((C156/1000)*0.069)+((0.06*0.018)*2)+((0.06*0.009)*2)+((C156/1000)*0.009)+((C156/1000)*0.018),IF(ISERROR(FIND(""corner post"",A156))=FALSE,(((B156/1000*0.05)*2)+((B156/1000)*0.022)*2)+((B1"&amp;"56/1000)*0.072)+((B156/1000)*0.05)+((0.072*0.022)*2)+((0.05*0.022)*2),IF(ISERROR(FIND(""Pelmet"",A156))=FALSE,((C156/1000)*0.05)+((C156/1000)*0.068)+((0.05*0.018)*4)+(((C156/1000)*0.018))*2))))))))))))))))))))))))))))"),"")</f>
        <v/>
      </c>
      <c r="N156" s="152" t="str">
        <f>IF(M156="","",IF(AND(ISERROR(FIND("carcass",A156))=TRUE,ISERROR(FIND("unit",A156))=TRUE,ISERROR(FIND("insert",A156))=TRUE,ISERROR(FIND("rack",A156))=TRUE,ISERROR(FIND("box",A156))=TRUE,ISERROR(FIND("shelf",#REF!))=TRUE),VLOOKUP(KitchenDoorFinish,Finishing!$A$2:$K$10,9,0)*M156,VLOOKUP(KitchenCarcassFinish,Finishing!$A$2:$K$40,9,0)*M156))</f>
        <v/>
      </c>
      <c r="O156" s="155"/>
      <c r="P156" s="155"/>
      <c r="Q156" s="152" t="str">
        <f>IF(OR(O156="",P156=""),"",((O156*X156)*(VLOOKUP("Workshop",Labour!$A$3:$E$20,4,0)/8))+((P156*AE156)*(VLOOKUP("Finishing",Labour!$A$3:$E$20,4,0)/8)))</f>
        <v/>
      </c>
      <c r="R156" s="152" t="str">
        <f t="shared" si="4"/>
        <v/>
      </c>
      <c r="S156" s="156" t="str">
        <f>IF(OR(O156="",P156=""),"",IF(OR(ISERROR(FIND("carcass",$A156))=FALSE,ISERROR(FIND("unit",$A156))=FALSE),VLOOKUP(KitchenCarcassMaterial,FixedListsCarcassMaterial,2,0),0))</f>
        <v/>
      </c>
      <c r="T156" s="156" t="str">
        <f>IF(OR(O156="",P156=""),"",IF(ISERROR(FIND("door",$A156))=FALSE,VLOOKUP(KitchenDoorStyle,FixedListsDoorStyle,2,0),0))</f>
        <v/>
      </c>
      <c r="U156" s="156" t="str">
        <f>IF(OR(O156="",P156=""),"",IF(ISERROR(FIND("door",$A156))=FALSE,VLOOKUP(KitchenDoorMaterial,FixedListsDoorMaterial,2,0),0))</f>
        <v/>
      </c>
      <c r="V156" s="156" t="str">
        <f>IF(OR(O156="",P156=""),"",IF(ISERROR(FIND("drawer",$A156))=FALSE,VLOOKUP(KitchenDrawerType,FixedListsDrawerType,2,0),0))</f>
        <v/>
      </c>
      <c r="W156" s="156" t="str">
        <f>IF(OR(O156="",P156=""),"",IF(OR(S156&gt;0, T156&gt;0,V156&gt;0),VLOOKUP(KitchenHandleType,FixedListsHandleType,2,FALSE)*IF(KitchenHandleType="Simple",0,IF(S156&gt;0,VLOOKUP(KitchenHandleType,FixedListsHandleType,4,FALSE),IF(OR(T156&gt;0,V156&gt;0),1-VLOOKUP(KitchenHandleType,FixedListsHandleType,4,FALSE),"Error"))),0))</f>
        <v/>
      </c>
      <c r="X156" s="156" t="str">
        <f t="shared" si="5"/>
        <v/>
      </c>
      <c r="Y156" s="156" t="str">
        <f>IF(OR(O156="",P156=""),"",IF(OR(ISERROR(FIND("carcass",$A156))=FALSE,ISERROR(FIND("unit",$A156))=FALSE),VLOOKUP(KitchenCarcassMaterial,FixedListsCarcassMaterial,3,0),0))</f>
        <v/>
      </c>
      <c r="Z156" s="156" t="str">
        <f>IF(OR(O156="",P156=""),"",IF(ISERROR(FIND("door",$A156))=FALSE,VLOOKUP(KitchenDoorStyle,FixedListsDoorStyle,3,0),0))</f>
        <v/>
      </c>
      <c r="AA156" s="156" t="str">
        <f>IF(OR(O156="",P156=""),"",IF(ISERROR(FIND("door",$A156))=FALSE,VLOOKUP(KitchenDoorMaterial,FixedListsDoorMaterial,3,0),0))</f>
        <v/>
      </c>
      <c r="AB156" s="156" t="str">
        <f>IF(OR(O156="",P156=""),"",IF(ISERROR(FIND("drawer",$A156))=FALSE,VLOOKUP(KitchenDrawerType,FixedListsDrawerType,3,0),0))</f>
        <v/>
      </c>
      <c r="AC156" s="156" t="str">
        <f>IF(OR(O156="",P156=""),"",IF(OR(Y156&gt;0,Z156&gt;0,AB156&gt;0),VLOOKUP(KitchenHandleType,FixedListsHandleType,3,FALSE),0))</f>
        <v/>
      </c>
      <c r="AD156" s="156" t="str">
        <f>IF(OR(O156="",P156=""),"",IF(OR(ISERROR(FIND("carcass",$A156))=FALSE,ISERROR(FIND("unit",$A156))=FALSE),VLOOKUP(KitchenCarcassFinish,FixedListsFinishes,3,0),IF(OR(ISERROR(FIND("door",$A156))=FALSE,ISERROR(FIND("Plinth",$A156))=FALSE,ISERROR(FIND("Cornice",$A156))=FALSE,ISERROR(FIND("Fillers",$A156))=FALSE,ISERROR(FIND("Pelmet",$A156))=FALSE,ISERROR(FIND("panel",$A156))=FALSE,ISERROR(FIND("post",$A156))=FALSE),VLOOKUP(KitchenDoorFinish,FixedListsFinishes,3,0),IF(OR(ISERROR(FIND("drawer",$A156))=FALSE,ISERROR(FIND("insert",$A156))=FALSE,ISERROR(FIND("rck",$A156))=FALSE),VLOOKUP(KitchenCarcassFinish,FixedListsFinishes,3,0),0))))</f>
        <v/>
      </c>
      <c r="AE156" s="156" t="str">
        <f t="shared" si="6"/>
        <v/>
      </c>
      <c r="AF156" s="157" t="str">
        <f>IF(AND(KitchenHandleType="Channel",OR(ISERROR(FIND("arcass",$A156))=FALSE,ISERROR(FIND("unit",$A156))=FALSE)),IF(ISERROR(FIND("Tower",$A156))=TRUE,IF(KitchenHandleFinish="Match carcass",IF(ISERROR(FIND("Walnut",KitchenCarcassMaterial))=FALSE,(0.035*0.075*($C156/1000))*VLOOKUP("Walnut (solid m3)",SolidData,4,FALSE),IF(ISERROR(FIND("Oak",KitchenCarcassMaterial))=FALSE,(0.035*0.075*($C156/1000))*VLOOKUP("Oak (solid m3)",SolidData,4,FALSE),IF(ISERROR(FIND("ply",KitchenCarcassMaterial))=FALSE,(0.1*($C156/1000))*VLOOKUP("Birch ply (24mm)",SheetsData,7,FALSE),IF(ISERROR(FIND("H/F",KitchenCarcassMaterial))=FALSE,(0.1*($C156/1000))*VLOOKUP("H/F (22mm)",SheetsData,7,FALSE),"Carcass - not tower - new material")))),IF(KitchenHandleFinish="Match door",IF(ISERROR(FIND("Walnut",KitchenDoorMaterial))=FALSE,(0.035*0.075*($C156/1000))*VLOOKUP("Walnut (solid m3)",SolidData,4,FALSE),IF(ISERROR(FIND("Oak",KitchenDoorMaterial))=FALSE,(0.035*0.075*($C156/1000))*VLOOKUP("Oak (solid m3)",SolidData,4,FALSE),IF(ISERROR(FIND("ply",KitchenDoorMaterial))=FALSE,(0.1*($C156/1000))*VLOOKUP("Birch ply (24mm)",SheetsData,7,FALSE),IF(ISERROR(FIND("H/F",KitchenCarcassMaterial))=FALSE,(0.1*($C156/1000))*VLOOKUP("H/F (22mm)",SheetsData,7,FALSE),"Door - not tower - new material")))),"Channel - not tower - handle set to other")),IF(ISERROR(FIND("Tower",$A156))=FALSE,IF(KitchenHandleFinish="Match carcass",IF(ISERROR(FIND("Walnut",KitchenCarcassMaterial))=FALSE,(0.035*0.075*($B156/1000))*VLOOKUP("Walnut (solid m3)",SolidData,4,FALSE),IF(ISERROR(FIND("Oak",KitchenCarcassMaterial))=FALSE,(0.035*0.075*($B156/1000))*VLOOKUP("Oak (solid m3)",SolidData,4,FALSE),IF(ISERROR(FIND("ply",KitchenCarcassMaterial))=FALSE,(0.1*($B156/1000))*VLOOKUP("Birch ply (24mm)",SheetsData,7,FALSE),IF(ISERROR(FIND("H/F",KitchenCarcassMaterial))=FALSE,(0.1*($C156/1000))*VLOOKUP("H/F (22mm)",SheetsData,7,FALSE),"Carcass - tower - new material")))),IF(KitchenHandleFinish="Match door",IF(ISERROR(FIND("Walnut",KitchenDoorMaterial))=FALSE,(0.035*0.075*($B156/1000))*VLOOKUP("Walnut (solid m3)",SolidData,4,FALSE),IF(ISERROR(FIND("Oak",KitchenDoorMaterial))=FALSE,(0.035*0.075*($B156/1000))*VLOOKUP("Oak (solid m3)",SolidData,4,FALSE),IF(ISERROR(FIND("ply",KitchenDoorMaterial))=FALSE,(0.1*($B156/1000))*VLOOKUP("Birch ply (24mm)",SheetData,7,FALSE),IF(ISERROR(FIND("H/F",KitchenCarcassMaterial))=FALSE,(0.1*($C156/1000))*VLOOKUP("H/F (22mm)",SheetsData,7,FALSE),"Door - tower - new material")))),"Channel - tower - handle set to other")))),"")</f>
        <v/>
      </c>
    </row>
    <row r="157">
      <c r="A157" s="150"/>
      <c r="B157" s="115" t="str">
        <f t="shared" si="1"/>
        <v/>
      </c>
      <c r="C157" s="115" t="str">
        <f>IFERROR(__xludf.DUMMYFUNCTION("IF(A157="""","""",IF(OR(RIGHT(A157,LEN(A157)-len(regexextract(A157,"".* "")))=""1200"",RIGHT(A157,LEN(A157)-len(regexextract(A157,"".* "")))=""600"",RIGHT(A157,LEN(A157)-len(regexextract(A157,"".* "")))=""400"",RIGHT(A157,LEN(A157)-len(regexextract(A157,"&amp;""".* "")))=""300"",RIGHT(A157,LEN(A157)-len(regexextract(A157,"".* "")))=""700"",RIGHT(A157,LEN(A157)-len(regexextract(A157,"".* "")))=""2400"",RIGHT(A157,LEN(A157)-len(regexextract(A157,"".* "")))=""650"",RIGHT(A157,LEN(A157)-len(regexextract(A157,"".* "&amp;""")))=""350"",RIGHT(A157,LEN(A157)-len(regexextract(A157,"".* "")))=""50""),RIGHT(A157,LEN(A157)-len(regexextract(A157,"".* ""))),IF(OR(ISERROR(FIND(""spacer"",A157))=FALSE,ISERROR(FIND(""filler panel"",A157))=FALSE),""1000"",""Unexpected size in descript"&amp;"ion"")))"),"")</f>
        <v/>
      </c>
      <c r="D157" s="151" t="str">
        <f t="shared" si="2"/>
        <v/>
      </c>
      <c r="E157" s="152" t="str">
        <f>IFERROR(__xludf.DUMMYFUNCTION("IF(OR(A157="""",AND(ISERROR(FIND(""drawer box"",A157))=FALSE,KitchenDrawerType="""")),"""",IF(OR(ISERROR(FIND(""larder"",A157))=FALSE,ISERROR(FIND(""fridge/freezer"",A157))=FALSE,ISERROR(FIND(""double oven"",A157))=FALSE,ISERROR(FIND(""single oven"",A157)"&amp;")=FALSE),VLOOKUP(LEFT(A157,FIND("" "",A157))&amp;""carcass ""&amp;RIGHT(A157,LEN(A157)-(LEN(A157)-3)),KitchensData,5,0),IF(ISERROR(FIND(""sink"",A157))=FALSE,VLOOKUP(LEFT(A157,FIND("" "",A157))&amp;""carcass ""&amp;VALUE(REGEXREPLACE(A157,""[^[:digit:]]"", """")),Kitchen"&amp;"sData,5,0)+(((C157/1000)*(300/1000))*VLOOKUP(KitchenCarcassMaterial,SheetsData,8,0)),IF(ISERROR(FIND(""bins"",A157))=FALSE,IF(ISERROR(FIND(""veneer"",KitchenCarcassMaterial))=FALSE,VLOOKUP(""Base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600"",A157))=FALSE,IF(ISERR"&amp;"OR(FIND(""veneer"",KitchenCarcassMaterial))=FALSE,0.54*(VLOOKUP(LEFT(KitchenCarcassMaterial,FIND(""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1"&amp;"200"",A157))=FALSE,IF(ISERROR(FIND(""veneer"",KitchenCarcassMaterial))=FALSE,0.84*(VLOOKUP(LEFT(KitchenCarcassMaterial,FIND(""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600"",A157))=FALSE,IF(ISERROR(FIND(""veneer"",KitchenCarcassMaterial))=FALSE,1.44*(VLOOKUP(LEFT(KitchenCarcassMaterial,FIND(""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1200"",A157))=FALSE,IF(ISERROR(FIND(""veneer"",KitchenCarcassMaterial))=FALSE,2.7*(VLOOKUP(LEFT(KitchenCarcassMaterial,FIND(""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front"",A157))=FALSE,((B157/1000)*(C157/1000))*VLOOKUP(KitchenDoorMaterial,SheetsData,8,0),IF(AND(KitchenDrawerType=""Match carcass"",ISERROR(FIND(""drawer box"",A157))=FALSE),(((((B157/10"&amp;"00)*(C157/1000))+((B157/1000)*(D157/1000)))*2)*VLOOKUP(KitchenCarcassMaterial,SheetsData,8,0))+(((C157/1000)*(D157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box"",A157))=FALSE),(((((B157/1000)*(C157/1000))+((B157/1000)*(D157/1000)))*2)*(16/1000)*VLOOKUP(L"&amp;"EFT(KitchenCarcassMaterial,FIND("" "",KitchenCarcassMaterial))&amp;""(solid m3)"",SolidData,5,0))+(((C157/1000)*(D157/1000))*VLOOKUP(LEFT(KitchenCarcassMaterial,FIND(""("",KitchenCarcassMaterial)-1)&amp;IF(OR(ISERROR(FIND(""ply"",KitchenCarcassMaterial))=FALSE,IS"&amp;"ERROR(FIND(""H/F"",KitchenCarcassMaterial))=FALSE),""(9mm)"",""(10mm)""),SheetsData,8,0)),IF(ISERROR(FIND(""spacer"",A157))=FALSE,((D157/1000)*(C157/1000))*VLOOKUP(""Poplar ply (18mm)"",SheetsData,8,0),IF(ISERROR(FIND(""filler panel"",A157))=FALSE,((B157/"&amp;"1000)*(C157/1000))*VLOOKUP(KitchenDoorMaterial,SheetsData,8,0),IF(ISERROR(FIND(""shelf"",A157))=FALSE,((D157/1000)*(C157/1000))*VLOOKUP(KitchenCarcassMaterial,SheetsData,8,0),IF(ISERROR(FIND(""lost corner"",A157))=FALSE,VLOOKUP(LEFT(A157,FIND("" "",A157))"&amp;"&amp;""carcass ""&amp;VALUE(REGEXREPLACE(A157,""[^[:digit:]]"", """")),KitchensData,5,0)+((((B157/1000)*(C157/1000))+((B157/1000)*(60/1000)))*VLOOKUP(KitchenCarcassMaterial,SheetsData,8,0)),IF(ISERROR(FIND(""carcass"",A157))=FALSE,(((((B157/1000)*2)*(D157/1000))+"&amp;"(((C157/1000)*2)*(D157/1000)))*VLOOKUP(KitchenCarcassMaterial,SheetsData,8,0))+((B157/1000)*(C157/1000))*VLOOKUP(LEFT(KitchenCarcassMaterial,FIND(""("",KitchenCarcassMaterial)-1)&amp;IF(OR(ISERROR(FIND(""ply"",KitchenCarcassMaterial))=FALSE,ISERROR(FIND(""H/F"&amp;""",KitchenCarcassMaterial))=FALSE),""(9mm)"",""(10mm)""),SheetsData,8,0),IF(OR(ISERROR(FIND(""Plinth"",A157))=FALSE,ISERROR(FIND(""Cornice (flat)"",A157))=FALSE),((B157/1000)*(C157/1000))*VLOOKUP(""H/F (18mm)"",SheetsData,8,0),IF(ISERROR(FIND(""Cornice (s"&amp;"tacked)"",A157))=FALSE,((0.08*(C157/1000))*2)*VLOOKUP(""H/F (22mm)"",SheetsData,8,0),IF(ISERROR(FIND(""Base end panel"",A157))=FALSE,VLOOKUP(KitchenDoorMaterial,SheetsData,5,0)/3,IF(ISERROR(FIND(""Wall end panel"",A157))=FALSE,VLOOKUP(KitchenDoorMaterial,"&amp;"SheetsData,5,0)/9,IF(ISERROR(FIND(""Tower end panel"",A157))=FALSE,VLOOKUP(KitchenDoorMaterial,SheetsData,5,0),IF(ISERROR(FIND(""Fillers"",A157))=FALSE,(((0.06*(C157/1000))*2)*VLOOKUP(""H/F (18mm)"",SheetsData,8,0))+(((0.06*(C157/1000))*2)*VLOOKUP(""H/F ("&amp;"9mm)"",SheetsData,8,0)),IF(ISERROR(FIND(""corner post"",A157))=FALSE,(((B157/1000)*0.05)*2)*VLOOKUP(KitchenDoorMaterial,SheetsData,8,0),IF(ISERROR(FIND(""Pelmet"",A157))=FALSE,((((B157/1000)*(C157/1000))*2)*VLOOKUP(""H/F (18mm)"",SheetsData,8,0)),IF(ISERR"&amp;"OR(FIND(""door"",A157))=TRUE,""Check description"",IF(KitchenDoorStyle=""Flat"",((B157/1000)*(C157/1000))*VLOOKUP(KitchenDoorMaterial,SheetsData,8,0),IF(LEFT(KitchenDoorStyle,5)=""Panel"",(((((B157/1000)*2)*0.08)+((((C157/1000)-0.16)*2)*0.08))*VLOOKUP(""H"&amp;"/F (22mm)"",SheetsData,8,0))+(((B157/1000)-0.14)*((C157/1000)-0.14)*VLOOKUP(""H/F (9mm)"",SheetsData,8,0)),IF(KitchenDoorStyle=""In-frame flat"",((((((B157/1000)*0.019)*0.038)+((((C157-38)/1000)*0.038)*0.038))*2)*VLOOKUP(""Tulip (solid m3)"",SolidData,5,0"&amp;"))+(((B157-76)/1000)*((C157-38)/1000))*VLOOKUP(""H/F (22mm)"",SheetsData,8,0),IF(LEFT(KitchenDoorStyle,14)=""In-frame panel"",(((((((B157/1000)*0.019)*0.038)+((((C157-38)/1000)*0.038)*0.038))*2)*VLOOKUP(""Tulip (solid m3)"",SolidData,5,0))+(((((((B157-76)"&amp;"/1000)*2)*0.08)+(((((C157-198)/1000)*2)*0.08)))*VLOOKUP(""H/F (22mm)"",SheetsData,8,0))+(((B157-216)/1000)*((C157-178)/1000)*VLOOKUP(""H/F (9mm)"",SheetsData,8,0)))))))))))))))))))))))))))))))))"),"")</f>
        <v/>
      </c>
      <c r="F157" s="152" t="str">
        <f>IFERROR(__xludf.DUMMYFUNCTION("IF(OR(A157="""",AND(ISERROR(FIND(""drawer box"",A157))=FALSE,KitchenDrawerType=""Solid dovetail"")),"""",IF(ISERROR(FIND(""bins"",A157))=FALSE,VLOOKUP(""Base carcass 600"",KitchensData,6,0),IF(OR(ISERROR(FIND(""larder"",A157))=FALSE,ISERROR(FIND(""unit"","&amp;"A157))=FALSE),VLOOKUP(LEFT(A157,FIND("" "",A157))&amp;""carcass ""&amp;RIGHT(A157,LEN(A157)-len(regexextract(A157,"".* ""))),KitchensData,6,0),IF(ISERROR(FIND(""drawer front"",A157))=FALSE,IF(ISERROR(FIND(""veneer"",KitchenCarcassMaterial))=TRUE,0,(((B157+C157)/1"&amp;"000)*2)*VLOOKUP(""Edge banding (per M)"",SheetsData,5,0)),IF(ISERROR(FIND(""drawer box"",A157))=FALSE,IF(ISERROR(FIND(""veneer"",KitchenCarcassMaterial))=TRUE,0,(((C157+D157)/1000)*2)*VLOOKUP(""Edge banding (per M)"",SheetsData,5,0)),IF(ISERROR(FIND(""she"&amp;"lf"",A157))=FALSE,IF(ISERROR(FIND(""veneer"",KitchenCarcassMaterial))=TRUE,0,(C157/1000)*VLOOKUP(""Edge banding (per M)"",SheetsData,5,0)),IF(AND(ISERROR(FIND(""carcass"",A157))=FALSE,ISERROR(FIND(""shelf"",A157))=TRUE),IF(ISERROR(FIND(""veneer"",KitchenC"&amp;"arcassMaterial))=TRUE,0,((2*(B157+C157))/1000)*VLOOKUP(""Edge banding (per M)"",SheetsData,5,0)),IF(ISERROR(FIND(""door"",A157))=TRUE,"""",IF(ISERROR(FIND(""veneer"",KitchenDoorMaterial))=TRUE,"""",((2*(B157+C157))/1000)*VLOOKUP(""Edge banding (per M)"",S"&amp;"heetsData,5,0))))))))))"),"")</f>
        <v/>
      </c>
      <c r="G157" s="153" t="str">
        <f>IF(A157="","",IF(ISERROR(FIND("bins",A157))=FALSE,VLOOKUP("Base carcass 600",KitchensData,7,0),IF(OR(ISERROR(FIND("larder",A157))=FALSE,ISERROR(FIND("fridge/freezer",A157))=FALSE,ISERROR(FIND("double oven",A157))=FALSE,ISERROR(FIND("single oven",A157))=FALSE),VLOOKUP(LEFT(A157,FIND(" ",A157))&amp;"carcass "&amp;RIGHT(A157,LEN(A157)-(LEN(A157)-3)),KitchensData,7,0),IF(AND(ISERROR(FIND("carcass",A157))=FALSE,ISERROR(FIND("shelf",A157))=TRUE),IF(OR(ISERROR(FIND("Base",A157))=FALSE,ISERROR(FIND("Tower",A157))=FALSE),IF(OR(ISERROR(FIND("1200",A157))=FALSE, ISERROR(FIND("lost corner",A157))=FALSE),6*VLOOKUP("Plinth foot (2 Parts 80mm)",FurnitureData,5,0),4*VLOOKUP("Plinth foot (2 Parts 80mm)",FurnitureData,5,0)),""),""))))</f>
        <v/>
      </c>
      <c r="H157" s="115" t="str">
        <f>IF(OR(A157="",ISERROR(FIND("door",A157))=TRUE),"",IF(ISERROR(FIND("Wall",A157))=FALSE,VLOOKUP("Hinges &amp; plates (Hettich thick door)",FurnitureData,5,0)*2,IF(ISERROR(FIND("Base",A157))=FALSE,VLOOKUP("Hinges &amp; plates (Hettich thick door)",FurnitureData,5,0)*3,IF(ISERROR(FIND("Boiler",A157))=FALSE,VLOOKUP("Hinges &amp; plates (Hettich thick door)",FurnitureData,5,0)*4,IF(ISERROR(FIND("Tower",A157))=FALSE,VLOOKUP("Hinges &amp; plates (Hettich thick door)",FurnitureData,5,0)*5)))))</f>
        <v/>
      </c>
      <c r="I157" s="115" t="str">
        <f>IF(ISERROR(FIND("shelf",A157))=FALSE,(VLOOKUP("Shelf pegs",FurnitureData,5,0)/100)*4,"")</f>
        <v/>
      </c>
      <c r="J157" s="152" t="str">
        <f>IF(OR(ISERROR(FIND("fridge/freezer",A157))=FALSE,ISERROR(FIND("larder",A157))=FALSE,AND(ISERROR(FIND("Base",A157))=FALSE,ISERROR(FIND("bins",A157))=TRUE,ISERROR(FIND("no shelves",A157))=TRUE,OR(ISERROR(FIND("carcass",A157))=FALSE,ISERROR(FIND("unit",A157))=FALSE))),VLOOKUP("Deep shelf "&amp;C157,KitchensData,18,0),IF(AND(ISERROR(FIND("Wall",A157))=FALSE,ISERROR(FIND("carcass",A157))=FALSE),2*VLOOKUP("Shallow shelf "&amp;C157,KitchensData,18,0),IF(AND(ISERROR(FIND("Tower",A157))=FALSE,ISERROR(FIND("oven",A157))=FALSE),4*VLOOKUP("Deep shelf "&amp;C157,KitchensData,18,0),IF(AND(ISERROR(FIND("Tower",A157))=FALSE,ISERROR(FIND("carcass",A157))=FALSE),5*VLOOKUP("Deep shelf "&amp;C157,KitchensData,18,0),""))))</f>
        <v/>
      </c>
      <c r="K157" s="152" t="str">
        <f>IF(ISERROR(FIND("sink",A157))=FALSE,VLOOKUP("Sink liner - Aluminium "&amp;RIGHT(A157,LEN(A157)-22)&amp;"mm",ExceptionalData,5,0),IF(ISERROR(FIND("bins",A157))=FALSE,VLOOKUP("Drawer runners and clip set for bin unit (500) Dynapro",FurnitureData,5,0)+(2*VLOOKUP("Bin (42L Anthracite)",FurnitureData,5,0)),IF(ISERROR(FIND("larder",A157))=FALSE,VLOOKUP("Pull out larder unit 600mm",FurnitureData,5,0),IF(AND(ISERROR(FIND("drawer box",A157))=FALSE,ISERROR(FIND("internal",A157))=TRUE),VLOOKUP("Drawer runners and clip set (550) Dynapro",FurnitureData,5,0),IF(ISERROR(FIND("internal drawer box",A157))=FALSE,VLOOKUP("Drawer runners and clip set (450) Dynapro",FurnitureData,5,0),"")))))</f>
        <v/>
      </c>
      <c r="L157" s="152" t="str">
        <f t="shared" si="3"/>
        <v/>
      </c>
      <c r="M157" s="154" t="str">
        <f>IFERROR(__xludf.DUMMYFUNCTION("IF(A157="""","""",IF(OR(ISERROR(FIND(""larder"",A157))=FALSE,ISERROR(FIND(""unit"",A157))=FALSE),VLOOKUP(LEFT(A157,FIND("" "",A157))&amp;""carcass ""&amp;RIGHT(A157,LEN(A157)-len(regexextract(A157,"".* ""))),KitchensData,13,0),IF(ISERROR(FIND(""bins"",A157))=FALS"&amp;"E,0.95,IF(ISERROR(FIND(""Cutlery insert 600"",A157))=FALSE,1.3,IF(ISERROR(FIND(""Cutlery insert 1200"",A157))=FALSE,2,IF(ISERROR(FIND(""Pan/tray rack 600"",A157))=FALSE,3.25,IF(ISERROR(FIND(""Pan/tray rack 1200"",A157))=FALSE,5.9,IF(ISERROR(FIND(""split"""&amp;",A157))=FALSE,(((C157/1000)*0.022)*2)+VLOOKUP(SUBSTITUTE(A157,"" split"",""""),KitchensData,13,0),IF(AND(ISERROR(FIND(""drawer front"",A157))=FALSE,KitchenDoorStyle=""Flat""),(((B157/1000)*(C157/1000))*2)+((((B157+C157)/1000)*2)*0.022),IF(AND(ISERROR(FIND"&amp;"(""drawer front"",A157))=FALSE,LEFT(KitchenDoorStyle,5)=""Panel""),(((B157/1000)*(C157/1000))*2)+((((B157+C157)/1000)*2)*0.022)+((((C157/1000)-0.16)*0.013)*2)+((((D157/1000)-0.16)*0.013)*2),IF(AND(ISERROR(FIND(""drawer front"",A157))=FALSE,KitchenDoorStyl"&amp;"e=""In-frame flat""),((((B157-76)/1000)*((C157-38)/1000))*2)+(MID(KitchenDoorMaterial,FIND(""("",KitchenDoorMaterial)+1,2)/1000)*((((B157-76)+(C157-38))/1000)*2)+(((B157/1000)*0.032)*2)+((((B157-76)/1000)*0.032)*2)+(((B157/1000)*0.019)*4)+(((C157/1000)*0."&amp;"032)*2)+((((C157-38)/1000)*0.032)*2)+(((C157/1000)*0.038)*4),IF(AND(ISERROR(FIND(""drawer front"",A157))=FALSE,LEFT(KitchenDoorStyle,14)=""In-frame panel""),((((B157-76)/1000)*((C157-38)/1000))*2)+((MID(KitchenDoorMaterial,FIND(""("",KitchenDoorMaterial)+"&amp;"1,2)/1000)*((((B157-76)+(C157-38))/1000)*2))+((((B157-236)/1000)+((C157-198)/1000)*2)*0.013)+(((B157/1000)*0.032)*2)+((((B157-76)/1000)*0.032)*2)+(((B157/1000)*0.019)*4)+(((C157/1000)*0.032)*2)+((((C157-38)/1000)*0.032)*2)+(((C157/1000)*0.038)*4),IF(ISERR"&amp;"OR(FIND(""drawer box"",A157))=FALSE,((((B157/1000)*(D157/1000))+((B157/1000)*(C157/1000)))*4)+((((D157/1000)+(C157/1000))*0.016)*4)+(((C157/1000)*(D157/1000))*2),IF(OR(ISERROR(FIND(""shelf"",A157))=FALSE,ISERROR(FIND(""spacer"",A157))=FALSE,,ISERROR(FIND("&amp;"""filler panel"",A157))=FALSE),(((C157/1000)*(D157/1000))*2)+((((C157+D157)*2)/1000)*0.022),IF(ISERROR(FIND(""lost corner"",A157))=FALSE,(((B157/1000)*(C157/1000))*2)+((B157/1000)*(C157/1000))+((B157/1000)*((C157/2)/1000))+((((B157/1000)*0.025)+((C157/100"&amp;"0)*0.025))*2),IF(ISERROR(FIND(""carcass"",A157))=FALSE,(((C157/1000)*(D157/1000))*2)+(((B157/1000)*(D157/1000))*2)+((B157/1000)*(C157/1000))+((((B157/1000)*0.025)+((C157/1000)*0.025))*2),IF(AND(ISERROR(FIND(""door"",A157))=FALSE,KitchenDoorStyle=""Flat"")"&amp;",(((B157/1000)*(C157/1000))*2)+(MID(KitchenDoorMaterial,FIND(""("",KitchenDoorMaterial)+1,2)/1000)*(((B157+C157)/1000)*2),IF(AND(ISERROR(FIND(""door"",A157))=FALSE,LEFT(KitchenDoorStyle,5)=""Panel""),(((B157/1000)*(C157/1000))*2)+((MID(KitchenDoorMaterial"&amp;",FIND(""("",KitchenDoorMaterial)+1,2)/1000)*(((B157+C157)/1000)*2))+(((((B157-160)+(C157-160))*2)/1000)*(0.013)),IF(AND(ISERROR(FIND(""door"",A157))=FALSE,KitchenDoorStyle=""In-frame flat""),((((B157-76)/1000)*((C157-38)/1000))*2)+(MID(KitchenDoorMaterial"&amp;",FIND(""("",KitchenDoorMaterial)+1,2)/1000)*((((B157-76)+(C157-38))/1000)*2)+(((B157/1000)*0.032)*2)+((((B157-76)/1000)*0.032)*2)+(((B157/1000)*0.019)*4)+(((C157/1000)*0.032)*2)+((((C157-38)/1000)*0.032)*2)+(((C157/1000)*0.038)*4),IF(AND(ISERROR(FIND(""do"&amp;"or"",A157))=FALSE,LEFT(KitchenDoorStyle,14)=""In-frame panel""),((((B157-76)/1000)*((C157-38)/1000))*2)+((MID(KitchenDoorMaterial,FIND(""("",KitchenDoorMaterial)+1,2)/1000)*((((B157-76)+(C157-38))/1000)*2))+((((B157-236)/1000)+((C157-198)/1000)*2)*0.013)+"&amp;"(((B157/1000)*0.032)*2)+((((B157-76)/1000)*0.032)*2)+(((B157/1000)*0.019)*4)+(((C157/1000)*0.032)*2)+((((C157-38)/1000)*0.032)*2)+(((C157/1000)*0.038)*4),IF(ISERROR(FIND(""Plinth"",A157))=FALSE,((B157/1000)*(C157/1000))+(((C157/1000)*0.018)*2)+(((B157/100"&amp;"0)*0.018)*2),IF(ISERROR(FIND(""Cornice"",A157))=FALSE,(((C157/1000)*0.1)*2)+(((C157/1000)*0.044)*2)+(((B157/1000)*0.08)*2),IF(ISERROR(FIND(""Base end panel"",A157))=FALSE,((B157/1000)*(C157/1000))+(0.022*((B157/1000)+((C157/1000)*2)))+((B157/1000)*0.05),I"&amp;"F(ISERROR(FIND(""Wall end panel"",A157))=FALSE,((B157/1000)*(C157/1000))+(0.022*((B157/1000)+((C157/1000)*2)))+((B157/1000)*0.05),IF(ISERROR(FIND(""Tower end panel"",A157))=FALSE,((B157/1000)*(C157/1000))+(0.022*((B157/1000)+((C157/1000)*2)))+((B157/1000)"&amp;"*0.05),IF(ISERROR(FIND(""Fillers"",A157))=FALSE,((C157/1000)*0.06)+((C157/1000)*0.069)+((0.06*0.018)*2)+((0.06*0.009)*2)+((C157/1000)*0.009)+((C157/1000)*0.018),IF(ISERROR(FIND(""corner post"",A157))=FALSE,(((B157/1000*0.05)*2)+((B157/1000)*0.022)*2)+((B1"&amp;"57/1000)*0.072)+((B157/1000)*0.05)+((0.072*0.022)*2)+((0.05*0.022)*2),IF(ISERROR(FIND(""Pelmet"",A157))=FALSE,((C157/1000)*0.05)+((C157/1000)*0.068)+((0.05*0.018)*4)+(((C157/1000)*0.018))*2))))))))))))))))))))))))))))"),"")</f>
        <v/>
      </c>
      <c r="N157" s="152" t="str">
        <f>IF(M157="","",IF(AND(ISERROR(FIND("carcass",A157))=TRUE,ISERROR(FIND("unit",A157))=TRUE,ISERROR(FIND("insert",A157))=TRUE,ISERROR(FIND("rack",A157))=TRUE,ISERROR(FIND("box",A157))=TRUE,ISERROR(FIND("shelf",#REF!))=TRUE),VLOOKUP(KitchenDoorFinish,Finishing!$A$2:$K$10,9,0)*M157,VLOOKUP(KitchenCarcassFinish,Finishing!$A$2:$K$40,9,0)*M157))</f>
        <v/>
      </c>
      <c r="O157" s="155"/>
      <c r="P157" s="155"/>
      <c r="Q157" s="152" t="str">
        <f>IF(OR(O157="",P157=""),"",((O157*X157)*(VLOOKUP("Workshop",Labour!$A$3:$E$20,4,0)/8))+((P157*AE157)*(VLOOKUP("Finishing",Labour!$A$3:$E$20,4,0)/8)))</f>
        <v/>
      </c>
      <c r="R157" s="152" t="str">
        <f t="shared" si="4"/>
        <v/>
      </c>
      <c r="S157" s="156" t="str">
        <f>IF(OR(O157="",P157=""),"",IF(OR(ISERROR(FIND("carcass",$A157))=FALSE,ISERROR(FIND("unit",$A157))=FALSE),VLOOKUP(KitchenCarcassMaterial,FixedListsCarcassMaterial,2,0),0))</f>
        <v/>
      </c>
      <c r="T157" s="156" t="str">
        <f>IF(OR(O157="",P157=""),"",IF(ISERROR(FIND("door",$A157))=FALSE,VLOOKUP(KitchenDoorStyle,FixedListsDoorStyle,2,0),0))</f>
        <v/>
      </c>
      <c r="U157" s="156" t="str">
        <f>IF(OR(O157="",P157=""),"",IF(ISERROR(FIND("door",$A157))=FALSE,VLOOKUP(KitchenDoorMaterial,FixedListsDoorMaterial,2,0),0))</f>
        <v/>
      </c>
      <c r="V157" s="156" t="str">
        <f>IF(OR(O157="",P157=""),"",IF(ISERROR(FIND("drawer",$A157))=FALSE,VLOOKUP(KitchenDrawerType,FixedListsDrawerType,2,0),0))</f>
        <v/>
      </c>
      <c r="W157" s="156" t="str">
        <f>IF(OR(O157="",P157=""),"",IF(OR(S157&gt;0, T157&gt;0,V157&gt;0),VLOOKUP(KitchenHandleType,FixedListsHandleType,2,FALSE)*IF(KitchenHandleType="Simple",0,IF(S157&gt;0,VLOOKUP(KitchenHandleType,FixedListsHandleType,4,FALSE),IF(OR(T157&gt;0,V157&gt;0),1-VLOOKUP(KitchenHandleType,FixedListsHandleType,4,FALSE),"Error"))),0))</f>
        <v/>
      </c>
      <c r="X157" s="156" t="str">
        <f t="shared" si="5"/>
        <v/>
      </c>
      <c r="Y157" s="156" t="str">
        <f>IF(OR(O157="",P157=""),"",IF(OR(ISERROR(FIND("carcass",$A157))=FALSE,ISERROR(FIND("unit",$A157))=FALSE),VLOOKUP(KitchenCarcassMaterial,FixedListsCarcassMaterial,3,0),0))</f>
        <v/>
      </c>
      <c r="Z157" s="156" t="str">
        <f>IF(OR(O157="",P157=""),"",IF(ISERROR(FIND("door",$A157))=FALSE,VLOOKUP(KitchenDoorStyle,FixedListsDoorStyle,3,0),0))</f>
        <v/>
      </c>
      <c r="AA157" s="156" t="str">
        <f>IF(OR(O157="",P157=""),"",IF(ISERROR(FIND("door",$A157))=FALSE,VLOOKUP(KitchenDoorMaterial,FixedListsDoorMaterial,3,0),0))</f>
        <v/>
      </c>
      <c r="AB157" s="156" t="str">
        <f>IF(OR(O157="",P157=""),"",IF(ISERROR(FIND("drawer",$A157))=FALSE,VLOOKUP(KitchenDrawerType,FixedListsDrawerType,3,0),0))</f>
        <v/>
      </c>
      <c r="AC157" s="156" t="str">
        <f>IF(OR(O157="",P157=""),"",IF(OR(Y157&gt;0,Z157&gt;0,AB157&gt;0),VLOOKUP(KitchenHandleType,FixedListsHandleType,3,FALSE),0))</f>
        <v/>
      </c>
      <c r="AD157" s="156" t="str">
        <f>IF(OR(O157="",P157=""),"",IF(OR(ISERROR(FIND("carcass",$A157))=FALSE,ISERROR(FIND("unit",$A157))=FALSE),VLOOKUP(KitchenCarcassFinish,FixedListsFinishes,3,0),IF(OR(ISERROR(FIND("door",$A157))=FALSE,ISERROR(FIND("Plinth",$A157))=FALSE,ISERROR(FIND("Cornice",$A157))=FALSE,ISERROR(FIND("Fillers",$A157))=FALSE,ISERROR(FIND("Pelmet",$A157))=FALSE,ISERROR(FIND("panel",$A157))=FALSE,ISERROR(FIND("post",$A157))=FALSE),VLOOKUP(KitchenDoorFinish,FixedListsFinishes,3,0),IF(OR(ISERROR(FIND("drawer",$A157))=FALSE,ISERROR(FIND("insert",$A157))=FALSE,ISERROR(FIND("rck",$A157))=FALSE),VLOOKUP(KitchenCarcassFinish,FixedListsFinishes,3,0),0))))</f>
        <v/>
      </c>
      <c r="AE157" s="156" t="str">
        <f t="shared" si="6"/>
        <v/>
      </c>
      <c r="AF157" s="157" t="str">
        <f>IF(AND(KitchenHandleType="Channel",OR(ISERROR(FIND("arcass",$A157))=FALSE,ISERROR(FIND("unit",$A157))=FALSE)),IF(ISERROR(FIND("Tower",$A157))=TRUE,IF(KitchenHandleFinish="Match carcass",IF(ISERROR(FIND("Walnut",KitchenCarcassMaterial))=FALSE,(0.035*0.075*($C157/1000))*VLOOKUP("Walnut (solid m3)",SolidData,4,FALSE),IF(ISERROR(FIND("Oak",KitchenCarcassMaterial))=FALSE,(0.035*0.075*($C157/1000))*VLOOKUP("Oak (solid m3)",SolidData,4,FALSE),IF(ISERROR(FIND("ply",KitchenCarcassMaterial))=FALSE,(0.1*($C157/1000))*VLOOKUP("Birch ply (24mm)",SheetsData,7,FALSE),IF(ISERROR(FIND("H/F",KitchenCarcassMaterial))=FALSE,(0.1*($C157/1000))*VLOOKUP("H/F (22mm)",SheetsData,7,FALSE),"Carcass - not tower - new material")))),IF(KitchenHandleFinish="Match door",IF(ISERROR(FIND("Walnut",KitchenDoorMaterial))=FALSE,(0.035*0.075*($C157/1000))*VLOOKUP("Walnut (solid m3)",SolidData,4,FALSE),IF(ISERROR(FIND("Oak",KitchenDoorMaterial))=FALSE,(0.035*0.075*($C157/1000))*VLOOKUP("Oak (solid m3)",SolidData,4,FALSE),IF(ISERROR(FIND("ply",KitchenDoorMaterial))=FALSE,(0.1*($C157/1000))*VLOOKUP("Birch ply (24mm)",SheetsData,7,FALSE),IF(ISERROR(FIND("H/F",KitchenCarcassMaterial))=FALSE,(0.1*($C157/1000))*VLOOKUP("H/F (22mm)",SheetsData,7,FALSE),"Door - not tower - new material")))),"Channel - not tower - handle set to other")),IF(ISERROR(FIND("Tower",$A157))=FALSE,IF(KitchenHandleFinish="Match carcass",IF(ISERROR(FIND("Walnut",KitchenCarcassMaterial))=FALSE,(0.035*0.075*($B157/1000))*VLOOKUP("Walnut (solid m3)",SolidData,4,FALSE),IF(ISERROR(FIND("Oak",KitchenCarcassMaterial))=FALSE,(0.035*0.075*($B157/1000))*VLOOKUP("Oak (solid m3)",SolidData,4,FALSE),IF(ISERROR(FIND("ply",KitchenCarcassMaterial))=FALSE,(0.1*($B157/1000))*VLOOKUP("Birch ply (24mm)",SheetsData,7,FALSE),IF(ISERROR(FIND("H/F",KitchenCarcassMaterial))=FALSE,(0.1*($C157/1000))*VLOOKUP("H/F (22mm)",SheetsData,7,FALSE),"Carcass - tower - new material")))),IF(KitchenHandleFinish="Match door",IF(ISERROR(FIND("Walnut",KitchenDoorMaterial))=FALSE,(0.035*0.075*($B157/1000))*VLOOKUP("Walnut (solid m3)",SolidData,4,FALSE),IF(ISERROR(FIND("Oak",KitchenDoorMaterial))=FALSE,(0.035*0.075*($B157/1000))*VLOOKUP("Oak (solid m3)",SolidData,4,FALSE),IF(ISERROR(FIND("ply",KitchenDoorMaterial))=FALSE,(0.1*($B157/1000))*VLOOKUP("Birch ply (24mm)",SheetData,7,FALSE),IF(ISERROR(FIND("H/F",KitchenCarcassMaterial))=FALSE,(0.1*($C157/1000))*VLOOKUP("H/F (22mm)",SheetsData,7,FALSE),"Door - tower - new material")))),"Channel - tower - handle set to other")))),"")</f>
        <v/>
      </c>
    </row>
    <row r="158">
      <c r="A158" s="150"/>
      <c r="B158" s="115" t="str">
        <f t="shared" si="1"/>
        <v/>
      </c>
      <c r="C158" s="115" t="str">
        <f>IFERROR(__xludf.DUMMYFUNCTION("IF(A158="""","""",IF(OR(RIGHT(A158,LEN(A158)-len(regexextract(A158,"".* "")))=""1200"",RIGHT(A158,LEN(A158)-len(regexextract(A158,"".* "")))=""600"",RIGHT(A158,LEN(A158)-len(regexextract(A158,"".* "")))=""400"",RIGHT(A158,LEN(A158)-len(regexextract(A158,"&amp;""".* "")))=""300"",RIGHT(A158,LEN(A158)-len(regexextract(A158,"".* "")))=""700"",RIGHT(A158,LEN(A158)-len(regexextract(A158,"".* "")))=""2400"",RIGHT(A158,LEN(A158)-len(regexextract(A158,"".* "")))=""650"",RIGHT(A158,LEN(A158)-len(regexextract(A158,"".* "&amp;""")))=""350"",RIGHT(A158,LEN(A158)-len(regexextract(A158,"".* "")))=""50""),RIGHT(A158,LEN(A158)-len(regexextract(A158,"".* ""))),IF(OR(ISERROR(FIND(""spacer"",A158))=FALSE,ISERROR(FIND(""filler panel"",A158))=FALSE),""1000"",""Unexpected size in descript"&amp;"ion"")))"),"")</f>
        <v/>
      </c>
      <c r="D158" s="151" t="str">
        <f t="shared" si="2"/>
        <v/>
      </c>
      <c r="E158" s="152" t="str">
        <f>IFERROR(__xludf.DUMMYFUNCTION("IF(OR(A158="""",AND(ISERROR(FIND(""drawer box"",A158))=FALSE,KitchenDrawerType="""")),"""",IF(OR(ISERROR(FIND(""larder"",A158))=FALSE,ISERROR(FIND(""fridge/freezer"",A158))=FALSE,ISERROR(FIND(""double oven"",A158))=FALSE,ISERROR(FIND(""single oven"",A158)"&amp;")=FALSE),VLOOKUP(LEFT(A158,FIND("" "",A158))&amp;""carcass ""&amp;RIGHT(A158,LEN(A158)-(LEN(A158)-3)),KitchensData,5,0),IF(ISERROR(FIND(""sink"",A158))=FALSE,VLOOKUP(LEFT(A158,FIND("" "",A158))&amp;""carcass ""&amp;VALUE(REGEXREPLACE(A158,""[^[:digit:]]"", """")),Kitchen"&amp;"sData,5,0)+(((C158/1000)*(300/1000))*VLOOKUP(KitchenCarcassMaterial,SheetsData,8,0)),IF(ISERROR(FIND(""bins"",A158))=FALSE,IF(ISERROR(FIND(""veneer"",KitchenCarcassMaterial))=FALSE,VLOOKUP(""Base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600"",A158))=FALSE,IF(ISERR"&amp;"OR(FIND(""veneer"",KitchenCarcassMaterial))=FALSE,0.54*(VLOOKUP(LEFT(KitchenCarcassMaterial,FIND(""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1"&amp;"200"",A158))=FALSE,IF(ISERROR(FIND(""veneer"",KitchenCarcassMaterial))=FALSE,0.84*(VLOOKUP(LEFT(KitchenCarcassMaterial,FIND(""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600"",A158))=FALSE,IF(ISERROR(FIND(""veneer"",KitchenCarcassMaterial))=FALSE,1.44*(VLOOKUP(LEFT(KitchenCarcassMaterial,FIND(""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1200"",A158))=FALSE,IF(ISERROR(FIND(""veneer"",KitchenCarcassMaterial))=FALSE,2.7*(VLOOKUP(LEFT(KitchenCarcassMaterial,FIND(""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front"",A158))=FALSE,((B158/1000)*(C158/1000))*VLOOKUP(KitchenDoorMaterial,SheetsData,8,0),IF(AND(KitchenDrawerType=""Match carcass"",ISERROR(FIND(""drawer box"",A158))=FALSE),(((((B158/10"&amp;"00)*(C158/1000))+((B158/1000)*(D158/1000)))*2)*VLOOKUP(KitchenCarcassMaterial,SheetsData,8,0))+(((C158/1000)*(D158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box"",A158))=FALSE),(((((B158/1000)*(C158/1000))+((B158/1000)*(D158/1000)))*2)*(16/1000)*VLOOKUP(L"&amp;"EFT(KitchenCarcassMaterial,FIND("" "",KitchenCarcassMaterial))&amp;""(solid m3)"",SolidData,5,0))+(((C158/1000)*(D158/1000))*VLOOKUP(LEFT(KitchenCarcassMaterial,FIND(""("",KitchenCarcassMaterial)-1)&amp;IF(OR(ISERROR(FIND(""ply"",KitchenCarcassMaterial))=FALSE,IS"&amp;"ERROR(FIND(""H/F"",KitchenCarcassMaterial))=FALSE),""(9mm)"",""(10mm)""),SheetsData,8,0)),IF(ISERROR(FIND(""spacer"",A158))=FALSE,((D158/1000)*(C158/1000))*VLOOKUP(""Poplar ply (18mm)"",SheetsData,8,0),IF(ISERROR(FIND(""filler panel"",A158))=FALSE,((B158/"&amp;"1000)*(C158/1000))*VLOOKUP(KitchenDoorMaterial,SheetsData,8,0),IF(ISERROR(FIND(""shelf"",A158))=FALSE,((D158/1000)*(C158/1000))*VLOOKUP(KitchenCarcassMaterial,SheetsData,8,0),IF(ISERROR(FIND(""lost corner"",A158))=FALSE,VLOOKUP(LEFT(A158,FIND("" "",A158))"&amp;"&amp;""carcass ""&amp;VALUE(REGEXREPLACE(A158,""[^[:digit:]]"", """")),KitchensData,5,0)+((((B158/1000)*(C158/1000))+((B158/1000)*(60/1000)))*VLOOKUP(KitchenCarcassMaterial,SheetsData,8,0)),IF(ISERROR(FIND(""carcass"",A158))=FALSE,(((((B158/1000)*2)*(D158/1000))+"&amp;"(((C158/1000)*2)*(D158/1000)))*VLOOKUP(KitchenCarcassMaterial,SheetsData,8,0))+((B158/1000)*(C158/1000))*VLOOKUP(LEFT(KitchenCarcassMaterial,FIND(""("",KitchenCarcassMaterial)-1)&amp;IF(OR(ISERROR(FIND(""ply"",KitchenCarcassMaterial))=FALSE,ISERROR(FIND(""H/F"&amp;""",KitchenCarcassMaterial))=FALSE),""(9mm)"",""(10mm)""),SheetsData,8,0),IF(OR(ISERROR(FIND(""Plinth"",A158))=FALSE,ISERROR(FIND(""Cornice (flat)"",A158))=FALSE),((B158/1000)*(C158/1000))*VLOOKUP(""H/F (18mm)"",SheetsData,8,0),IF(ISERROR(FIND(""Cornice (s"&amp;"tacked)"",A158))=FALSE,((0.08*(C158/1000))*2)*VLOOKUP(""H/F (22mm)"",SheetsData,8,0),IF(ISERROR(FIND(""Base end panel"",A158))=FALSE,VLOOKUP(KitchenDoorMaterial,SheetsData,5,0)/3,IF(ISERROR(FIND(""Wall end panel"",A158))=FALSE,VLOOKUP(KitchenDoorMaterial,"&amp;"SheetsData,5,0)/9,IF(ISERROR(FIND(""Tower end panel"",A158))=FALSE,VLOOKUP(KitchenDoorMaterial,SheetsData,5,0),IF(ISERROR(FIND(""Fillers"",A158))=FALSE,(((0.06*(C158/1000))*2)*VLOOKUP(""H/F (18mm)"",SheetsData,8,0))+(((0.06*(C158/1000))*2)*VLOOKUP(""H/F ("&amp;"9mm)"",SheetsData,8,0)),IF(ISERROR(FIND(""corner post"",A158))=FALSE,(((B158/1000)*0.05)*2)*VLOOKUP(KitchenDoorMaterial,SheetsData,8,0),IF(ISERROR(FIND(""Pelmet"",A158))=FALSE,((((B158/1000)*(C158/1000))*2)*VLOOKUP(""H/F (18mm)"",SheetsData,8,0)),IF(ISERR"&amp;"OR(FIND(""door"",A158))=TRUE,""Check description"",IF(KitchenDoorStyle=""Flat"",((B158/1000)*(C158/1000))*VLOOKUP(KitchenDoorMaterial,SheetsData,8,0),IF(LEFT(KitchenDoorStyle,5)=""Panel"",(((((B158/1000)*2)*0.08)+((((C158/1000)-0.16)*2)*0.08))*VLOOKUP(""H"&amp;"/F (22mm)"",SheetsData,8,0))+(((B158/1000)-0.14)*((C158/1000)-0.14)*VLOOKUP(""H/F (9mm)"",SheetsData,8,0)),IF(KitchenDoorStyle=""In-frame flat"",((((((B158/1000)*0.019)*0.038)+((((C158-38)/1000)*0.038)*0.038))*2)*VLOOKUP(""Tulip (solid m3)"",SolidData,5,0"&amp;"))+(((B158-76)/1000)*((C158-38)/1000))*VLOOKUP(""H/F (22mm)"",SheetsData,8,0),IF(LEFT(KitchenDoorStyle,14)=""In-frame panel"",(((((((B158/1000)*0.019)*0.038)+((((C158-38)/1000)*0.038)*0.038))*2)*VLOOKUP(""Tulip (solid m3)"",SolidData,5,0))+(((((((B158-76)"&amp;"/1000)*2)*0.08)+(((((C158-198)/1000)*2)*0.08)))*VLOOKUP(""H/F (22mm)"",SheetsData,8,0))+(((B158-216)/1000)*((C158-178)/1000)*VLOOKUP(""H/F (9mm)"",SheetsData,8,0)))))))))))))))))))))))))))))))))"),"")</f>
        <v/>
      </c>
      <c r="F158" s="152" t="str">
        <f>IFERROR(__xludf.DUMMYFUNCTION("IF(OR(A158="""",AND(ISERROR(FIND(""drawer box"",A158))=FALSE,KitchenDrawerType=""Solid dovetail"")),"""",IF(ISERROR(FIND(""bins"",A158))=FALSE,VLOOKUP(""Base carcass 600"",KitchensData,6,0),IF(OR(ISERROR(FIND(""larder"",A158))=FALSE,ISERROR(FIND(""unit"","&amp;"A158))=FALSE),VLOOKUP(LEFT(A158,FIND("" "",A158))&amp;""carcass ""&amp;RIGHT(A158,LEN(A158)-len(regexextract(A158,"".* ""))),KitchensData,6,0),IF(ISERROR(FIND(""drawer front"",A158))=FALSE,IF(ISERROR(FIND(""veneer"",KitchenCarcassMaterial))=TRUE,0,(((B158+C158)/1"&amp;"000)*2)*VLOOKUP(""Edge banding (per M)"",SheetsData,5,0)),IF(ISERROR(FIND(""drawer box"",A158))=FALSE,IF(ISERROR(FIND(""veneer"",KitchenCarcassMaterial))=TRUE,0,(((C158+D158)/1000)*2)*VLOOKUP(""Edge banding (per M)"",SheetsData,5,0)),IF(ISERROR(FIND(""she"&amp;"lf"",A158))=FALSE,IF(ISERROR(FIND(""veneer"",KitchenCarcassMaterial))=TRUE,0,(C158/1000)*VLOOKUP(""Edge banding (per M)"",SheetsData,5,0)),IF(AND(ISERROR(FIND(""carcass"",A158))=FALSE,ISERROR(FIND(""shelf"",A158))=TRUE),IF(ISERROR(FIND(""veneer"",KitchenC"&amp;"arcassMaterial))=TRUE,0,((2*(B158+C158))/1000)*VLOOKUP(""Edge banding (per M)"",SheetsData,5,0)),IF(ISERROR(FIND(""door"",A158))=TRUE,"""",IF(ISERROR(FIND(""veneer"",KitchenDoorMaterial))=TRUE,"""",((2*(B158+C158))/1000)*VLOOKUP(""Edge banding (per M)"",S"&amp;"heetsData,5,0))))))))))"),"")</f>
        <v/>
      </c>
      <c r="G158" s="153" t="str">
        <f>IF(A158="","",IF(ISERROR(FIND("bins",A158))=FALSE,VLOOKUP("Base carcass 600",KitchensData,7,0),IF(OR(ISERROR(FIND("larder",A158))=FALSE,ISERROR(FIND("fridge/freezer",A158))=FALSE,ISERROR(FIND("double oven",A158))=FALSE,ISERROR(FIND("single oven",A158))=FALSE),VLOOKUP(LEFT(A158,FIND(" ",A158))&amp;"carcass "&amp;RIGHT(A158,LEN(A158)-(LEN(A158)-3)),KitchensData,7,0),IF(AND(ISERROR(FIND("carcass",A158))=FALSE,ISERROR(FIND("shelf",A158))=TRUE),IF(OR(ISERROR(FIND("Base",A158))=FALSE,ISERROR(FIND("Tower",A158))=FALSE),IF(OR(ISERROR(FIND("1200",A158))=FALSE, ISERROR(FIND("lost corner",A158))=FALSE),6*VLOOKUP("Plinth foot (2 Parts 80mm)",FurnitureData,5,0),4*VLOOKUP("Plinth foot (2 Parts 80mm)",FurnitureData,5,0)),""),""))))</f>
        <v/>
      </c>
      <c r="H158" s="115" t="str">
        <f>IF(OR(A158="",ISERROR(FIND("door",A158))=TRUE),"",IF(ISERROR(FIND("Wall",A158))=FALSE,VLOOKUP("Hinges &amp; plates (Hettich thick door)",FurnitureData,5,0)*2,IF(ISERROR(FIND("Base",A158))=FALSE,VLOOKUP("Hinges &amp; plates (Hettich thick door)",FurnitureData,5,0)*3,IF(ISERROR(FIND("Boiler",A158))=FALSE,VLOOKUP("Hinges &amp; plates (Hettich thick door)",FurnitureData,5,0)*4,IF(ISERROR(FIND("Tower",A158))=FALSE,VLOOKUP("Hinges &amp; plates (Hettich thick door)",FurnitureData,5,0)*5)))))</f>
        <v/>
      </c>
      <c r="I158" s="115" t="str">
        <f>IF(ISERROR(FIND("shelf",A158))=FALSE,(VLOOKUP("Shelf pegs",FurnitureData,5,0)/100)*4,"")</f>
        <v/>
      </c>
      <c r="J158" s="152" t="str">
        <f>IF(OR(ISERROR(FIND("fridge/freezer",A158))=FALSE,ISERROR(FIND("larder",A158))=FALSE,AND(ISERROR(FIND("Base",A158))=FALSE,ISERROR(FIND("bins",A158))=TRUE,ISERROR(FIND("no shelves",A158))=TRUE,OR(ISERROR(FIND("carcass",A158))=FALSE,ISERROR(FIND("unit",A158))=FALSE))),VLOOKUP("Deep shelf "&amp;C158,KitchensData,18,0),IF(AND(ISERROR(FIND("Wall",A158))=FALSE,ISERROR(FIND("carcass",A158))=FALSE),2*VLOOKUP("Shallow shelf "&amp;C158,KitchensData,18,0),IF(AND(ISERROR(FIND("Tower",A158))=FALSE,ISERROR(FIND("oven",A158))=FALSE),4*VLOOKUP("Deep shelf "&amp;C158,KitchensData,18,0),IF(AND(ISERROR(FIND("Tower",A158))=FALSE,ISERROR(FIND("carcass",A158))=FALSE),5*VLOOKUP("Deep shelf "&amp;C158,KitchensData,18,0),""))))</f>
        <v/>
      </c>
      <c r="K158" s="152" t="str">
        <f>IF(ISERROR(FIND("sink",A158))=FALSE,VLOOKUP("Sink liner - Aluminium "&amp;RIGHT(A158,LEN(A158)-22)&amp;"mm",ExceptionalData,5,0),IF(ISERROR(FIND("bins",A158))=FALSE,VLOOKUP("Drawer runners and clip set for bin unit (500) Dynapro",FurnitureData,5,0)+(2*VLOOKUP("Bin (42L Anthracite)",FurnitureData,5,0)),IF(ISERROR(FIND("larder",A158))=FALSE,VLOOKUP("Pull out larder unit 600mm",FurnitureData,5,0),IF(AND(ISERROR(FIND("drawer box",A158))=FALSE,ISERROR(FIND("internal",A158))=TRUE),VLOOKUP("Drawer runners and clip set (550) Dynapro",FurnitureData,5,0),IF(ISERROR(FIND("internal drawer box",A158))=FALSE,VLOOKUP("Drawer runners and clip set (450) Dynapro",FurnitureData,5,0),"")))))</f>
        <v/>
      </c>
      <c r="L158" s="152" t="str">
        <f t="shared" si="3"/>
        <v/>
      </c>
      <c r="M158" s="154" t="str">
        <f>IFERROR(__xludf.DUMMYFUNCTION("IF(A158="""","""",IF(OR(ISERROR(FIND(""larder"",A158))=FALSE,ISERROR(FIND(""unit"",A158))=FALSE),VLOOKUP(LEFT(A158,FIND("" "",A158))&amp;""carcass ""&amp;RIGHT(A158,LEN(A158)-len(regexextract(A158,"".* ""))),KitchensData,13,0),IF(ISERROR(FIND(""bins"",A158))=FALS"&amp;"E,0.95,IF(ISERROR(FIND(""Cutlery insert 600"",A158))=FALSE,1.3,IF(ISERROR(FIND(""Cutlery insert 1200"",A158))=FALSE,2,IF(ISERROR(FIND(""Pan/tray rack 600"",A158))=FALSE,3.25,IF(ISERROR(FIND(""Pan/tray rack 1200"",A158))=FALSE,5.9,IF(ISERROR(FIND(""split"""&amp;",A158))=FALSE,(((C158/1000)*0.022)*2)+VLOOKUP(SUBSTITUTE(A158,"" split"",""""),KitchensData,13,0),IF(AND(ISERROR(FIND(""drawer front"",A158))=FALSE,KitchenDoorStyle=""Flat""),(((B158/1000)*(C158/1000))*2)+((((B158+C158)/1000)*2)*0.022),IF(AND(ISERROR(FIND"&amp;"(""drawer front"",A158))=FALSE,LEFT(KitchenDoorStyle,5)=""Panel""),(((B158/1000)*(C158/1000))*2)+((((B158+C158)/1000)*2)*0.022)+((((C158/1000)-0.16)*0.013)*2)+((((D158/1000)-0.16)*0.013)*2),IF(AND(ISERROR(FIND(""drawer front"",A158))=FALSE,KitchenDoorStyl"&amp;"e=""In-frame flat""),((((B158-76)/1000)*((C158-38)/1000))*2)+(MID(KitchenDoorMaterial,FIND(""("",KitchenDoorMaterial)+1,2)/1000)*((((B158-76)+(C158-38))/1000)*2)+(((B158/1000)*0.032)*2)+((((B158-76)/1000)*0.032)*2)+(((B158/1000)*0.019)*4)+(((C158/1000)*0."&amp;"032)*2)+((((C158-38)/1000)*0.032)*2)+(((C158/1000)*0.038)*4),IF(AND(ISERROR(FIND(""drawer front"",A158))=FALSE,LEFT(KitchenDoorStyle,14)=""In-frame panel""),((((B158-76)/1000)*((C158-38)/1000))*2)+((MID(KitchenDoorMaterial,FIND(""("",KitchenDoorMaterial)+"&amp;"1,2)/1000)*((((B158-76)+(C158-38))/1000)*2))+((((B158-236)/1000)+((C158-198)/1000)*2)*0.013)+(((B158/1000)*0.032)*2)+((((B158-76)/1000)*0.032)*2)+(((B158/1000)*0.019)*4)+(((C158/1000)*0.032)*2)+((((C158-38)/1000)*0.032)*2)+(((C158/1000)*0.038)*4),IF(ISERR"&amp;"OR(FIND(""drawer box"",A158))=FALSE,((((B158/1000)*(D158/1000))+((B158/1000)*(C158/1000)))*4)+((((D158/1000)+(C158/1000))*0.016)*4)+(((C158/1000)*(D158/1000))*2),IF(OR(ISERROR(FIND(""shelf"",A158))=FALSE,ISERROR(FIND(""spacer"",A158))=FALSE,,ISERROR(FIND("&amp;"""filler panel"",A158))=FALSE),(((C158/1000)*(D158/1000))*2)+((((C158+D158)*2)/1000)*0.022),IF(ISERROR(FIND(""lost corner"",A158))=FALSE,(((B158/1000)*(C158/1000))*2)+((B158/1000)*(C158/1000))+((B158/1000)*((C158/2)/1000))+((((B158/1000)*0.025)+((C158/100"&amp;"0)*0.025))*2),IF(ISERROR(FIND(""carcass"",A158))=FALSE,(((C158/1000)*(D158/1000))*2)+(((B158/1000)*(D158/1000))*2)+((B158/1000)*(C158/1000))+((((B158/1000)*0.025)+((C158/1000)*0.025))*2),IF(AND(ISERROR(FIND(""door"",A158))=FALSE,KitchenDoorStyle=""Flat"")"&amp;",(((B158/1000)*(C158/1000))*2)+(MID(KitchenDoorMaterial,FIND(""("",KitchenDoorMaterial)+1,2)/1000)*(((B158+C158)/1000)*2),IF(AND(ISERROR(FIND(""door"",A158))=FALSE,LEFT(KitchenDoorStyle,5)=""Panel""),(((B158/1000)*(C158/1000))*2)+((MID(KitchenDoorMaterial"&amp;",FIND(""("",KitchenDoorMaterial)+1,2)/1000)*(((B158+C158)/1000)*2))+(((((B158-160)+(C158-160))*2)/1000)*(0.013)),IF(AND(ISERROR(FIND(""door"",A158))=FALSE,KitchenDoorStyle=""In-frame flat""),((((B158-76)/1000)*((C158-38)/1000))*2)+(MID(KitchenDoorMaterial"&amp;",FIND(""("",KitchenDoorMaterial)+1,2)/1000)*((((B158-76)+(C158-38))/1000)*2)+(((B158/1000)*0.032)*2)+((((B158-76)/1000)*0.032)*2)+(((B158/1000)*0.019)*4)+(((C158/1000)*0.032)*2)+((((C158-38)/1000)*0.032)*2)+(((C158/1000)*0.038)*4),IF(AND(ISERROR(FIND(""do"&amp;"or"",A158))=FALSE,LEFT(KitchenDoorStyle,14)=""In-frame panel""),((((B158-76)/1000)*((C158-38)/1000))*2)+((MID(KitchenDoorMaterial,FIND(""("",KitchenDoorMaterial)+1,2)/1000)*((((B158-76)+(C158-38))/1000)*2))+((((B158-236)/1000)+((C158-198)/1000)*2)*0.013)+"&amp;"(((B158/1000)*0.032)*2)+((((B158-76)/1000)*0.032)*2)+(((B158/1000)*0.019)*4)+(((C158/1000)*0.032)*2)+((((C158-38)/1000)*0.032)*2)+(((C158/1000)*0.038)*4),IF(ISERROR(FIND(""Plinth"",A158))=FALSE,((B158/1000)*(C158/1000))+(((C158/1000)*0.018)*2)+(((B158/100"&amp;"0)*0.018)*2),IF(ISERROR(FIND(""Cornice"",A158))=FALSE,(((C158/1000)*0.1)*2)+(((C158/1000)*0.044)*2)+(((B158/1000)*0.08)*2),IF(ISERROR(FIND(""Base end panel"",A158))=FALSE,((B158/1000)*(C158/1000))+(0.022*((B158/1000)+((C158/1000)*2)))+((B158/1000)*0.05),I"&amp;"F(ISERROR(FIND(""Wall end panel"",A158))=FALSE,((B158/1000)*(C158/1000))+(0.022*((B158/1000)+((C158/1000)*2)))+((B158/1000)*0.05),IF(ISERROR(FIND(""Tower end panel"",A158))=FALSE,((B158/1000)*(C158/1000))+(0.022*((B158/1000)+((C158/1000)*2)))+((B158/1000)"&amp;"*0.05),IF(ISERROR(FIND(""Fillers"",A158))=FALSE,((C158/1000)*0.06)+((C158/1000)*0.069)+((0.06*0.018)*2)+((0.06*0.009)*2)+((C158/1000)*0.009)+((C158/1000)*0.018),IF(ISERROR(FIND(""corner post"",A158))=FALSE,(((B158/1000*0.05)*2)+((B158/1000)*0.022)*2)+((B1"&amp;"58/1000)*0.072)+((B158/1000)*0.05)+((0.072*0.022)*2)+((0.05*0.022)*2),IF(ISERROR(FIND(""Pelmet"",A158))=FALSE,((C158/1000)*0.05)+((C158/1000)*0.068)+((0.05*0.018)*4)+(((C158/1000)*0.018))*2))))))))))))))))))))))))))))"),"")</f>
        <v/>
      </c>
      <c r="N158" s="152" t="str">
        <f>IF(M158="","",IF(AND(ISERROR(FIND("carcass",A158))=TRUE,ISERROR(FIND("unit",A158))=TRUE,ISERROR(FIND("insert",A158))=TRUE,ISERROR(FIND("rack",A158))=TRUE,ISERROR(FIND("box",A158))=TRUE,ISERROR(FIND("shelf",#REF!))=TRUE),VLOOKUP(KitchenDoorFinish,Finishing!$A$2:$K$10,9,0)*M158,VLOOKUP(KitchenCarcassFinish,Finishing!$A$2:$K$40,9,0)*M158))</f>
        <v/>
      </c>
      <c r="O158" s="155"/>
      <c r="P158" s="155"/>
      <c r="Q158" s="152" t="str">
        <f>IF(OR(O158="",P158=""),"",((O158*X158)*(VLOOKUP("Workshop",Labour!$A$3:$E$20,4,0)/8))+((P158*AE158)*(VLOOKUP("Finishing",Labour!$A$3:$E$20,4,0)/8)))</f>
        <v/>
      </c>
      <c r="R158" s="152" t="str">
        <f t="shared" si="4"/>
        <v/>
      </c>
      <c r="S158" s="156" t="str">
        <f>IF(OR(O158="",P158=""),"",IF(OR(ISERROR(FIND("carcass",$A158))=FALSE,ISERROR(FIND("unit",$A158))=FALSE),VLOOKUP(KitchenCarcassMaterial,FixedListsCarcassMaterial,2,0),0))</f>
        <v/>
      </c>
      <c r="T158" s="156" t="str">
        <f>IF(OR(O158="",P158=""),"",IF(ISERROR(FIND("door",$A158))=FALSE,VLOOKUP(KitchenDoorStyle,FixedListsDoorStyle,2,0),0))</f>
        <v/>
      </c>
      <c r="U158" s="156" t="str">
        <f>IF(OR(O158="",P158=""),"",IF(ISERROR(FIND("door",$A158))=FALSE,VLOOKUP(KitchenDoorMaterial,FixedListsDoorMaterial,2,0),0))</f>
        <v/>
      </c>
      <c r="V158" s="156" t="str">
        <f>IF(OR(O158="",P158=""),"",IF(ISERROR(FIND("drawer",$A158))=FALSE,VLOOKUP(KitchenDrawerType,FixedListsDrawerType,2,0),0))</f>
        <v/>
      </c>
      <c r="W158" s="156" t="str">
        <f>IF(OR(O158="",P158=""),"",IF(OR(S158&gt;0, T158&gt;0,V158&gt;0),VLOOKUP(KitchenHandleType,FixedListsHandleType,2,FALSE)*IF(KitchenHandleType="Simple",0,IF(S158&gt;0,VLOOKUP(KitchenHandleType,FixedListsHandleType,4,FALSE),IF(OR(T158&gt;0,V158&gt;0),1-VLOOKUP(KitchenHandleType,FixedListsHandleType,4,FALSE),"Error"))),0))</f>
        <v/>
      </c>
      <c r="X158" s="156" t="str">
        <f t="shared" si="5"/>
        <v/>
      </c>
      <c r="Y158" s="156" t="str">
        <f>IF(OR(O158="",P158=""),"",IF(OR(ISERROR(FIND("carcass",$A158))=FALSE,ISERROR(FIND("unit",$A158))=FALSE),VLOOKUP(KitchenCarcassMaterial,FixedListsCarcassMaterial,3,0),0))</f>
        <v/>
      </c>
      <c r="Z158" s="156" t="str">
        <f>IF(OR(O158="",P158=""),"",IF(ISERROR(FIND("door",$A158))=FALSE,VLOOKUP(KitchenDoorStyle,FixedListsDoorStyle,3,0),0))</f>
        <v/>
      </c>
      <c r="AA158" s="156" t="str">
        <f>IF(OR(O158="",P158=""),"",IF(ISERROR(FIND("door",$A158))=FALSE,VLOOKUP(KitchenDoorMaterial,FixedListsDoorMaterial,3,0),0))</f>
        <v/>
      </c>
      <c r="AB158" s="156" t="str">
        <f>IF(OR(O158="",P158=""),"",IF(ISERROR(FIND("drawer",$A158))=FALSE,VLOOKUP(KitchenDrawerType,FixedListsDrawerType,3,0),0))</f>
        <v/>
      </c>
      <c r="AC158" s="156" t="str">
        <f>IF(OR(O158="",P158=""),"",IF(OR(Y158&gt;0,Z158&gt;0,AB158&gt;0),VLOOKUP(KitchenHandleType,FixedListsHandleType,3,FALSE),0))</f>
        <v/>
      </c>
      <c r="AD158" s="156" t="str">
        <f>IF(OR(O158="",P158=""),"",IF(OR(ISERROR(FIND("carcass",$A158))=FALSE,ISERROR(FIND("unit",$A158))=FALSE),VLOOKUP(KitchenCarcassFinish,FixedListsFinishes,3,0),IF(OR(ISERROR(FIND("door",$A158))=FALSE,ISERROR(FIND("Plinth",$A158))=FALSE,ISERROR(FIND("Cornice",$A158))=FALSE,ISERROR(FIND("Fillers",$A158))=FALSE,ISERROR(FIND("Pelmet",$A158))=FALSE,ISERROR(FIND("panel",$A158))=FALSE,ISERROR(FIND("post",$A158))=FALSE),VLOOKUP(KitchenDoorFinish,FixedListsFinishes,3,0),IF(OR(ISERROR(FIND("drawer",$A158))=FALSE,ISERROR(FIND("insert",$A158))=FALSE,ISERROR(FIND("rck",$A158))=FALSE),VLOOKUP(KitchenCarcassFinish,FixedListsFinishes,3,0),0))))</f>
        <v/>
      </c>
      <c r="AE158" s="156" t="str">
        <f t="shared" si="6"/>
        <v/>
      </c>
      <c r="AF158" s="157" t="str">
        <f>IF(AND(KitchenHandleType="Channel",OR(ISERROR(FIND("arcass",$A158))=FALSE,ISERROR(FIND("unit",$A158))=FALSE)),IF(ISERROR(FIND("Tower",$A158))=TRUE,IF(KitchenHandleFinish="Match carcass",IF(ISERROR(FIND("Walnut",KitchenCarcassMaterial))=FALSE,(0.035*0.075*($C158/1000))*VLOOKUP("Walnut (solid m3)",SolidData,4,FALSE),IF(ISERROR(FIND("Oak",KitchenCarcassMaterial))=FALSE,(0.035*0.075*($C158/1000))*VLOOKUP("Oak (solid m3)",SolidData,4,FALSE),IF(ISERROR(FIND("ply",KitchenCarcassMaterial))=FALSE,(0.1*($C158/1000))*VLOOKUP("Birch ply (24mm)",SheetsData,7,FALSE),IF(ISERROR(FIND("H/F",KitchenCarcassMaterial))=FALSE,(0.1*($C158/1000))*VLOOKUP("H/F (22mm)",SheetsData,7,FALSE),"Carcass - not tower - new material")))),IF(KitchenHandleFinish="Match door",IF(ISERROR(FIND("Walnut",KitchenDoorMaterial))=FALSE,(0.035*0.075*($C158/1000))*VLOOKUP("Walnut (solid m3)",SolidData,4,FALSE),IF(ISERROR(FIND("Oak",KitchenDoorMaterial))=FALSE,(0.035*0.075*($C158/1000))*VLOOKUP("Oak (solid m3)",SolidData,4,FALSE),IF(ISERROR(FIND("ply",KitchenDoorMaterial))=FALSE,(0.1*($C158/1000))*VLOOKUP("Birch ply (24mm)",SheetsData,7,FALSE),IF(ISERROR(FIND("H/F",KitchenCarcassMaterial))=FALSE,(0.1*($C158/1000))*VLOOKUP("H/F (22mm)",SheetsData,7,FALSE),"Door - not tower - new material")))),"Channel - not tower - handle set to other")),IF(ISERROR(FIND("Tower",$A158))=FALSE,IF(KitchenHandleFinish="Match carcass",IF(ISERROR(FIND("Walnut",KitchenCarcassMaterial))=FALSE,(0.035*0.075*($B158/1000))*VLOOKUP("Walnut (solid m3)",SolidData,4,FALSE),IF(ISERROR(FIND("Oak",KitchenCarcassMaterial))=FALSE,(0.035*0.075*($B158/1000))*VLOOKUP("Oak (solid m3)",SolidData,4,FALSE),IF(ISERROR(FIND("ply",KitchenCarcassMaterial))=FALSE,(0.1*($B158/1000))*VLOOKUP("Birch ply (24mm)",SheetsData,7,FALSE),IF(ISERROR(FIND("H/F",KitchenCarcassMaterial))=FALSE,(0.1*($C158/1000))*VLOOKUP("H/F (22mm)",SheetsData,7,FALSE),"Carcass - tower - new material")))),IF(KitchenHandleFinish="Match door",IF(ISERROR(FIND("Walnut",KitchenDoorMaterial))=FALSE,(0.035*0.075*($B158/1000))*VLOOKUP("Walnut (solid m3)",SolidData,4,FALSE),IF(ISERROR(FIND("Oak",KitchenDoorMaterial))=FALSE,(0.035*0.075*($B158/1000))*VLOOKUP("Oak (solid m3)",SolidData,4,FALSE),IF(ISERROR(FIND("ply",KitchenDoorMaterial))=FALSE,(0.1*($B158/1000))*VLOOKUP("Birch ply (24mm)",SheetData,7,FALSE),IF(ISERROR(FIND("H/F",KitchenCarcassMaterial))=FALSE,(0.1*($C158/1000))*VLOOKUP("H/F (22mm)",SheetsData,7,FALSE),"Door - tower - new material")))),"Channel - tower - handle set to other")))),"")</f>
        <v/>
      </c>
    </row>
    <row r="159">
      <c r="A159" s="150"/>
      <c r="B159" s="115" t="str">
        <f t="shared" si="1"/>
        <v/>
      </c>
      <c r="C159" s="115" t="str">
        <f>IFERROR(__xludf.DUMMYFUNCTION("IF(A159="""","""",IF(OR(RIGHT(A159,LEN(A159)-len(regexextract(A159,"".* "")))=""1200"",RIGHT(A159,LEN(A159)-len(regexextract(A159,"".* "")))=""600"",RIGHT(A159,LEN(A159)-len(regexextract(A159,"".* "")))=""400"",RIGHT(A159,LEN(A159)-len(regexextract(A159,"&amp;""".* "")))=""300"",RIGHT(A159,LEN(A159)-len(regexextract(A159,"".* "")))=""700"",RIGHT(A159,LEN(A159)-len(regexextract(A159,"".* "")))=""2400"",RIGHT(A159,LEN(A159)-len(regexextract(A159,"".* "")))=""650"",RIGHT(A159,LEN(A159)-len(regexextract(A159,"".* "&amp;""")))=""350"",RIGHT(A159,LEN(A159)-len(regexextract(A159,"".* "")))=""50""),RIGHT(A159,LEN(A159)-len(regexextract(A159,"".* ""))),IF(OR(ISERROR(FIND(""spacer"",A159))=FALSE,ISERROR(FIND(""filler panel"",A159))=FALSE),""1000"",""Unexpected size in descript"&amp;"ion"")))"),"")</f>
        <v/>
      </c>
      <c r="D159" s="151" t="str">
        <f t="shared" si="2"/>
        <v/>
      </c>
      <c r="E159" s="152" t="str">
        <f>IFERROR(__xludf.DUMMYFUNCTION("IF(OR(A159="""",AND(ISERROR(FIND(""drawer box"",A159))=FALSE,KitchenDrawerType="""")),"""",IF(OR(ISERROR(FIND(""larder"",A159))=FALSE,ISERROR(FIND(""fridge/freezer"",A159))=FALSE,ISERROR(FIND(""double oven"",A159))=FALSE,ISERROR(FIND(""single oven"",A159)"&amp;")=FALSE),VLOOKUP(LEFT(A159,FIND("" "",A159))&amp;""carcass ""&amp;RIGHT(A159,LEN(A159)-(LEN(A159)-3)),KitchensData,5,0),IF(ISERROR(FIND(""sink"",A159))=FALSE,VLOOKUP(LEFT(A159,FIND("" "",A159))&amp;""carcass ""&amp;VALUE(REGEXREPLACE(A159,""[^[:digit:]]"", """")),Kitchen"&amp;"sData,5,0)+(((C159/1000)*(300/1000))*VLOOKUP(KitchenCarcassMaterial,SheetsData,8,0)),IF(ISERROR(FIND(""bins"",A159))=FALSE,IF(ISERROR(FIND(""veneer"",KitchenCarcassMaterial))=FALSE,VLOOKUP(""Base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600"",A159))=FALSE,IF(ISERR"&amp;"OR(FIND(""veneer"",KitchenCarcassMaterial))=FALSE,0.54*(VLOOKUP(LEFT(KitchenCarcassMaterial,FIND(""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1"&amp;"200"",A159))=FALSE,IF(ISERROR(FIND(""veneer"",KitchenCarcassMaterial))=FALSE,0.84*(VLOOKUP(LEFT(KitchenCarcassMaterial,FIND(""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600"",A159))=FALSE,IF(ISERROR(FIND(""veneer"",KitchenCarcassMaterial))=FALSE,1.44*(VLOOKUP(LEFT(KitchenCarcassMaterial,FIND(""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1200"",A159))=FALSE,IF(ISERROR(FIND(""veneer"",KitchenCarcassMaterial))=FALSE,2.7*(VLOOKUP(LEFT(KitchenCarcassMaterial,FIND(""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front"",A159))=FALSE,((B159/1000)*(C159/1000))*VLOOKUP(KitchenDoorMaterial,SheetsData,8,0),IF(AND(KitchenDrawerType=""Match carcass"",ISERROR(FIND(""drawer box"",A159))=FALSE),(((((B159/10"&amp;"00)*(C159/1000))+((B159/1000)*(D159/1000)))*2)*VLOOKUP(KitchenCarcassMaterial,SheetsData,8,0))+(((C159/1000)*(D159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box"",A159))=FALSE),(((((B159/1000)*(C159/1000))+((B159/1000)*(D159/1000)))*2)*(16/1000)*VLOOKUP(L"&amp;"EFT(KitchenCarcassMaterial,FIND("" "",KitchenCarcassMaterial))&amp;""(solid m3)"",SolidData,5,0))+(((C159/1000)*(D159/1000))*VLOOKUP(LEFT(KitchenCarcassMaterial,FIND(""("",KitchenCarcassMaterial)-1)&amp;IF(OR(ISERROR(FIND(""ply"",KitchenCarcassMaterial))=FALSE,IS"&amp;"ERROR(FIND(""H/F"",KitchenCarcassMaterial))=FALSE),""(9mm)"",""(10mm)""),SheetsData,8,0)),IF(ISERROR(FIND(""spacer"",A159))=FALSE,((D159/1000)*(C159/1000))*VLOOKUP(""Poplar ply (18mm)"",SheetsData,8,0),IF(ISERROR(FIND(""filler panel"",A159))=FALSE,((B159/"&amp;"1000)*(C159/1000))*VLOOKUP(KitchenDoorMaterial,SheetsData,8,0),IF(ISERROR(FIND(""shelf"",A159))=FALSE,((D159/1000)*(C159/1000))*VLOOKUP(KitchenCarcassMaterial,SheetsData,8,0),IF(ISERROR(FIND(""lost corner"",A159))=FALSE,VLOOKUP(LEFT(A159,FIND("" "",A159))"&amp;"&amp;""carcass ""&amp;VALUE(REGEXREPLACE(A159,""[^[:digit:]]"", """")),KitchensData,5,0)+((((B159/1000)*(C159/1000))+((B159/1000)*(60/1000)))*VLOOKUP(KitchenCarcassMaterial,SheetsData,8,0)),IF(ISERROR(FIND(""carcass"",A159))=FALSE,(((((B159/1000)*2)*(D159/1000))+"&amp;"(((C159/1000)*2)*(D159/1000)))*VLOOKUP(KitchenCarcassMaterial,SheetsData,8,0))+((B159/1000)*(C159/1000))*VLOOKUP(LEFT(KitchenCarcassMaterial,FIND(""("",KitchenCarcassMaterial)-1)&amp;IF(OR(ISERROR(FIND(""ply"",KitchenCarcassMaterial))=FALSE,ISERROR(FIND(""H/F"&amp;""",KitchenCarcassMaterial))=FALSE),""(9mm)"",""(10mm)""),SheetsData,8,0),IF(OR(ISERROR(FIND(""Plinth"",A159))=FALSE,ISERROR(FIND(""Cornice (flat)"",A159))=FALSE),((B159/1000)*(C159/1000))*VLOOKUP(""H/F (18mm)"",SheetsData,8,0),IF(ISERROR(FIND(""Cornice (s"&amp;"tacked)"",A159))=FALSE,((0.08*(C159/1000))*2)*VLOOKUP(""H/F (22mm)"",SheetsData,8,0),IF(ISERROR(FIND(""Base end panel"",A159))=FALSE,VLOOKUP(KitchenDoorMaterial,SheetsData,5,0)/3,IF(ISERROR(FIND(""Wall end panel"",A159))=FALSE,VLOOKUP(KitchenDoorMaterial,"&amp;"SheetsData,5,0)/9,IF(ISERROR(FIND(""Tower end panel"",A159))=FALSE,VLOOKUP(KitchenDoorMaterial,SheetsData,5,0),IF(ISERROR(FIND(""Fillers"",A159))=FALSE,(((0.06*(C159/1000))*2)*VLOOKUP(""H/F (18mm)"",SheetsData,8,0))+(((0.06*(C159/1000))*2)*VLOOKUP(""H/F ("&amp;"9mm)"",SheetsData,8,0)),IF(ISERROR(FIND(""corner post"",A159))=FALSE,(((B159/1000)*0.05)*2)*VLOOKUP(KitchenDoorMaterial,SheetsData,8,0),IF(ISERROR(FIND(""Pelmet"",A159))=FALSE,((((B159/1000)*(C159/1000))*2)*VLOOKUP(""H/F (18mm)"",SheetsData,8,0)),IF(ISERR"&amp;"OR(FIND(""door"",A159))=TRUE,""Check description"",IF(KitchenDoorStyle=""Flat"",((B159/1000)*(C159/1000))*VLOOKUP(KitchenDoorMaterial,SheetsData,8,0),IF(LEFT(KitchenDoorStyle,5)=""Panel"",(((((B159/1000)*2)*0.08)+((((C159/1000)-0.16)*2)*0.08))*VLOOKUP(""H"&amp;"/F (22mm)"",SheetsData,8,0))+(((B159/1000)-0.14)*((C159/1000)-0.14)*VLOOKUP(""H/F (9mm)"",SheetsData,8,0)),IF(KitchenDoorStyle=""In-frame flat"",((((((B159/1000)*0.019)*0.038)+((((C159-38)/1000)*0.038)*0.038))*2)*VLOOKUP(""Tulip (solid m3)"",SolidData,5,0"&amp;"))+(((B159-76)/1000)*((C159-38)/1000))*VLOOKUP(""H/F (22mm)"",SheetsData,8,0),IF(LEFT(KitchenDoorStyle,14)=""In-frame panel"",(((((((B159/1000)*0.019)*0.038)+((((C159-38)/1000)*0.038)*0.038))*2)*VLOOKUP(""Tulip (solid m3)"",SolidData,5,0))+(((((((B159-76)"&amp;"/1000)*2)*0.08)+(((((C159-198)/1000)*2)*0.08)))*VLOOKUP(""H/F (22mm)"",SheetsData,8,0))+(((B159-216)/1000)*((C159-178)/1000)*VLOOKUP(""H/F (9mm)"",SheetsData,8,0)))))))))))))))))))))))))))))))))"),"")</f>
        <v/>
      </c>
      <c r="F159" s="152" t="str">
        <f>IFERROR(__xludf.DUMMYFUNCTION("IF(OR(A159="""",AND(ISERROR(FIND(""drawer box"",A159))=FALSE,KitchenDrawerType=""Solid dovetail"")),"""",IF(ISERROR(FIND(""bins"",A159))=FALSE,VLOOKUP(""Base carcass 600"",KitchensData,6,0),IF(OR(ISERROR(FIND(""larder"",A159))=FALSE,ISERROR(FIND(""unit"","&amp;"A159))=FALSE),VLOOKUP(LEFT(A159,FIND("" "",A159))&amp;""carcass ""&amp;RIGHT(A159,LEN(A159)-len(regexextract(A159,"".* ""))),KitchensData,6,0),IF(ISERROR(FIND(""drawer front"",A159))=FALSE,IF(ISERROR(FIND(""veneer"",KitchenCarcassMaterial))=TRUE,0,(((B159+C159)/1"&amp;"000)*2)*VLOOKUP(""Edge banding (per M)"",SheetsData,5,0)),IF(ISERROR(FIND(""drawer box"",A159))=FALSE,IF(ISERROR(FIND(""veneer"",KitchenCarcassMaterial))=TRUE,0,(((C159+D159)/1000)*2)*VLOOKUP(""Edge banding (per M)"",SheetsData,5,0)),IF(ISERROR(FIND(""she"&amp;"lf"",A159))=FALSE,IF(ISERROR(FIND(""veneer"",KitchenCarcassMaterial))=TRUE,0,(C159/1000)*VLOOKUP(""Edge banding (per M)"",SheetsData,5,0)),IF(AND(ISERROR(FIND(""carcass"",A159))=FALSE,ISERROR(FIND(""shelf"",A159))=TRUE),IF(ISERROR(FIND(""veneer"",KitchenC"&amp;"arcassMaterial))=TRUE,0,((2*(B159+C159))/1000)*VLOOKUP(""Edge banding (per M)"",SheetsData,5,0)),IF(ISERROR(FIND(""door"",A159))=TRUE,"""",IF(ISERROR(FIND(""veneer"",KitchenDoorMaterial))=TRUE,"""",((2*(B159+C159))/1000)*VLOOKUP(""Edge banding (per M)"",S"&amp;"heetsData,5,0))))))))))"),"")</f>
        <v/>
      </c>
      <c r="G159" s="153" t="str">
        <f>IF(A159="","",IF(ISERROR(FIND("bins",A159))=FALSE,VLOOKUP("Base carcass 600",KitchensData,7,0),IF(OR(ISERROR(FIND("larder",A159))=FALSE,ISERROR(FIND("fridge/freezer",A159))=FALSE,ISERROR(FIND("double oven",A159))=FALSE,ISERROR(FIND("single oven",A159))=FALSE),VLOOKUP(LEFT(A159,FIND(" ",A159))&amp;"carcass "&amp;RIGHT(A159,LEN(A159)-(LEN(A159)-3)),KitchensData,7,0),IF(AND(ISERROR(FIND("carcass",A159))=FALSE,ISERROR(FIND("shelf",A159))=TRUE),IF(OR(ISERROR(FIND("Base",A159))=FALSE,ISERROR(FIND("Tower",A159))=FALSE),IF(OR(ISERROR(FIND("1200",A159))=FALSE, ISERROR(FIND("lost corner",A159))=FALSE),6*VLOOKUP("Plinth foot (2 Parts 80mm)",FurnitureData,5,0),4*VLOOKUP("Plinth foot (2 Parts 80mm)",FurnitureData,5,0)),""),""))))</f>
        <v/>
      </c>
      <c r="H159" s="115" t="str">
        <f>IF(OR(A159="",ISERROR(FIND("door",A159))=TRUE),"",IF(ISERROR(FIND("Wall",A159))=FALSE,VLOOKUP("Hinges &amp; plates (Hettich thick door)",FurnitureData,5,0)*2,IF(ISERROR(FIND("Base",A159))=FALSE,VLOOKUP("Hinges &amp; plates (Hettich thick door)",FurnitureData,5,0)*3,IF(ISERROR(FIND("Boiler",A159))=FALSE,VLOOKUP("Hinges &amp; plates (Hettich thick door)",FurnitureData,5,0)*4,IF(ISERROR(FIND("Tower",A159))=FALSE,VLOOKUP("Hinges &amp; plates (Hettich thick door)",FurnitureData,5,0)*5)))))</f>
        <v/>
      </c>
      <c r="I159" s="115" t="str">
        <f>IF(ISERROR(FIND("shelf",A159))=FALSE,(VLOOKUP("Shelf pegs",FurnitureData,5,0)/100)*4,"")</f>
        <v/>
      </c>
      <c r="J159" s="152" t="str">
        <f>IF(OR(ISERROR(FIND("fridge/freezer",A159))=FALSE,ISERROR(FIND("larder",A159))=FALSE,AND(ISERROR(FIND("Base",A159))=FALSE,ISERROR(FIND("bins",A159))=TRUE,ISERROR(FIND("no shelves",A159))=TRUE,OR(ISERROR(FIND("carcass",A159))=FALSE,ISERROR(FIND("unit",A159))=FALSE))),VLOOKUP("Deep shelf "&amp;C159,KitchensData,18,0),IF(AND(ISERROR(FIND("Wall",A159))=FALSE,ISERROR(FIND("carcass",A159))=FALSE),2*VLOOKUP("Shallow shelf "&amp;C159,KitchensData,18,0),IF(AND(ISERROR(FIND("Tower",A159))=FALSE,ISERROR(FIND("oven",A159))=FALSE),4*VLOOKUP("Deep shelf "&amp;C159,KitchensData,18,0),IF(AND(ISERROR(FIND("Tower",A159))=FALSE,ISERROR(FIND("carcass",A159))=FALSE),5*VLOOKUP("Deep shelf "&amp;C159,KitchensData,18,0),""))))</f>
        <v/>
      </c>
      <c r="K159" s="152" t="str">
        <f>IF(ISERROR(FIND("sink",A159))=FALSE,VLOOKUP("Sink liner - Aluminium "&amp;RIGHT(A159,LEN(A159)-22)&amp;"mm",ExceptionalData,5,0),IF(ISERROR(FIND("bins",A159))=FALSE,VLOOKUP("Drawer runners and clip set for bin unit (500) Dynapro",FurnitureData,5,0)+(2*VLOOKUP("Bin (42L Anthracite)",FurnitureData,5,0)),IF(ISERROR(FIND("larder",A159))=FALSE,VLOOKUP("Pull out larder unit 600mm",FurnitureData,5,0),IF(AND(ISERROR(FIND("drawer box",A159))=FALSE,ISERROR(FIND("internal",A159))=TRUE),VLOOKUP("Drawer runners and clip set (550) Dynapro",FurnitureData,5,0),IF(ISERROR(FIND("internal drawer box",A159))=FALSE,VLOOKUP("Drawer runners and clip set (450) Dynapro",FurnitureData,5,0),"")))))</f>
        <v/>
      </c>
      <c r="L159" s="152" t="str">
        <f t="shared" si="3"/>
        <v/>
      </c>
      <c r="M159" s="154" t="str">
        <f>IFERROR(__xludf.DUMMYFUNCTION("IF(A159="""","""",IF(OR(ISERROR(FIND(""larder"",A159))=FALSE,ISERROR(FIND(""unit"",A159))=FALSE),VLOOKUP(LEFT(A159,FIND("" "",A159))&amp;""carcass ""&amp;RIGHT(A159,LEN(A159)-len(regexextract(A159,"".* ""))),KitchensData,13,0),IF(ISERROR(FIND(""bins"",A159))=FALS"&amp;"E,0.95,IF(ISERROR(FIND(""Cutlery insert 600"",A159))=FALSE,1.3,IF(ISERROR(FIND(""Cutlery insert 1200"",A159))=FALSE,2,IF(ISERROR(FIND(""Pan/tray rack 600"",A159))=FALSE,3.25,IF(ISERROR(FIND(""Pan/tray rack 1200"",A159))=FALSE,5.9,IF(ISERROR(FIND(""split"""&amp;",A159))=FALSE,(((C159/1000)*0.022)*2)+VLOOKUP(SUBSTITUTE(A159,"" split"",""""),KitchensData,13,0),IF(AND(ISERROR(FIND(""drawer front"",A159))=FALSE,KitchenDoorStyle=""Flat""),(((B159/1000)*(C159/1000))*2)+((((B159+C159)/1000)*2)*0.022),IF(AND(ISERROR(FIND"&amp;"(""drawer front"",A159))=FALSE,LEFT(KitchenDoorStyle,5)=""Panel""),(((B159/1000)*(C159/1000))*2)+((((B159+C159)/1000)*2)*0.022)+((((C159/1000)-0.16)*0.013)*2)+((((D159/1000)-0.16)*0.013)*2),IF(AND(ISERROR(FIND(""drawer front"",A159))=FALSE,KitchenDoorStyl"&amp;"e=""In-frame flat""),((((B159-76)/1000)*((C159-38)/1000))*2)+(MID(KitchenDoorMaterial,FIND(""("",KitchenDoorMaterial)+1,2)/1000)*((((B159-76)+(C159-38))/1000)*2)+(((B159/1000)*0.032)*2)+((((B159-76)/1000)*0.032)*2)+(((B159/1000)*0.019)*4)+(((C159/1000)*0."&amp;"032)*2)+((((C159-38)/1000)*0.032)*2)+(((C159/1000)*0.038)*4),IF(AND(ISERROR(FIND(""drawer front"",A159))=FALSE,LEFT(KitchenDoorStyle,14)=""In-frame panel""),((((B159-76)/1000)*((C159-38)/1000))*2)+((MID(KitchenDoorMaterial,FIND(""("",KitchenDoorMaterial)+"&amp;"1,2)/1000)*((((B159-76)+(C159-38))/1000)*2))+((((B159-236)/1000)+((C159-198)/1000)*2)*0.013)+(((B159/1000)*0.032)*2)+((((B159-76)/1000)*0.032)*2)+(((B159/1000)*0.019)*4)+(((C159/1000)*0.032)*2)+((((C159-38)/1000)*0.032)*2)+(((C159/1000)*0.038)*4),IF(ISERR"&amp;"OR(FIND(""drawer box"",A159))=FALSE,((((B159/1000)*(D159/1000))+((B159/1000)*(C159/1000)))*4)+((((D159/1000)+(C159/1000))*0.016)*4)+(((C159/1000)*(D159/1000))*2),IF(OR(ISERROR(FIND(""shelf"",A159))=FALSE,ISERROR(FIND(""spacer"",A159))=FALSE,,ISERROR(FIND("&amp;"""filler panel"",A159))=FALSE),(((C159/1000)*(D159/1000))*2)+((((C159+D159)*2)/1000)*0.022),IF(ISERROR(FIND(""lost corner"",A159))=FALSE,(((B159/1000)*(C159/1000))*2)+((B159/1000)*(C159/1000))+((B159/1000)*((C159/2)/1000))+((((B159/1000)*0.025)+((C159/100"&amp;"0)*0.025))*2),IF(ISERROR(FIND(""carcass"",A159))=FALSE,(((C159/1000)*(D159/1000))*2)+(((B159/1000)*(D159/1000))*2)+((B159/1000)*(C159/1000))+((((B159/1000)*0.025)+((C159/1000)*0.025))*2),IF(AND(ISERROR(FIND(""door"",A159))=FALSE,KitchenDoorStyle=""Flat"")"&amp;",(((B159/1000)*(C159/1000))*2)+(MID(KitchenDoorMaterial,FIND(""("",KitchenDoorMaterial)+1,2)/1000)*(((B159+C159)/1000)*2),IF(AND(ISERROR(FIND(""door"",A159))=FALSE,LEFT(KitchenDoorStyle,5)=""Panel""),(((B159/1000)*(C159/1000))*2)+((MID(KitchenDoorMaterial"&amp;",FIND(""("",KitchenDoorMaterial)+1,2)/1000)*(((B159+C159)/1000)*2))+(((((B159-160)+(C159-160))*2)/1000)*(0.013)),IF(AND(ISERROR(FIND(""door"",A159))=FALSE,KitchenDoorStyle=""In-frame flat""),((((B159-76)/1000)*((C159-38)/1000))*2)+(MID(KitchenDoorMaterial"&amp;",FIND(""("",KitchenDoorMaterial)+1,2)/1000)*((((B159-76)+(C159-38))/1000)*2)+(((B159/1000)*0.032)*2)+((((B159-76)/1000)*0.032)*2)+(((B159/1000)*0.019)*4)+(((C159/1000)*0.032)*2)+((((C159-38)/1000)*0.032)*2)+(((C159/1000)*0.038)*4),IF(AND(ISERROR(FIND(""do"&amp;"or"",A159))=FALSE,LEFT(KitchenDoorStyle,14)=""In-frame panel""),((((B159-76)/1000)*((C159-38)/1000))*2)+((MID(KitchenDoorMaterial,FIND(""("",KitchenDoorMaterial)+1,2)/1000)*((((B159-76)+(C159-38))/1000)*2))+((((B159-236)/1000)+((C159-198)/1000)*2)*0.013)+"&amp;"(((B159/1000)*0.032)*2)+((((B159-76)/1000)*0.032)*2)+(((B159/1000)*0.019)*4)+(((C159/1000)*0.032)*2)+((((C159-38)/1000)*0.032)*2)+(((C159/1000)*0.038)*4),IF(ISERROR(FIND(""Plinth"",A159))=FALSE,((B159/1000)*(C159/1000))+(((C159/1000)*0.018)*2)+(((B159/100"&amp;"0)*0.018)*2),IF(ISERROR(FIND(""Cornice"",A159))=FALSE,(((C159/1000)*0.1)*2)+(((C159/1000)*0.044)*2)+(((B159/1000)*0.08)*2),IF(ISERROR(FIND(""Base end panel"",A159))=FALSE,((B159/1000)*(C159/1000))+(0.022*((B159/1000)+((C159/1000)*2)))+((B159/1000)*0.05),I"&amp;"F(ISERROR(FIND(""Wall end panel"",A159))=FALSE,((B159/1000)*(C159/1000))+(0.022*((B159/1000)+((C159/1000)*2)))+((B159/1000)*0.05),IF(ISERROR(FIND(""Tower end panel"",A159))=FALSE,((B159/1000)*(C159/1000))+(0.022*((B159/1000)+((C159/1000)*2)))+((B159/1000)"&amp;"*0.05),IF(ISERROR(FIND(""Fillers"",A159))=FALSE,((C159/1000)*0.06)+((C159/1000)*0.069)+((0.06*0.018)*2)+((0.06*0.009)*2)+((C159/1000)*0.009)+((C159/1000)*0.018),IF(ISERROR(FIND(""corner post"",A159))=FALSE,(((B159/1000*0.05)*2)+((B159/1000)*0.022)*2)+((B1"&amp;"59/1000)*0.072)+((B159/1000)*0.05)+((0.072*0.022)*2)+((0.05*0.022)*2),IF(ISERROR(FIND(""Pelmet"",A159))=FALSE,((C159/1000)*0.05)+((C159/1000)*0.068)+((0.05*0.018)*4)+(((C159/1000)*0.018))*2))))))))))))))))))))))))))))"),"")</f>
        <v/>
      </c>
      <c r="N159" s="152" t="str">
        <f>IF(M159="","",IF(AND(ISERROR(FIND("carcass",A159))=TRUE,ISERROR(FIND("unit",A159))=TRUE,ISERROR(FIND("insert",A159))=TRUE,ISERROR(FIND("rack",A159))=TRUE,ISERROR(FIND("box",A159))=TRUE,ISERROR(FIND("shelf",#REF!))=TRUE),VLOOKUP(KitchenDoorFinish,Finishing!$A$2:$K$10,9,0)*M159,VLOOKUP(KitchenCarcassFinish,Finishing!$A$2:$K$40,9,0)*M159))</f>
        <v/>
      </c>
      <c r="O159" s="155"/>
      <c r="P159" s="155"/>
      <c r="Q159" s="152" t="str">
        <f>IF(OR(O159="",P159=""),"",((O159*X159)*(VLOOKUP("Workshop",Labour!$A$3:$E$20,4,0)/8))+((P159*AE159)*(VLOOKUP("Finishing",Labour!$A$3:$E$20,4,0)/8)))</f>
        <v/>
      </c>
      <c r="R159" s="152" t="str">
        <f t="shared" si="4"/>
        <v/>
      </c>
      <c r="S159" s="156" t="str">
        <f>IF(OR(O159="",P159=""),"",IF(OR(ISERROR(FIND("carcass",$A159))=FALSE,ISERROR(FIND("unit",$A159))=FALSE),VLOOKUP(KitchenCarcassMaterial,FixedListsCarcassMaterial,2,0),0))</f>
        <v/>
      </c>
      <c r="T159" s="156" t="str">
        <f>IF(OR(O159="",P159=""),"",IF(ISERROR(FIND("door",$A159))=FALSE,VLOOKUP(KitchenDoorStyle,FixedListsDoorStyle,2,0),0))</f>
        <v/>
      </c>
      <c r="U159" s="156" t="str">
        <f>IF(OR(O159="",P159=""),"",IF(ISERROR(FIND("door",$A159))=FALSE,VLOOKUP(KitchenDoorMaterial,FixedListsDoorMaterial,2,0),0))</f>
        <v/>
      </c>
      <c r="V159" s="156" t="str">
        <f>IF(OR(O159="",P159=""),"",IF(ISERROR(FIND("drawer",$A159))=FALSE,VLOOKUP(KitchenDrawerType,FixedListsDrawerType,2,0),0))</f>
        <v/>
      </c>
      <c r="W159" s="156" t="str">
        <f>IF(OR(O159="",P159=""),"",IF(OR(S159&gt;0, T159&gt;0,V159&gt;0),VLOOKUP(KitchenHandleType,FixedListsHandleType,2,FALSE)*IF(KitchenHandleType="Simple",0,IF(S159&gt;0,VLOOKUP(KitchenHandleType,FixedListsHandleType,4,FALSE),IF(OR(T159&gt;0,V159&gt;0),1-VLOOKUP(KitchenHandleType,FixedListsHandleType,4,FALSE),"Error"))),0))</f>
        <v/>
      </c>
      <c r="X159" s="156" t="str">
        <f t="shared" si="5"/>
        <v/>
      </c>
      <c r="Y159" s="156" t="str">
        <f>IF(OR(O159="",P159=""),"",IF(OR(ISERROR(FIND("carcass",$A159))=FALSE,ISERROR(FIND("unit",$A159))=FALSE),VLOOKUP(KitchenCarcassMaterial,FixedListsCarcassMaterial,3,0),0))</f>
        <v/>
      </c>
      <c r="Z159" s="156" t="str">
        <f>IF(OR(O159="",P159=""),"",IF(ISERROR(FIND("door",$A159))=FALSE,VLOOKUP(KitchenDoorStyle,FixedListsDoorStyle,3,0),0))</f>
        <v/>
      </c>
      <c r="AA159" s="156" t="str">
        <f>IF(OR(O159="",P159=""),"",IF(ISERROR(FIND("door",$A159))=FALSE,VLOOKUP(KitchenDoorMaterial,FixedListsDoorMaterial,3,0),0))</f>
        <v/>
      </c>
      <c r="AB159" s="156" t="str">
        <f>IF(OR(O159="",P159=""),"",IF(ISERROR(FIND("drawer",$A159))=FALSE,VLOOKUP(KitchenDrawerType,FixedListsDrawerType,3,0),0))</f>
        <v/>
      </c>
      <c r="AC159" s="156" t="str">
        <f>IF(OR(O159="",P159=""),"",IF(OR(Y159&gt;0,Z159&gt;0,AB159&gt;0),VLOOKUP(KitchenHandleType,FixedListsHandleType,3,FALSE),0))</f>
        <v/>
      </c>
      <c r="AD159" s="156" t="str">
        <f>IF(OR(O159="",P159=""),"",IF(OR(ISERROR(FIND("carcass",$A159))=FALSE,ISERROR(FIND("unit",$A159))=FALSE),VLOOKUP(KitchenCarcassFinish,FixedListsFinishes,3,0),IF(OR(ISERROR(FIND("door",$A159))=FALSE,ISERROR(FIND("Plinth",$A159))=FALSE,ISERROR(FIND("Cornice",$A159))=FALSE,ISERROR(FIND("Fillers",$A159))=FALSE,ISERROR(FIND("Pelmet",$A159))=FALSE,ISERROR(FIND("panel",$A159))=FALSE,ISERROR(FIND("post",$A159))=FALSE),VLOOKUP(KitchenDoorFinish,FixedListsFinishes,3,0),IF(OR(ISERROR(FIND("drawer",$A159))=FALSE,ISERROR(FIND("insert",$A159))=FALSE,ISERROR(FIND("rck",$A159))=FALSE),VLOOKUP(KitchenCarcassFinish,FixedListsFinishes,3,0),0))))</f>
        <v/>
      </c>
      <c r="AE159" s="156" t="str">
        <f t="shared" si="6"/>
        <v/>
      </c>
      <c r="AF159" s="157" t="str">
        <f>IF(AND(KitchenHandleType="Channel",OR(ISERROR(FIND("arcass",$A159))=FALSE,ISERROR(FIND("unit",$A159))=FALSE)),IF(ISERROR(FIND("Tower",$A159))=TRUE,IF(KitchenHandleFinish="Match carcass",IF(ISERROR(FIND("Walnut",KitchenCarcassMaterial))=FALSE,(0.035*0.075*($C159/1000))*VLOOKUP("Walnut (solid m3)",SolidData,4,FALSE),IF(ISERROR(FIND("Oak",KitchenCarcassMaterial))=FALSE,(0.035*0.075*($C159/1000))*VLOOKUP("Oak (solid m3)",SolidData,4,FALSE),IF(ISERROR(FIND("ply",KitchenCarcassMaterial))=FALSE,(0.1*($C159/1000))*VLOOKUP("Birch ply (24mm)",SheetsData,7,FALSE),IF(ISERROR(FIND("H/F",KitchenCarcassMaterial))=FALSE,(0.1*($C159/1000))*VLOOKUP("H/F (22mm)",SheetsData,7,FALSE),"Carcass - not tower - new material")))),IF(KitchenHandleFinish="Match door",IF(ISERROR(FIND("Walnut",KitchenDoorMaterial))=FALSE,(0.035*0.075*($C159/1000))*VLOOKUP("Walnut (solid m3)",SolidData,4,FALSE),IF(ISERROR(FIND("Oak",KitchenDoorMaterial))=FALSE,(0.035*0.075*($C159/1000))*VLOOKUP("Oak (solid m3)",SolidData,4,FALSE),IF(ISERROR(FIND("ply",KitchenDoorMaterial))=FALSE,(0.1*($C159/1000))*VLOOKUP("Birch ply (24mm)",SheetsData,7,FALSE),IF(ISERROR(FIND("H/F",KitchenCarcassMaterial))=FALSE,(0.1*($C159/1000))*VLOOKUP("H/F (22mm)",SheetsData,7,FALSE),"Door - not tower - new material")))),"Channel - not tower - handle set to other")),IF(ISERROR(FIND("Tower",$A159))=FALSE,IF(KitchenHandleFinish="Match carcass",IF(ISERROR(FIND("Walnut",KitchenCarcassMaterial))=FALSE,(0.035*0.075*($B159/1000))*VLOOKUP("Walnut (solid m3)",SolidData,4,FALSE),IF(ISERROR(FIND("Oak",KitchenCarcassMaterial))=FALSE,(0.035*0.075*($B159/1000))*VLOOKUP("Oak (solid m3)",SolidData,4,FALSE),IF(ISERROR(FIND("ply",KitchenCarcassMaterial))=FALSE,(0.1*($B159/1000))*VLOOKUP("Birch ply (24mm)",SheetsData,7,FALSE),IF(ISERROR(FIND("H/F",KitchenCarcassMaterial))=FALSE,(0.1*($C159/1000))*VLOOKUP("H/F (22mm)",SheetsData,7,FALSE),"Carcass - tower - new material")))),IF(KitchenHandleFinish="Match door",IF(ISERROR(FIND("Walnut",KitchenDoorMaterial))=FALSE,(0.035*0.075*($B159/1000))*VLOOKUP("Walnut (solid m3)",SolidData,4,FALSE),IF(ISERROR(FIND("Oak",KitchenDoorMaterial))=FALSE,(0.035*0.075*($B159/1000))*VLOOKUP("Oak (solid m3)",SolidData,4,FALSE),IF(ISERROR(FIND("ply",KitchenDoorMaterial))=FALSE,(0.1*($B159/1000))*VLOOKUP("Birch ply (24mm)",SheetData,7,FALSE),IF(ISERROR(FIND("H/F",KitchenCarcassMaterial))=FALSE,(0.1*($C159/1000))*VLOOKUP("H/F (22mm)",SheetsData,7,FALSE),"Door - tower - new material")))),"Channel - tower - handle set to other")))),"")</f>
        <v/>
      </c>
    </row>
    <row r="160">
      <c r="A160" s="150"/>
      <c r="B160" s="115" t="str">
        <f t="shared" si="1"/>
        <v/>
      </c>
      <c r="C160" s="115" t="str">
        <f>IFERROR(__xludf.DUMMYFUNCTION("IF(A160="""","""",IF(OR(RIGHT(A160,LEN(A160)-len(regexextract(A160,"".* "")))=""1200"",RIGHT(A160,LEN(A160)-len(regexextract(A160,"".* "")))=""600"",RIGHT(A160,LEN(A160)-len(regexextract(A160,"".* "")))=""400"",RIGHT(A160,LEN(A160)-len(regexextract(A160,"&amp;""".* "")))=""300"",RIGHT(A160,LEN(A160)-len(regexextract(A160,"".* "")))=""700"",RIGHT(A160,LEN(A160)-len(regexextract(A160,"".* "")))=""2400"",RIGHT(A160,LEN(A160)-len(regexextract(A160,"".* "")))=""650"",RIGHT(A160,LEN(A160)-len(regexextract(A160,"".* "&amp;""")))=""350"",RIGHT(A160,LEN(A160)-len(regexextract(A160,"".* "")))=""50""),RIGHT(A160,LEN(A160)-len(regexextract(A160,"".* ""))),IF(OR(ISERROR(FIND(""spacer"",A160))=FALSE,ISERROR(FIND(""filler panel"",A160))=FALSE),""1000"",""Unexpected size in descript"&amp;"ion"")))"),"")</f>
        <v/>
      </c>
      <c r="D160" s="151" t="str">
        <f t="shared" si="2"/>
        <v/>
      </c>
      <c r="E160" s="152" t="str">
        <f>IFERROR(__xludf.DUMMYFUNCTION("IF(OR(A160="""",AND(ISERROR(FIND(""drawer box"",A160))=FALSE,KitchenDrawerType="""")),"""",IF(OR(ISERROR(FIND(""larder"",A160))=FALSE,ISERROR(FIND(""fridge/freezer"",A160))=FALSE,ISERROR(FIND(""double oven"",A160))=FALSE,ISERROR(FIND(""single oven"",A160)"&amp;")=FALSE),VLOOKUP(LEFT(A160,FIND("" "",A160))&amp;""carcass ""&amp;RIGHT(A160,LEN(A160)-(LEN(A160)-3)),KitchensData,5,0),IF(ISERROR(FIND(""sink"",A160))=FALSE,VLOOKUP(LEFT(A160,FIND("" "",A160))&amp;""carcass ""&amp;VALUE(REGEXREPLACE(A160,""[^[:digit:]]"", """")),Kitchen"&amp;"sData,5,0)+(((C160/1000)*(300/1000))*VLOOKUP(KitchenCarcassMaterial,SheetsData,8,0)),IF(ISERROR(FIND(""bins"",A160))=FALSE,IF(ISERROR(FIND(""veneer"",KitchenCarcassMaterial))=FALSE,VLOOKUP(""Base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600"",A160))=FALSE,IF(ISERR"&amp;"OR(FIND(""veneer"",KitchenCarcassMaterial))=FALSE,0.54*(VLOOKUP(LEFT(KitchenCarcassMaterial,FIND(""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1"&amp;"200"",A160))=FALSE,IF(ISERROR(FIND(""veneer"",KitchenCarcassMaterial))=FALSE,0.84*(VLOOKUP(LEFT(KitchenCarcassMaterial,FIND(""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600"",A160))=FALSE,IF(ISERROR(FIND(""veneer"",KitchenCarcassMaterial))=FALSE,1.44*(VLOOKUP(LEFT(KitchenCarcassMaterial,FIND(""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1200"",A160))=FALSE,IF(ISERROR(FIND(""veneer"",KitchenCarcassMaterial))=FALSE,2.7*(VLOOKUP(LEFT(KitchenCarcassMaterial,FIND(""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front"",A160))=FALSE,((B160/1000)*(C160/1000))*VLOOKUP(KitchenDoorMaterial,SheetsData,8,0),IF(AND(KitchenDrawerType=""Match carcass"",ISERROR(FIND(""drawer box"",A160))=FALSE),(((((B160/10"&amp;"00)*(C160/1000))+((B160/1000)*(D160/1000)))*2)*VLOOKUP(KitchenCarcassMaterial,SheetsData,8,0))+(((C160/1000)*(D160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box"",A160))=FALSE),(((((B160/1000)*(C160/1000))+((B160/1000)*(D160/1000)))*2)*(16/1000)*VLOOKUP(L"&amp;"EFT(KitchenCarcassMaterial,FIND("" "",KitchenCarcassMaterial))&amp;""(solid m3)"",SolidData,5,0))+(((C160/1000)*(D160/1000))*VLOOKUP(LEFT(KitchenCarcassMaterial,FIND(""("",KitchenCarcassMaterial)-1)&amp;IF(OR(ISERROR(FIND(""ply"",KitchenCarcassMaterial))=FALSE,IS"&amp;"ERROR(FIND(""H/F"",KitchenCarcassMaterial))=FALSE),""(9mm)"",""(10mm)""),SheetsData,8,0)),IF(ISERROR(FIND(""spacer"",A160))=FALSE,((D160/1000)*(C160/1000))*VLOOKUP(""Poplar ply (18mm)"",SheetsData,8,0),IF(ISERROR(FIND(""filler panel"",A160))=FALSE,((B160/"&amp;"1000)*(C160/1000))*VLOOKUP(KitchenDoorMaterial,SheetsData,8,0),IF(ISERROR(FIND(""shelf"",A160))=FALSE,((D160/1000)*(C160/1000))*VLOOKUP(KitchenCarcassMaterial,SheetsData,8,0),IF(ISERROR(FIND(""lost corner"",A160))=FALSE,VLOOKUP(LEFT(A160,FIND("" "",A160))"&amp;"&amp;""carcass ""&amp;VALUE(REGEXREPLACE(A160,""[^[:digit:]]"", """")),KitchensData,5,0)+((((B160/1000)*(C160/1000))+((B160/1000)*(60/1000)))*VLOOKUP(KitchenCarcassMaterial,SheetsData,8,0)),IF(ISERROR(FIND(""carcass"",A160))=FALSE,(((((B160/1000)*2)*(D160/1000))+"&amp;"(((C160/1000)*2)*(D160/1000)))*VLOOKUP(KitchenCarcassMaterial,SheetsData,8,0))+((B160/1000)*(C160/1000))*VLOOKUP(LEFT(KitchenCarcassMaterial,FIND(""("",KitchenCarcassMaterial)-1)&amp;IF(OR(ISERROR(FIND(""ply"",KitchenCarcassMaterial))=FALSE,ISERROR(FIND(""H/F"&amp;""",KitchenCarcassMaterial))=FALSE),""(9mm)"",""(10mm)""),SheetsData,8,0),IF(OR(ISERROR(FIND(""Plinth"",A160))=FALSE,ISERROR(FIND(""Cornice (flat)"",A160))=FALSE),((B160/1000)*(C160/1000))*VLOOKUP(""H/F (18mm)"",SheetsData,8,0),IF(ISERROR(FIND(""Cornice (s"&amp;"tacked)"",A160))=FALSE,((0.08*(C160/1000))*2)*VLOOKUP(""H/F (22mm)"",SheetsData,8,0),IF(ISERROR(FIND(""Base end panel"",A160))=FALSE,VLOOKUP(KitchenDoorMaterial,SheetsData,5,0)/3,IF(ISERROR(FIND(""Wall end panel"",A160))=FALSE,VLOOKUP(KitchenDoorMaterial,"&amp;"SheetsData,5,0)/9,IF(ISERROR(FIND(""Tower end panel"",A160))=FALSE,VLOOKUP(KitchenDoorMaterial,SheetsData,5,0),IF(ISERROR(FIND(""Fillers"",A160))=FALSE,(((0.06*(C160/1000))*2)*VLOOKUP(""H/F (18mm)"",SheetsData,8,0))+(((0.06*(C160/1000))*2)*VLOOKUP(""H/F ("&amp;"9mm)"",SheetsData,8,0)),IF(ISERROR(FIND(""corner post"",A160))=FALSE,(((B160/1000)*0.05)*2)*VLOOKUP(KitchenDoorMaterial,SheetsData,8,0),IF(ISERROR(FIND(""Pelmet"",A160))=FALSE,((((B160/1000)*(C160/1000))*2)*VLOOKUP(""H/F (18mm)"",SheetsData,8,0)),IF(ISERR"&amp;"OR(FIND(""door"",A160))=TRUE,""Check description"",IF(KitchenDoorStyle=""Flat"",((B160/1000)*(C160/1000))*VLOOKUP(KitchenDoorMaterial,SheetsData,8,0),IF(LEFT(KitchenDoorStyle,5)=""Panel"",(((((B160/1000)*2)*0.08)+((((C160/1000)-0.16)*2)*0.08))*VLOOKUP(""H"&amp;"/F (22mm)"",SheetsData,8,0))+(((B160/1000)-0.14)*((C160/1000)-0.14)*VLOOKUP(""H/F (9mm)"",SheetsData,8,0)),IF(KitchenDoorStyle=""In-frame flat"",((((((B160/1000)*0.019)*0.038)+((((C160-38)/1000)*0.038)*0.038))*2)*VLOOKUP(""Tulip (solid m3)"",SolidData,5,0"&amp;"))+(((B160-76)/1000)*((C160-38)/1000))*VLOOKUP(""H/F (22mm)"",SheetsData,8,0),IF(LEFT(KitchenDoorStyle,14)=""In-frame panel"",(((((((B160/1000)*0.019)*0.038)+((((C160-38)/1000)*0.038)*0.038))*2)*VLOOKUP(""Tulip (solid m3)"",SolidData,5,0))+(((((((B160-76)"&amp;"/1000)*2)*0.08)+(((((C160-198)/1000)*2)*0.08)))*VLOOKUP(""H/F (22mm)"",SheetsData,8,0))+(((B160-216)/1000)*((C160-178)/1000)*VLOOKUP(""H/F (9mm)"",SheetsData,8,0)))))))))))))))))))))))))))))))))"),"")</f>
        <v/>
      </c>
      <c r="F160" s="152" t="str">
        <f>IFERROR(__xludf.DUMMYFUNCTION("IF(OR(A160="""",AND(ISERROR(FIND(""drawer box"",A160))=FALSE,KitchenDrawerType=""Solid dovetail"")),"""",IF(ISERROR(FIND(""bins"",A160))=FALSE,VLOOKUP(""Base carcass 600"",KitchensData,6,0),IF(OR(ISERROR(FIND(""larder"",A160))=FALSE,ISERROR(FIND(""unit"","&amp;"A160))=FALSE),VLOOKUP(LEFT(A160,FIND("" "",A160))&amp;""carcass ""&amp;RIGHT(A160,LEN(A160)-len(regexextract(A160,"".* ""))),KitchensData,6,0),IF(ISERROR(FIND(""drawer front"",A160))=FALSE,IF(ISERROR(FIND(""veneer"",KitchenCarcassMaterial))=TRUE,0,(((B160+C160)/1"&amp;"000)*2)*VLOOKUP(""Edge banding (per M)"",SheetsData,5,0)),IF(ISERROR(FIND(""drawer box"",A160))=FALSE,IF(ISERROR(FIND(""veneer"",KitchenCarcassMaterial))=TRUE,0,(((C160+D160)/1000)*2)*VLOOKUP(""Edge banding (per M)"",SheetsData,5,0)),IF(ISERROR(FIND(""she"&amp;"lf"",A160))=FALSE,IF(ISERROR(FIND(""veneer"",KitchenCarcassMaterial))=TRUE,0,(C160/1000)*VLOOKUP(""Edge banding (per M)"",SheetsData,5,0)),IF(AND(ISERROR(FIND(""carcass"",A160))=FALSE,ISERROR(FIND(""shelf"",A160))=TRUE),IF(ISERROR(FIND(""veneer"",KitchenC"&amp;"arcassMaterial))=TRUE,0,((2*(B160+C160))/1000)*VLOOKUP(""Edge banding (per M)"",SheetsData,5,0)),IF(ISERROR(FIND(""door"",A160))=TRUE,"""",IF(ISERROR(FIND(""veneer"",KitchenDoorMaterial))=TRUE,"""",((2*(B160+C160))/1000)*VLOOKUP(""Edge banding (per M)"",S"&amp;"heetsData,5,0))))))))))"),"")</f>
        <v/>
      </c>
      <c r="G160" s="153" t="str">
        <f>IF(A160="","",IF(ISERROR(FIND("bins",A160))=FALSE,VLOOKUP("Base carcass 600",KitchensData,7,0),IF(OR(ISERROR(FIND("larder",A160))=FALSE,ISERROR(FIND("fridge/freezer",A160))=FALSE,ISERROR(FIND("double oven",A160))=FALSE,ISERROR(FIND("single oven",A160))=FALSE),VLOOKUP(LEFT(A160,FIND(" ",A160))&amp;"carcass "&amp;RIGHT(A160,LEN(A160)-(LEN(A160)-3)),KitchensData,7,0),IF(AND(ISERROR(FIND("carcass",A160))=FALSE,ISERROR(FIND("shelf",A160))=TRUE),IF(OR(ISERROR(FIND("Base",A160))=FALSE,ISERROR(FIND("Tower",A160))=FALSE),IF(OR(ISERROR(FIND("1200",A160))=FALSE, ISERROR(FIND("lost corner",A160))=FALSE),6*VLOOKUP("Plinth foot (2 Parts 80mm)",FurnitureData,5,0),4*VLOOKUP("Plinth foot (2 Parts 80mm)",FurnitureData,5,0)),""),""))))</f>
        <v/>
      </c>
      <c r="H160" s="115" t="str">
        <f>IF(OR(A160="",ISERROR(FIND("door",A160))=TRUE),"",IF(ISERROR(FIND("Wall",A160))=FALSE,VLOOKUP("Hinges &amp; plates (Hettich thick door)",FurnitureData,5,0)*2,IF(ISERROR(FIND("Base",A160))=FALSE,VLOOKUP("Hinges &amp; plates (Hettich thick door)",FurnitureData,5,0)*3,IF(ISERROR(FIND("Boiler",A160))=FALSE,VLOOKUP("Hinges &amp; plates (Hettich thick door)",FurnitureData,5,0)*4,IF(ISERROR(FIND("Tower",A160))=FALSE,VLOOKUP("Hinges &amp; plates (Hettich thick door)",FurnitureData,5,0)*5)))))</f>
        <v/>
      </c>
      <c r="I160" s="115" t="str">
        <f>IF(ISERROR(FIND("shelf",A160))=FALSE,(VLOOKUP("Shelf pegs",FurnitureData,5,0)/100)*4,"")</f>
        <v/>
      </c>
      <c r="J160" s="152" t="str">
        <f>IF(OR(ISERROR(FIND("fridge/freezer",A160))=FALSE,ISERROR(FIND("larder",A160))=FALSE,AND(ISERROR(FIND("Base",A160))=FALSE,ISERROR(FIND("bins",A160))=TRUE,ISERROR(FIND("no shelves",A160))=TRUE,OR(ISERROR(FIND("carcass",A160))=FALSE,ISERROR(FIND("unit",A160))=FALSE))),VLOOKUP("Deep shelf "&amp;C160,KitchensData,18,0),IF(AND(ISERROR(FIND("Wall",A160))=FALSE,ISERROR(FIND("carcass",A160))=FALSE),2*VLOOKUP("Shallow shelf "&amp;C160,KitchensData,18,0),IF(AND(ISERROR(FIND("Tower",A160))=FALSE,ISERROR(FIND("oven",A160))=FALSE),4*VLOOKUP("Deep shelf "&amp;C160,KitchensData,18,0),IF(AND(ISERROR(FIND("Tower",A160))=FALSE,ISERROR(FIND("carcass",A160))=FALSE),5*VLOOKUP("Deep shelf "&amp;C160,KitchensData,18,0),""))))</f>
        <v/>
      </c>
      <c r="K160" s="152" t="str">
        <f>IF(ISERROR(FIND("sink",A160))=FALSE,VLOOKUP("Sink liner - Aluminium "&amp;RIGHT(A160,LEN(A160)-22)&amp;"mm",ExceptionalData,5,0),IF(ISERROR(FIND("bins",A160))=FALSE,VLOOKUP("Drawer runners and clip set for bin unit (500) Dynapro",FurnitureData,5,0)+(2*VLOOKUP("Bin (42L Anthracite)",FurnitureData,5,0)),IF(ISERROR(FIND("larder",A160))=FALSE,VLOOKUP("Pull out larder unit 600mm",FurnitureData,5,0),IF(AND(ISERROR(FIND("drawer box",A160))=FALSE,ISERROR(FIND("internal",A160))=TRUE),VLOOKUP("Drawer runners and clip set (550) Dynapro",FurnitureData,5,0),IF(ISERROR(FIND("internal drawer box",A160))=FALSE,VLOOKUP("Drawer runners and clip set (450) Dynapro",FurnitureData,5,0),"")))))</f>
        <v/>
      </c>
      <c r="L160" s="152" t="str">
        <f t="shared" si="3"/>
        <v/>
      </c>
      <c r="M160" s="154" t="str">
        <f>IFERROR(__xludf.DUMMYFUNCTION("IF(A160="""","""",IF(OR(ISERROR(FIND(""larder"",A160))=FALSE,ISERROR(FIND(""unit"",A160))=FALSE),VLOOKUP(LEFT(A160,FIND("" "",A160))&amp;""carcass ""&amp;RIGHT(A160,LEN(A160)-len(regexextract(A160,"".* ""))),KitchensData,13,0),IF(ISERROR(FIND(""bins"",A160))=FALS"&amp;"E,0.95,IF(ISERROR(FIND(""Cutlery insert 600"",A160))=FALSE,1.3,IF(ISERROR(FIND(""Cutlery insert 1200"",A160))=FALSE,2,IF(ISERROR(FIND(""Pan/tray rack 600"",A160))=FALSE,3.25,IF(ISERROR(FIND(""Pan/tray rack 1200"",A160))=FALSE,5.9,IF(ISERROR(FIND(""split"""&amp;",A160))=FALSE,(((C160/1000)*0.022)*2)+VLOOKUP(SUBSTITUTE(A160,"" split"",""""),KitchensData,13,0),IF(AND(ISERROR(FIND(""drawer front"",A160))=FALSE,KitchenDoorStyle=""Flat""),(((B160/1000)*(C160/1000))*2)+((((B160+C160)/1000)*2)*0.022),IF(AND(ISERROR(FIND"&amp;"(""drawer front"",A160))=FALSE,LEFT(KitchenDoorStyle,5)=""Panel""),(((B160/1000)*(C160/1000))*2)+((((B160+C160)/1000)*2)*0.022)+((((C160/1000)-0.16)*0.013)*2)+((((D160/1000)-0.16)*0.013)*2),IF(AND(ISERROR(FIND(""drawer front"",A160))=FALSE,KitchenDoorStyl"&amp;"e=""In-frame flat""),((((B160-76)/1000)*((C160-38)/1000))*2)+(MID(KitchenDoorMaterial,FIND(""("",KitchenDoorMaterial)+1,2)/1000)*((((B160-76)+(C160-38))/1000)*2)+(((B160/1000)*0.032)*2)+((((B160-76)/1000)*0.032)*2)+(((B160/1000)*0.019)*4)+(((C160/1000)*0."&amp;"032)*2)+((((C160-38)/1000)*0.032)*2)+(((C160/1000)*0.038)*4),IF(AND(ISERROR(FIND(""drawer front"",A160))=FALSE,LEFT(KitchenDoorStyle,14)=""In-frame panel""),((((B160-76)/1000)*((C160-38)/1000))*2)+((MID(KitchenDoorMaterial,FIND(""("",KitchenDoorMaterial)+"&amp;"1,2)/1000)*((((B160-76)+(C160-38))/1000)*2))+((((B160-236)/1000)+((C160-198)/1000)*2)*0.013)+(((B160/1000)*0.032)*2)+((((B160-76)/1000)*0.032)*2)+(((B160/1000)*0.019)*4)+(((C160/1000)*0.032)*2)+((((C160-38)/1000)*0.032)*2)+(((C160/1000)*0.038)*4),IF(ISERR"&amp;"OR(FIND(""drawer box"",A160))=FALSE,((((B160/1000)*(D160/1000))+((B160/1000)*(C160/1000)))*4)+((((D160/1000)+(C160/1000))*0.016)*4)+(((C160/1000)*(D160/1000))*2),IF(OR(ISERROR(FIND(""shelf"",A160))=FALSE,ISERROR(FIND(""spacer"",A160))=FALSE,,ISERROR(FIND("&amp;"""filler panel"",A160))=FALSE),(((C160/1000)*(D160/1000))*2)+((((C160+D160)*2)/1000)*0.022),IF(ISERROR(FIND(""lost corner"",A160))=FALSE,(((B160/1000)*(C160/1000))*2)+((B160/1000)*(C160/1000))+((B160/1000)*((C160/2)/1000))+((((B160/1000)*0.025)+((C160/100"&amp;"0)*0.025))*2),IF(ISERROR(FIND(""carcass"",A160))=FALSE,(((C160/1000)*(D160/1000))*2)+(((B160/1000)*(D160/1000))*2)+((B160/1000)*(C160/1000))+((((B160/1000)*0.025)+((C160/1000)*0.025))*2),IF(AND(ISERROR(FIND(""door"",A160))=FALSE,KitchenDoorStyle=""Flat"")"&amp;",(((B160/1000)*(C160/1000))*2)+(MID(KitchenDoorMaterial,FIND(""("",KitchenDoorMaterial)+1,2)/1000)*(((B160+C160)/1000)*2),IF(AND(ISERROR(FIND(""door"",A160))=FALSE,LEFT(KitchenDoorStyle,5)=""Panel""),(((B160/1000)*(C160/1000))*2)+((MID(KitchenDoorMaterial"&amp;",FIND(""("",KitchenDoorMaterial)+1,2)/1000)*(((B160+C160)/1000)*2))+(((((B160-160)+(C160-160))*2)/1000)*(0.013)),IF(AND(ISERROR(FIND(""door"",A160))=FALSE,KitchenDoorStyle=""In-frame flat""),((((B160-76)/1000)*((C160-38)/1000))*2)+(MID(KitchenDoorMaterial"&amp;",FIND(""("",KitchenDoorMaterial)+1,2)/1000)*((((B160-76)+(C160-38))/1000)*2)+(((B160/1000)*0.032)*2)+((((B160-76)/1000)*0.032)*2)+(((B160/1000)*0.019)*4)+(((C160/1000)*0.032)*2)+((((C160-38)/1000)*0.032)*2)+(((C160/1000)*0.038)*4),IF(AND(ISERROR(FIND(""do"&amp;"or"",A160))=FALSE,LEFT(KitchenDoorStyle,14)=""In-frame panel""),((((B160-76)/1000)*((C160-38)/1000))*2)+((MID(KitchenDoorMaterial,FIND(""("",KitchenDoorMaterial)+1,2)/1000)*((((B160-76)+(C160-38))/1000)*2))+((((B160-236)/1000)+((C160-198)/1000)*2)*0.013)+"&amp;"(((B160/1000)*0.032)*2)+((((B160-76)/1000)*0.032)*2)+(((B160/1000)*0.019)*4)+(((C160/1000)*0.032)*2)+((((C160-38)/1000)*0.032)*2)+(((C160/1000)*0.038)*4),IF(ISERROR(FIND(""Plinth"",A160))=FALSE,((B160/1000)*(C160/1000))+(((C160/1000)*0.018)*2)+(((B160/100"&amp;"0)*0.018)*2),IF(ISERROR(FIND(""Cornice"",A160))=FALSE,(((C160/1000)*0.1)*2)+(((C160/1000)*0.044)*2)+(((B160/1000)*0.08)*2),IF(ISERROR(FIND(""Base end panel"",A160))=FALSE,((B160/1000)*(C160/1000))+(0.022*((B160/1000)+((C160/1000)*2)))+((B160/1000)*0.05),I"&amp;"F(ISERROR(FIND(""Wall end panel"",A160))=FALSE,((B160/1000)*(C160/1000))+(0.022*((B160/1000)+((C160/1000)*2)))+((B160/1000)*0.05),IF(ISERROR(FIND(""Tower end panel"",A160))=FALSE,((B160/1000)*(C160/1000))+(0.022*((B160/1000)+((C160/1000)*2)))+((B160/1000)"&amp;"*0.05),IF(ISERROR(FIND(""Fillers"",A160))=FALSE,((C160/1000)*0.06)+((C160/1000)*0.069)+((0.06*0.018)*2)+((0.06*0.009)*2)+((C160/1000)*0.009)+((C160/1000)*0.018),IF(ISERROR(FIND(""corner post"",A160))=FALSE,(((B160/1000*0.05)*2)+((B160/1000)*0.022)*2)+((B1"&amp;"60/1000)*0.072)+((B160/1000)*0.05)+((0.072*0.022)*2)+((0.05*0.022)*2),IF(ISERROR(FIND(""Pelmet"",A160))=FALSE,((C160/1000)*0.05)+((C160/1000)*0.068)+((0.05*0.018)*4)+(((C160/1000)*0.018))*2))))))))))))))))))))))))))))"),"")</f>
        <v/>
      </c>
      <c r="N160" s="152" t="str">
        <f>IF(M160="","",IF(AND(ISERROR(FIND("carcass",A160))=TRUE,ISERROR(FIND("unit",A160))=TRUE,ISERROR(FIND("insert",A160))=TRUE,ISERROR(FIND("rack",A160))=TRUE,ISERROR(FIND("box",A160))=TRUE,ISERROR(FIND("shelf",#REF!))=TRUE),VLOOKUP(KitchenDoorFinish,Finishing!$A$2:$K$10,9,0)*M160,VLOOKUP(KitchenCarcassFinish,Finishing!$A$2:$K$40,9,0)*M160))</f>
        <v/>
      </c>
      <c r="O160" s="155"/>
      <c r="P160" s="155"/>
      <c r="Q160" s="152" t="str">
        <f>IF(OR(O160="",P160=""),"",((O160*X160)*(VLOOKUP("Workshop",Labour!$A$3:$E$20,4,0)/8))+((P160*AE160)*(VLOOKUP("Finishing",Labour!$A$3:$E$20,4,0)/8)))</f>
        <v/>
      </c>
      <c r="R160" s="152" t="str">
        <f t="shared" si="4"/>
        <v/>
      </c>
      <c r="S160" s="156" t="str">
        <f>IF(OR(O160="",P160=""),"",IF(OR(ISERROR(FIND("carcass",$A160))=FALSE,ISERROR(FIND("unit",$A160))=FALSE),VLOOKUP(KitchenCarcassMaterial,FixedListsCarcassMaterial,2,0),0))</f>
        <v/>
      </c>
      <c r="T160" s="156" t="str">
        <f>IF(OR(O160="",P160=""),"",IF(ISERROR(FIND("door",$A160))=FALSE,VLOOKUP(KitchenDoorStyle,FixedListsDoorStyle,2,0),0))</f>
        <v/>
      </c>
      <c r="U160" s="156" t="str">
        <f>IF(OR(O160="",P160=""),"",IF(ISERROR(FIND("door",$A160))=FALSE,VLOOKUP(KitchenDoorMaterial,FixedListsDoorMaterial,2,0),0))</f>
        <v/>
      </c>
      <c r="V160" s="156" t="str">
        <f>IF(OR(O160="",P160=""),"",IF(ISERROR(FIND("drawer",$A160))=FALSE,VLOOKUP(KitchenDrawerType,FixedListsDrawerType,2,0),0))</f>
        <v/>
      </c>
      <c r="W160" s="156" t="str">
        <f>IF(OR(O160="",P160=""),"",IF(OR(S160&gt;0, T160&gt;0,V160&gt;0),VLOOKUP(KitchenHandleType,FixedListsHandleType,2,FALSE)*IF(KitchenHandleType="Simple",0,IF(S160&gt;0,VLOOKUP(KitchenHandleType,FixedListsHandleType,4,FALSE),IF(OR(T160&gt;0,V160&gt;0),1-VLOOKUP(KitchenHandleType,FixedListsHandleType,4,FALSE),"Error"))),0))</f>
        <v/>
      </c>
      <c r="X160" s="156" t="str">
        <f t="shared" si="5"/>
        <v/>
      </c>
      <c r="Y160" s="156" t="str">
        <f>IF(OR(O160="",P160=""),"",IF(OR(ISERROR(FIND("carcass",$A160))=FALSE,ISERROR(FIND("unit",$A160))=FALSE),VLOOKUP(KitchenCarcassMaterial,FixedListsCarcassMaterial,3,0),0))</f>
        <v/>
      </c>
      <c r="Z160" s="156" t="str">
        <f>IF(OR(O160="",P160=""),"",IF(ISERROR(FIND("door",$A160))=FALSE,VLOOKUP(KitchenDoorStyle,FixedListsDoorStyle,3,0),0))</f>
        <v/>
      </c>
      <c r="AA160" s="156" t="str">
        <f>IF(OR(O160="",P160=""),"",IF(ISERROR(FIND("door",$A160))=FALSE,VLOOKUP(KitchenDoorMaterial,FixedListsDoorMaterial,3,0),0))</f>
        <v/>
      </c>
      <c r="AB160" s="156" t="str">
        <f>IF(OR(O160="",P160=""),"",IF(ISERROR(FIND("drawer",$A160))=FALSE,VLOOKUP(KitchenDrawerType,FixedListsDrawerType,3,0),0))</f>
        <v/>
      </c>
      <c r="AC160" s="156" t="str">
        <f>IF(OR(O160="",P160=""),"",IF(OR(Y160&gt;0,Z160&gt;0,AB160&gt;0),VLOOKUP(KitchenHandleType,FixedListsHandleType,3,FALSE),0))</f>
        <v/>
      </c>
      <c r="AD160" s="156" t="str">
        <f>IF(OR(O160="",P160=""),"",IF(OR(ISERROR(FIND("carcass",$A160))=FALSE,ISERROR(FIND("unit",$A160))=FALSE),VLOOKUP(KitchenCarcassFinish,FixedListsFinishes,3,0),IF(OR(ISERROR(FIND("door",$A160))=FALSE,ISERROR(FIND("Plinth",$A160))=FALSE,ISERROR(FIND("Cornice",$A160))=FALSE,ISERROR(FIND("Fillers",$A160))=FALSE,ISERROR(FIND("Pelmet",$A160))=FALSE,ISERROR(FIND("panel",$A160))=FALSE,ISERROR(FIND("post",$A160))=FALSE),VLOOKUP(KitchenDoorFinish,FixedListsFinishes,3,0),IF(OR(ISERROR(FIND("drawer",$A160))=FALSE,ISERROR(FIND("insert",$A160))=FALSE,ISERROR(FIND("rck",$A160))=FALSE),VLOOKUP(KitchenCarcassFinish,FixedListsFinishes,3,0),0))))</f>
        <v/>
      </c>
      <c r="AE160" s="156" t="str">
        <f t="shared" si="6"/>
        <v/>
      </c>
      <c r="AF160" s="157" t="str">
        <f>IF(AND(KitchenHandleType="Channel",OR(ISERROR(FIND("arcass",$A160))=FALSE,ISERROR(FIND("unit",$A160))=FALSE)),IF(ISERROR(FIND("Tower",$A160))=TRUE,IF(KitchenHandleFinish="Match carcass",IF(ISERROR(FIND("Walnut",KitchenCarcassMaterial))=FALSE,(0.035*0.075*($C160/1000))*VLOOKUP("Walnut (solid m3)",SolidData,4,FALSE),IF(ISERROR(FIND("Oak",KitchenCarcassMaterial))=FALSE,(0.035*0.075*($C160/1000))*VLOOKUP("Oak (solid m3)",SolidData,4,FALSE),IF(ISERROR(FIND("ply",KitchenCarcassMaterial))=FALSE,(0.1*($C160/1000))*VLOOKUP("Birch ply (24mm)",SheetsData,7,FALSE),IF(ISERROR(FIND("H/F",KitchenCarcassMaterial))=FALSE,(0.1*($C160/1000))*VLOOKUP("H/F (22mm)",SheetsData,7,FALSE),"Carcass - not tower - new material")))),IF(KitchenHandleFinish="Match door",IF(ISERROR(FIND("Walnut",KitchenDoorMaterial))=FALSE,(0.035*0.075*($C160/1000))*VLOOKUP("Walnut (solid m3)",SolidData,4,FALSE),IF(ISERROR(FIND("Oak",KitchenDoorMaterial))=FALSE,(0.035*0.075*($C160/1000))*VLOOKUP("Oak (solid m3)",SolidData,4,FALSE),IF(ISERROR(FIND("ply",KitchenDoorMaterial))=FALSE,(0.1*($C160/1000))*VLOOKUP("Birch ply (24mm)",SheetsData,7,FALSE),IF(ISERROR(FIND("H/F",KitchenCarcassMaterial))=FALSE,(0.1*($C160/1000))*VLOOKUP("H/F (22mm)",SheetsData,7,FALSE),"Door - not tower - new material")))),"Channel - not tower - handle set to other")),IF(ISERROR(FIND("Tower",$A160))=FALSE,IF(KitchenHandleFinish="Match carcass",IF(ISERROR(FIND("Walnut",KitchenCarcassMaterial))=FALSE,(0.035*0.075*($B160/1000))*VLOOKUP("Walnut (solid m3)",SolidData,4,FALSE),IF(ISERROR(FIND("Oak",KitchenCarcassMaterial))=FALSE,(0.035*0.075*($B160/1000))*VLOOKUP("Oak (solid m3)",SolidData,4,FALSE),IF(ISERROR(FIND("ply",KitchenCarcassMaterial))=FALSE,(0.1*($B160/1000))*VLOOKUP("Birch ply (24mm)",SheetsData,7,FALSE),IF(ISERROR(FIND("H/F",KitchenCarcassMaterial))=FALSE,(0.1*($C160/1000))*VLOOKUP("H/F (22mm)",SheetsData,7,FALSE),"Carcass - tower - new material")))),IF(KitchenHandleFinish="Match door",IF(ISERROR(FIND("Walnut",KitchenDoorMaterial))=FALSE,(0.035*0.075*($B160/1000))*VLOOKUP("Walnut (solid m3)",SolidData,4,FALSE),IF(ISERROR(FIND("Oak",KitchenDoorMaterial))=FALSE,(0.035*0.075*($B160/1000))*VLOOKUP("Oak (solid m3)",SolidData,4,FALSE),IF(ISERROR(FIND("ply",KitchenDoorMaterial))=FALSE,(0.1*($B160/1000))*VLOOKUP("Birch ply (24mm)",SheetData,7,FALSE),IF(ISERROR(FIND("H/F",KitchenCarcassMaterial))=FALSE,(0.1*($C160/1000))*VLOOKUP("H/F (22mm)",SheetsData,7,FALSE),"Door - tower - new material")))),"Channel - tower - handle set to other")))),"")</f>
        <v/>
      </c>
    </row>
    <row r="161">
      <c r="A161" s="150"/>
      <c r="B161" s="115" t="str">
        <f t="shared" si="1"/>
        <v/>
      </c>
      <c r="C161" s="115" t="str">
        <f>IFERROR(__xludf.DUMMYFUNCTION("IF(A161="""","""",IF(OR(RIGHT(A161,LEN(A161)-len(regexextract(A161,"".* "")))=""1200"",RIGHT(A161,LEN(A161)-len(regexextract(A161,"".* "")))=""600"",RIGHT(A161,LEN(A161)-len(regexextract(A161,"".* "")))=""400"",RIGHT(A161,LEN(A161)-len(regexextract(A161,"&amp;""".* "")))=""300"",RIGHT(A161,LEN(A161)-len(regexextract(A161,"".* "")))=""700"",RIGHT(A161,LEN(A161)-len(regexextract(A161,"".* "")))=""2400"",RIGHT(A161,LEN(A161)-len(regexextract(A161,"".* "")))=""650"",RIGHT(A161,LEN(A161)-len(regexextract(A161,"".* "&amp;""")))=""350"",RIGHT(A161,LEN(A161)-len(regexextract(A161,"".* "")))=""50""),RIGHT(A161,LEN(A161)-len(regexextract(A161,"".* ""))),IF(OR(ISERROR(FIND(""spacer"",A161))=FALSE,ISERROR(FIND(""filler panel"",A161))=FALSE),""1000"",""Unexpected size in descript"&amp;"ion"")))"),"")</f>
        <v/>
      </c>
      <c r="D161" s="151" t="str">
        <f t="shared" si="2"/>
        <v/>
      </c>
      <c r="E161" s="152" t="str">
        <f>IFERROR(__xludf.DUMMYFUNCTION("IF(OR(A161="""",AND(ISERROR(FIND(""drawer box"",A161))=FALSE,KitchenDrawerType="""")),"""",IF(OR(ISERROR(FIND(""larder"",A161))=FALSE,ISERROR(FIND(""fridge/freezer"",A161))=FALSE,ISERROR(FIND(""double oven"",A161))=FALSE,ISERROR(FIND(""single oven"",A161)"&amp;")=FALSE),VLOOKUP(LEFT(A161,FIND("" "",A161))&amp;""carcass ""&amp;RIGHT(A161,LEN(A161)-(LEN(A161)-3)),KitchensData,5,0),IF(ISERROR(FIND(""sink"",A161))=FALSE,VLOOKUP(LEFT(A161,FIND("" "",A161))&amp;""carcass ""&amp;VALUE(REGEXREPLACE(A161,""[^[:digit:]]"", """")),Kitchen"&amp;"sData,5,0)+(((C161/1000)*(300/1000))*VLOOKUP(KitchenCarcassMaterial,SheetsData,8,0)),IF(ISERROR(FIND(""bins"",A161))=FALSE,IF(ISERROR(FIND(""veneer"",KitchenCarcassMaterial))=FALSE,VLOOKUP(""Base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600"",A161))=FALSE,IF(ISERR"&amp;"OR(FIND(""veneer"",KitchenCarcassMaterial))=FALSE,0.54*(VLOOKUP(LEFT(KitchenCarcassMaterial,FIND(""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1"&amp;"200"",A161))=FALSE,IF(ISERROR(FIND(""veneer"",KitchenCarcassMaterial))=FALSE,0.84*(VLOOKUP(LEFT(KitchenCarcassMaterial,FIND(""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600"",A161))=FALSE,IF(ISERROR(FIND(""veneer"",KitchenCarcassMaterial))=FALSE,1.44*(VLOOKUP(LEFT(KitchenCarcassMaterial,FIND(""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1200"",A161))=FALSE,IF(ISERROR(FIND(""veneer"",KitchenCarcassMaterial))=FALSE,2.7*(VLOOKUP(LEFT(KitchenCarcassMaterial,FIND(""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front"",A161))=FALSE,((B161/1000)*(C161/1000))*VLOOKUP(KitchenDoorMaterial,SheetsData,8,0),IF(AND(KitchenDrawerType=""Match carcass"",ISERROR(FIND(""drawer box"",A161))=FALSE),(((((B161/10"&amp;"00)*(C161/1000))+((B161/1000)*(D161/1000)))*2)*VLOOKUP(KitchenCarcassMaterial,SheetsData,8,0))+(((C161/1000)*(D161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box"",A161))=FALSE),(((((B161/1000)*(C161/1000))+((B161/1000)*(D161/1000)))*2)*(16/1000)*VLOOKUP(L"&amp;"EFT(KitchenCarcassMaterial,FIND("" "",KitchenCarcassMaterial))&amp;""(solid m3)"",SolidData,5,0))+(((C161/1000)*(D161/1000))*VLOOKUP(LEFT(KitchenCarcassMaterial,FIND(""("",KitchenCarcassMaterial)-1)&amp;IF(OR(ISERROR(FIND(""ply"",KitchenCarcassMaterial))=FALSE,IS"&amp;"ERROR(FIND(""H/F"",KitchenCarcassMaterial))=FALSE),""(9mm)"",""(10mm)""),SheetsData,8,0)),IF(ISERROR(FIND(""spacer"",A161))=FALSE,((D161/1000)*(C161/1000))*VLOOKUP(""Poplar ply (18mm)"",SheetsData,8,0),IF(ISERROR(FIND(""filler panel"",A161))=FALSE,((B161/"&amp;"1000)*(C161/1000))*VLOOKUP(KitchenDoorMaterial,SheetsData,8,0),IF(ISERROR(FIND(""shelf"",A161))=FALSE,((D161/1000)*(C161/1000))*VLOOKUP(KitchenCarcassMaterial,SheetsData,8,0),IF(ISERROR(FIND(""lost corner"",A161))=FALSE,VLOOKUP(LEFT(A161,FIND("" "",A161))"&amp;"&amp;""carcass ""&amp;VALUE(REGEXREPLACE(A161,""[^[:digit:]]"", """")),KitchensData,5,0)+((((B161/1000)*(C161/1000))+((B161/1000)*(60/1000)))*VLOOKUP(KitchenCarcassMaterial,SheetsData,8,0)),IF(ISERROR(FIND(""carcass"",A161))=FALSE,(((((B161/1000)*2)*(D161/1000))+"&amp;"(((C161/1000)*2)*(D161/1000)))*VLOOKUP(KitchenCarcassMaterial,SheetsData,8,0))+((B161/1000)*(C161/1000))*VLOOKUP(LEFT(KitchenCarcassMaterial,FIND(""("",KitchenCarcassMaterial)-1)&amp;IF(OR(ISERROR(FIND(""ply"",KitchenCarcassMaterial))=FALSE,ISERROR(FIND(""H/F"&amp;""",KitchenCarcassMaterial))=FALSE),""(9mm)"",""(10mm)""),SheetsData,8,0),IF(OR(ISERROR(FIND(""Plinth"",A161))=FALSE,ISERROR(FIND(""Cornice (flat)"",A161))=FALSE),((B161/1000)*(C161/1000))*VLOOKUP(""H/F (18mm)"",SheetsData,8,0),IF(ISERROR(FIND(""Cornice (s"&amp;"tacked)"",A161))=FALSE,((0.08*(C161/1000))*2)*VLOOKUP(""H/F (22mm)"",SheetsData,8,0),IF(ISERROR(FIND(""Base end panel"",A161))=FALSE,VLOOKUP(KitchenDoorMaterial,SheetsData,5,0)/3,IF(ISERROR(FIND(""Wall end panel"",A161))=FALSE,VLOOKUP(KitchenDoorMaterial,"&amp;"SheetsData,5,0)/9,IF(ISERROR(FIND(""Tower end panel"",A161))=FALSE,VLOOKUP(KitchenDoorMaterial,SheetsData,5,0),IF(ISERROR(FIND(""Fillers"",A161))=FALSE,(((0.06*(C161/1000))*2)*VLOOKUP(""H/F (18mm)"",SheetsData,8,0))+(((0.06*(C161/1000))*2)*VLOOKUP(""H/F ("&amp;"9mm)"",SheetsData,8,0)),IF(ISERROR(FIND(""corner post"",A161))=FALSE,(((B161/1000)*0.05)*2)*VLOOKUP(KitchenDoorMaterial,SheetsData,8,0),IF(ISERROR(FIND(""Pelmet"",A161))=FALSE,((((B161/1000)*(C161/1000))*2)*VLOOKUP(""H/F (18mm)"",SheetsData,8,0)),IF(ISERR"&amp;"OR(FIND(""door"",A161))=TRUE,""Check description"",IF(KitchenDoorStyle=""Flat"",((B161/1000)*(C161/1000))*VLOOKUP(KitchenDoorMaterial,SheetsData,8,0),IF(LEFT(KitchenDoorStyle,5)=""Panel"",(((((B161/1000)*2)*0.08)+((((C161/1000)-0.16)*2)*0.08))*VLOOKUP(""H"&amp;"/F (22mm)"",SheetsData,8,0))+(((B161/1000)-0.14)*((C161/1000)-0.14)*VLOOKUP(""H/F (9mm)"",SheetsData,8,0)),IF(KitchenDoorStyle=""In-frame flat"",((((((B161/1000)*0.019)*0.038)+((((C161-38)/1000)*0.038)*0.038))*2)*VLOOKUP(""Tulip (solid m3)"",SolidData,5,0"&amp;"))+(((B161-76)/1000)*((C161-38)/1000))*VLOOKUP(""H/F (22mm)"",SheetsData,8,0),IF(LEFT(KitchenDoorStyle,14)=""In-frame panel"",(((((((B161/1000)*0.019)*0.038)+((((C161-38)/1000)*0.038)*0.038))*2)*VLOOKUP(""Tulip (solid m3)"",SolidData,5,0))+(((((((B161-76)"&amp;"/1000)*2)*0.08)+(((((C161-198)/1000)*2)*0.08)))*VLOOKUP(""H/F (22mm)"",SheetsData,8,0))+(((B161-216)/1000)*((C161-178)/1000)*VLOOKUP(""H/F (9mm)"",SheetsData,8,0)))))))))))))))))))))))))))))))))"),"")</f>
        <v/>
      </c>
      <c r="F161" s="152" t="str">
        <f>IFERROR(__xludf.DUMMYFUNCTION("IF(OR(A161="""",AND(ISERROR(FIND(""drawer box"",A161))=FALSE,KitchenDrawerType=""Solid dovetail"")),"""",IF(ISERROR(FIND(""bins"",A161))=FALSE,VLOOKUP(""Base carcass 600"",KitchensData,6,0),IF(OR(ISERROR(FIND(""larder"",A161))=FALSE,ISERROR(FIND(""unit"","&amp;"A161))=FALSE),VLOOKUP(LEFT(A161,FIND("" "",A161))&amp;""carcass ""&amp;RIGHT(A161,LEN(A161)-len(regexextract(A161,"".* ""))),KitchensData,6,0),IF(ISERROR(FIND(""drawer front"",A161))=FALSE,IF(ISERROR(FIND(""veneer"",KitchenCarcassMaterial))=TRUE,0,(((B161+C161)/1"&amp;"000)*2)*VLOOKUP(""Edge banding (per M)"",SheetsData,5,0)),IF(ISERROR(FIND(""drawer box"",A161))=FALSE,IF(ISERROR(FIND(""veneer"",KitchenCarcassMaterial))=TRUE,0,(((C161+D161)/1000)*2)*VLOOKUP(""Edge banding (per M)"",SheetsData,5,0)),IF(ISERROR(FIND(""she"&amp;"lf"",A161))=FALSE,IF(ISERROR(FIND(""veneer"",KitchenCarcassMaterial))=TRUE,0,(C161/1000)*VLOOKUP(""Edge banding (per M)"",SheetsData,5,0)),IF(AND(ISERROR(FIND(""carcass"",A161))=FALSE,ISERROR(FIND(""shelf"",A161))=TRUE),IF(ISERROR(FIND(""veneer"",KitchenC"&amp;"arcassMaterial))=TRUE,0,((2*(B161+C161))/1000)*VLOOKUP(""Edge banding (per M)"",SheetsData,5,0)),IF(ISERROR(FIND(""door"",A161))=TRUE,"""",IF(ISERROR(FIND(""veneer"",KitchenDoorMaterial))=TRUE,"""",((2*(B161+C161))/1000)*VLOOKUP(""Edge banding (per M)"",S"&amp;"heetsData,5,0))))))))))"),"")</f>
        <v/>
      </c>
      <c r="G161" s="153" t="str">
        <f>IF(A161="","",IF(ISERROR(FIND("bins",A161))=FALSE,VLOOKUP("Base carcass 600",KitchensData,7,0),IF(OR(ISERROR(FIND("larder",A161))=FALSE,ISERROR(FIND("fridge/freezer",A161))=FALSE,ISERROR(FIND("double oven",A161))=FALSE,ISERROR(FIND("single oven",A161))=FALSE),VLOOKUP(LEFT(A161,FIND(" ",A161))&amp;"carcass "&amp;RIGHT(A161,LEN(A161)-(LEN(A161)-3)),KitchensData,7,0),IF(AND(ISERROR(FIND("carcass",A161))=FALSE,ISERROR(FIND("shelf",A161))=TRUE),IF(OR(ISERROR(FIND("Base",A161))=FALSE,ISERROR(FIND("Tower",A161))=FALSE),IF(OR(ISERROR(FIND("1200",A161))=FALSE, ISERROR(FIND("lost corner",A161))=FALSE),6*VLOOKUP("Plinth foot (2 Parts 80mm)",FurnitureData,5,0),4*VLOOKUP("Plinth foot (2 Parts 80mm)",FurnitureData,5,0)),""),""))))</f>
        <v/>
      </c>
      <c r="H161" s="115" t="str">
        <f>IF(OR(A161="",ISERROR(FIND("door",A161))=TRUE),"",IF(ISERROR(FIND("Wall",A161))=FALSE,VLOOKUP("Hinges &amp; plates (Hettich thick door)",FurnitureData,5,0)*2,IF(ISERROR(FIND("Base",A161))=FALSE,VLOOKUP("Hinges &amp; plates (Hettich thick door)",FurnitureData,5,0)*3,IF(ISERROR(FIND("Boiler",A161))=FALSE,VLOOKUP("Hinges &amp; plates (Hettich thick door)",FurnitureData,5,0)*4,IF(ISERROR(FIND("Tower",A161))=FALSE,VLOOKUP("Hinges &amp; plates (Hettich thick door)",FurnitureData,5,0)*5)))))</f>
        <v/>
      </c>
      <c r="I161" s="115" t="str">
        <f>IF(ISERROR(FIND("shelf",A161))=FALSE,(VLOOKUP("Shelf pegs",FurnitureData,5,0)/100)*4,"")</f>
        <v/>
      </c>
      <c r="J161" s="152" t="str">
        <f>IF(OR(ISERROR(FIND("fridge/freezer",A161))=FALSE,ISERROR(FIND("larder",A161))=FALSE,AND(ISERROR(FIND("Base",A161))=FALSE,ISERROR(FIND("bins",A161))=TRUE,ISERROR(FIND("no shelves",A161))=TRUE,OR(ISERROR(FIND("carcass",A161))=FALSE,ISERROR(FIND("unit",A161))=FALSE))),VLOOKUP("Deep shelf "&amp;C161,KitchensData,18,0),IF(AND(ISERROR(FIND("Wall",A161))=FALSE,ISERROR(FIND("carcass",A161))=FALSE),2*VLOOKUP("Shallow shelf "&amp;C161,KitchensData,18,0),IF(AND(ISERROR(FIND("Tower",A161))=FALSE,ISERROR(FIND("oven",A161))=FALSE),4*VLOOKUP("Deep shelf "&amp;C161,KitchensData,18,0),IF(AND(ISERROR(FIND("Tower",A161))=FALSE,ISERROR(FIND("carcass",A161))=FALSE),5*VLOOKUP("Deep shelf "&amp;C161,KitchensData,18,0),""))))</f>
        <v/>
      </c>
      <c r="K161" s="152" t="str">
        <f>IF(ISERROR(FIND("sink",A161))=FALSE,VLOOKUP("Sink liner - Aluminium "&amp;RIGHT(A161,LEN(A161)-22)&amp;"mm",ExceptionalData,5,0),IF(ISERROR(FIND("bins",A161))=FALSE,VLOOKUP("Drawer runners and clip set for bin unit (500) Dynapro",FurnitureData,5,0)+(2*VLOOKUP("Bin (42L Anthracite)",FurnitureData,5,0)),IF(ISERROR(FIND("larder",A161))=FALSE,VLOOKUP("Pull out larder unit 600mm",FurnitureData,5,0),IF(AND(ISERROR(FIND("drawer box",A161))=FALSE,ISERROR(FIND("internal",A161))=TRUE),VLOOKUP("Drawer runners and clip set (550) Dynapro",FurnitureData,5,0),IF(ISERROR(FIND("internal drawer box",A161))=FALSE,VLOOKUP("Drawer runners and clip set (450) Dynapro",FurnitureData,5,0),"")))))</f>
        <v/>
      </c>
      <c r="L161" s="152" t="str">
        <f t="shared" si="3"/>
        <v/>
      </c>
      <c r="M161" s="154" t="str">
        <f>IFERROR(__xludf.DUMMYFUNCTION("IF(A161="""","""",IF(OR(ISERROR(FIND(""larder"",A161))=FALSE,ISERROR(FIND(""unit"",A161))=FALSE),VLOOKUP(LEFT(A161,FIND("" "",A161))&amp;""carcass ""&amp;RIGHT(A161,LEN(A161)-len(regexextract(A161,"".* ""))),KitchensData,13,0),IF(ISERROR(FIND(""bins"",A161))=FALS"&amp;"E,0.95,IF(ISERROR(FIND(""Cutlery insert 600"",A161))=FALSE,1.3,IF(ISERROR(FIND(""Cutlery insert 1200"",A161))=FALSE,2,IF(ISERROR(FIND(""Pan/tray rack 600"",A161))=FALSE,3.25,IF(ISERROR(FIND(""Pan/tray rack 1200"",A161))=FALSE,5.9,IF(ISERROR(FIND(""split"""&amp;",A161))=FALSE,(((C161/1000)*0.022)*2)+VLOOKUP(SUBSTITUTE(A161,"" split"",""""),KitchensData,13,0),IF(AND(ISERROR(FIND(""drawer front"",A161))=FALSE,KitchenDoorStyle=""Flat""),(((B161/1000)*(C161/1000))*2)+((((B161+C161)/1000)*2)*0.022),IF(AND(ISERROR(FIND"&amp;"(""drawer front"",A161))=FALSE,LEFT(KitchenDoorStyle,5)=""Panel""),(((B161/1000)*(C161/1000))*2)+((((B161+C161)/1000)*2)*0.022)+((((C161/1000)-0.16)*0.013)*2)+((((D161/1000)-0.16)*0.013)*2),IF(AND(ISERROR(FIND(""drawer front"",A161))=FALSE,KitchenDoorStyl"&amp;"e=""In-frame flat""),((((B161-76)/1000)*((C161-38)/1000))*2)+(MID(KitchenDoorMaterial,FIND(""("",KitchenDoorMaterial)+1,2)/1000)*((((B161-76)+(C161-38))/1000)*2)+(((B161/1000)*0.032)*2)+((((B161-76)/1000)*0.032)*2)+(((B161/1000)*0.019)*4)+(((C161/1000)*0."&amp;"032)*2)+((((C161-38)/1000)*0.032)*2)+(((C161/1000)*0.038)*4),IF(AND(ISERROR(FIND(""drawer front"",A161))=FALSE,LEFT(KitchenDoorStyle,14)=""In-frame panel""),((((B161-76)/1000)*((C161-38)/1000))*2)+((MID(KitchenDoorMaterial,FIND(""("",KitchenDoorMaterial)+"&amp;"1,2)/1000)*((((B161-76)+(C161-38))/1000)*2))+((((B161-236)/1000)+((C161-198)/1000)*2)*0.013)+(((B161/1000)*0.032)*2)+((((B161-76)/1000)*0.032)*2)+(((B161/1000)*0.019)*4)+(((C161/1000)*0.032)*2)+((((C161-38)/1000)*0.032)*2)+(((C161/1000)*0.038)*4),IF(ISERR"&amp;"OR(FIND(""drawer box"",A161))=FALSE,((((B161/1000)*(D161/1000))+((B161/1000)*(C161/1000)))*4)+((((D161/1000)+(C161/1000))*0.016)*4)+(((C161/1000)*(D161/1000))*2),IF(OR(ISERROR(FIND(""shelf"",A161))=FALSE,ISERROR(FIND(""spacer"",A161))=FALSE,,ISERROR(FIND("&amp;"""filler panel"",A161))=FALSE),(((C161/1000)*(D161/1000))*2)+((((C161+D161)*2)/1000)*0.022),IF(ISERROR(FIND(""lost corner"",A161))=FALSE,(((B161/1000)*(C161/1000))*2)+((B161/1000)*(C161/1000))+((B161/1000)*((C161/2)/1000))+((((B161/1000)*0.025)+((C161/100"&amp;"0)*0.025))*2),IF(ISERROR(FIND(""carcass"",A161))=FALSE,(((C161/1000)*(D161/1000))*2)+(((B161/1000)*(D161/1000))*2)+((B161/1000)*(C161/1000))+((((B161/1000)*0.025)+((C161/1000)*0.025))*2),IF(AND(ISERROR(FIND(""door"",A161))=FALSE,KitchenDoorStyle=""Flat"")"&amp;",(((B161/1000)*(C161/1000))*2)+(MID(KitchenDoorMaterial,FIND(""("",KitchenDoorMaterial)+1,2)/1000)*(((B161+C161)/1000)*2),IF(AND(ISERROR(FIND(""door"",A161))=FALSE,LEFT(KitchenDoorStyle,5)=""Panel""),(((B161/1000)*(C161/1000))*2)+((MID(KitchenDoorMaterial"&amp;",FIND(""("",KitchenDoorMaterial)+1,2)/1000)*(((B161+C161)/1000)*2))+(((((B161-160)+(C161-160))*2)/1000)*(0.013)),IF(AND(ISERROR(FIND(""door"",A161))=FALSE,KitchenDoorStyle=""In-frame flat""),((((B161-76)/1000)*((C161-38)/1000))*2)+(MID(KitchenDoorMaterial"&amp;",FIND(""("",KitchenDoorMaterial)+1,2)/1000)*((((B161-76)+(C161-38))/1000)*2)+(((B161/1000)*0.032)*2)+((((B161-76)/1000)*0.032)*2)+(((B161/1000)*0.019)*4)+(((C161/1000)*0.032)*2)+((((C161-38)/1000)*0.032)*2)+(((C161/1000)*0.038)*4),IF(AND(ISERROR(FIND(""do"&amp;"or"",A161))=FALSE,LEFT(KitchenDoorStyle,14)=""In-frame panel""),((((B161-76)/1000)*((C161-38)/1000))*2)+((MID(KitchenDoorMaterial,FIND(""("",KitchenDoorMaterial)+1,2)/1000)*((((B161-76)+(C161-38))/1000)*2))+((((B161-236)/1000)+((C161-198)/1000)*2)*0.013)+"&amp;"(((B161/1000)*0.032)*2)+((((B161-76)/1000)*0.032)*2)+(((B161/1000)*0.019)*4)+(((C161/1000)*0.032)*2)+((((C161-38)/1000)*0.032)*2)+(((C161/1000)*0.038)*4),IF(ISERROR(FIND(""Plinth"",A161))=FALSE,((B161/1000)*(C161/1000))+(((C161/1000)*0.018)*2)+(((B161/100"&amp;"0)*0.018)*2),IF(ISERROR(FIND(""Cornice"",A161))=FALSE,(((C161/1000)*0.1)*2)+(((C161/1000)*0.044)*2)+(((B161/1000)*0.08)*2),IF(ISERROR(FIND(""Base end panel"",A161))=FALSE,((B161/1000)*(C161/1000))+(0.022*((B161/1000)+((C161/1000)*2)))+((B161/1000)*0.05),I"&amp;"F(ISERROR(FIND(""Wall end panel"",A161))=FALSE,((B161/1000)*(C161/1000))+(0.022*((B161/1000)+((C161/1000)*2)))+((B161/1000)*0.05),IF(ISERROR(FIND(""Tower end panel"",A161))=FALSE,((B161/1000)*(C161/1000))+(0.022*((B161/1000)+((C161/1000)*2)))+((B161/1000)"&amp;"*0.05),IF(ISERROR(FIND(""Fillers"",A161))=FALSE,((C161/1000)*0.06)+((C161/1000)*0.069)+((0.06*0.018)*2)+((0.06*0.009)*2)+((C161/1000)*0.009)+((C161/1000)*0.018),IF(ISERROR(FIND(""corner post"",A161))=FALSE,(((B161/1000*0.05)*2)+((B161/1000)*0.022)*2)+((B1"&amp;"61/1000)*0.072)+((B161/1000)*0.05)+((0.072*0.022)*2)+((0.05*0.022)*2),IF(ISERROR(FIND(""Pelmet"",A161))=FALSE,((C161/1000)*0.05)+((C161/1000)*0.068)+((0.05*0.018)*4)+(((C161/1000)*0.018))*2))))))))))))))))))))))))))))"),"")</f>
        <v/>
      </c>
      <c r="N161" s="152" t="str">
        <f>IF(M161="","",IF(AND(ISERROR(FIND("carcass",A161))=TRUE,ISERROR(FIND("unit",A161))=TRUE,ISERROR(FIND("insert",A161))=TRUE,ISERROR(FIND("rack",A161))=TRUE,ISERROR(FIND("box",A161))=TRUE,ISERROR(FIND("shelf",#REF!))=TRUE),VLOOKUP(KitchenDoorFinish,Finishing!$A$2:$K$10,9,0)*M161,VLOOKUP(KitchenCarcassFinish,Finishing!$A$2:$K$40,9,0)*M161))</f>
        <v/>
      </c>
      <c r="O161" s="155"/>
      <c r="P161" s="155"/>
      <c r="Q161" s="152" t="str">
        <f>IF(OR(O161="",P161=""),"",((O161*X161)*(VLOOKUP("Workshop",Labour!$A$3:$E$20,4,0)/8))+((P161*AE161)*(VLOOKUP("Finishing",Labour!$A$3:$E$20,4,0)/8)))</f>
        <v/>
      </c>
      <c r="R161" s="152" t="str">
        <f t="shared" si="4"/>
        <v/>
      </c>
      <c r="S161" s="156" t="str">
        <f>IF(OR(O161="",P161=""),"",IF(OR(ISERROR(FIND("carcass",$A161))=FALSE,ISERROR(FIND("unit",$A161))=FALSE),VLOOKUP(KitchenCarcassMaterial,FixedListsCarcassMaterial,2,0),0))</f>
        <v/>
      </c>
      <c r="T161" s="156" t="str">
        <f>IF(OR(O161="",P161=""),"",IF(ISERROR(FIND("door",$A161))=FALSE,VLOOKUP(KitchenDoorStyle,FixedListsDoorStyle,2,0),0))</f>
        <v/>
      </c>
      <c r="U161" s="156" t="str">
        <f>IF(OR(O161="",P161=""),"",IF(ISERROR(FIND("door",$A161))=FALSE,VLOOKUP(KitchenDoorMaterial,FixedListsDoorMaterial,2,0),0))</f>
        <v/>
      </c>
      <c r="V161" s="156" t="str">
        <f>IF(OR(O161="",P161=""),"",IF(ISERROR(FIND("drawer",$A161))=FALSE,VLOOKUP(KitchenDrawerType,FixedListsDrawerType,2,0),0))</f>
        <v/>
      </c>
      <c r="W161" s="156" t="str">
        <f>IF(OR(O161="",P161=""),"",IF(OR(S161&gt;0, T161&gt;0,V161&gt;0),VLOOKUP(KitchenHandleType,FixedListsHandleType,2,FALSE)*IF(KitchenHandleType="Simple",0,IF(S161&gt;0,VLOOKUP(KitchenHandleType,FixedListsHandleType,4,FALSE),IF(OR(T161&gt;0,V161&gt;0),1-VLOOKUP(KitchenHandleType,FixedListsHandleType,4,FALSE),"Error"))),0))</f>
        <v/>
      </c>
      <c r="X161" s="156" t="str">
        <f t="shared" si="5"/>
        <v/>
      </c>
      <c r="Y161" s="156" t="str">
        <f>IF(OR(O161="",P161=""),"",IF(OR(ISERROR(FIND("carcass",$A161))=FALSE,ISERROR(FIND("unit",$A161))=FALSE),VLOOKUP(KitchenCarcassMaterial,FixedListsCarcassMaterial,3,0),0))</f>
        <v/>
      </c>
      <c r="Z161" s="156" t="str">
        <f>IF(OR(O161="",P161=""),"",IF(ISERROR(FIND("door",$A161))=FALSE,VLOOKUP(KitchenDoorStyle,FixedListsDoorStyle,3,0),0))</f>
        <v/>
      </c>
      <c r="AA161" s="156" t="str">
        <f>IF(OR(O161="",P161=""),"",IF(ISERROR(FIND("door",$A161))=FALSE,VLOOKUP(KitchenDoorMaterial,FixedListsDoorMaterial,3,0),0))</f>
        <v/>
      </c>
      <c r="AB161" s="156" t="str">
        <f>IF(OR(O161="",P161=""),"",IF(ISERROR(FIND("drawer",$A161))=FALSE,VLOOKUP(KitchenDrawerType,FixedListsDrawerType,3,0),0))</f>
        <v/>
      </c>
      <c r="AC161" s="156" t="str">
        <f>IF(OR(O161="",P161=""),"",IF(OR(Y161&gt;0,Z161&gt;0,AB161&gt;0),VLOOKUP(KitchenHandleType,FixedListsHandleType,3,FALSE),0))</f>
        <v/>
      </c>
      <c r="AD161" s="156" t="str">
        <f>IF(OR(O161="",P161=""),"",IF(OR(ISERROR(FIND("carcass",$A161))=FALSE,ISERROR(FIND("unit",$A161))=FALSE),VLOOKUP(KitchenCarcassFinish,FixedListsFinishes,3,0),IF(OR(ISERROR(FIND("door",$A161))=FALSE,ISERROR(FIND("Plinth",$A161))=FALSE,ISERROR(FIND("Cornice",$A161))=FALSE,ISERROR(FIND("Fillers",$A161))=FALSE,ISERROR(FIND("Pelmet",$A161))=FALSE,ISERROR(FIND("panel",$A161))=FALSE,ISERROR(FIND("post",$A161))=FALSE),VLOOKUP(KitchenDoorFinish,FixedListsFinishes,3,0),IF(OR(ISERROR(FIND("drawer",$A161))=FALSE,ISERROR(FIND("insert",$A161))=FALSE,ISERROR(FIND("rck",$A161))=FALSE),VLOOKUP(KitchenCarcassFinish,FixedListsFinishes,3,0),0))))</f>
        <v/>
      </c>
      <c r="AE161" s="156" t="str">
        <f t="shared" si="6"/>
        <v/>
      </c>
      <c r="AF161" s="157" t="str">
        <f>IF(AND(KitchenHandleType="Channel",OR(ISERROR(FIND("arcass",$A161))=FALSE,ISERROR(FIND("unit",$A161))=FALSE)),IF(ISERROR(FIND("Tower",$A161))=TRUE,IF(KitchenHandleFinish="Match carcass",IF(ISERROR(FIND("Walnut",KitchenCarcassMaterial))=FALSE,(0.035*0.075*($C161/1000))*VLOOKUP("Walnut (solid m3)",SolidData,4,FALSE),IF(ISERROR(FIND("Oak",KitchenCarcassMaterial))=FALSE,(0.035*0.075*($C161/1000))*VLOOKUP("Oak (solid m3)",SolidData,4,FALSE),IF(ISERROR(FIND("ply",KitchenCarcassMaterial))=FALSE,(0.1*($C161/1000))*VLOOKUP("Birch ply (24mm)",SheetsData,7,FALSE),IF(ISERROR(FIND("H/F",KitchenCarcassMaterial))=FALSE,(0.1*($C161/1000))*VLOOKUP("H/F (22mm)",SheetsData,7,FALSE),"Carcass - not tower - new material")))),IF(KitchenHandleFinish="Match door",IF(ISERROR(FIND("Walnut",KitchenDoorMaterial))=FALSE,(0.035*0.075*($C161/1000))*VLOOKUP("Walnut (solid m3)",SolidData,4,FALSE),IF(ISERROR(FIND("Oak",KitchenDoorMaterial))=FALSE,(0.035*0.075*($C161/1000))*VLOOKUP("Oak (solid m3)",SolidData,4,FALSE),IF(ISERROR(FIND("ply",KitchenDoorMaterial))=FALSE,(0.1*($C161/1000))*VLOOKUP("Birch ply (24mm)",SheetsData,7,FALSE),IF(ISERROR(FIND("H/F",KitchenCarcassMaterial))=FALSE,(0.1*($C161/1000))*VLOOKUP("H/F (22mm)",SheetsData,7,FALSE),"Door - not tower - new material")))),"Channel - not tower - handle set to other")),IF(ISERROR(FIND("Tower",$A161))=FALSE,IF(KitchenHandleFinish="Match carcass",IF(ISERROR(FIND("Walnut",KitchenCarcassMaterial))=FALSE,(0.035*0.075*($B161/1000))*VLOOKUP("Walnut (solid m3)",SolidData,4,FALSE),IF(ISERROR(FIND("Oak",KitchenCarcassMaterial))=FALSE,(0.035*0.075*($B161/1000))*VLOOKUP("Oak (solid m3)",SolidData,4,FALSE),IF(ISERROR(FIND("ply",KitchenCarcassMaterial))=FALSE,(0.1*($B161/1000))*VLOOKUP("Birch ply (24mm)",SheetsData,7,FALSE),IF(ISERROR(FIND("H/F",KitchenCarcassMaterial))=FALSE,(0.1*($C161/1000))*VLOOKUP("H/F (22mm)",SheetsData,7,FALSE),"Carcass - tower - new material")))),IF(KitchenHandleFinish="Match door",IF(ISERROR(FIND("Walnut",KitchenDoorMaterial))=FALSE,(0.035*0.075*($B161/1000))*VLOOKUP("Walnut (solid m3)",SolidData,4,FALSE),IF(ISERROR(FIND("Oak",KitchenDoorMaterial))=FALSE,(0.035*0.075*($B161/1000))*VLOOKUP("Oak (solid m3)",SolidData,4,FALSE),IF(ISERROR(FIND("ply",KitchenDoorMaterial))=FALSE,(0.1*($B161/1000))*VLOOKUP("Birch ply (24mm)",SheetData,7,FALSE),IF(ISERROR(FIND("H/F",KitchenCarcassMaterial))=FALSE,(0.1*($C161/1000))*VLOOKUP("H/F (22mm)",SheetsData,7,FALSE),"Door - tower - new material")))),"Channel - tower - handle set to other")))),"")</f>
        <v/>
      </c>
    </row>
    <row r="162">
      <c r="A162" s="150"/>
      <c r="B162" s="115" t="str">
        <f t="shared" si="1"/>
        <v/>
      </c>
      <c r="C162" s="115" t="str">
        <f>IFERROR(__xludf.DUMMYFUNCTION("IF(A162="""","""",IF(OR(RIGHT(A162,LEN(A162)-len(regexextract(A162,"".* "")))=""1200"",RIGHT(A162,LEN(A162)-len(regexextract(A162,"".* "")))=""600"",RIGHT(A162,LEN(A162)-len(regexextract(A162,"".* "")))=""400"",RIGHT(A162,LEN(A162)-len(regexextract(A162,"&amp;""".* "")))=""300"",RIGHT(A162,LEN(A162)-len(regexextract(A162,"".* "")))=""700"",RIGHT(A162,LEN(A162)-len(regexextract(A162,"".* "")))=""2400"",RIGHT(A162,LEN(A162)-len(regexextract(A162,"".* "")))=""650"",RIGHT(A162,LEN(A162)-len(regexextract(A162,"".* "&amp;""")))=""350"",RIGHT(A162,LEN(A162)-len(regexextract(A162,"".* "")))=""50""),RIGHT(A162,LEN(A162)-len(regexextract(A162,"".* ""))),IF(OR(ISERROR(FIND(""spacer"",A162))=FALSE,ISERROR(FIND(""filler panel"",A162))=FALSE),""1000"",""Unexpected size in descript"&amp;"ion"")))"),"")</f>
        <v/>
      </c>
      <c r="D162" s="151" t="str">
        <f t="shared" si="2"/>
        <v/>
      </c>
      <c r="E162" s="152" t="str">
        <f>IFERROR(__xludf.DUMMYFUNCTION("IF(OR(A162="""",AND(ISERROR(FIND(""drawer box"",A162))=FALSE,KitchenDrawerType="""")),"""",IF(OR(ISERROR(FIND(""larder"",A162))=FALSE,ISERROR(FIND(""fridge/freezer"",A162))=FALSE,ISERROR(FIND(""double oven"",A162))=FALSE,ISERROR(FIND(""single oven"",A162)"&amp;")=FALSE),VLOOKUP(LEFT(A162,FIND("" "",A162))&amp;""carcass ""&amp;RIGHT(A162,LEN(A162)-(LEN(A162)-3)),KitchensData,5,0),IF(ISERROR(FIND(""sink"",A162))=FALSE,VLOOKUP(LEFT(A162,FIND("" "",A162))&amp;""carcass ""&amp;VALUE(REGEXREPLACE(A162,""[^[:digit:]]"", """")),Kitchen"&amp;"sData,5,0)+(((C162/1000)*(300/1000))*VLOOKUP(KitchenCarcassMaterial,SheetsData,8,0)),IF(ISERROR(FIND(""bins"",A162))=FALSE,IF(ISERROR(FIND(""veneer"",KitchenCarcassMaterial))=FALSE,VLOOKUP(""Base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600"",A162))=FALSE,IF(ISERR"&amp;"OR(FIND(""veneer"",KitchenCarcassMaterial))=FALSE,0.54*(VLOOKUP(LEFT(KitchenCarcassMaterial,FIND(""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1"&amp;"200"",A162))=FALSE,IF(ISERROR(FIND(""veneer"",KitchenCarcassMaterial))=FALSE,0.84*(VLOOKUP(LEFT(KitchenCarcassMaterial,FIND(""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600"",A162))=FALSE,IF(ISERROR(FIND(""veneer"",KitchenCarcassMaterial))=FALSE,1.44*(VLOOKUP(LEFT(KitchenCarcassMaterial,FIND(""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1200"",A162))=FALSE,IF(ISERROR(FIND(""veneer"",KitchenCarcassMaterial))=FALSE,2.7*(VLOOKUP(LEFT(KitchenCarcassMaterial,FIND(""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front"",A162))=FALSE,((B162/1000)*(C162/1000))*VLOOKUP(KitchenDoorMaterial,SheetsData,8,0),IF(AND(KitchenDrawerType=""Match carcass"",ISERROR(FIND(""drawer box"",A162))=FALSE),(((((B162/10"&amp;"00)*(C162/1000))+((B162/1000)*(D162/1000)))*2)*VLOOKUP(KitchenCarcassMaterial,SheetsData,8,0))+(((C162/1000)*(D162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box"",A162))=FALSE),(((((B162/1000)*(C162/1000))+((B162/1000)*(D162/1000)))*2)*(16/1000)*VLOOKUP(L"&amp;"EFT(KitchenCarcassMaterial,FIND("" "",KitchenCarcassMaterial))&amp;""(solid m3)"",SolidData,5,0))+(((C162/1000)*(D162/1000))*VLOOKUP(LEFT(KitchenCarcassMaterial,FIND(""("",KitchenCarcassMaterial)-1)&amp;IF(OR(ISERROR(FIND(""ply"",KitchenCarcassMaterial))=FALSE,IS"&amp;"ERROR(FIND(""H/F"",KitchenCarcassMaterial))=FALSE),""(9mm)"",""(10mm)""),SheetsData,8,0)),IF(ISERROR(FIND(""spacer"",A162))=FALSE,((D162/1000)*(C162/1000))*VLOOKUP(""Poplar ply (18mm)"",SheetsData,8,0),IF(ISERROR(FIND(""filler panel"",A162))=FALSE,((B162/"&amp;"1000)*(C162/1000))*VLOOKUP(KitchenDoorMaterial,SheetsData,8,0),IF(ISERROR(FIND(""shelf"",A162))=FALSE,((D162/1000)*(C162/1000))*VLOOKUP(KitchenCarcassMaterial,SheetsData,8,0),IF(ISERROR(FIND(""lost corner"",A162))=FALSE,VLOOKUP(LEFT(A162,FIND("" "",A162))"&amp;"&amp;""carcass ""&amp;VALUE(REGEXREPLACE(A162,""[^[:digit:]]"", """")),KitchensData,5,0)+((((B162/1000)*(C162/1000))+((B162/1000)*(60/1000)))*VLOOKUP(KitchenCarcassMaterial,SheetsData,8,0)),IF(ISERROR(FIND(""carcass"",A162))=FALSE,(((((B162/1000)*2)*(D162/1000))+"&amp;"(((C162/1000)*2)*(D162/1000)))*VLOOKUP(KitchenCarcassMaterial,SheetsData,8,0))+((B162/1000)*(C162/1000))*VLOOKUP(LEFT(KitchenCarcassMaterial,FIND(""("",KitchenCarcassMaterial)-1)&amp;IF(OR(ISERROR(FIND(""ply"",KitchenCarcassMaterial))=FALSE,ISERROR(FIND(""H/F"&amp;""",KitchenCarcassMaterial))=FALSE),""(9mm)"",""(10mm)""),SheetsData,8,0),IF(OR(ISERROR(FIND(""Plinth"",A162))=FALSE,ISERROR(FIND(""Cornice (flat)"",A162))=FALSE),((B162/1000)*(C162/1000))*VLOOKUP(""H/F (18mm)"",SheetsData,8,0),IF(ISERROR(FIND(""Cornice (s"&amp;"tacked)"",A162))=FALSE,((0.08*(C162/1000))*2)*VLOOKUP(""H/F (22mm)"",SheetsData,8,0),IF(ISERROR(FIND(""Base end panel"",A162))=FALSE,VLOOKUP(KitchenDoorMaterial,SheetsData,5,0)/3,IF(ISERROR(FIND(""Wall end panel"",A162))=FALSE,VLOOKUP(KitchenDoorMaterial,"&amp;"SheetsData,5,0)/9,IF(ISERROR(FIND(""Tower end panel"",A162))=FALSE,VLOOKUP(KitchenDoorMaterial,SheetsData,5,0),IF(ISERROR(FIND(""Fillers"",A162))=FALSE,(((0.06*(C162/1000))*2)*VLOOKUP(""H/F (18mm)"",SheetsData,8,0))+(((0.06*(C162/1000))*2)*VLOOKUP(""H/F ("&amp;"9mm)"",SheetsData,8,0)),IF(ISERROR(FIND(""corner post"",A162))=FALSE,(((B162/1000)*0.05)*2)*VLOOKUP(KitchenDoorMaterial,SheetsData,8,0),IF(ISERROR(FIND(""Pelmet"",A162))=FALSE,((((B162/1000)*(C162/1000))*2)*VLOOKUP(""H/F (18mm)"",SheetsData,8,0)),IF(ISERR"&amp;"OR(FIND(""door"",A162))=TRUE,""Check description"",IF(KitchenDoorStyle=""Flat"",((B162/1000)*(C162/1000))*VLOOKUP(KitchenDoorMaterial,SheetsData,8,0),IF(LEFT(KitchenDoorStyle,5)=""Panel"",(((((B162/1000)*2)*0.08)+((((C162/1000)-0.16)*2)*0.08))*VLOOKUP(""H"&amp;"/F (22mm)"",SheetsData,8,0))+(((B162/1000)-0.14)*((C162/1000)-0.14)*VLOOKUP(""H/F (9mm)"",SheetsData,8,0)),IF(KitchenDoorStyle=""In-frame flat"",((((((B162/1000)*0.019)*0.038)+((((C162-38)/1000)*0.038)*0.038))*2)*VLOOKUP(""Tulip (solid m3)"",SolidData,5,0"&amp;"))+(((B162-76)/1000)*((C162-38)/1000))*VLOOKUP(""H/F (22mm)"",SheetsData,8,0),IF(LEFT(KitchenDoorStyle,14)=""In-frame panel"",(((((((B162/1000)*0.019)*0.038)+((((C162-38)/1000)*0.038)*0.038))*2)*VLOOKUP(""Tulip (solid m3)"",SolidData,5,0))+(((((((B162-76)"&amp;"/1000)*2)*0.08)+(((((C162-198)/1000)*2)*0.08)))*VLOOKUP(""H/F (22mm)"",SheetsData,8,0))+(((B162-216)/1000)*((C162-178)/1000)*VLOOKUP(""H/F (9mm)"",SheetsData,8,0)))))))))))))))))))))))))))))))))"),"")</f>
        <v/>
      </c>
      <c r="F162" s="152" t="str">
        <f>IFERROR(__xludf.DUMMYFUNCTION("IF(OR(A162="""",AND(ISERROR(FIND(""drawer box"",A162))=FALSE,KitchenDrawerType=""Solid dovetail"")),"""",IF(ISERROR(FIND(""bins"",A162))=FALSE,VLOOKUP(""Base carcass 600"",KitchensData,6,0),IF(OR(ISERROR(FIND(""larder"",A162))=FALSE,ISERROR(FIND(""unit"","&amp;"A162))=FALSE),VLOOKUP(LEFT(A162,FIND("" "",A162))&amp;""carcass ""&amp;RIGHT(A162,LEN(A162)-len(regexextract(A162,"".* ""))),KitchensData,6,0),IF(ISERROR(FIND(""drawer front"",A162))=FALSE,IF(ISERROR(FIND(""veneer"",KitchenCarcassMaterial))=TRUE,0,(((B162+C162)/1"&amp;"000)*2)*VLOOKUP(""Edge banding (per M)"",SheetsData,5,0)),IF(ISERROR(FIND(""drawer box"",A162))=FALSE,IF(ISERROR(FIND(""veneer"",KitchenCarcassMaterial))=TRUE,0,(((C162+D162)/1000)*2)*VLOOKUP(""Edge banding (per M)"",SheetsData,5,0)),IF(ISERROR(FIND(""she"&amp;"lf"",A162))=FALSE,IF(ISERROR(FIND(""veneer"",KitchenCarcassMaterial))=TRUE,0,(C162/1000)*VLOOKUP(""Edge banding (per M)"",SheetsData,5,0)),IF(AND(ISERROR(FIND(""carcass"",A162))=FALSE,ISERROR(FIND(""shelf"",A162))=TRUE),IF(ISERROR(FIND(""veneer"",KitchenC"&amp;"arcassMaterial))=TRUE,0,((2*(B162+C162))/1000)*VLOOKUP(""Edge banding (per M)"",SheetsData,5,0)),IF(ISERROR(FIND(""door"",A162))=TRUE,"""",IF(ISERROR(FIND(""veneer"",KitchenDoorMaterial))=TRUE,"""",((2*(B162+C162))/1000)*VLOOKUP(""Edge banding (per M)"",S"&amp;"heetsData,5,0))))))))))"),"")</f>
        <v/>
      </c>
      <c r="G162" s="153" t="str">
        <f>IF(A162="","",IF(ISERROR(FIND("bins",A162))=FALSE,VLOOKUP("Base carcass 600",KitchensData,7,0),IF(OR(ISERROR(FIND("larder",A162))=FALSE,ISERROR(FIND("fridge/freezer",A162))=FALSE,ISERROR(FIND("double oven",A162))=FALSE,ISERROR(FIND("single oven",A162))=FALSE),VLOOKUP(LEFT(A162,FIND(" ",A162))&amp;"carcass "&amp;RIGHT(A162,LEN(A162)-(LEN(A162)-3)),KitchensData,7,0),IF(AND(ISERROR(FIND("carcass",A162))=FALSE,ISERROR(FIND("shelf",A162))=TRUE),IF(OR(ISERROR(FIND("Base",A162))=FALSE,ISERROR(FIND("Tower",A162))=FALSE),IF(OR(ISERROR(FIND("1200",A162))=FALSE, ISERROR(FIND("lost corner",A162))=FALSE),6*VLOOKUP("Plinth foot (2 Parts 80mm)",FurnitureData,5,0),4*VLOOKUP("Plinth foot (2 Parts 80mm)",FurnitureData,5,0)),""),""))))</f>
        <v/>
      </c>
      <c r="H162" s="115" t="str">
        <f>IF(OR(A162="",ISERROR(FIND("door",A162))=TRUE),"",IF(ISERROR(FIND("Wall",A162))=FALSE,VLOOKUP("Hinges &amp; plates (Hettich thick door)",FurnitureData,5,0)*2,IF(ISERROR(FIND("Base",A162))=FALSE,VLOOKUP("Hinges &amp; plates (Hettich thick door)",FurnitureData,5,0)*3,IF(ISERROR(FIND("Boiler",A162))=FALSE,VLOOKUP("Hinges &amp; plates (Hettich thick door)",FurnitureData,5,0)*4,IF(ISERROR(FIND("Tower",A162))=FALSE,VLOOKUP("Hinges &amp; plates (Hettich thick door)",FurnitureData,5,0)*5)))))</f>
        <v/>
      </c>
      <c r="I162" s="115" t="str">
        <f>IF(ISERROR(FIND("shelf",A162))=FALSE,(VLOOKUP("Shelf pegs",FurnitureData,5,0)/100)*4,"")</f>
        <v/>
      </c>
      <c r="J162" s="152" t="str">
        <f>IF(OR(ISERROR(FIND("fridge/freezer",A162))=FALSE,ISERROR(FIND("larder",A162))=FALSE,AND(ISERROR(FIND("Base",A162))=FALSE,ISERROR(FIND("bins",A162))=TRUE,ISERROR(FIND("no shelves",A162))=TRUE,OR(ISERROR(FIND("carcass",A162))=FALSE,ISERROR(FIND("unit",A162))=FALSE))),VLOOKUP("Deep shelf "&amp;C162,KitchensData,18,0),IF(AND(ISERROR(FIND("Wall",A162))=FALSE,ISERROR(FIND("carcass",A162))=FALSE),2*VLOOKUP("Shallow shelf "&amp;C162,KitchensData,18,0),IF(AND(ISERROR(FIND("Tower",A162))=FALSE,ISERROR(FIND("oven",A162))=FALSE),4*VLOOKUP("Deep shelf "&amp;C162,KitchensData,18,0),IF(AND(ISERROR(FIND("Tower",A162))=FALSE,ISERROR(FIND("carcass",A162))=FALSE),5*VLOOKUP("Deep shelf "&amp;C162,KitchensData,18,0),""))))</f>
        <v/>
      </c>
      <c r="K162" s="152" t="str">
        <f>IF(ISERROR(FIND("sink",A162))=FALSE,VLOOKUP("Sink liner - Aluminium "&amp;RIGHT(A162,LEN(A162)-22)&amp;"mm",ExceptionalData,5,0),IF(ISERROR(FIND("bins",A162))=FALSE,VLOOKUP("Drawer runners and clip set for bin unit (500) Dynapro",FurnitureData,5,0)+(2*VLOOKUP("Bin (42L Anthracite)",FurnitureData,5,0)),IF(ISERROR(FIND("larder",A162))=FALSE,VLOOKUP("Pull out larder unit 600mm",FurnitureData,5,0),IF(AND(ISERROR(FIND("drawer box",A162))=FALSE,ISERROR(FIND("internal",A162))=TRUE),VLOOKUP("Drawer runners and clip set (550) Dynapro",FurnitureData,5,0),IF(ISERROR(FIND("internal drawer box",A162))=FALSE,VLOOKUP("Drawer runners and clip set (450) Dynapro",FurnitureData,5,0),"")))))</f>
        <v/>
      </c>
      <c r="L162" s="152" t="str">
        <f t="shared" si="3"/>
        <v/>
      </c>
      <c r="M162" s="154" t="str">
        <f>IFERROR(__xludf.DUMMYFUNCTION("IF(A162="""","""",IF(OR(ISERROR(FIND(""larder"",A162))=FALSE,ISERROR(FIND(""unit"",A162))=FALSE),VLOOKUP(LEFT(A162,FIND("" "",A162))&amp;""carcass ""&amp;RIGHT(A162,LEN(A162)-len(regexextract(A162,"".* ""))),KitchensData,13,0),IF(ISERROR(FIND(""bins"",A162))=FALS"&amp;"E,0.95,IF(ISERROR(FIND(""Cutlery insert 600"",A162))=FALSE,1.3,IF(ISERROR(FIND(""Cutlery insert 1200"",A162))=FALSE,2,IF(ISERROR(FIND(""Pan/tray rack 600"",A162))=FALSE,3.25,IF(ISERROR(FIND(""Pan/tray rack 1200"",A162))=FALSE,5.9,IF(ISERROR(FIND(""split"""&amp;",A162))=FALSE,(((C162/1000)*0.022)*2)+VLOOKUP(SUBSTITUTE(A162,"" split"",""""),KitchensData,13,0),IF(AND(ISERROR(FIND(""drawer front"",A162))=FALSE,KitchenDoorStyle=""Flat""),(((B162/1000)*(C162/1000))*2)+((((B162+C162)/1000)*2)*0.022),IF(AND(ISERROR(FIND"&amp;"(""drawer front"",A162))=FALSE,LEFT(KitchenDoorStyle,5)=""Panel""),(((B162/1000)*(C162/1000))*2)+((((B162+C162)/1000)*2)*0.022)+((((C162/1000)-0.16)*0.013)*2)+((((D162/1000)-0.16)*0.013)*2),IF(AND(ISERROR(FIND(""drawer front"",A162))=FALSE,KitchenDoorStyl"&amp;"e=""In-frame flat""),((((B162-76)/1000)*((C162-38)/1000))*2)+(MID(KitchenDoorMaterial,FIND(""("",KitchenDoorMaterial)+1,2)/1000)*((((B162-76)+(C162-38))/1000)*2)+(((B162/1000)*0.032)*2)+((((B162-76)/1000)*0.032)*2)+(((B162/1000)*0.019)*4)+(((C162/1000)*0."&amp;"032)*2)+((((C162-38)/1000)*0.032)*2)+(((C162/1000)*0.038)*4),IF(AND(ISERROR(FIND(""drawer front"",A162))=FALSE,LEFT(KitchenDoorStyle,14)=""In-frame panel""),((((B162-76)/1000)*((C162-38)/1000))*2)+((MID(KitchenDoorMaterial,FIND(""("",KitchenDoorMaterial)+"&amp;"1,2)/1000)*((((B162-76)+(C162-38))/1000)*2))+((((B162-236)/1000)+((C162-198)/1000)*2)*0.013)+(((B162/1000)*0.032)*2)+((((B162-76)/1000)*0.032)*2)+(((B162/1000)*0.019)*4)+(((C162/1000)*0.032)*2)+((((C162-38)/1000)*0.032)*2)+(((C162/1000)*0.038)*4),IF(ISERR"&amp;"OR(FIND(""drawer box"",A162))=FALSE,((((B162/1000)*(D162/1000))+((B162/1000)*(C162/1000)))*4)+((((D162/1000)+(C162/1000))*0.016)*4)+(((C162/1000)*(D162/1000))*2),IF(OR(ISERROR(FIND(""shelf"",A162))=FALSE,ISERROR(FIND(""spacer"",A162))=FALSE,,ISERROR(FIND("&amp;"""filler panel"",A162))=FALSE),(((C162/1000)*(D162/1000))*2)+((((C162+D162)*2)/1000)*0.022),IF(ISERROR(FIND(""lost corner"",A162))=FALSE,(((B162/1000)*(C162/1000))*2)+((B162/1000)*(C162/1000))+((B162/1000)*((C162/2)/1000))+((((B162/1000)*0.025)+((C162/100"&amp;"0)*0.025))*2),IF(ISERROR(FIND(""carcass"",A162))=FALSE,(((C162/1000)*(D162/1000))*2)+(((B162/1000)*(D162/1000))*2)+((B162/1000)*(C162/1000))+((((B162/1000)*0.025)+((C162/1000)*0.025))*2),IF(AND(ISERROR(FIND(""door"",A162))=FALSE,KitchenDoorStyle=""Flat"")"&amp;",(((B162/1000)*(C162/1000))*2)+(MID(KitchenDoorMaterial,FIND(""("",KitchenDoorMaterial)+1,2)/1000)*(((B162+C162)/1000)*2),IF(AND(ISERROR(FIND(""door"",A162))=FALSE,LEFT(KitchenDoorStyle,5)=""Panel""),(((B162/1000)*(C162/1000))*2)+((MID(KitchenDoorMaterial"&amp;",FIND(""("",KitchenDoorMaterial)+1,2)/1000)*(((B162+C162)/1000)*2))+(((((B162-160)+(C162-160))*2)/1000)*(0.013)),IF(AND(ISERROR(FIND(""door"",A162))=FALSE,KitchenDoorStyle=""In-frame flat""),((((B162-76)/1000)*((C162-38)/1000))*2)+(MID(KitchenDoorMaterial"&amp;",FIND(""("",KitchenDoorMaterial)+1,2)/1000)*((((B162-76)+(C162-38))/1000)*2)+(((B162/1000)*0.032)*2)+((((B162-76)/1000)*0.032)*2)+(((B162/1000)*0.019)*4)+(((C162/1000)*0.032)*2)+((((C162-38)/1000)*0.032)*2)+(((C162/1000)*0.038)*4),IF(AND(ISERROR(FIND(""do"&amp;"or"",A162))=FALSE,LEFT(KitchenDoorStyle,14)=""In-frame panel""),((((B162-76)/1000)*((C162-38)/1000))*2)+((MID(KitchenDoorMaterial,FIND(""("",KitchenDoorMaterial)+1,2)/1000)*((((B162-76)+(C162-38))/1000)*2))+((((B162-236)/1000)+((C162-198)/1000)*2)*0.013)+"&amp;"(((B162/1000)*0.032)*2)+((((B162-76)/1000)*0.032)*2)+(((B162/1000)*0.019)*4)+(((C162/1000)*0.032)*2)+((((C162-38)/1000)*0.032)*2)+(((C162/1000)*0.038)*4),IF(ISERROR(FIND(""Plinth"",A162))=FALSE,((B162/1000)*(C162/1000))+(((C162/1000)*0.018)*2)+(((B162/100"&amp;"0)*0.018)*2),IF(ISERROR(FIND(""Cornice"",A162))=FALSE,(((C162/1000)*0.1)*2)+(((C162/1000)*0.044)*2)+(((B162/1000)*0.08)*2),IF(ISERROR(FIND(""Base end panel"",A162))=FALSE,((B162/1000)*(C162/1000))+(0.022*((B162/1000)+((C162/1000)*2)))+((B162/1000)*0.05),I"&amp;"F(ISERROR(FIND(""Wall end panel"",A162))=FALSE,((B162/1000)*(C162/1000))+(0.022*((B162/1000)+((C162/1000)*2)))+((B162/1000)*0.05),IF(ISERROR(FIND(""Tower end panel"",A162))=FALSE,((B162/1000)*(C162/1000))+(0.022*((B162/1000)+((C162/1000)*2)))+((B162/1000)"&amp;"*0.05),IF(ISERROR(FIND(""Fillers"",A162))=FALSE,((C162/1000)*0.06)+((C162/1000)*0.069)+((0.06*0.018)*2)+((0.06*0.009)*2)+((C162/1000)*0.009)+((C162/1000)*0.018),IF(ISERROR(FIND(""corner post"",A162))=FALSE,(((B162/1000*0.05)*2)+((B162/1000)*0.022)*2)+((B1"&amp;"62/1000)*0.072)+((B162/1000)*0.05)+((0.072*0.022)*2)+((0.05*0.022)*2),IF(ISERROR(FIND(""Pelmet"",A162))=FALSE,((C162/1000)*0.05)+((C162/1000)*0.068)+((0.05*0.018)*4)+(((C162/1000)*0.018))*2))))))))))))))))))))))))))))"),"")</f>
        <v/>
      </c>
      <c r="N162" s="152" t="str">
        <f>IF(M162="","",IF(AND(ISERROR(FIND("carcass",A162))=TRUE,ISERROR(FIND("unit",A162))=TRUE,ISERROR(FIND("insert",A162))=TRUE,ISERROR(FIND("rack",A162))=TRUE,ISERROR(FIND("box",A162))=TRUE,ISERROR(FIND("shelf",#REF!))=TRUE),VLOOKUP(KitchenDoorFinish,Finishing!$A$2:$K$10,9,0)*M162,VLOOKUP(KitchenCarcassFinish,Finishing!$A$2:$K$40,9,0)*M162))</f>
        <v/>
      </c>
      <c r="O162" s="155"/>
      <c r="P162" s="155"/>
      <c r="Q162" s="152" t="str">
        <f>IF(OR(O162="",P162=""),"",((O162*X162)*(VLOOKUP("Workshop",Labour!$A$3:$E$20,4,0)/8))+((P162*AE162)*(VLOOKUP("Finishing",Labour!$A$3:$E$20,4,0)/8)))</f>
        <v/>
      </c>
      <c r="R162" s="152" t="str">
        <f t="shared" si="4"/>
        <v/>
      </c>
      <c r="S162" s="156" t="str">
        <f>IF(OR(O162="",P162=""),"",IF(OR(ISERROR(FIND("carcass",$A162))=FALSE,ISERROR(FIND("unit",$A162))=FALSE),VLOOKUP(KitchenCarcassMaterial,FixedListsCarcassMaterial,2,0),0))</f>
        <v/>
      </c>
      <c r="T162" s="156" t="str">
        <f>IF(OR(O162="",P162=""),"",IF(ISERROR(FIND("door",$A162))=FALSE,VLOOKUP(KitchenDoorStyle,FixedListsDoorStyle,2,0),0))</f>
        <v/>
      </c>
      <c r="U162" s="156" t="str">
        <f>IF(OR(O162="",P162=""),"",IF(ISERROR(FIND("door",$A162))=FALSE,VLOOKUP(KitchenDoorMaterial,FixedListsDoorMaterial,2,0),0))</f>
        <v/>
      </c>
      <c r="V162" s="156" t="str">
        <f>IF(OR(O162="",P162=""),"",IF(ISERROR(FIND("drawer",$A162))=FALSE,VLOOKUP(KitchenDrawerType,FixedListsDrawerType,2,0),0))</f>
        <v/>
      </c>
      <c r="W162" s="156" t="str">
        <f>IF(OR(O162="",P162=""),"",IF(OR(S162&gt;0, T162&gt;0,V162&gt;0),VLOOKUP(KitchenHandleType,FixedListsHandleType,2,FALSE)*IF(KitchenHandleType="Simple",0,IF(S162&gt;0,VLOOKUP(KitchenHandleType,FixedListsHandleType,4,FALSE),IF(OR(T162&gt;0,V162&gt;0),1-VLOOKUP(KitchenHandleType,FixedListsHandleType,4,FALSE),"Error"))),0))</f>
        <v/>
      </c>
      <c r="X162" s="156" t="str">
        <f t="shared" si="5"/>
        <v/>
      </c>
      <c r="Y162" s="156" t="str">
        <f>IF(OR(O162="",P162=""),"",IF(OR(ISERROR(FIND("carcass",$A162))=FALSE,ISERROR(FIND("unit",$A162))=FALSE),VLOOKUP(KitchenCarcassMaterial,FixedListsCarcassMaterial,3,0),0))</f>
        <v/>
      </c>
      <c r="Z162" s="156" t="str">
        <f>IF(OR(O162="",P162=""),"",IF(ISERROR(FIND("door",$A162))=FALSE,VLOOKUP(KitchenDoorStyle,FixedListsDoorStyle,3,0),0))</f>
        <v/>
      </c>
      <c r="AA162" s="156" t="str">
        <f>IF(OR(O162="",P162=""),"",IF(ISERROR(FIND("door",$A162))=FALSE,VLOOKUP(KitchenDoorMaterial,FixedListsDoorMaterial,3,0),0))</f>
        <v/>
      </c>
      <c r="AB162" s="156" t="str">
        <f>IF(OR(O162="",P162=""),"",IF(ISERROR(FIND("drawer",$A162))=FALSE,VLOOKUP(KitchenDrawerType,FixedListsDrawerType,3,0),0))</f>
        <v/>
      </c>
      <c r="AC162" s="156" t="str">
        <f>IF(OR(O162="",P162=""),"",IF(OR(Y162&gt;0,Z162&gt;0,AB162&gt;0),VLOOKUP(KitchenHandleType,FixedListsHandleType,3,FALSE),0))</f>
        <v/>
      </c>
      <c r="AD162" s="156" t="str">
        <f>IF(OR(O162="",P162=""),"",IF(OR(ISERROR(FIND("carcass",$A162))=FALSE,ISERROR(FIND("unit",$A162))=FALSE),VLOOKUP(KitchenCarcassFinish,FixedListsFinishes,3,0),IF(OR(ISERROR(FIND("door",$A162))=FALSE,ISERROR(FIND("Plinth",$A162))=FALSE,ISERROR(FIND("Cornice",$A162))=FALSE,ISERROR(FIND("Fillers",$A162))=FALSE,ISERROR(FIND("Pelmet",$A162))=FALSE,ISERROR(FIND("panel",$A162))=FALSE,ISERROR(FIND("post",$A162))=FALSE),VLOOKUP(KitchenDoorFinish,FixedListsFinishes,3,0),IF(OR(ISERROR(FIND("drawer",$A162))=FALSE,ISERROR(FIND("insert",$A162))=FALSE,ISERROR(FIND("rck",$A162))=FALSE),VLOOKUP(KitchenCarcassFinish,FixedListsFinishes,3,0),0))))</f>
        <v/>
      </c>
      <c r="AE162" s="156" t="str">
        <f t="shared" si="6"/>
        <v/>
      </c>
      <c r="AF162" s="157" t="str">
        <f>IF(AND(KitchenHandleType="Channel",OR(ISERROR(FIND("arcass",$A162))=FALSE,ISERROR(FIND("unit",$A162))=FALSE)),IF(ISERROR(FIND("Tower",$A162))=TRUE,IF(KitchenHandleFinish="Match carcass",IF(ISERROR(FIND("Walnut",KitchenCarcassMaterial))=FALSE,(0.035*0.075*($C162/1000))*VLOOKUP("Walnut (solid m3)",SolidData,4,FALSE),IF(ISERROR(FIND("Oak",KitchenCarcassMaterial))=FALSE,(0.035*0.075*($C162/1000))*VLOOKUP("Oak (solid m3)",SolidData,4,FALSE),IF(ISERROR(FIND("ply",KitchenCarcassMaterial))=FALSE,(0.1*($C162/1000))*VLOOKUP("Birch ply (24mm)",SheetsData,7,FALSE),IF(ISERROR(FIND("H/F",KitchenCarcassMaterial))=FALSE,(0.1*($C162/1000))*VLOOKUP("H/F (22mm)",SheetsData,7,FALSE),"Carcass - not tower - new material")))),IF(KitchenHandleFinish="Match door",IF(ISERROR(FIND("Walnut",KitchenDoorMaterial))=FALSE,(0.035*0.075*($C162/1000))*VLOOKUP("Walnut (solid m3)",SolidData,4,FALSE),IF(ISERROR(FIND("Oak",KitchenDoorMaterial))=FALSE,(0.035*0.075*($C162/1000))*VLOOKUP("Oak (solid m3)",SolidData,4,FALSE),IF(ISERROR(FIND("ply",KitchenDoorMaterial))=FALSE,(0.1*($C162/1000))*VLOOKUP("Birch ply (24mm)",SheetsData,7,FALSE),IF(ISERROR(FIND("H/F",KitchenCarcassMaterial))=FALSE,(0.1*($C162/1000))*VLOOKUP("H/F (22mm)",SheetsData,7,FALSE),"Door - not tower - new material")))),"Channel - not tower - handle set to other")),IF(ISERROR(FIND("Tower",$A162))=FALSE,IF(KitchenHandleFinish="Match carcass",IF(ISERROR(FIND("Walnut",KitchenCarcassMaterial))=FALSE,(0.035*0.075*($B162/1000))*VLOOKUP("Walnut (solid m3)",SolidData,4,FALSE),IF(ISERROR(FIND("Oak",KitchenCarcassMaterial))=FALSE,(0.035*0.075*($B162/1000))*VLOOKUP("Oak (solid m3)",SolidData,4,FALSE),IF(ISERROR(FIND("ply",KitchenCarcassMaterial))=FALSE,(0.1*($B162/1000))*VLOOKUP("Birch ply (24mm)",SheetsData,7,FALSE),IF(ISERROR(FIND("H/F",KitchenCarcassMaterial))=FALSE,(0.1*($C162/1000))*VLOOKUP("H/F (22mm)",SheetsData,7,FALSE),"Carcass - tower - new material")))),IF(KitchenHandleFinish="Match door",IF(ISERROR(FIND("Walnut",KitchenDoorMaterial))=FALSE,(0.035*0.075*($B162/1000))*VLOOKUP("Walnut (solid m3)",SolidData,4,FALSE),IF(ISERROR(FIND("Oak",KitchenDoorMaterial))=FALSE,(0.035*0.075*($B162/1000))*VLOOKUP("Oak (solid m3)",SolidData,4,FALSE),IF(ISERROR(FIND("ply",KitchenDoorMaterial))=FALSE,(0.1*($B162/1000))*VLOOKUP("Birch ply (24mm)",SheetData,7,FALSE),IF(ISERROR(FIND("H/F",KitchenCarcassMaterial))=FALSE,(0.1*($C162/1000))*VLOOKUP("H/F (22mm)",SheetsData,7,FALSE),"Door - tower - new material")))),"Channel - tower - handle set to other")))),"")</f>
        <v/>
      </c>
    </row>
    <row r="163">
      <c r="A163" s="150"/>
      <c r="B163" s="115" t="str">
        <f t="shared" si="1"/>
        <v/>
      </c>
      <c r="C163" s="115" t="str">
        <f>IFERROR(__xludf.DUMMYFUNCTION("IF(A163="""","""",IF(OR(RIGHT(A163,LEN(A163)-len(regexextract(A163,"".* "")))=""1200"",RIGHT(A163,LEN(A163)-len(regexextract(A163,"".* "")))=""600"",RIGHT(A163,LEN(A163)-len(regexextract(A163,"".* "")))=""400"",RIGHT(A163,LEN(A163)-len(regexextract(A163,"&amp;""".* "")))=""300"",RIGHT(A163,LEN(A163)-len(regexextract(A163,"".* "")))=""700"",RIGHT(A163,LEN(A163)-len(regexextract(A163,"".* "")))=""2400"",RIGHT(A163,LEN(A163)-len(regexextract(A163,"".* "")))=""650"",RIGHT(A163,LEN(A163)-len(regexextract(A163,"".* "&amp;""")))=""350"",RIGHT(A163,LEN(A163)-len(regexextract(A163,"".* "")))=""50""),RIGHT(A163,LEN(A163)-len(regexextract(A163,"".* ""))),IF(OR(ISERROR(FIND(""spacer"",A163))=FALSE,ISERROR(FIND(""filler panel"",A163))=FALSE),""1000"",""Unexpected size in descript"&amp;"ion"")))"),"")</f>
        <v/>
      </c>
      <c r="D163" s="151" t="str">
        <f t="shared" si="2"/>
        <v/>
      </c>
      <c r="E163" s="152" t="str">
        <f>IFERROR(__xludf.DUMMYFUNCTION("IF(OR(A163="""",AND(ISERROR(FIND(""drawer box"",A163))=FALSE,KitchenDrawerType="""")),"""",IF(OR(ISERROR(FIND(""larder"",A163))=FALSE,ISERROR(FIND(""fridge/freezer"",A163))=FALSE,ISERROR(FIND(""double oven"",A163))=FALSE,ISERROR(FIND(""single oven"",A163)"&amp;")=FALSE),VLOOKUP(LEFT(A163,FIND("" "",A163))&amp;""carcass ""&amp;RIGHT(A163,LEN(A163)-(LEN(A163)-3)),KitchensData,5,0),IF(ISERROR(FIND(""sink"",A163))=FALSE,VLOOKUP(LEFT(A163,FIND("" "",A163))&amp;""carcass ""&amp;VALUE(REGEXREPLACE(A163,""[^[:digit:]]"", """")),Kitchen"&amp;"sData,5,0)+(((C163/1000)*(300/1000))*VLOOKUP(KitchenCarcassMaterial,SheetsData,8,0)),IF(ISERROR(FIND(""bins"",A163))=FALSE,IF(ISERROR(FIND(""veneer"",KitchenCarcassMaterial))=FALSE,VLOOKUP(""Base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600"",A163))=FALSE,IF(ISERR"&amp;"OR(FIND(""veneer"",KitchenCarcassMaterial))=FALSE,0.54*(VLOOKUP(LEFT(KitchenCarcassMaterial,FIND(""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1"&amp;"200"",A163))=FALSE,IF(ISERROR(FIND(""veneer"",KitchenCarcassMaterial))=FALSE,0.84*(VLOOKUP(LEFT(KitchenCarcassMaterial,FIND(""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600"",A163))=FALSE,IF(ISERROR(FIND(""veneer"",KitchenCarcassMaterial))=FALSE,1.44*(VLOOKUP(LEFT(KitchenCarcassMaterial,FIND(""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1200"",A163))=FALSE,IF(ISERROR(FIND(""veneer"",KitchenCarcassMaterial))=FALSE,2.7*(VLOOKUP(LEFT(KitchenCarcassMaterial,FIND(""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front"",A163))=FALSE,((B163/1000)*(C163/1000))*VLOOKUP(KitchenDoorMaterial,SheetsData,8,0),IF(AND(KitchenDrawerType=""Match carcass"",ISERROR(FIND(""drawer box"",A163))=FALSE),(((((B163/10"&amp;"00)*(C163/1000))+((B163/1000)*(D163/1000)))*2)*VLOOKUP(KitchenCarcassMaterial,SheetsData,8,0))+(((C163/1000)*(D163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box"",A163))=FALSE),(((((B163/1000)*(C163/1000))+((B163/1000)*(D163/1000)))*2)*(16/1000)*VLOOKUP(L"&amp;"EFT(KitchenCarcassMaterial,FIND("" "",KitchenCarcassMaterial))&amp;""(solid m3)"",SolidData,5,0))+(((C163/1000)*(D163/1000))*VLOOKUP(LEFT(KitchenCarcassMaterial,FIND(""("",KitchenCarcassMaterial)-1)&amp;IF(OR(ISERROR(FIND(""ply"",KitchenCarcassMaterial))=FALSE,IS"&amp;"ERROR(FIND(""H/F"",KitchenCarcassMaterial))=FALSE),""(9mm)"",""(10mm)""),SheetsData,8,0)),IF(ISERROR(FIND(""spacer"",A163))=FALSE,((D163/1000)*(C163/1000))*VLOOKUP(""Poplar ply (18mm)"",SheetsData,8,0),IF(ISERROR(FIND(""filler panel"",A163))=FALSE,((B163/"&amp;"1000)*(C163/1000))*VLOOKUP(KitchenDoorMaterial,SheetsData,8,0),IF(ISERROR(FIND(""shelf"",A163))=FALSE,((D163/1000)*(C163/1000))*VLOOKUP(KitchenCarcassMaterial,SheetsData,8,0),IF(ISERROR(FIND(""lost corner"",A163))=FALSE,VLOOKUP(LEFT(A163,FIND("" "",A163))"&amp;"&amp;""carcass ""&amp;VALUE(REGEXREPLACE(A163,""[^[:digit:]]"", """")),KitchensData,5,0)+((((B163/1000)*(C163/1000))+((B163/1000)*(60/1000)))*VLOOKUP(KitchenCarcassMaterial,SheetsData,8,0)),IF(ISERROR(FIND(""carcass"",A163))=FALSE,(((((B163/1000)*2)*(D163/1000))+"&amp;"(((C163/1000)*2)*(D163/1000)))*VLOOKUP(KitchenCarcassMaterial,SheetsData,8,0))+((B163/1000)*(C163/1000))*VLOOKUP(LEFT(KitchenCarcassMaterial,FIND(""("",KitchenCarcassMaterial)-1)&amp;IF(OR(ISERROR(FIND(""ply"",KitchenCarcassMaterial))=FALSE,ISERROR(FIND(""H/F"&amp;""",KitchenCarcassMaterial))=FALSE),""(9mm)"",""(10mm)""),SheetsData,8,0),IF(OR(ISERROR(FIND(""Plinth"",A163))=FALSE,ISERROR(FIND(""Cornice (flat)"",A163))=FALSE),((B163/1000)*(C163/1000))*VLOOKUP(""H/F (18mm)"",SheetsData,8,0),IF(ISERROR(FIND(""Cornice (s"&amp;"tacked)"",A163))=FALSE,((0.08*(C163/1000))*2)*VLOOKUP(""H/F (22mm)"",SheetsData,8,0),IF(ISERROR(FIND(""Base end panel"",A163))=FALSE,VLOOKUP(KitchenDoorMaterial,SheetsData,5,0)/3,IF(ISERROR(FIND(""Wall end panel"",A163))=FALSE,VLOOKUP(KitchenDoorMaterial,"&amp;"SheetsData,5,0)/9,IF(ISERROR(FIND(""Tower end panel"",A163))=FALSE,VLOOKUP(KitchenDoorMaterial,SheetsData,5,0),IF(ISERROR(FIND(""Fillers"",A163))=FALSE,(((0.06*(C163/1000))*2)*VLOOKUP(""H/F (18mm)"",SheetsData,8,0))+(((0.06*(C163/1000))*2)*VLOOKUP(""H/F ("&amp;"9mm)"",SheetsData,8,0)),IF(ISERROR(FIND(""corner post"",A163))=FALSE,(((B163/1000)*0.05)*2)*VLOOKUP(KitchenDoorMaterial,SheetsData,8,0),IF(ISERROR(FIND(""Pelmet"",A163))=FALSE,((((B163/1000)*(C163/1000))*2)*VLOOKUP(""H/F (18mm)"",SheetsData,8,0)),IF(ISERR"&amp;"OR(FIND(""door"",A163))=TRUE,""Check description"",IF(KitchenDoorStyle=""Flat"",((B163/1000)*(C163/1000))*VLOOKUP(KitchenDoorMaterial,SheetsData,8,0),IF(LEFT(KitchenDoorStyle,5)=""Panel"",(((((B163/1000)*2)*0.08)+((((C163/1000)-0.16)*2)*0.08))*VLOOKUP(""H"&amp;"/F (22mm)"",SheetsData,8,0))+(((B163/1000)-0.14)*((C163/1000)-0.14)*VLOOKUP(""H/F (9mm)"",SheetsData,8,0)),IF(KitchenDoorStyle=""In-frame flat"",((((((B163/1000)*0.019)*0.038)+((((C163-38)/1000)*0.038)*0.038))*2)*VLOOKUP(""Tulip (solid m3)"",SolidData,5,0"&amp;"))+(((B163-76)/1000)*((C163-38)/1000))*VLOOKUP(""H/F (22mm)"",SheetsData,8,0),IF(LEFT(KitchenDoorStyle,14)=""In-frame panel"",(((((((B163/1000)*0.019)*0.038)+((((C163-38)/1000)*0.038)*0.038))*2)*VLOOKUP(""Tulip (solid m3)"",SolidData,5,0))+(((((((B163-76)"&amp;"/1000)*2)*0.08)+(((((C163-198)/1000)*2)*0.08)))*VLOOKUP(""H/F (22mm)"",SheetsData,8,0))+(((B163-216)/1000)*((C163-178)/1000)*VLOOKUP(""H/F (9mm)"",SheetsData,8,0)))))))))))))))))))))))))))))))))"),"")</f>
        <v/>
      </c>
      <c r="F163" s="152" t="str">
        <f>IFERROR(__xludf.DUMMYFUNCTION("IF(OR(A163="""",AND(ISERROR(FIND(""drawer box"",A163))=FALSE,KitchenDrawerType=""Solid dovetail"")),"""",IF(ISERROR(FIND(""bins"",A163))=FALSE,VLOOKUP(""Base carcass 600"",KitchensData,6,0),IF(OR(ISERROR(FIND(""larder"",A163))=FALSE,ISERROR(FIND(""unit"","&amp;"A163))=FALSE),VLOOKUP(LEFT(A163,FIND("" "",A163))&amp;""carcass ""&amp;RIGHT(A163,LEN(A163)-len(regexextract(A163,"".* ""))),KitchensData,6,0),IF(ISERROR(FIND(""drawer front"",A163))=FALSE,IF(ISERROR(FIND(""veneer"",KitchenCarcassMaterial))=TRUE,0,(((B163+C163)/1"&amp;"000)*2)*VLOOKUP(""Edge banding (per M)"",SheetsData,5,0)),IF(ISERROR(FIND(""drawer box"",A163))=FALSE,IF(ISERROR(FIND(""veneer"",KitchenCarcassMaterial))=TRUE,0,(((C163+D163)/1000)*2)*VLOOKUP(""Edge banding (per M)"",SheetsData,5,0)),IF(ISERROR(FIND(""she"&amp;"lf"",A163))=FALSE,IF(ISERROR(FIND(""veneer"",KitchenCarcassMaterial))=TRUE,0,(C163/1000)*VLOOKUP(""Edge banding (per M)"",SheetsData,5,0)),IF(AND(ISERROR(FIND(""carcass"",A163))=FALSE,ISERROR(FIND(""shelf"",A163))=TRUE),IF(ISERROR(FIND(""veneer"",KitchenC"&amp;"arcassMaterial))=TRUE,0,((2*(B163+C163))/1000)*VLOOKUP(""Edge banding (per M)"",SheetsData,5,0)),IF(ISERROR(FIND(""door"",A163))=TRUE,"""",IF(ISERROR(FIND(""veneer"",KitchenDoorMaterial))=TRUE,"""",((2*(B163+C163))/1000)*VLOOKUP(""Edge banding (per M)"",S"&amp;"heetsData,5,0))))))))))"),"")</f>
        <v/>
      </c>
      <c r="G163" s="153" t="str">
        <f>IF(A163="","",IF(ISERROR(FIND("bins",A163))=FALSE,VLOOKUP("Base carcass 600",KitchensData,7,0),IF(OR(ISERROR(FIND("larder",A163))=FALSE,ISERROR(FIND("fridge/freezer",A163))=FALSE,ISERROR(FIND("double oven",A163))=FALSE,ISERROR(FIND("single oven",A163))=FALSE),VLOOKUP(LEFT(A163,FIND(" ",A163))&amp;"carcass "&amp;RIGHT(A163,LEN(A163)-(LEN(A163)-3)),KitchensData,7,0),IF(AND(ISERROR(FIND("carcass",A163))=FALSE,ISERROR(FIND("shelf",A163))=TRUE),IF(OR(ISERROR(FIND("Base",A163))=FALSE,ISERROR(FIND("Tower",A163))=FALSE),IF(OR(ISERROR(FIND("1200",A163))=FALSE, ISERROR(FIND("lost corner",A163))=FALSE),6*VLOOKUP("Plinth foot (2 Parts 80mm)",FurnitureData,5,0),4*VLOOKUP("Plinth foot (2 Parts 80mm)",FurnitureData,5,0)),""),""))))</f>
        <v/>
      </c>
      <c r="H163" s="115" t="str">
        <f>IF(OR(A163="",ISERROR(FIND("door",A163))=TRUE),"",IF(ISERROR(FIND("Wall",A163))=FALSE,VLOOKUP("Hinges &amp; plates (Hettich thick door)",FurnitureData,5,0)*2,IF(ISERROR(FIND("Base",A163))=FALSE,VLOOKUP("Hinges &amp; plates (Hettich thick door)",FurnitureData,5,0)*3,IF(ISERROR(FIND("Boiler",A163))=FALSE,VLOOKUP("Hinges &amp; plates (Hettich thick door)",FurnitureData,5,0)*4,IF(ISERROR(FIND("Tower",A163))=FALSE,VLOOKUP("Hinges &amp; plates (Hettich thick door)",FurnitureData,5,0)*5)))))</f>
        <v/>
      </c>
      <c r="I163" s="115" t="str">
        <f>IF(ISERROR(FIND("shelf",A163))=FALSE,(VLOOKUP("Shelf pegs",FurnitureData,5,0)/100)*4,"")</f>
        <v/>
      </c>
      <c r="J163" s="152" t="str">
        <f>IF(OR(ISERROR(FIND("fridge/freezer",A163))=FALSE,ISERROR(FIND("larder",A163))=FALSE,AND(ISERROR(FIND("Base",A163))=FALSE,ISERROR(FIND("bins",A163))=TRUE,ISERROR(FIND("no shelves",A163))=TRUE,OR(ISERROR(FIND("carcass",A163))=FALSE,ISERROR(FIND("unit",A163))=FALSE))),VLOOKUP("Deep shelf "&amp;C163,KitchensData,18,0),IF(AND(ISERROR(FIND("Wall",A163))=FALSE,ISERROR(FIND("carcass",A163))=FALSE),2*VLOOKUP("Shallow shelf "&amp;C163,KitchensData,18,0),IF(AND(ISERROR(FIND("Tower",A163))=FALSE,ISERROR(FIND("oven",A163))=FALSE),4*VLOOKUP("Deep shelf "&amp;C163,KitchensData,18,0),IF(AND(ISERROR(FIND("Tower",A163))=FALSE,ISERROR(FIND("carcass",A163))=FALSE),5*VLOOKUP("Deep shelf "&amp;C163,KitchensData,18,0),""))))</f>
        <v/>
      </c>
      <c r="K163" s="152" t="str">
        <f>IF(ISERROR(FIND("sink",A163))=FALSE,VLOOKUP("Sink liner - Aluminium "&amp;RIGHT(A163,LEN(A163)-22)&amp;"mm",ExceptionalData,5,0),IF(ISERROR(FIND("bins",A163))=FALSE,VLOOKUP("Drawer runners and clip set for bin unit (500) Dynapro",FurnitureData,5,0)+(2*VLOOKUP("Bin (42L Anthracite)",FurnitureData,5,0)),IF(ISERROR(FIND("larder",A163))=FALSE,VLOOKUP("Pull out larder unit 600mm",FurnitureData,5,0),IF(AND(ISERROR(FIND("drawer box",A163))=FALSE,ISERROR(FIND("internal",A163))=TRUE),VLOOKUP("Drawer runners and clip set (550) Dynapro",FurnitureData,5,0),IF(ISERROR(FIND("internal drawer box",A163))=FALSE,VLOOKUP("Drawer runners and clip set (450) Dynapro",FurnitureData,5,0),"")))))</f>
        <v/>
      </c>
      <c r="L163" s="152" t="str">
        <f t="shared" si="3"/>
        <v/>
      </c>
      <c r="M163" s="154" t="str">
        <f>IFERROR(__xludf.DUMMYFUNCTION("IF(A163="""","""",IF(OR(ISERROR(FIND(""larder"",A163))=FALSE,ISERROR(FIND(""unit"",A163))=FALSE),VLOOKUP(LEFT(A163,FIND("" "",A163))&amp;""carcass ""&amp;RIGHT(A163,LEN(A163)-len(regexextract(A163,"".* ""))),KitchensData,13,0),IF(ISERROR(FIND(""bins"",A163))=FALS"&amp;"E,0.95,IF(ISERROR(FIND(""Cutlery insert 600"",A163))=FALSE,1.3,IF(ISERROR(FIND(""Cutlery insert 1200"",A163))=FALSE,2,IF(ISERROR(FIND(""Pan/tray rack 600"",A163))=FALSE,3.25,IF(ISERROR(FIND(""Pan/tray rack 1200"",A163))=FALSE,5.9,IF(ISERROR(FIND(""split"""&amp;",A163))=FALSE,(((C163/1000)*0.022)*2)+VLOOKUP(SUBSTITUTE(A163,"" split"",""""),KitchensData,13,0),IF(AND(ISERROR(FIND(""drawer front"",A163))=FALSE,KitchenDoorStyle=""Flat""),(((B163/1000)*(C163/1000))*2)+((((B163+C163)/1000)*2)*0.022),IF(AND(ISERROR(FIND"&amp;"(""drawer front"",A163))=FALSE,LEFT(KitchenDoorStyle,5)=""Panel""),(((B163/1000)*(C163/1000))*2)+((((B163+C163)/1000)*2)*0.022)+((((C163/1000)-0.16)*0.013)*2)+((((D163/1000)-0.16)*0.013)*2),IF(AND(ISERROR(FIND(""drawer front"",A163))=FALSE,KitchenDoorStyl"&amp;"e=""In-frame flat""),((((B163-76)/1000)*((C163-38)/1000))*2)+(MID(KitchenDoorMaterial,FIND(""("",KitchenDoorMaterial)+1,2)/1000)*((((B163-76)+(C163-38))/1000)*2)+(((B163/1000)*0.032)*2)+((((B163-76)/1000)*0.032)*2)+(((B163/1000)*0.019)*4)+(((C163/1000)*0."&amp;"032)*2)+((((C163-38)/1000)*0.032)*2)+(((C163/1000)*0.038)*4),IF(AND(ISERROR(FIND(""drawer front"",A163))=FALSE,LEFT(KitchenDoorStyle,14)=""In-frame panel""),((((B163-76)/1000)*((C163-38)/1000))*2)+((MID(KitchenDoorMaterial,FIND(""("",KitchenDoorMaterial)+"&amp;"1,2)/1000)*((((B163-76)+(C163-38))/1000)*2))+((((B163-236)/1000)+((C163-198)/1000)*2)*0.013)+(((B163/1000)*0.032)*2)+((((B163-76)/1000)*0.032)*2)+(((B163/1000)*0.019)*4)+(((C163/1000)*0.032)*2)+((((C163-38)/1000)*0.032)*2)+(((C163/1000)*0.038)*4),IF(ISERR"&amp;"OR(FIND(""drawer box"",A163))=FALSE,((((B163/1000)*(D163/1000))+((B163/1000)*(C163/1000)))*4)+((((D163/1000)+(C163/1000))*0.016)*4)+(((C163/1000)*(D163/1000))*2),IF(OR(ISERROR(FIND(""shelf"",A163))=FALSE,ISERROR(FIND(""spacer"",A163))=FALSE,,ISERROR(FIND("&amp;"""filler panel"",A163))=FALSE),(((C163/1000)*(D163/1000))*2)+((((C163+D163)*2)/1000)*0.022),IF(ISERROR(FIND(""lost corner"",A163))=FALSE,(((B163/1000)*(C163/1000))*2)+((B163/1000)*(C163/1000))+((B163/1000)*((C163/2)/1000))+((((B163/1000)*0.025)+((C163/100"&amp;"0)*0.025))*2),IF(ISERROR(FIND(""carcass"",A163))=FALSE,(((C163/1000)*(D163/1000))*2)+(((B163/1000)*(D163/1000))*2)+((B163/1000)*(C163/1000))+((((B163/1000)*0.025)+((C163/1000)*0.025))*2),IF(AND(ISERROR(FIND(""door"",A163))=FALSE,KitchenDoorStyle=""Flat"")"&amp;",(((B163/1000)*(C163/1000))*2)+(MID(KitchenDoorMaterial,FIND(""("",KitchenDoorMaterial)+1,2)/1000)*(((B163+C163)/1000)*2),IF(AND(ISERROR(FIND(""door"",A163))=FALSE,LEFT(KitchenDoorStyle,5)=""Panel""),(((B163/1000)*(C163/1000))*2)+((MID(KitchenDoorMaterial"&amp;",FIND(""("",KitchenDoorMaterial)+1,2)/1000)*(((B163+C163)/1000)*2))+(((((B163-160)+(C163-160))*2)/1000)*(0.013)),IF(AND(ISERROR(FIND(""door"",A163))=FALSE,KitchenDoorStyle=""In-frame flat""),((((B163-76)/1000)*((C163-38)/1000))*2)+(MID(KitchenDoorMaterial"&amp;",FIND(""("",KitchenDoorMaterial)+1,2)/1000)*((((B163-76)+(C163-38))/1000)*2)+(((B163/1000)*0.032)*2)+((((B163-76)/1000)*0.032)*2)+(((B163/1000)*0.019)*4)+(((C163/1000)*0.032)*2)+((((C163-38)/1000)*0.032)*2)+(((C163/1000)*0.038)*4),IF(AND(ISERROR(FIND(""do"&amp;"or"",A163))=FALSE,LEFT(KitchenDoorStyle,14)=""In-frame panel""),((((B163-76)/1000)*((C163-38)/1000))*2)+((MID(KitchenDoorMaterial,FIND(""("",KitchenDoorMaterial)+1,2)/1000)*((((B163-76)+(C163-38))/1000)*2))+((((B163-236)/1000)+((C163-198)/1000)*2)*0.013)+"&amp;"(((B163/1000)*0.032)*2)+((((B163-76)/1000)*0.032)*2)+(((B163/1000)*0.019)*4)+(((C163/1000)*0.032)*2)+((((C163-38)/1000)*0.032)*2)+(((C163/1000)*0.038)*4),IF(ISERROR(FIND(""Plinth"",A163))=FALSE,((B163/1000)*(C163/1000))+(((C163/1000)*0.018)*2)+(((B163/100"&amp;"0)*0.018)*2),IF(ISERROR(FIND(""Cornice"",A163))=FALSE,(((C163/1000)*0.1)*2)+(((C163/1000)*0.044)*2)+(((B163/1000)*0.08)*2),IF(ISERROR(FIND(""Base end panel"",A163))=FALSE,((B163/1000)*(C163/1000))+(0.022*((B163/1000)+((C163/1000)*2)))+((B163/1000)*0.05),I"&amp;"F(ISERROR(FIND(""Wall end panel"",A163))=FALSE,((B163/1000)*(C163/1000))+(0.022*((B163/1000)+((C163/1000)*2)))+((B163/1000)*0.05),IF(ISERROR(FIND(""Tower end panel"",A163))=FALSE,((B163/1000)*(C163/1000))+(0.022*((B163/1000)+((C163/1000)*2)))+((B163/1000)"&amp;"*0.05),IF(ISERROR(FIND(""Fillers"",A163))=FALSE,((C163/1000)*0.06)+((C163/1000)*0.069)+((0.06*0.018)*2)+((0.06*0.009)*2)+((C163/1000)*0.009)+((C163/1000)*0.018),IF(ISERROR(FIND(""corner post"",A163))=FALSE,(((B163/1000*0.05)*2)+((B163/1000)*0.022)*2)+((B1"&amp;"63/1000)*0.072)+((B163/1000)*0.05)+((0.072*0.022)*2)+((0.05*0.022)*2),IF(ISERROR(FIND(""Pelmet"",A163))=FALSE,((C163/1000)*0.05)+((C163/1000)*0.068)+((0.05*0.018)*4)+(((C163/1000)*0.018))*2))))))))))))))))))))))))))))"),"")</f>
        <v/>
      </c>
      <c r="N163" s="152" t="str">
        <f>IF(M163="","",IF(AND(ISERROR(FIND("carcass",A163))=TRUE,ISERROR(FIND("unit",A163))=TRUE,ISERROR(FIND("insert",A163))=TRUE,ISERROR(FIND("rack",A163))=TRUE,ISERROR(FIND("box",A163))=TRUE,ISERROR(FIND("shelf",#REF!))=TRUE),VLOOKUP(KitchenDoorFinish,Finishing!$A$2:$K$10,9,0)*M163,VLOOKUP(KitchenCarcassFinish,Finishing!$A$2:$K$40,9,0)*M163))</f>
        <v/>
      </c>
      <c r="O163" s="155"/>
      <c r="P163" s="155"/>
      <c r="Q163" s="152" t="str">
        <f>IF(OR(O163="",P163=""),"",((O163*X163)*(VLOOKUP("Workshop",Labour!$A$3:$E$20,4,0)/8))+((P163*AE163)*(VLOOKUP("Finishing",Labour!$A$3:$E$20,4,0)/8)))</f>
        <v/>
      </c>
      <c r="R163" s="152" t="str">
        <f t="shared" si="4"/>
        <v/>
      </c>
      <c r="S163" s="156" t="str">
        <f>IF(OR(O163="",P163=""),"",IF(OR(ISERROR(FIND("carcass",$A163))=FALSE,ISERROR(FIND("unit",$A163))=FALSE),VLOOKUP(KitchenCarcassMaterial,FixedListsCarcassMaterial,2,0),0))</f>
        <v/>
      </c>
      <c r="T163" s="156" t="str">
        <f>IF(OR(O163="",P163=""),"",IF(ISERROR(FIND("door",$A163))=FALSE,VLOOKUP(KitchenDoorStyle,FixedListsDoorStyle,2,0),0))</f>
        <v/>
      </c>
      <c r="U163" s="156" t="str">
        <f>IF(OR(O163="",P163=""),"",IF(ISERROR(FIND("door",$A163))=FALSE,VLOOKUP(KitchenDoorMaterial,FixedListsDoorMaterial,2,0),0))</f>
        <v/>
      </c>
      <c r="V163" s="156" t="str">
        <f>IF(OR(O163="",P163=""),"",IF(ISERROR(FIND("drawer",$A163))=FALSE,VLOOKUP(KitchenDrawerType,FixedListsDrawerType,2,0),0))</f>
        <v/>
      </c>
      <c r="W163" s="156" t="str">
        <f>IF(OR(O163="",P163=""),"",IF(OR(S163&gt;0, T163&gt;0,V163&gt;0),VLOOKUP(KitchenHandleType,FixedListsHandleType,2,FALSE)*IF(KitchenHandleType="Simple",0,IF(S163&gt;0,VLOOKUP(KitchenHandleType,FixedListsHandleType,4,FALSE),IF(OR(T163&gt;0,V163&gt;0),1-VLOOKUP(KitchenHandleType,FixedListsHandleType,4,FALSE),"Error"))),0))</f>
        <v/>
      </c>
      <c r="X163" s="156" t="str">
        <f t="shared" si="5"/>
        <v/>
      </c>
      <c r="Y163" s="156" t="str">
        <f>IF(OR(O163="",P163=""),"",IF(OR(ISERROR(FIND("carcass",$A163))=FALSE,ISERROR(FIND("unit",$A163))=FALSE),VLOOKUP(KitchenCarcassMaterial,FixedListsCarcassMaterial,3,0),0))</f>
        <v/>
      </c>
      <c r="Z163" s="156" t="str">
        <f>IF(OR(O163="",P163=""),"",IF(ISERROR(FIND("door",$A163))=FALSE,VLOOKUP(KitchenDoorStyle,FixedListsDoorStyle,3,0),0))</f>
        <v/>
      </c>
      <c r="AA163" s="156" t="str">
        <f>IF(OR(O163="",P163=""),"",IF(ISERROR(FIND("door",$A163))=FALSE,VLOOKUP(KitchenDoorMaterial,FixedListsDoorMaterial,3,0),0))</f>
        <v/>
      </c>
      <c r="AB163" s="156" t="str">
        <f>IF(OR(O163="",P163=""),"",IF(ISERROR(FIND("drawer",$A163))=FALSE,VLOOKUP(KitchenDrawerType,FixedListsDrawerType,3,0),0))</f>
        <v/>
      </c>
      <c r="AC163" s="156" t="str">
        <f>IF(OR(O163="",P163=""),"",IF(OR(Y163&gt;0,Z163&gt;0,AB163&gt;0),VLOOKUP(KitchenHandleType,FixedListsHandleType,3,FALSE),0))</f>
        <v/>
      </c>
      <c r="AD163" s="156" t="str">
        <f>IF(OR(O163="",P163=""),"",IF(OR(ISERROR(FIND("carcass",$A163))=FALSE,ISERROR(FIND("unit",$A163))=FALSE),VLOOKUP(KitchenCarcassFinish,FixedListsFinishes,3,0),IF(OR(ISERROR(FIND("door",$A163))=FALSE,ISERROR(FIND("Plinth",$A163))=FALSE,ISERROR(FIND("Cornice",$A163))=FALSE,ISERROR(FIND("Fillers",$A163))=FALSE,ISERROR(FIND("Pelmet",$A163))=FALSE,ISERROR(FIND("panel",$A163))=FALSE,ISERROR(FIND("post",$A163))=FALSE),VLOOKUP(KitchenDoorFinish,FixedListsFinishes,3,0),IF(OR(ISERROR(FIND("drawer",$A163))=FALSE,ISERROR(FIND("insert",$A163))=FALSE,ISERROR(FIND("rck",$A163))=FALSE),VLOOKUP(KitchenCarcassFinish,FixedListsFinishes,3,0),0))))</f>
        <v/>
      </c>
      <c r="AE163" s="156" t="str">
        <f t="shared" si="6"/>
        <v/>
      </c>
      <c r="AF163" s="157" t="str">
        <f>IF(AND(KitchenHandleType="Channel",OR(ISERROR(FIND("arcass",$A163))=FALSE,ISERROR(FIND("unit",$A163))=FALSE)),IF(ISERROR(FIND("Tower",$A163))=TRUE,IF(KitchenHandleFinish="Match carcass",IF(ISERROR(FIND("Walnut",KitchenCarcassMaterial))=FALSE,(0.035*0.075*($C163/1000))*VLOOKUP("Walnut (solid m3)",SolidData,4,FALSE),IF(ISERROR(FIND("Oak",KitchenCarcassMaterial))=FALSE,(0.035*0.075*($C163/1000))*VLOOKUP("Oak (solid m3)",SolidData,4,FALSE),IF(ISERROR(FIND("ply",KitchenCarcassMaterial))=FALSE,(0.1*($C163/1000))*VLOOKUP("Birch ply (24mm)",SheetsData,7,FALSE),IF(ISERROR(FIND("H/F",KitchenCarcassMaterial))=FALSE,(0.1*($C163/1000))*VLOOKUP("H/F (22mm)",SheetsData,7,FALSE),"Carcass - not tower - new material")))),IF(KitchenHandleFinish="Match door",IF(ISERROR(FIND("Walnut",KitchenDoorMaterial))=FALSE,(0.035*0.075*($C163/1000))*VLOOKUP("Walnut (solid m3)",SolidData,4,FALSE),IF(ISERROR(FIND("Oak",KitchenDoorMaterial))=FALSE,(0.035*0.075*($C163/1000))*VLOOKUP("Oak (solid m3)",SolidData,4,FALSE),IF(ISERROR(FIND("ply",KitchenDoorMaterial))=FALSE,(0.1*($C163/1000))*VLOOKUP("Birch ply (24mm)",SheetsData,7,FALSE),IF(ISERROR(FIND("H/F",KitchenCarcassMaterial))=FALSE,(0.1*($C163/1000))*VLOOKUP("H/F (22mm)",SheetsData,7,FALSE),"Door - not tower - new material")))),"Channel - not tower - handle set to other")),IF(ISERROR(FIND("Tower",$A163))=FALSE,IF(KitchenHandleFinish="Match carcass",IF(ISERROR(FIND("Walnut",KitchenCarcassMaterial))=FALSE,(0.035*0.075*($B163/1000))*VLOOKUP("Walnut (solid m3)",SolidData,4,FALSE),IF(ISERROR(FIND("Oak",KitchenCarcassMaterial))=FALSE,(0.035*0.075*($B163/1000))*VLOOKUP("Oak (solid m3)",SolidData,4,FALSE),IF(ISERROR(FIND("ply",KitchenCarcassMaterial))=FALSE,(0.1*($B163/1000))*VLOOKUP("Birch ply (24mm)",SheetsData,7,FALSE),IF(ISERROR(FIND("H/F",KitchenCarcassMaterial))=FALSE,(0.1*($C163/1000))*VLOOKUP("H/F (22mm)",SheetsData,7,FALSE),"Carcass - tower - new material")))),IF(KitchenHandleFinish="Match door",IF(ISERROR(FIND("Walnut",KitchenDoorMaterial))=FALSE,(0.035*0.075*($B163/1000))*VLOOKUP("Walnut (solid m3)",SolidData,4,FALSE),IF(ISERROR(FIND("Oak",KitchenDoorMaterial))=FALSE,(0.035*0.075*($B163/1000))*VLOOKUP("Oak (solid m3)",SolidData,4,FALSE),IF(ISERROR(FIND("ply",KitchenDoorMaterial))=FALSE,(0.1*($B163/1000))*VLOOKUP("Birch ply (24mm)",SheetData,7,FALSE),IF(ISERROR(FIND("H/F",KitchenCarcassMaterial))=FALSE,(0.1*($C163/1000))*VLOOKUP("H/F (22mm)",SheetsData,7,FALSE),"Door - tower - new material")))),"Channel - tower - handle set to other")))),"")</f>
        <v/>
      </c>
    </row>
    <row r="164">
      <c r="A164" s="150"/>
      <c r="B164" s="115" t="str">
        <f t="shared" si="1"/>
        <v/>
      </c>
      <c r="C164" s="115" t="str">
        <f>IFERROR(__xludf.DUMMYFUNCTION("IF(A164="""","""",IF(OR(RIGHT(A164,LEN(A164)-len(regexextract(A164,"".* "")))=""1200"",RIGHT(A164,LEN(A164)-len(regexextract(A164,"".* "")))=""600"",RIGHT(A164,LEN(A164)-len(regexextract(A164,"".* "")))=""400"",RIGHT(A164,LEN(A164)-len(regexextract(A164,"&amp;""".* "")))=""300"",RIGHT(A164,LEN(A164)-len(regexextract(A164,"".* "")))=""700"",RIGHT(A164,LEN(A164)-len(regexextract(A164,"".* "")))=""2400"",RIGHT(A164,LEN(A164)-len(regexextract(A164,"".* "")))=""650"",RIGHT(A164,LEN(A164)-len(regexextract(A164,"".* "&amp;""")))=""350"",RIGHT(A164,LEN(A164)-len(regexextract(A164,"".* "")))=""50""),RIGHT(A164,LEN(A164)-len(regexextract(A164,"".* ""))),IF(OR(ISERROR(FIND(""spacer"",A164))=FALSE,ISERROR(FIND(""filler panel"",A164))=FALSE),""1000"",""Unexpected size in descript"&amp;"ion"")))"),"")</f>
        <v/>
      </c>
      <c r="D164" s="151" t="str">
        <f t="shared" si="2"/>
        <v/>
      </c>
      <c r="E164" s="152" t="str">
        <f>IFERROR(__xludf.DUMMYFUNCTION("IF(OR(A164="""",AND(ISERROR(FIND(""drawer box"",A164))=FALSE,KitchenDrawerType="""")),"""",IF(OR(ISERROR(FIND(""larder"",A164))=FALSE,ISERROR(FIND(""fridge/freezer"",A164))=FALSE,ISERROR(FIND(""double oven"",A164))=FALSE,ISERROR(FIND(""single oven"",A164)"&amp;")=FALSE),VLOOKUP(LEFT(A164,FIND("" "",A164))&amp;""carcass ""&amp;RIGHT(A164,LEN(A164)-(LEN(A164)-3)),KitchensData,5,0),IF(ISERROR(FIND(""sink"",A164))=FALSE,VLOOKUP(LEFT(A164,FIND("" "",A164))&amp;""carcass ""&amp;VALUE(REGEXREPLACE(A164,""[^[:digit:]]"", """")),Kitchen"&amp;"sData,5,0)+(((C164/1000)*(300/1000))*VLOOKUP(KitchenCarcassMaterial,SheetsData,8,0)),IF(ISERROR(FIND(""bins"",A164))=FALSE,IF(ISERROR(FIND(""veneer"",KitchenCarcassMaterial))=FALSE,VLOOKUP(""Base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600"",A164))=FALSE,IF(ISERR"&amp;"OR(FIND(""veneer"",KitchenCarcassMaterial))=FALSE,0.54*(VLOOKUP(LEFT(KitchenCarcassMaterial,FIND(""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1"&amp;"200"",A164))=FALSE,IF(ISERROR(FIND(""veneer"",KitchenCarcassMaterial))=FALSE,0.84*(VLOOKUP(LEFT(KitchenCarcassMaterial,FIND(""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600"",A164))=FALSE,IF(ISERROR(FIND(""veneer"",KitchenCarcassMaterial))=FALSE,1.44*(VLOOKUP(LEFT(KitchenCarcassMaterial,FIND(""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1200"",A164))=FALSE,IF(ISERROR(FIND(""veneer"",KitchenCarcassMaterial))=FALSE,2.7*(VLOOKUP(LEFT(KitchenCarcassMaterial,FIND(""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front"",A164))=FALSE,((B164/1000)*(C164/1000))*VLOOKUP(KitchenDoorMaterial,SheetsData,8,0),IF(AND(KitchenDrawerType=""Match carcass"",ISERROR(FIND(""drawer box"",A164))=FALSE),(((((B164/10"&amp;"00)*(C164/1000))+((B164/1000)*(D164/1000)))*2)*VLOOKUP(KitchenCarcassMaterial,SheetsData,8,0))+(((C164/1000)*(D164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box"",A164))=FALSE),(((((B164/1000)*(C164/1000))+((B164/1000)*(D164/1000)))*2)*(16/1000)*VLOOKUP(L"&amp;"EFT(KitchenCarcassMaterial,FIND("" "",KitchenCarcassMaterial))&amp;""(solid m3)"",SolidData,5,0))+(((C164/1000)*(D164/1000))*VLOOKUP(LEFT(KitchenCarcassMaterial,FIND(""("",KitchenCarcassMaterial)-1)&amp;IF(OR(ISERROR(FIND(""ply"",KitchenCarcassMaterial))=FALSE,IS"&amp;"ERROR(FIND(""H/F"",KitchenCarcassMaterial))=FALSE),""(9mm)"",""(10mm)""),SheetsData,8,0)),IF(ISERROR(FIND(""spacer"",A164))=FALSE,((D164/1000)*(C164/1000))*VLOOKUP(""Poplar ply (18mm)"",SheetsData,8,0),IF(ISERROR(FIND(""filler panel"",A164))=FALSE,((B164/"&amp;"1000)*(C164/1000))*VLOOKUP(KitchenDoorMaterial,SheetsData,8,0),IF(ISERROR(FIND(""shelf"",A164))=FALSE,((D164/1000)*(C164/1000))*VLOOKUP(KitchenCarcassMaterial,SheetsData,8,0),IF(ISERROR(FIND(""lost corner"",A164))=FALSE,VLOOKUP(LEFT(A164,FIND("" "",A164))"&amp;"&amp;""carcass ""&amp;VALUE(REGEXREPLACE(A164,""[^[:digit:]]"", """")),KitchensData,5,0)+((((B164/1000)*(C164/1000))+((B164/1000)*(60/1000)))*VLOOKUP(KitchenCarcassMaterial,SheetsData,8,0)),IF(ISERROR(FIND(""carcass"",A164))=FALSE,(((((B164/1000)*2)*(D164/1000))+"&amp;"(((C164/1000)*2)*(D164/1000)))*VLOOKUP(KitchenCarcassMaterial,SheetsData,8,0))+((B164/1000)*(C164/1000))*VLOOKUP(LEFT(KitchenCarcassMaterial,FIND(""("",KitchenCarcassMaterial)-1)&amp;IF(OR(ISERROR(FIND(""ply"",KitchenCarcassMaterial))=FALSE,ISERROR(FIND(""H/F"&amp;""",KitchenCarcassMaterial))=FALSE),""(9mm)"",""(10mm)""),SheetsData,8,0),IF(OR(ISERROR(FIND(""Plinth"",A164))=FALSE,ISERROR(FIND(""Cornice (flat)"",A164))=FALSE),((B164/1000)*(C164/1000))*VLOOKUP(""H/F (18mm)"",SheetsData,8,0),IF(ISERROR(FIND(""Cornice (s"&amp;"tacked)"",A164))=FALSE,((0.08*(C164/1000))*2)*VLOOKUP(""H/F (22mm)"",SheetsData,8,0),IF(ISERROR(FIND(""Base end panel"",A164))=FALSE,VLOOKUP(KitchenDoorMaterial,SheetsData,5,0)/3,IF(ISERROR(FIND(""Wall end panel"",A164))=FALSE,VLOOKUP(KitchenDoorMaterial,"&amp;"SheetsData,5,0)/9,IF(ISERROR(FIND(""Tower end panel"",A164))=FALSE,VLOOKUP(KitchenDoorMaterial,SheetsData,5,0),IF(ISERROR(FIND(""Fillers"",A164))=FALSE,(((0.06*(C164/1000))*2)*VLOOKUP(""H/F (18mm)"",SheetsData,8,0))+(((0.06*(C164/1000))*2)*VLOOKUP(""H/F ("&amp;"9mm)"",SheetsData,8,0)),IF(ISERROR(FIND(""corner post"",A164))=FALSE,(((B164/1000)*0.05)*2)*VLOOKUP(KitchenDoorMaterial,SheetsData,8,0),IF(ISERROR(FIND(""Pelmet"",A164))=FALSE,((((B164/1000)*(C164/1000))*2)*VLOOKUP(""H/F (18mm)"",SheetsData,8,0)),IF(ISERR"&amp;"OR(FIND(""door"",A164))=TRUE,""Check description"",IF(KitchenDoorStyle=""Flat"",((B164/1000)*(C164/1000))*VLOOKUP(KitchenDoorMaterial,SheetsData,8,0),IF(LEFT(KitchenDoorStyle,5)=""Panel"",(((((B164/1000)*2)*0.08)+((((C164/1000)-0.16)*2)*0.08))*VLOOKUP(""H"&amp;"/F (22mm)"",SheetsData,8,0))+(((B164/1000)-0.14)*((C164/1000)-0.14)*VLOOKUP(""H/F (9mm)"",SheetsData,8,0)),IF(KitchenDoorStyle=""In-frame flat"",((((((B164/1000)*0.019)*0.038)+((((C164-38)/1000)*0.038)*0.038))*2)*VLOOKUP(""Tulip (solid m3)"",SolidData,5,0"&amp;"))+(((B164-76)/1000)*((C164-38)/1000))*VLOOKUP(""H/F (22mm)"",SheetsData,8,0),IF(LEFT(KitchenDoorStyle,14)=""In-frame panel"",(((((((B164/1000)*0.019)*0.038)+((((C164-38)/1000)*0.038)*0.038))*2)*VLOOKUP(""Tulip (solid m3)"",SolidData,5,0))+(((((((B164-76)"&amp;"/1000)*2)*0.08)+(((((C164-198)/1000)*2)*0.08)))*VLOOKUP(""H/F (22mm)"",SheetsData,8,0))+(((B164-216)/1000)*((C164-178)/1000)*VLOOKUP(""H/F (9mm)"",SheetsData,8,0)))))))))))))))))))))))))))))))))"),"")</f>
        <v/>
      </c>
      <c r="F164" s="152" t="str">
        <f>IFERROR(__xludf.DUMMYFUNCTION("IF(OR(A164="""",AND(ISERROR(FIND(""drawer box"",A164))=FALSE,KitchenDrawerType=""Solid dovetail"")),"""",IF(ISERROR(FIND(""bins"",A164))=FALSE,VLOOKUP(""Base carcass 600"",KitchensData,6,0),IF(OR(ISERROR(FIND(""larder"",A164))=FALSE,ISERROR(FIND(""unit"","&amp;"A164))=FALSE),VLOOKUP(LEFT(A164,FIND("" "",A164))&amp;""carcass ""&amp;RIGHT(A164,LEN(A164)-len(regexextract(A164,"".* ""))),KitchensData,6,0),IF(ISERROR(FIND(""drawer front"",A164))=FALSE,IF(ISERROR(FIND(""veneer"",KitchenCarcassMaterial))=TRUE,0,(((B164+C164)/1"&amp;"000)*2)*VLOOKUP(""Edge banding (per M)"",SheetsData,5,0)),IF(ISERROR(FIND(""drawer box"",A164))=FALSE,IF(ISERROR(FIND(""veneer"",KitchenCarcassMaterial))=TRUE,0,(((C164+D164)/1000)*2)*VLOOKUP(""Edge banding (per M)"",SheetsData,5,0)),IF(ISERROR(FIND(""she"&amp;"lf"",A164))=FALSE,IF(ISERROR(FIND(""veneer"",KitchenCarcassMaterial))=TRUE,0,(C164/1000)*VLOOKUP(""Edge banding (per M)"",SheetsData,5,0)),IF(AND(ISERROR(FIND(""carcass"",A164))=FALSE,ISERROR(FIND(""shelf"",A164))=TRUE),IF(ISERROR(FIND(""veneer"",KitchenC"&amp;"arcassMaterial))=TRUE,0,((2*(B164+C164))/1000)*VLOOKUP(""Edge banding (per M)"",SheetsData,5,0)),IF(ISERROR(FIND(""door"",A164))=TRUE,"""",IF(ISERROR(FIND(""veneer"",KitchenDoorMaterial))=TRUE,"""",((2*(B164+C164))/1000)*VLOOKUP(""Edge banding (per M)"",S"&amp;"heetsData,5,0))))))))))"),"")</f>
        <v/>
      </c>
      <c r="G164" s="153" t="str">
        <f>IF(A164="","",IF(ISERROR(FIND("bins",A164))=FALSE,VLOOKUP("Base carcass 600",KitchensData,7,0),IF(OR(ISERROR(FIND("larder",A164))=FALSE,ISERROR(FIND("fridge/freezer",A164))=FALSE,ISERROR(FIND("double oven",A164))=FALSE,ISERROR(FIND("single oven",A164))=FALSE),VLOOKUP(LEFT(A164,FIND(" ",A164))&amp;"carcass "&amp;RIGHT(A164,LEN(A164)-(LEN(A164)-3)),KitchensData,7,0),IF(AND(ISERROR(FIND("carcass",A164))=FALSE,ISERROR(FIND("shelf",A164))=TRUE),IF(OR(ISERROR(FIND("Base",A164))=FALSE,ISERROR(FIND("Tower",A164))=FALSE),IF(OR(ISERROR(FIND("1200",A164))=FALSE, ISERROR(FIND("lost corner",A164))=FALSE),6*VLOOKUP("Plinth foot (2 Parts 80mm)",FurnitureData,5,0),4*VLOOKUP("Plinth foot (2 Parts 80mm)",FurnitureData,5,0)),""),""))))</f>
        <v/>
      </c>
      <c r="H164" s="115" t="str">
        <f>IF(OR(A164="",ISERROR(FIND("door",A164))=TRUE),"",IF(ISERROR(FIND("Wall",A164))=FALSE,VLOOKUP("Hinges &amp; plates (Hettich thick door)",FurnitureData,5,0)*2,IF(ISERROR(FIND("Base",A164))=FALSE,VLOOKUP("Hinges &amp; plates (Hettich thick door)",FurnitureData,5,0)*3,IF(ISERROR(FIND("Boiler",A164))=FALSE,VLOOKUP("Hinges &amp; plates (Hettich thick door)",FurnitureData,5,0)*4,IF(ISERROR(FIND("Tower",A164))=FALSE,VLOOKUP("Hinges &amp; plates (Hettich thick door)",FurnitureData,5,0)*5)))))</f>
        <v/>
      </c>
      <c r="I164" s="115" t="str">
        <f>IF(ISERROR(FIND("shelf",A164))=FALSE,(VLOOKUP("Shelf pegs",FurnitureData,5,0)/100)*4,"")</f>
        <v/>
      </c>
      <c r="J164" s="152" t="str">
        <f>IF(OR(ISERROR(FIND("fridge/freezer",A164))=FALSE,ISERROR(FIND("larder",A164))=FALSE,AND(ISERROR(FIND("Base",A164))=FALSE,ISERROR(FIND("bins",A164))=TRUE,ISERROR(FIND("no shelves",A164))=TRUE,OR(ISERROR(FIND("carcass",A164))=FALSE,ISERROR(FIND("unit",A164))=FALSE))),VLOOKUP("Deep shelf "&amp;C164,KitchensData,18,0),IF(AND(ISERROR(FIND("Wall",A164))=FALSE,ISERROR(FIND("carcass",A164))=FALSE),2*VLOOKUP("Shallow shelf "&amp;C164,KitchensData,18,0),IF(AND(ISERROR(FIND("Tower",A164))=FALSE,ISERROR(FIND("oven",A164))=FALSE),4*VLOOKUP("Deep shelf "&amp;C164,KitchensData,18,0),IF(AND(ISERROR(FIND("Tower",A164))=FALSE,ISERROR(FIND("carcass",A164))=FALSE),5*VLOOKUP("Deep shelf "&amp;C164,KitchensData,18,0),""))))</f>
        <v/>
      </c>
      <c r="K164" s="152" t="str">
        <f>IF(ISERROR(FIND("sink",A164))=FALSE,VLOOKUP("Sink liner - Aluminium "&amp;RIGHT(A164,LEN(A164)-22)&amp;"mm",ExceptionalData,5,0),IF(ISERROR(FIND("bins",A164))=FALSE,VLOOKUP("Drawer runners and clip set for bin unit (500) Dynapro",FurnitureData,5,0)+(2*VLOOKUP("Bin (42L Anthracite)",FurnitureData,5,0)),IF(ISERROR(FIND("larder",A164))=FALSE,VLOOKUP("Pull out larder unit 600mm",FurnitureData,5,0),IF(AND(ISERROR(FIND("drawer box",A164))=FALSE,ISERROR(FIND("internal",A164))=TRUE),VLOOKUP("Drawer runners and clip set (550) Dynapro",FurnitureData,5,0),IF(ISERROR(FIND("internal drawer box",A164))=FALSE,VLOOKUP("Drawer runners and clip set (450) Dynapro",FurnitureData,5,0),"")))))</f>
        <v/>
      </c>
      <c r="L164" s="152" t="str">
        <f t="shared" si="3"/>
        <v/>
      </c>
      <c r="M164" s="154" t="str">
        <f>IFERROR(__xludf.DUMMYFUNCTION("IF(A164="""","""",IF(OR(ISERROR(FIND(""larder"",A164))=FALSE,ISERROR(FIND(""unit"",A164))=FALSE),VLOOKUP(LEFT(A164,FIND("" "",A164))&amp;""carcass ""&amp;RIGHT(A164,LEN(A164)-len(regexextract(A164,"".* ""))),KitchensData,13,0),IF(ISERROR(FIND(""bins"",A164))=FALS"&amp;"E,0.95,IF(ISERROR(FIND(""Cutlery insert 600"",A164))=FALSE,1.3,IF(ISERROR(FIND(""Cutlery insert 1200"",A164))=FALSE,2,IF(ISERROR(FIND(""Pan/tray rack 600"",A164))=FALSE,3.25,IF(ISERROR(FIND(""Pan/tray rack 1200"",A164))=FALSE,5.9,IF(ISERROR(FIND(""split"""&amp;",A164))=FALSE,(((C164/1000)*0.022)*2)+VLOOKUP(SUBSTITUTE(A164,"" split"",""""),KitchensData,13,0),IF(AND(ISERROR(FIND(""drawer front"",A164))=FALSE,KitchenDoorStyle=""Flat""),(((B164/1000)*(C164/1000))*2)+((((B164+C164)/1000)*2)*0.022),IF(AND(ISERROR(FIND"&amp;"(""drawer front"",A164))=FALSE,LEFT(KitchenDoorStyle,5)=""Panel""),(((B164/1000)*(C164/1000))*2)+((((B164+C164)/1000)*2)*0.022)+((((C164/1000)-0.16)*0.013)*2)+((((D164/1000)-0.16)*0.013)*2),IF(AND(ISERROR(FIND(""drawer front"",A164))=FALSE,KitchenDoorStyl"&amp;"e=""In-frame flat""),((((B164-76)/1000)*((C164-38)/1000))*2)+(MID(KitchenDoorMaterial,FIND(""("",KitchenDoorMaterial)+1,2)/1000)*((((B164-76)+(C164-38))/1000)*2)+(((B164/1000)*0.032)*2)+((((B164-76)/1000)*0.032)*2)+(((B164/1000)*0.019)*4)+(((C164/1000)*0."&amp;"032)*2)+((((C164-38)/1000)*0.032)*2)+(((C164/1000)*0.038)*4),IF(AND(ISERROR(FIND(""drawer front"",A164))=FALSE,LEFT(KitchenDoorStyle,14)=""In-frame panel""),((((B164-76)/1000)*((C164-38)/1000))*2)+((MID(KitchenDoorMaterial,FIND(""("",KitchenDoorMaterial)+"&amp;"1,2)/1000)*((((B164-76)+(C164-38))/1000)*2))+((((B164-236)/1000)+((C164-198)/1000)*2)*0.013)+(((B164/1000)*0.032)*2)+((((B164-76)/1000)*0.032)*2)+(((B164/1000)*0.019)*4)+(((C164/1000)*0.032)*2)+((((C164-38)/1000)*0.032)*2)+(((C164/1000)*0.038)*4),IF(ISERR"&amp;"OR(FIND(""drawer box"",A164))=FALSE,((((B164/1000)*(D164/1000))+((B164/1000)*(C164/1000)))*4)+((((D164/1000)+(C164/1000))*0.016)*4)+(((C164/1000)*(D164/1000))*2),IF(OR(ISERROR(FIND(""shelf"",A164))=FALSE,ISERROR(FIND(""spacer"",A164))=FALSE,,ISERROR(FIND("&amp;"""filler panel"",A164))=FALSE),(((C164/1000)*(D164/1000))*2)+((((C164+D164)*2)/1000)*0.022),IF(ISERROR(FIND(""lost corner"",A164))=FALSE,(((B164/1000)*(C164/1000))*2)+((B164/1000)*(C164/1000))+((B164/1000)*((C164/2)/1000))+((((B164/1000)*0.025)+((C164/100"&amp;"0)*0.025))*2),IF(ISERROR(FIND(""carcass"",A164))=FALSE,(((C164/1000)*(D164/1000))*2)+(((B164/1000)*(D164/1000))*2)+((B164/1000)*(C164/1000))+((((B164/1000)*0.025)+((C164/1000)*0.025))*2),IF(AND(ISERROR(FIND(""door"",A164))=FALSE,KitchenDoorStyle=""Flat"")"&amp;",(((B164/1000)*(C164/1000))*2)+(MID(KitchenDoorMaterial,FIND(""("",KitchenDoorMaterial)+1,2)/1000)*(((B164+C164)/1000)*2),IF(AND(ISERROR(FIND(""door"",A164))=FALSE,LEFT(KitchenDoorStyle,5)=""Panel""),(((B164/1000)*(C164/1000))*2)+((MID(KitchenDoorMaterial"&amp;",FIND(""("",KitchenDoorMaterial)+1,2)/1000)*(((B164+C164)/1000)*2))+(((((B164-160)+(C164-160))*2)/1000)*(0.013)),IF(AND(ISERROR(FIND(""door"",A164))=FALSE,KitchenDoorStyle=""In-frame flat""),((((B164-76)/1000)*((C164-38)/1000))*2)+(MID(KitchenDoorMaterial"&amp;",FIND(""("",KitchenDoorMaterial)+1,2)/1000)*((((B164-76)+(C164-38))/1000)*2)+(((B164/1000)*0.032)*2)+((((B164-76)/1000)*0.032)*2)+(((B164/1000)*0.019)*4)+(((C164/1000)*0.032)*2)+((((C164-38)/1000)*0.032)*2)+(((C164/1000)*0.038)*4),IF(AND(ISERROR(FIND(""do"&amp;"or"",A164))=FALSE,LEFT(KitchenDoorStyle,14)=""In-frame panel""),((((B164-76)/1000)*((C164-38)/1000))*2)+((MID(KitchenDoorMaterial,FIND(""("",KitchenDoorMaterial)+1,2)/1000)*((((B164-76)+(C164-38))/1000)*2))+((((B164-236)/1000)+((C164-198)/1000)*2)*0.013)+"&amp;"(((B164/1000)*0.032)*2)+((((B164-76)/1000)*0.032)*2)+(((B164/1000)*0.019)*4)+(((C164/1000)*0.032)*2)+((((C164-38)/1000)*0.032)*2)+(((C164/1000)*0.038)*4),IF(ISERROR(FIND(""Plinth"",A164))=FALSE,((B164/1000)*(C164/1000))+(((C164/1000)*0.018)*2)+(((B164/100"&amp;"0)*0.018)*2),IF(ISERROR(FIND(""Cornice"",A164))=FALSE,(((C164/1000)*0.1)*2)+(((C164/1000)*0.044)*2)+(((B164/1000)*0.08)*2),IF(ISERROR(FIND(""Base end panel"",A164))=FALSE,((B164/1000)*(C164/1000))+(0.022*((B164/1000)+((C164/1000)*2)))+((B164/1000)*0.05),I"&amp;"F(ISERROR(FIND(""Wall end panel"",A164))=FALSE,((B164/1000)*(C164/1000))+(0.022*((B164/1000)+((C164/1000)*2)))+((B164/1000)*0.05),IF(ISERROR(FIND(""Tower end panel"",A164))=FALSE,((B164/1000)*(C164/1000))+(0.022*((B164/1000)+((C164/1000)*2)))+((B164/1000)"&amp;"*0.05),IF(ISERROR(FIND(""Fillers"",A164))=FALSE,((C164/1000)*0.06)+((C164/1000)*0.069)+((0.06*0.018)*2)+((0.06*0.009)*2)+((C164/1000)*0.009)+((C164/1000)*0.018),IF(ISERROR(FIND(""corner post"",A164))=FALSE,(((B164/1000*0.05)*2)+((B164/1000)*0.022)*2)+((B1"&amp;"64/1000)*0.072)+((B164/1000)*0.05)+((0.072*0.022)*2)+((0.05*0.022)*2),IF(ISERROR(FIND(""Pelmet"",A164))=FALSE,((C164/1000)*0.05)+((C164/1000)*0.068)+((0.05*0.018)*4)+(((C164/1000)*0.018))*2))))))))))))))))))))))))))))"),"")</f>
        <v/>
      </c>
      <c r="N164" s="152" t="str">
        <f>IF(M164="","",IF(AND(ISERROR(FIND("carcass",A164))=TRUE,ISERROR(FIND("unit",A164))=TRUE,ISERROR(FIND("insert",A164))=TRUE,ISERROR(FIND("rack",A164))=TRUE,ISERROR(FIND("box",A164))=TRUE,ISERROR(FIND("shelf",#REF!))=TRUE),VLOOKUP(KitchenDoorFinish,Finishing!$A$2:$K$10,9,0)*M164,VLOOKUP(KitchenCarcassFinish,Finishing!$A$2:$K$40,9,0)*M164))</f>
        <v/>
      </c>
      <c r="O164" s="155"/>
      <c r="P164" s="155"/>
      <c r="Q164" s="152" t="str">
        <f>IF(OR(O164="",P164=""),"",((O164*X164)*(VLOOKUP("Workshop",Labour!$A$3:$E$20,4,0)/8))+((P164*AE164)*(VLOOKUP("Finishing",Labour!$A$3:$E$20,4,0)/8)))</f>
        <v/>
      </c>
      <c r="R164" s="152" t="str">
        <f t="shared" si="4"/>
        <v/>
      </c>
      <c r="S164" s="156" t="str">
        <f>IF(OR(O164="",P164=""),"",IF(OR(ISERROR(FIND("carcass",$A164))=FALSE,ISERROR(FIND("unit",$A164))=FALSE),VLOOKUP(KitchenCarcassMaterial,FixedListsCarcassMaterial,2,0),0))</f>
        <v/>
      </c>
      <c r="T164" s="156" t="str">
        <f>IF(OR(O164="",P164=""),"",IF(ISERROR(FIND("door",$A164))=FALSE,VLOOKUP(KitchenDoorStyle,FixedListsDoorStyle,2,0),0))</f>
        <v/>
      </c>
      <c r="U164" s="156" t="str">
        <f>IF(OR(O164="",P164=""),"",IF(ISERROR(FIND("door",$A164))=FALSE,VLOOKUP(KitchenDoorMaterial,FixedListsDoorMaterial,2,0),0))</f>
        <v/>
      </c>
      <c r="V164" s="156" t="str">
        <f>IF(OR(O164="",P164=""),"",IF(ISERROR(FIND("drawer",$A164))=FALSE,VLOOKUP(KitchenDrawerType,FixedListsDrawerType,2,0),0))</f>
        <v/>
      </c>
      <c r="W164" s="156" t="str">
        <f>IF(OR(O164="",P164=""),"",IF(OR(S164&gt;0, T164&gt;0,V164&gt;0),VLOOKUP(KitchenHandleType,FixedListsHandleType,2,FALSE)*IF(KitchenHandleType="Simple",0,IF(S164&gt;0,VLOOKUP(KitchenHandleType,FixedListsHandleType,4,FALSE),IF(OR(T164&gt;0,V164&gt;0),1-VLOOKUP(KitchenHandleType,FixedListsHandleType,4,FALSE),"Error"))),0))</f>
        <v/>
      </c>
      <c r="X164" s="156" t="str">
        <f t="shared" si="5"/>
        <v/>
      </c>
      <c r="Y164" s="156" t="str">
        <f>IF(OR(O164="",P164=""),"",IF(OR(ISERROR(FIND("carcass",$A164))=FALSE,ISERROR(FIND("unit",$A164))=FALSE),VLOOKUP(KitchenCarcassMaterial,FixedListsCarcassMaterial,3,0),0))</f>
        <v/>
      </c>
      <c r="Z164" s="156" t="str">
        <f>IF(OR(O164="",P164=""),"",IF(ISERROR(FIND("door",$A164))=FALSE,VLOOKUP(KitchenDoorStyle,FixedListsDoorStyle,3,0),0))</f>
        <v/>
      </c>
      <c r="AA164" s="156" t="str">
        <f>IF(OR(O164="",P164=""),"",IF(ISERROR(FIND("door",$A164))=FALSE,VLOOKUP(KitchenDoorMaterial,FixedListsDoorMaterial,3,0),0))</f>
        <v/>
      </c>
      <c r="AB164" s="156" t="str">
        <f>IF(OR(O164="",P164=""),"",IF(ISERROR(FIND("drawer",$A164))=FALSE,VLOOKUP(KitchenDrawerType,FixedListsDrawerType,3,0),0))</f>
        <v/>
      </c>
      <c r="AC164" s="156" t="str">
        <f>IF(OR(O164="",P164=""),"",IF(OR(Y164&gt;0,Z164&gt;0,AB164&gt;0),VLOOKUP(KitchenHandleType,FixedListsHandleType,3,FALSE),0))</f>
        <v/>
      </c>
      <c r="AD164" s="156" t="str">
        <f>IF(OR(O164="",P164=""),"",IF(OR(ISERROR(FIND("carcass",$A164))=FALSE,ISERROR(FIND("unit",$A164))=FALSE),VLOOKUP(KitchenCarcassFinish,FixedListsFinishes,3,0),IF(OR(ISERROR(FIND("door",$A164))=FALSE,ISERROR(FIND("Plinth",$A164))=FALSE,ISERROR(FIND("Cornice",$A164))=FALSE,ISERROR(FIND("Fillers",$A164))=FALSE,ISERROR(FIND("Pelmet",$A164))=FALSE,ISERROR(FIND("panel",$A164))=FALSE,ISERROR(FIND("post",$A164))=FALSE),VLOOKUP(KitchenDoorFinish,FixedListsFinishes,3,0),IF(OR(ISERROR(FIND("drawer",$A164))=FALSE,ISERROR(FIND("insert",$A164))=FALSE,ISERROR(FIND("rck",$A164))=FALSE),VLOOKUP(KitchenCarcassFinish,FixedListsFinishes,3,0),0))))</f>
        <v/>
      </c>
      <c r="AE164" s="156" t="str">
        <f t="shared" si="6"/>
        <v/>
      </c>
      <c r="AF164" s="157" t="str">
        <f>IF(AND(KitchenHandleType="Channel",OR(ISERROR(FIND("arcass",$A164))=FALSE,ISERROR(FIND("unit",$A164))=FALSE)),IF(ISERROR(FIND("Tower",$A164))=TRUE,IF(KitchenHandleFinish="Match carcass",IF(ISERROR(FIND("Walnut",KitchenCarcassMaterial))=FALSE,(0.035*0.075*($C164/1000))*VLOOKUP("Walnut (solid m3)",SolidData,4,FALSE),IF(ISERROR(FIND("Oak",KitchenCarcassMaterial))=FALSE,(0.035*0.075*($C164/1000))*VLOOKUP("Oak (solid m3)",SolidData,4,FALSE),IF(ISERROR(FIND("ply",KitchenCarcassMaterial))=FALSE,(0.1*($C164/1000))*VLOOKUP("Birch ply (24mm)",SheetsData,7,FALSE),IF(ISERROR(FIND("H/F",KitchenCarcassMaterial))=FALSE,(0.1*($C164/1000))*VLOOKUP("H/F (22mm)",SheetsData,7,FALSE),"Carcass - not tower - new material")))),IF(KitchenHandleFinish="Match door",IF(ISERROR(FIND("Walnut",KitchenDoorMaterial))=FALSE,(0.035*0.075*($C164/1000))*VLOOKUP("Walnut (solid m3)",SolidData,4,FALSE),IF(ISERROR(FIND("Oak",KitchenDoorMaterial))=FALSE,(0.035*0.075*($C164/1000))*VLOOKUP("Oak (solid m3)",SolidData,4,FALSE),IF(ISERROR(FIND("ply",KitchenDoorMaterial))=FALSE,(0.1*($C164/1000))*VLOOKUP("Birch ply (24mm)",SheetsData,7,FALSE),IF(ISERROR(FIND("H/F",KitchenCarcassMaterial))=FALSE,(0.1*($C164/1000))*VLOOKUP("H/F (22mm)",SheetsData,7,FALSE),"Door - not tower - new material")))),"Channel - not tower - handle set to other")),IF(ISERROR(FIND("Tower",$A164))=FALSE,IF(KitchenHandleFinish="Match carcass",IF(ISERROR(FIND("Walnut",KitchenCarcassMaterial))=FALSE,(0.035*0.075*($B164/1000))*VLOOKUP("Walnut (solid m3)",SolidData,4,FALSE),IF(ISERROR(FIND("Oak",KitchenCarcassMaterial))=FALSE,(0.035*0.075*($B164/1000))*VLOOKUP("Oak (solid m3)",SolidData,4,FALSE),IF(ISERROR(FIND("ply",KitchenCarcassMaterial))=FALSE,(0.1*($B164/1000))*VLOOKUP("Birch ply (24mm)",SheetsData,7,FALSE),IF(ISERROR(FIND("H/F",KitchenCarcassMaterial))=FALSE,(0.1*($C164/1000))*VLOOKUP("H/F (22mm)",SheetsData,7,FALSE),"Carcass - tower - new material")))),IF(KitchenHandleFinish="Match door",IF(ISERROR(FIND("Walnut",KitchenDoorMaterial))=FALSE,(0.035*0.075*($B164/1000))*VLOOKUP("Walnut (solid m3)",SolidData,4,FALSE),IF(ISERROR(FIND("Oak",KitchenDoorMaterial))=FALSE,(0.035*0.075*($B164/1000))*VLOOKUP("Oak (solid m3)",SolidData,4,FALSE),IF(ISERROR(FIND("ply",KitchenDoorMaterial))=FALSE,(0.1*($B164/1000))*VLOOKUP("Birch ply (24mm)",SheetData,7,FALSE),IF(ISERROR(FIND("H/F",KitchenCarcassMaterial))=FALSE,(0.1*($C164/1000))*VLOOKUP("H/F (22mm)",SheetsData,7,FALSE),"Door - tower - new material")))),"Channel - tower - handle set to other")))),"")</f>
        <v/>
      </c>
    </row>
    <row r="165">
      <c r="A165" s="150"/>
      <c r="B165" s="115" t="str">
        <f t="shared" si="1"/>
        <v/>
      </c>
      <c r="C165" s="115" t="str">
        <f>IFERROR(__xludf.DUMMYFUNCTION("IF(A165="""","""",IF(OR(RIGHT(A165,LEN(A165)-len(regexextract(A165,"".* "")))=""1200"",RIGHT(A165,LEN(A165)-len(regexextract(A165,"".* "")))=""600"",RIGHT(A165,LEN(A165)-len(regexextract(A165,"".* "")))=""400"",RIGHT(A165,LEN(A165)-len(regexextract(A165,"&amp;""".* "")))=""300"",RIGHT(A165,LEN(A165)-len(regexextract(A165,"".* "")))=""700"",RIGHT(A165,LEN(A165)-len(regexextract(A165,"".* "")))=""2400"",RIGHT(A165,LEN(A165)-len(regexextract(A165,"".* "")))=""650"",RIGHT(A165,LEN(A165)-len(regexextract(A165,"".* "&amp;""")))=""350"",RIGHT(A165,LEN(A165)-len(regexextract(A165,"".* "")))=""50""),RIGHT(A165,LEN(A165)-len(regexextract(A165,"".* ""))),IF(OR(ISERROR(FIND(""spacer"",A165))=FALSE,ISERROR(FIND(""filler panel"",A165))=FALSE),""1000"",""Unexpected size in descript"&amp;"ion"")))"),"")</f>
        <v/>
      </c>
      <c r="D165" s="151" t="str">
        <f t="shared" si="2"/>
        <v/>
      </c>
      <c r="E165" s="152" t="str">
        <f>IFERROR(__xludf.DUMMYFUNCTION("IF(OR(A165="""",AND(ISERROR(FIND(""drawer box"",A165))=FALSE,KitchenDrawerType="""")),"""",IF(OR(ISERROR(FIND(""larder"",A165))=FALSE,ISERROR(FIND(""fridge/freezer"",A165))=FALSE,ISERROR(FIND(""double oven"",A165))=FALSE,ISERROR(FIND(""single oven"",A165)"&amp;")=FALSE),VLOOKUP(LEFT(A165,FIND("" "",A165))&amp;""carcass ""&amp;RIGHT(A165,LEN(A165)-(LEN(A165)-3)),KitchensData,5,0),IF(ISERROR(FIND(""sink"",A165))=FALSE,VLOOKUP(LEFT(A165,FIND("" "",A165))&amp;""carcass ""&amp;VALUE(REGEXREPLACE(A165,""[^[:digit:]]"", """")),Kitchen"&amp;"sData,5,0)+(((C165/1000)*(300/1000))*VLOOKUP(KitchenCarcassMaterial,SheetsData,8,0)),IF(ISERROR(FIND(""bins"",A165))=FALSE,IF(ISERROR(FIND(""veneer"",KitchenCarcassMaterial))=FALSE,VLOOKUP(""Base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600"",A165))=FALSE,IF(ISERR"&amp;"OR(FIND(""veneer"",KitchenCarcassMaterial))=FALSE,0.54*(VLOOKUP(LEFT(KitchenCarcassMaterial,FIND(""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1"&amp;"200"",A165))=FALSE,IF(ISERROR(FIND(""veneer"",KitchenCarcassMaterial))=FALSE,0.84*(VLOOKUP(LEFT(KitchenCarcassMaterial,FIND(""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600"",A165))=FALSE,IF(ISERROR(FIND(""veneer"",KitchenCarcassMaterial))=FALSE,1.44*(VLOOKUP(LEFT(KitchenCarcassMaterial,FIND(""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1200"",A165))=FALSE,IF(ISERROR(FIND(""veneer"",KitchenCarcassMaterial))=FALSE,2.7*(VLOOKUP(LEFT(KitchenCarcassMaterial,FIND(""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front"",A165))=FALSE,((B165/1000)*(C165/1000))*VLOOKUP(KitchenDoorMaterial,SheetsData,8,0),IF(AND(KitchenDrawerType=""Match carcass"",ISERROR(FIND(""drawer box"",A165))=FALSE),(((((B165/10"&amp;"00)*(C165/1000))+((B165/1000)*(D165/1000)))*2)*VLOOKUP(KitchenCarcassMaterial,SheetsData,8,0))+(((C165/1000)*(D165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box"",A165))=FALSE),(((((B165/1000)*(C165/1000))+((B165/1000)*(D165/1000)))*2)*(16/1000)*VLOOKUP(L"&amp;"EFT(KitchenCarcassMaterial,FIND("" "",KitchenCarcassMaterial))&amp;""(solid m3)"",SolidData,5,0))+(((C165/1000)*(D165/1000))*VLOOKUP(LEFT(KitchenCarcassMaterial,FIND(""("",KitchenCarcassMaterial)-1)&amp;IF(OR(ISERROR(FIND(""ply"",KitchenCarcassMaterial))=FALSE,IS"&amp;"ERROR(FIND(""H/F"",KitchenCarcassMaterial))=FALSE),""(9mm)"",""(10mm)""),SheetsData,8,0)),IF(ISERROR(FIND(""spacer"",A165))=FALSE,((D165/1000)*(C165/1000))*VLOOKUP(""Poplar ply (18mm)"",SheetsData,8,0),IF(ISERROR(FIND(""filler panel"",A165))=FALSE,((B165/"&amp;"1000)*(C165/1000))*VLOOKUP(KitchenDoorMaterial,SheetsData,8,0),IF(ISERROR(FIND(""shelf"",A165))=FALSE,((D165/1000)*(C165/1000))*VLOOKUP(KitchenCarcassMaterial,SheetsData,8,0),IF(ISERROR(FIND(""lost corner"",A165))=FALSE,VLOOKUP(LEFT(A165,FIND("" "",A165))"&amp;"&amp;""carcass ""&amp;VALUE(REGEXREPLACE(A165,""[^[:digit:]]"", """")),KitchensData,5,0)+((((B165/1000)*(C165/1000))+((B165/1000)*(60/1000)))*VLOOKUP(KitchenCarcassMaterial,SheetsData,8,0)),IF(ISERROR(FIND(""carcass"",A165))=FALSE,(((((B165/1000)*2)*(D165/1000))+"&amp;"(((C165/1000)*2)*(D165/1000)))*VLOOKUP(KitchenCarcassMaterial,SheetsData,8,0))+((B165/1000)*(C165/1000))*VLOOKUP(LEFT(KitchenCarcassMaterial,FIND(""("",KitchenCarcassMaterial)-1)&amp;IF(OR(ISERROR(FIND(""ply"",KitchenCarcassMaterial))=FALSE,ISERROR(FIND(""H/F"&amp;""",KitchenCarcassMaterial))=FALSE),""(9mm)"",""(10mm)""),SheetsData,8,0),IF(OR(ISERROR(FIND(""Plinth"",A165))=FALSE,ISERROR(FIND(""Cornice (flat)"",A165))=FALSE),((B165/1000)*(C165/1000))*VLOOKUP(""H/F (18mm)"",SheetsData,8,0),IF(ISERROR(FIND(""Cornice (s"&amp;"tacked)"",A165))=FALSE,((0.08*(C165/1000))*2)*VLOOKUP(""H/F (22mm)"",SheetsData,8,0),IF(ISERROR(FIND(""Base end panel"",A165))=FALSE,VLOOKUP(KitchenDoorMaterial,SheetsData,5,0)/3,IF(ISERROR(FIND(""Wall end panel"",A165))=FALSE,VLOOKUP(KitchenDoorMaterial,"&amp;"SheetsData,5,0)/9,IF(ISERROR(FIND(""Tower end panel"",A165))=FALSE,VLOOKUP(KitchenDoorMaterial,SheetsData,5,0),IF(ISERROR(FIND(""Fillers"",A165))=FALSE,(((0.06*(C165/1000))*2)*VLOOKUP(""H/F (18mm)"",SheetsData,8,0))+(((0.06*(C165/1000))*2)*VLOOKUP(""H/F ("&amp;"9mm)"",SheetsData,8,0)),IF(ISERROR(FIND(""corner post"",A165))=FALSE,(((B165/1000)*0.05)*2)*VLOOKUP(KitchenDoorMaterial,SheetsData,8,0),IF(ISERROR(FIND(""Pelmet"",A165))=FALSE,((((B165/1000)*(C165/1000))*2)*VLOOKUP(""H/F (18mm)"",SheetsData,8,0)),IF(ISERR"&amp;"OR(FIND(""door"",A165))=TRUE,""Check description"",IF(KitchenDoorStyle=""Flat"",((B165/1000)*(C165/1000))*VLOOKUP(KitchenDoorMaterial,SheetsData,8,0),IF(LEFT(KitchenDoorStyle,5)=""Panel"",(((((B165/1000)*2)*0.08)+((((C165/1000)-0.16)*2)*0.08))*VLOOKUP(""H"&amp;"/F (22mm)"",SheetsData,8,0))+(((B165/1000)-0.14)*((C165/1000)-0.14)*VLOOKUP(""H/F (9mm)"",SheetsData,8,0)),IF(KitchenDoorStyle=""In-frame flat"",((((((B165/1000)*0.019)*0.038)+((((C165-38)/1000)*0.038)*0.038))*2)*VLOOKUP(""Tulip (solid m3)"",SolidData,5,0"&amp;"))+(((B165-76)/1000)*((C165-38)/1000))*VLOOKUP(""H/F (22mm)"",SheetsData,8,0),IF(LEFT(KitchenDoorStyle,14)=""In-frame panel"",(((((((B165/1000)*0.019)*0.038)+((((C165-38)/1000)*0.038)*0.038))*2)*VLOOKUP(""Tulip (solid m3)"",SolidData,5,0))+(((((((B165-76)"&amp;"/1000)*2)*0.08)+(((((C165-198)/1000)*2)*0.08)))*VLOOKUP(""H/F (22mm)"",SheetsData,8,0))+(((B165-216)/1000)*((C165-178)/1000)*VLOOKUP(""H/F (9mm)"",SheetsData,8,0)))))))))))))))))))))))))))))))))"),"")</f>
        <v/>
      </c>
      <c r="F165" s="152" t="str">
        <f>IFERROR(__xludf.DUMMYFUNCTION("IF(OR(A165="""",AND(ISERROR(FIND(""drawer box"",A165))=FALSE,KitchenDrawerType=""Solid dovetail"")),"""",IF(ISERROR(FIND(""bins"",A165))=FALSE,VLOOKUP(""Base carcass 600"",KitchensData,6,0),IF(OR(ISERROR(FIND(""larder"",A165))=FALSE,ISERROR(FIND(""unit"","&amp;"A165))=FALSE),VLOOKUP(LEFT(A165,FIND("" "",A165))&amp;""carcass ""&amp;RIGHT(A165,LEN(A165)-len(regexextract(A165,"".* ""))),KitchensData,6,0),IF(ISERROR(FIND(""drawer front"",A165))=FALSE,IF(ISERROR(FIND(""veneer"",KitchenCarcassMaterial))=TRUE,0,(((B165+C165)/1"&amp;"000)*2)*VLOOKUP(""Edge banding (per M)"",SheetsData,5,0)),IF(ISERROR(FIND(""drawer box"",A165))=FALSE,IF(ISERROR(FIND(""veneer"",KitchenCarcassMaterial))=TRUE,0,(((C165+D165)/1000)*2)*VLOOKUP(""Edge banding (per M)"",SheetsData,5,0)),IF(ISERROR(FIND(""she"&amp;"lf"",A165))=FALSE,IF(ISERROR(FIND(""veneer"",KitchenCarcassMaterial))=TRUE,0,(C165/1000)*VLOOKUP(""Edge banding (per M)"",SheetsData,5,0)),IF(AND(ISERROR(FIND(""carcass"",A165))=FALSE,ISERROR(FIND(""shelf"",A165))=TRUE),IF(ISERROR(FIND(""veneer"",KitchenC"&amp;"arcassMaterial))=TRUE,0,((2*(B165+C165))/1000)*VLOOKUP(""Edge banding (per M)"",SheetsData,5,0)),IF(ISERROR(FIND(""door"",A165))=TRUE,"""",IF(ISERROR(FIND(""veneer"",KitchenDoorMaterial))=TRUE,"""",((2*(B165+C165))/1000)*VLOOKUP(""Edge banding (per M)"",S"&amp;"heetsData,5,0))))))))))"),"")</f>
        <v/>
      </c>
      <c r="G165" s="153" t="str">
        <f>IF(A165="","",IF(ISERROR(FIND("bins",A165))=FALSE,VLOOKUP("Base carcass 600",KitchensData,7,0),IF(OR(ISERROR(FIND("larder",A165))=FALSE,ISERROR(FIND("fridge/freezer",A165))=FALSE,ISERROR(FIND("double oven",A165))=FALSE,ISERROR(FIND("single oven",A165))=FALSE),VLOOKUP(LEFT(A165,FIND(" ",A165))&amp;"carcass "&amp;RIGHT(A165,LEN(A165)-(LEN(A165)-3)),KitchensData,7,0),IF(AND(ISERROR(FIND("carcass",A165))=FALSE,ISERROR(FIND("shelf",A165))=TRUE),IF(OR(ISERROR(FIND("Base",A165))=FALSE,ISERROR(FIND("Tower",A165))=FALSE),IF(OR(ISERROR(FIND("1200",A165))=FALSE, ISERROR(FIND("lost corner",A165))=FALSE),6*VLOOKUP("Plinth foot (2 Parts 80mm)",FurnitureData,5,0),4*VLOOKUP("Plinth foot (2 Parts 80mm)",FurnitureData,5,0)),""),""))))</f>
        <v/>
      </c>
      <c r="H165" s="115" t="str">
        <f>IF(OR(A165="",ISERROR(FIND("door",A165))=TRUE),"",IF(ISERROR(FIND("Wall",A165))=FALSE,VLOOKUP("Hinges &amp; plates (Hettich thick door)",FurnitureData,5,0)*2,IF(ISERROR(FIND("Base",A165))=FALSE,VLOOKUP("Hinges &amp; plates (Hettich thick door)",FurnitureData,5,0)*3,IF(ISERROR(FIND("Boiler",A165))=FALSE,VLOOKUP("Hinges &amp; plates (Hettich thick door)",FurnitureData,5,0)*4,IF(ISERROR(FIND("Tower",A165))=FALSE,VLOOKUP("Hinges &amp; plates (Hettich thick door)",FurnitureData,5,0)*5)))))</f>
        <v/>
      </c>
      <c r="I165" s="115" t="str">
        <f>IF(ISERROR(FIND("shelf",A165))=FALSE,(VLOOKUP("Shelf pegs",FurnitureData,5,0)/100)*4,"")</f>
        <v/>
      </c>
      <c r="J165" s="152" t="str">
        <f>IF(OR(ISERROR(FIND("fridge/freezer",A165))=FALSE,ISERROR(FIND("larder",A165))=FALSE,AND(ISERROR(FIND("Base",A165))=FALSE,ISERROR(FIND("bins",A165))=TRUE,ISERROR(FIND("no shelves",A165))=TRUE,OR(ISERROR(FIND("carcass",A165))=FALSE,ISERROR(FIND("unit",A165))=FALSE))),VLOOKUP("Deep shelf "&amp;C165,KitchensData,18,0),IF(AND(ISERROR(FIND("Wall",A165))=FALSE,ISERROR(FIND("carcass",A165))=FALSE),2*VLOOKUP("Shallow shelf "&amp;C165,KitchensData,18,0),IF(AND(ISERROR(FIND("Tower",A165))=FALSE,ISERROR(FIND("oven",A165))=FALSE),4*VLOOKUP("Deep shelf "&amp;C165,KitchensData,18,0),IF(AND(ISERROR(FIND("Tower",A165))=FALSE,ISERROR(FIND("carcass",A165))=FALSE),5*VLOOKUP("Deep shelf "&amp;C165,KitchensData,18,0),""))))</f>
        <v/>
      </c>
      <c r="K165" s="152" t="str">
        <f>IF(ISERROR(FIND("sink",A165))=FALSE,VLOOKUP("Sink liner - Aluminium "&amp;RIGHT(A165,LEN(A165)-22)&amp;"mm",ExceptionalData,5,0),IF(ISERROR(FIND("bins",A165))=FALSE,VLOOKUP("Drawer runners and clip set for bin unit (500) Dynapro",FurnitureData,5,0)+(2*VLOOKUP("Bin (42L Anthracite)",FurnitureData,5,0)),IF(ISERROR(FIND("larder",A165))=FALSE,VLOOKUP("Pull out larder unit 600mm",FurnitureData,5,0),IF(AND(ISERROR(FIND("drawer box",A165))=FALSE,ISERROR(FIND("internal",A165))=TRUE),VLOOKUP("Drawer runners and clip set (550) Dynapro",FurnitureData,5,0),IF(ISERROR(FIND("internal drawer box",A165))=FALSE,VLOOKUP("Drawer runners and clip set (450) Dynapro",FurnitureData,5,0),"")))))</f>
        <v/>
      </c>
      <c r="L165" s="152" t="str">
        <f t="shared" si="3"/>
        <v/>
      </c>
      <c r="M165" s="154" t="str">
        <f>IFERROR(__xludf.DUMMYFUNCTION("IF(A165="""","""",IF(OR(ISERROR(FIND(""larder"",A165))=FALSE,ISERROR(FIND(""unit"",A165))=FALSE),VLOOKUP(LEFT(A165,FIND("" "",A165))&amp;""carcass ""&amp;RIGHT(A165,LEN(A165)-len(regexextract(A165,"".* ""))),KitchensData,13,0),IF(ISERROR(FIND(""bins"",A165))=FALS"&amp;"E,0.95,IF(ISERROR(FIND(""Cutlery insert 600"",A165))=FALSE,1.3,IF(ISERROR(FIND(""Cutlery insert 1200"",A165))=FALSE,2,IF(ISERROR(FIND(""Pan/tray rack 600"",A165))=FALSE,3.25,IF(ISERROR(FIND(""Pan/tray rack 1200"",A165))=FALSE,5.9,IF(ISERROR(FIND(""split"""&amp;",A165))=FALSE,(((C165/1000)*0.022)*2)+VLOOKUP(SUBSTITUTE(A165,"" split"",""""),KitchensData,13,0),IF(AND(ISERROR(FIND(""drawer front"",A165))=FALSE,KitchenDoorStyle=""Flat""),(((B165/1000)*(C165/1000))*2)+((((B165+C165)/1000)*2)*0.022),IF(AND(ISERROR(FIND"&amp;"(""drawer front"",A165))=FALSE,LEFT(KitchenDoorStyle,5)=""Panel""),(((B165/1000)*(C165/1000))*2)+((((B165+C165)/1000)*2)*0.022)+((((C165/1000)-0.16)*0.013)*2)+((((D165/1000)-0.16)*0.013)*2),IF(AND(ISERROR(FIND(""drawer front"",A165))=FALSE,KitchenDoorStyl"&amp;"e=""In-frame flat""),((((B165-76)/1000)*((C165-38)/1000))*2)+(MID(KitchenDoorMaterial,FIND(""("",KitchenDoorMaterial)+1,2)/1000)*((((B165-76)+(C165-38))/1000)*2)+(((B165/1000)*0.032)*2)+((((B165-76)/1000)*0.032)*2)+(((B165/1000)*0.019)*4)+(((C165/1000)*0."&amp;"032)*2)+((((C165-38)/1000)*0.032)*2)+(((C165/1000)*0.038)*4),IF(AND(ISERROR(FIND(""drawer front"",A165))=FALSE,LEFT(KitchenDoorStyle,14)=""In-frame panel""),((((B165-76)/1000)*((C165-38)/1000))*2)+((MID(KitchenDoorMaterial,FIND(""("",KitchenDoorMaterial)+"&amp;"1,2)/1000)*((((B165-76)+(C165-38))/1000)*2))+((((B165-236)/1000)+((C165-198)/1000)*2)*0.013)+(((B165/1000)*0.032)*2)+((((B165-76)/1000)*0.032)*2)+(((B165/1000)*0.019)*4)+(((C165/1000)*0.032)*2)+((((C165-38)/1000)*0.032)*2)+(((C165/1000)*0.038)*4),IF(ISERR"&amp;"OR(FIND(""drawer box"",A165))=FALSE,((((B165/1000)*(D165/1000))+((B165/1000)*(C165/1000)))*4)+((((D165/1000)+(C165/1000))*0.016)*4)+(((C165/1000)*(D165/1000))*2),IF(OR(ISERROR(FIND(""shelf"",A165))=FALSE,ISERROR(FIND(""spacer"",A165))=FALSE,,ISERROR(FIND("&amp;"""filler panel"",A165))=FALSE),(((C165/1000)*(D165/1000))*2)+((((C165+D165)*2)/1000)*0.022),IF(ISERROR(FIND(""lost corner"",A165))=FALSE,(((B165/1000)*(C165/1000))*2)+((B165/1000)*(C165/1000))+((B165/1000)*((C165/2)/1000))+((((B165/1000)*0.025)+((C165/100"&amp;"0)*0.025))*2),IF(ISERROR(FIND(""carcass"",A165))=FALSE,(((C165/1000)*(D165/1000))*2)+(((B165/1000)*(D165/1000))*2)+((B165/1000)*(C165/1000))+((((B165/1000)*0.025)+((C165/1000)*0.025))*2),IF(AND(ISERROR(FIND(""door"",A165))=FALSE,KitchenDoorStyle=""Flat"")"&amp;",(((B165/1000)*(C165/1000))*2)+(MID(KitchenDoorMaterial,FIND(""("",KitchenDoorMaterial)+1,2)/1000)*(((B165+C165)/1000)*2),IF(AND(ISERROR(FIND(""door"",A165))=FALSE,LEFT(KitchenDoorStyle,5)=""Panel""),(((B165/1000)*(C165/1000))*2)+((MID(KitchenDoorMaterial"&amp;",FIND(""("",KitchenDoorMaterial)+1,2)/1000)*(((B165+C165)/1000)*2))+(((((B165-160)+(C165-160))*2)/1000)*(0.013)),IF(AND(ISERROR(FIND(""door"",A165))=FALSE,KitchenDoorStyle=""In-frame flat""),((((B165-76)/1000)*((C165-38)/1000))*2)+(MID(KitchenDoorMaterial"&amp;",FIND(""("",KitchenDoorMaterial)+1,2)/1000)*((((B165-76)+(C165-38))/1000)*2)+(((B165/1000)*0.032)*2)+((((B165-76)/1000)*0.032)*2)+(((B165/1000)*0.019)*4)+(((C165/1000)*0.032)*2)+((((C165-38)/1000)*0.032)*2)+(((C165/1000)*0.038)*4),IF(AND(ISERROR(FIND(""do"&amp;"or"",A165))=FALSE,LEFT(KitchenDoorStyle,14)=""In-frame panel""),((((B165-76)/1000)*((C165-38)/1000))*2)+((MID(KitchenDoorMaterial,FIND(""("",KitchenDoorMaterial)+1,2)/1000)*((((B165-76)+(C165-38))/1000)*2))+((((B165-236)/1000)+((C165-198)/1000)*2)*0.013)+"&amp;"(((B165/1000)*0.032)*2)+((((B165-76)/1000)*0.032)*2)+(((B165/1000)*0.019)*4)+(((C165/1000)*0.032)*2)+((((C165-38)/1000)*0.032)*2)+(((C165/1000)*0.038)*4),IF(ISERROR(FIND(""Plinth"",A165))=FALSE,((B165/1000)*(C165/1000))+(((C165/1000)*0.018)*2)+(((B165/100"&amp;"0)*0.018)*2),IF(ISERROR(FIND(""Cornice"",A165))=FALSE,(((C165/1000)*0.1)*2)+(((C165/1000)*0.044)*2)+(((B165/1000)*0.08)*2),IF(ISERROR(FIND(""Base end panel"",A165))=FALSE,((B165/1000)*(C165/1000))+(0.022*((B165/1000)+((C165/1000)*2)))+((B165/1000)*0.05),I"&amp;"F(ISERROR(FIND(""Wall end panel"",A165))=FALSE,((B165/1000)*(C165/1000))+(0.022*((B165/1000)+((C165/1000)*2)))+((B165/1000)*0.05),IF(ISERROR(FIND(""Tower end panel"",A165))=FALSE,((B165/1000)*(C165/1000))+(0.022*((B165/1000)+((C165/1000)*2)))+((B165/1000)"&amp;"*0.05),IF(ISERROR(FIND(""Fillers"",A165))=FALSE,((C165/1000)*0.06)+((C165/1000)*0.069)+((0.06*0.018)*2)+((0.06*0.009)*2)+((C165/1000)*0.009)+((C165/1000)*0.018),IF(ISERROR(FIND(""corner post"",A165))=FALSE,(((B165/1000*0.05)*2)+((B165/1000)*0.022)*2)+((B1"&amp;"65/1000)*0.072)+((B165/1000)*0.05)+((0.072*0.022)*2)+((0.05*0.022)*2),IF(ISERROR(FIND(""Pelmet"",A165))=FALSE,((C165/1000)*0.05)+((C165/1000)*0.068)+((0.05*0.018)*4)+(((C165/1000)*0.018))*2))))))))))))))))))))))))))))"),"")</f>
        <v/>
      </c>
      <c r="N165" s="152" t="str">
        <f>IF(M165="","",IF(AND(ISERROR(FIND("carcass",A165))=TRUE,ISERROR(FIND("unit",A165))=TRUE,ISERROR(FIND("insert",A165))=TRUE,ISERROR(FIND("rack",A165))=TRUE,ISERROR(FIND("box",A165))=TRUE,ISERROR(FIND("shelf",#REF!))=TRUE),VLOOKUP(KitchenDoorFinish,Finishing!$A$2:$K$10,9,0)*M165,VLOOKUP(KitchenCarcassFinish,Finishing!$A$2:$K$40,9,0)*M165))</f>
        <v/>
      </c>
      <c r="O165" s="155"/>
      <c r="P165" s="155"/>
      <c r="Q165" s="152" t="str">
        <f>IF(OR(O165="",P165=""),"",((O165*X165)*(VLOOKUP("Workshop",Labour!$A$3:$E$20,4,0)/8))+((P165*AE165)*(VLOOKUP("Finishing",Labour!$A$3:$E$20,4,0)/8)))</f>
        <v/>
      </c>
      <c r="R165" s="152" t="str">
        <f t="shared" si="4"/>
        <v/>
      </c>
      <c r="S165" s="156" t="str">
        <f>IF(OR(O165="",P165=""),"",IF(OR(ISERROR(FIND("carcass",$A165))=FALSE,ISERROR(FIND("unit",$A165))=FALSE),VLOOKUP(KitchenCarcassMaterial,FixedListsCarcassMaterial,2,0),0))</f>
        <v/>
      </c>
      <c r="T165" s="156" t="str">
        <f>IF(OR(O165="",P165=""),"",IF(ISERROR(FIND("door",$A165))=FALSE,VLOOKUP(KitchenDoorStyle,FixedListsDoorStyle,2,0),0))</f>
        <v/>
      </c>
      <c r="U165" s="156" t="str">
        <f>IF(OR(O165="",P165=""),"",IF(ISERROR(FIND("door",$A165))=FALSE,VLOOKUP(KitchenDoorMaterial,FixedListsDoorMaterial,2,0),0))</f>
        <v/>
      </c>
      <c r="V165" s="156" t="str">
        <f>IF(OR(O165="",P165=""),"",IF(ISERROR(FIND("drawer",$A165))=FALSE,VLOOKUP(KitchenDrawerType,FixedListsDrawerType,2,0),0))</f>
        <v/>
      </c>
      <c r="W165" s="156" t="str">
        <f>IF(OR(O165="",P165=""),"",IF(OR(S165&gt;0, T165&gt;0,V165&gt;0),VLOOKUP(KitchenHandleType,FixedListsHandleType,2,FALSE)*IF(KitchenHandleType="Simple",0,IF(S165&gt;0,VLOOKUP(KitchenHandleType,FixedListsHandleType,4,FALSE),IF(OR(T165&gt;0,V165&gt;0),1-VLOOKUP(KitchenHandleType,FixedListsHandleType,4,FALSE),"Error"))),0))</f>
        <v/>
      </c>
      <c r="X165" s="156" t="str">
        <f t="shared" si="5"/>
        <v/>
      </c>
      <c r="Y165" s="156" t="str">
        <f>IF(OR(O165="",P165=""),"",IF(OR(ISERROR(FIND("carcass",$A165))=FALSE,ISERROR(FIND("unit",$A165))=FALSE),VLOOKUP(KitchenCarcassMaterial,FixedListsCarcassMaterial,3,0),0))</f>
        <v/>
      </c>
      <c r="Z165" s="156" t="str">
        <f>IF(OR(O165="",P165=""),"",IF(ISERROR(FIND("door",$A165))=FALSE,VLOOKUP(KitchenDoorStyle,FixedListsDoorStyle,3,0),0))</f>
        <v/>
      </c>
      <c r="AA165" s="156" t="str">
        <f>IF(OR(O165="",P165=""),"",IF(ISERROR(FIND("door",$A165))=FALSE,VLOOKUP(KitchenDoorMaterial,FixedListsDoorMaterial,3,0),0))</f>
        <v/>
      </c>
      <c r="AB165" s="156" t="str">
        <f>IF(OR(O165="",P165=""),"",IF(ISERROR(FIND("drawer",$A165))=FALSE,VLOOKUP(KitchenDrawerType,FixedListsDrawerType,3,0),0))</f>
        <v/>
      </c>
      <c r="AC165" s="156" t="str">
        <f>IF(OR(O165="",P165=""),"",IF(OR(Y165&gt;0,Z165&gt;0,AB165&gt;0),VLOOKUP(KitchenHandleType,FixedListsHandleType,3,FALSE),0))</f>
        <v/>
      </c>
      <c r="AD165" s="156" t="str">
        <f>IF(OR(O165="",P165=""),"",IF(OR(ISERROR(FIND("carcass",$A165))=FALSE,ISERROR(FIND("unit",$A165))=FALSE),VLOOKUP(KitchenCarcassFinish,FixedListsFinishes,3,0),IF(OR(ISERROR(FIND("door",$A165))=FALSE,ISERROR(FIND("Plinth",$A165))=FALSE,ISERROR(FIND("Cornice",$A165))=FALSE,ISERROR(FIND("Fillers",$A165))=FALSE,ISERROR(FIND("Pelmet",$A165))=FALSE,ISERROR(FIND("panel",$A165))=FALSE,ISERROR(FIND("post",$A165))=FALSE),VLOOKUP(KitchenDoorFinish,FixedListsFinishes,3,0),IF(OR(ISERROR(FIND("drawer",$A165))=FALSE,ISERROR(FIND("insert",$A165))=FALSE,ISERROR(FIND("rck",$A165))=FALSE),VLOOKUP(KitchenCarcassFinish,FixedListsFinishes,3,0),0))))</f>
        <v/>
      </c>
      <c r="AE165" s="156" t="str">
        <f t="shared" si="6"/>
        <v/>
      </c>
      <c r="AF165" s="157" t="str">
        <f>IF(AND(KitchenHandleType="Channel",OR(ISERROR(FIND("arcass",$A165))=FALSE,ISERROR(FIND("unit",$A165))=FALSE)),IF(ISERROR(FIND("Tower",$A165))=TRUE,IF(KitchenHandleFinish="Match carcass",IF(ISERROR(FIND("Walnut",KitchenCarcassMaterial))=FALSE,(0.035*0.075*($C165/1000))*VLOOKUP("Walnut (solid m3)",SolidData,4,FALSE),IF(ISERROR(FIND("Oak",KitchenCarcassMaterial))=FALSE,(0.035*0.075*($C165/1000))*VLOOKUP("Oak (solid m3)",SolidData,4,FALSE),IF(ISERROR(FIND("ply",KitchenCarcassMaterial))=FALSE,(0.1*($C165/1000))*VLOOKUP("Birch ply (24mm)",SheetsData,7,FALSE),IF(ISERROR(FIND("H/F",KitchenCarcassMaterial))=FALSE,(0.1*($C165/1000))*VLOOKUP("H/F (22mm)",SheetsData,7,FALSE),"Carcass - not tower - new material")))),IF(KitchenHandleFinish="Match door",IF(ISERROR(FIND("Walnut",KitchenDoorMaterial))=FALSE,(0.035*0.075*($C165/1000))*VLOOKUP("Walnut (solid m3)",SolidData,4,FALSE),IF(ISERROR(FIND("Oak",KitchenDoorMaterial))=FALSE,(0.035*0.075*($C165/1000))*VLOOKUP("Oak (solid m3)",SolidData,4,FALSE),IF(ISERROR(FIND("ply",KitchenDoorMaterial))=FALSE,(0.1*($C165/1000))*VLOOKUP("Birch ply (24mm)",SheetsData,7,FALSE),IF(ISERROR(FIND("H/F",KitchenCarcassMaterial))=FALSE,(0.1*($C165/1000))*VLOOKUP("H/F (22mm)",SheetsData,7,FALSE),"Door - not tower - new material")))),"Channel - not tower - handle set to other")),IF(ISERROR(FIND("Tower",$A165))=FALSE,IF(KitchenHandleFinish="Match carcass",IF(ISERROR(FIND("Walnut",KitchenCarcassMaterial))=FALSE,(0.035*0.075*($B165/1000))*VLOOKUP("Walnut (solid m3)",SolidData,4,FALSE),IF(ISERROR(FIND("Oak",KitchenCarcassMaterial))=FALSE,(0.035*0.075*($B165/1000))*VLOOKUP("Oak (solid m3)",SolidData,4,FALSE),IF(ISERROR(FIND("ply",KitchenCarcassMaterial))=FALSE,(0.1*($B165/1000))*VLOOKUP("Birch ply (24mm)",SheetsData,7,FALSE),IF(ISERROR(FIND("H/F",KitchenCarcassMaterial))=FALSE,(0.1*($C165/1000))*VLOOKUP("H/F (22mm)",SheetsData,7,FALSE),"Carcass - tower - new material")))),IF(KitchenHandleFinish="Match door",IF(ISERROR(FIND("Walnut",KitchenDoorMaterial))=FALSE,(0.035*0.075*($B165/1000))*VLOOKUP("Walnut (solid m3)",SolidData,4,FALSE),IF(ISERROR(FIND("Oak",KitchenDoorMaterial))=FALSE,(0.035*0.075*($B165/1000))*VLOOKUP("Oak (solid m3)",SolidData,4,FALSE),IF(ISERROR(FIND("ply",KitchenDoorMaterial))=FALSE,(0.1*($B165/1000))*VLOOKUP("Birch ply (24mm)",SheetData,7,FALSE),IF(ISERROR(FIND("H/F",KitchenCarcassMaterial))=FALSE,(0.1*($C165/1000))*VLOOKUP("H/F (22mm)",SheetsData,7,FALSE),"Door - tower - new material")))),"Channel - tower - handle set to other")))),"")</f>
        <v/>
      </c>
    </row>
    <row r="166">
      <c r="A166" s="150"/>
      <c r="B166" s="115" t="str">
        <f t="shared" si="1"/>
        <v/>
      </c>
      <c r="C166" s="115" t="str">
        <f>IFERROR(__xludf.DUMMYFUNCTION("IF(A166="""","""",IF(OR(RIGHT(A166,LEN(A166)-len(regexextract(A166,"".* "")))=""1200"",RIGHT(A166,LEN(A166)-len(regexextract(A166,"".* "")))=""600"",RIGHT(A166,LEN(A166)-len(regexextract(A166,"".* "")))=""400"",RIGHT(A166,LEN(A166)-len(regexextract(A166,"&amp;""".* "")))=""300"",RIGHT(A166,LEN(A166)-len(regexextract(A166,"".* "")))=""700"",RIGHT(A166,LEN(A166)-len(regexextract(A166,"".* "")))=""2400"",RIGHT(A166,LEN(A166)-len(regexextract(A166,"".* "")))=""650"",RIGHT(A166,LEN(A166)-len(regexextract(A166,"".* "&amp;""")))=""350"",RIGHT(A166,LEN(A166)-len(regexextract(A166,"".* "")))=""50""),RIGHT(A166,LEN(A166)-len(regexextract(A166,"".* ""))),IF(OR(ISERROR(FIND(""spacer"",A166))=FALSE,ISERROR(FIND(""filler panel"",A166))=FALSE),""1000"",""Unexpected size in descript"&amp;"ion"")))"),"")</f>
        <v/>
      </c>
      <c r="D166" s="151" t="str">
        <f t="shared" si="2"/>
        <v/>
      </c>
      <c r="E166" s="152" t="str">
        <f>IFERROR(__xludf.DUMMYFUNCTION("IF(OR(A166="""",AND(ISERROR(FIND(""drawer box"",A166))=FALSE,KitchenDrawerType="""")),"""",IF(OR(ISERROR(FIND(""larder"",A166))=FALSE,ISERROR(FIND(""fridge/freezer"",A166))=FALSE,ISERROR(FIND(""double oven"",A166))=FALSE,ISERROR(FIND(""single oven"",A166)"&amp;")=FALSE),VLOOKUP(LEFT(A166,FIND("" "",A166))&amp;""carcass ""&amp;RIGHT(A166,LEN(A166)-(LEN(A166)-3)),KitchensData,5,0),IF(ISERROR(FIND(""sink"",A166))=FALSE,VLOOKUP(LEFT(A166,FIND("" "",A166))&amp;""carcass ""&amp;VALUE(REGEXREPLACE(A166,""[^[:digit:]]"", """")),Kitchen"&amp;"sData,5,0)+(((C166/1000)*(300/1000))*VLOOKUP(KitchenCarcassMaterial,SheetsData,8,0)),IF(ISERROR(FIND(""bins"",A166))=FALSE,IF(ISERROR(FIND(""veneer"",KitchenCarcassMaterial))=FALSE,VLOOKUP(""Base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600"",A166))=FALSE,IF(ISERR"&amp;"OR(FIND(""veneer"",KitchenCarcassMaterial))=FALSE,0.54*(VLOOKUP(LEFT(KitchenCarcassMaterial,FIND(""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1"&amp;"200"",A166))=FALSE,IF(ISERROR(FIND(""veneer"",KitchenCarcassMaterial))=FALSE,0.84*(VLOOKUP(LEFT(KitchenCarcassMaterial,FIND(""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600"",A166))=FALSE,IF(ISERROR(FIND(""veneer"",KitchenCarcassMaterial))=FALSE,1.44*(VLOOKUP(LEFT(KitchenCarcassMaterial,FIND(""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1200"",A166))=FALSE,IF(ISERROR(FIND(""veneer"",KitchenCarcassMaterial))=FALSE,2.7*(VLOOKUP(LEFT(KitchenCarcassMaterial,FIND(""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front"",A166))=FALSE,((B166/1000)*(C166/1000))*VLOOKUP(KitchenDoorMaterial,SheetsData,8,0),IF(AND(KitchenDrawerType=""Match carcass"",ISERROR(FIND(""drawer box"",A166))=FALSE),(((((B166/10"&amp;"00)*(C166/1000))+((B166/1000)*(D166/1000)))*2)*VLOOKUP(KitchenCarcassMaterial,SheetsData,8,0))+(((C166/1000)*(D166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box"",A166))=FALSE),(((((B166/1000)*(C166/1000))+((B166/1000)*(D166/1000)))*2)*(16/1000)*VLOOKUP(L"&amp;"EFT(KitchenCarcassMaterial,FIND("" "",KitchenCarcassMaterial))&amp;""(solid m3)"",SolidData,5,0))+(((C166/1000)*(D166/1000))*VLOOKUP(LEFT(KitchenCarcassMaterial,FIND(""("",KitchenCarcassMaterial)-1)&amp;IF(OR(ISERROR(FIND(""ply"",KitchenCarcassMaterial))=FALSE,IS"&amp;"ERROR(FIND(""H/F"",KitchenCarcassMaterial))=FALSE),""(9mm)"",""(10mm)""),SheetsData,8,0)),IF(ISERROR(FIND(""spacer"",A166))=FALSE,((D166/1000)*(C166/1000))*VLOOKUP(""Poplar ply (18mm)"",SheetsData,8,0),IF(ISERROR(FIND(""filler panel"",A166))=FALSE,((B166/"&amp;"1000)*(C166/1000))*VLOOKUP(KitchenDoorMaterial,SheetsData,8,0),IF(ISERROR(FIND(""shelf"",A166))=FALSE,((D166/1000)*(C166/1000))*VLOOKUP(KitchenCarcassMaterial,SheetsData,8,0),IF(ISERROR(FIND(""lost corner"",A166))=FALSE,VLOOKUP(LEFT(A166,FIND("" "",A166))"&amp;"&amp;""carcass ""&amp;VALUE(REGEXREPLACE(A166,""[^[:digit:]]"", """")),KitchensData,5,0)+((((B166/1000)*(C166/1000))+((B166/1000)*(60/1000)))*VLOOKUP(KitchenCarcassMaterial,SheetsData,8,0)),IF(ISERROR(FIND(""carcass"",A166))=FALSE,(((((B166/1000)*2)*(D166/1000))+"&amp;"(((C166/1000)*2)*(D166/1000)))*VLOOKUP(KitchenCarcassMaterial,SheetsData,8,0))+((B166/1000)*(C166/1000))*VLOOKUP(LEFT(KitchenCarcassMaterial,FIND(""("",KitchenCarcassMaterial)-1)&amp;IF(OR(ISERROR(FIND(""ply"",KitchenCarcassMaterial))=FALSE,ISERROR(FIND(""H/F"&amp;""",KitchenCarcassMaterial))=FALSE),""(9mm)"",""(10mm)""),SheetsData,8,0),IF(OR(ISERROR(FIND(""Plinth"",A166))=FALSE,ISERROR(FIND(""Cornice (flat)"",A166))=FALSE),((B166/1000)*(C166/1000))*VLOOKUP(""H/F (18mm)"",SheetsData,8,0),IF(ISERROR(FIND(""Cornice (s"&amp;"tacked)"",A166))=FALSE,((0.08*(C166/1000))*2)*VLOOKUP(""H/F (22mm)"",SheetsData,8,0),IF(ISERROR(FIND(""Base end panel"",A166))=FALSE,VLOOKUP(KitchenDoorMaterial,SheetsData,5,0)/3,IF(ISERROR(FIND(""Wall end panel"",A166))=FALSE,VLOOKUP(KitchenDoorMaterial,"&amp;"SheetsData,5,0)/9,IF(ISERROR(FIND(""Tower end panel"",A166))=FALSE,VLOOKUP(KitchenDoorMaterial,SheetsData,5,0),IF(ISERROR(FIND(""Fillers"",A166))=FALSE,(((0.06*(C166/1000))*2)*VLOOKUP(""H/F (18mm)"",SheetsData,8,0))+(((0.06*(C166/1000))*2)*VLOOKUP(""H/F ("&amp;"9mm)"",SheetsData,8,0)),IF(ISERROR(FIND(""corner post"",A166))=FALSE,(((B166/1000)*0.05)*2)*VLOOKUP(KitchenDoorMaterial,SheetsData,8,0),IF(ISERROR(FIND(""Pelmet"",A166))=FALSE,((((B166/1000)*(C166/1000))*2)*VLOOKUP(""H/F (18mm)"",SheetsData,8,0)),IF(ISERR"&amp;"OR(FIND(""door"",A166))=TRUE,""Check description"",IF(KitchenDoorStyle=""Flat"",((B166/1000)*(C166/1000))*VLOOKUP(KitchenDoorMaterial,SheetsData,8,0),IF(LEFT(KitchenDoorStyle,5)=""Panel"",(((((B166/1000)*2)*0.08)+((((C166/1000)-0.16)*2)*0.08))*VLOOKUP(""H"&amp;"/F (22mm)"",SheetsData,8,0))+(((B166/1000)-0.14)*((C166/1000)-0.14)*VLOOKUP(""H/F (9mm)"",SheetsData,8,0)),IF(KitchenDoorStyle=""In-frame flat"",((((((B166/1000)*0.019)*0.038)+((((C166-38)/1000)*0.038)*0.038))*2)*VLOOKUP(""Tulip (solid m3)"",SolidData,5,0"&amp;"))+(((B166-76)/1000)*((C166-38)/1000))*VLOOKUP(""H/F (22mm)"",SheetsData,8,0),IF(LEFT(KitchenDoorStyle,14)=""In-frame panel"",(((((((B166/1000)*0.019)*0.038)+((((C166-38)/1000)*0.038)*0.038))*2)*VLOOKUP(""Tulip (solid m3)"",SolidData,5,0))+(((((((B166-76)"&amp;"/1000)*2)*0.08)+(((((C166-198)/1000)*2)*0.08)))*VLOOKUP(""H/F (22mm)"",SheetsData,8,0))+(((B166-216)/1000)*((C166-178)/1000)*VLOOKUP(""H/F (9mm)"",SheetsData,8,0)))))))))))))))))))))))))))))))))"),"")</f>
        <v/>
      </c>
      <c r="F166" s="152" t="str">
        <f>IFERROR(__xludf.DUMMYFUNCTION("IF(OR(A166="""",AND(ISERROR(FIND(""drawer box"",A166))=FALSE,KitchenDrawerType=""Solid dovetail"")),"""",IF(ISERROR(FIND(""bins"",A166))=FALSE,VLOOKUP(""Base carcass 600"",KitchensData,6,0),IF(OR(ISERROR(FIND(""larder"",A166))=FALSE,ISERROR(FIND(""unit"","&amp;"A166))=FALSE),VLOOKUP(LEFT(A166,FIND("" "",A166))&amp;""carcass ""&amp;RIGHT(A166,LEN(A166)-len(regexextract(A166,"".* ""))),KitchensData,6,0),IF(ISERROR(FIND(""drawer front"",A166))=FALSE,IF(ISERROR(FIND(""veneer"",KitchenCarcassMaterial))=TRUE,0,(((B166+C166)/1"&amp;"000)*2)*VLOOKUP(""Edge banding (per M)"",SheetsData,5,0)),IF(ISERROR(FIND(""drawer box"",A166))=FALSE,IF(ISERROR(FIND(""veneer"",KitchenCarcassMaterial))=TRUE,0,(((C166+D166)/1000)*2)*VLOOKUP(""Edge banding (per M)"",SheetsData,5,0)),IF(ISERROR(FIND(""she"&amp;"lf"",A166))=FALSE,IF(ISERROR(FIND(""veneer"",KitchenCarcassMaterial))=TRUE,0,(C166/1000)*VLOOKUP(""Edge banding (per M)"",SheetsData,5,0)),IF(AND(ISERROR(FIND(""carcass"",A166))=FALSE,ISERROR(FIND(""shelf"",A166))=TRUE),IF(ISERROR(FIND(""veneer"",KitchenC"&amp;"arcassMaterial))=TRUE,0,((2*(B166+C166))/1000)*VLOOKUP(""Edge banding (per M)"",SheetsData,5,0)),IF(ISERROR(FIND(""door"",A166))=TRUE,"""",IF(ISERROR(FIND(""veneer"",KitchenDoorMaterial))=TRUE,"""",((2*(B166+C166))/1000)*VLOOKUP(""Edge banding (per M)"",S"&amp;"heetsData,5,0))))))))))"),"")</f>
        <v/>
      </c>
      <c r="G166" s="153" t="str">
        <f>IF(A166="","",IF(ISERROR(FIND("bins",A166))=FALSE,VLOOKUP("Base carcass 600",KitchensData,7,0),IF(OR(ISERROR(FIND("larder",A166))=FALSE,ISERROR(FIND("fridge/freezer",A166))=FALSE,ISERROR(FIND("double oven",A166))=FALSE,ISERROR(FIND("single oven",A166))=FALSE),VLOOKUP(LEFT(A166,FIND(" ",A166))&amp;"carcass "&amp;RIGHT(A166,LEN(A166)-(LEN(A166)-3)),KitchensData,7,0),IF(AND(ISERROR(FIND("carcass",A166))=FALSE,ISERROR(FIND("shelf",A166))=TRUE),IF(OR(ISERROR(FIND("Base",A166))=FALSE,ISERROR(FIND("Tower",A166))=FALSE),IF(OR(ISERROR(FIND("1200",A166))=FALSE, ISERROR(FIND("lost corner",A166))=FALSE),6*VLOOKUP("Plinth foot (2 Parts 80mm)",FurnitureData,5,0),4*VLOOKUP("Plinth foot (2 Parts 80mm)",FurnitureData,5,0)),""),""))))</f>
        <v/>
      </c>
      <c r="H166" s="115" t="str">
        <f>IF(OR(A166="",ISERROR(FIND("door",A166))=TRUE),"",IF(ISERROR(FIND("Wall",A166))=FALSE,VLOOKUP("Hinges &amp; plates (Hettich thick door)",FurnitureData,5,0)*2,IF(ISERROR(FIND("Base",A166))=FALSE,VLOOKUP("Hinges &amp; plates (Hettich thick door)",FurnitureData,5,0)*3,IF(ISERROR(FIND("Boiler",A166))=FALSE,VLOOKUP("Hinges &amp; plates (Hettich thick door)",FurnitureData,5,0)*4,IF(ISERROR(FIND("Tower",A166))=FALSE,VLOOKUP("Hinges &amp; plates (Hettich thick door)",FurnitureData,5,0)*5)))))</f>
        <v/>
      </c>
      <c r="I166" s="115" t="str">
        <f>IF(ISERROR(FIND("shelf",A166))=FALSE,(VLOOKUP("Shelf pegs",FurnitureData,5,0)/100)*4,"")</f>
        <v/>
      </c>
      <c r="J166" s="152" t="str">
        <f>IF(OR(ISERROR(FIND("fridge/freezer",A166))=FALSE,ISERROR(FIND("larder",A166))=FALSE,AND(ISERROR(FIND("Base",A166))=FALSE,ISERROR(FIND("bins",A166))=TRUE,ISERROR(FIND("no shelves",A166))=TRUE,OR(ISERROR(FIND("carcass",A166))=FALSE,ISERROR(FIND("unit",A166))=FALSE))),VLOOKUP("Deep shelf "&amp;C166,KitchensData,18,0),IF(AND(ISERROR(FIND("Wall",A166))=FALSE,ISERROR(FIND("carcass",A166))=FALSE),2*VLOOKUP("Shallow shelf "&amp;C166,KitchensData,18,0),IF(AND(ISERROR(FIND("Tower",A166))=FALSE,ISERROR(FIND("oven",A166))=FALSE),4*VLOOKUP("Deep shelf "&amp;C166,KitchensData,18,0),IF(AND(ISERROR(FIND("Tower",A166))=FALSE,ISERROR(FIND("carcass",A166))=FALSE),5*VLOOKUP("Deep shelf "&amp;C166,KitchensData,18,0),""))))</f>
        <v/>
      </c>
      <c r="K166" s="152" t="str">
        <f>IF(ISERROR(FIND("sink",A166))=FALSE,VLOOKUP("Sink liner - Aluminium "&amp;RIGHT(A166,LEN(A166)-22)&amp;"mm",ExceptionalData,5,0),IF(ISERROR(FIND("bins",A166))=FALSE,VLOOKUP("Drawer runners and clip set for bin unit (500) Dynapro",FurnitureData,5,0)+(2*VLOOKUP("Bin (42L Anthracite)",FurnitureData,5,0)),IF(ISERROR(FIND("larder",A166))=FALSE,VLOOKUP("Pull out larder unit 600mm",FurnitureData,5,0),IF(AND(ISERROR(FIND("drawer box",A166))=FALSE,ISERROR(FIND("internal",A166))=TRUE),VLOOKUP("Drawer runners and clip set (550) Dynapro",FurnitureData,5,0),IF(ISERROR(FIND("internal drawer box",A166))=FALSE,VLOOKUP("Drawer runners and clip set (450) Dynapro",FurnitureData,5,0),"")))))</f>
        <v/>
      </c>
      <c r="L166" s="152" t="str">
        <f t="shared" si="3"/>
        <v/>
      </c>
      <c r="M166" s="154" t="str">
        <f>IFERROR(__xludf.DUMMYFUNCTION("IF(A166="""","""",IF(OR(ISERROR(FIND(""larder"",A166))=FALSE,ISERROR(FIND(""unit"",A166))=FALSE),VLOOKUP(LEFT(A166,FIND("" "",A166))&amp;""carcass ""&amp;RIGHT(A166,LEN(A166)-len(regexextract(A166,"".* ""))),KitchensData,13,0),IF(ISERROR(FIND(""bins"",A166))=FALS"&amp;"E,0.95,IF(ISERROR(FIND(""Cutlery insert 600"",A166))=FALSE,1.3,IF(ISERROR(FIND(""Cutlery insert 1200"",A166))=FALSE,2,IF(ISERROR(FIND(""Pan/tray rack 600"",A166))=FALSE,3.25,IF(ISERROR(FIND(""Pan/tray rack 1200"",A166))=FALSE,5.9,IF(ISERROR(FIND(""split"""&amp;",A166))=FALSE,(((C166/1000)*0.022)*2)+VLOOKUP(SUBSTITUTE(A166,"" split"",""""),KitchensData,13,0),IF(AND(ISERROR(FIND(""drawer front"",A166))=FALSE,KitchenDoorStyle=""Flat""),(((B166/1000)*(C166/1000))*2)+((((B166+C166)/1000)*2)*0.022),IF(AND(ISERROR(FIND"&amp;"(""drawer front"",A166))=FALSE,LEFT(KitchenDoorStyle,5)=""Panel""),(((B166/1000)*(C166/1000))*2)+((((B166+C166)/1000)*2)*0.022)+((((C166/1000)-0.16)*0.013)*2)+((((D166/1000)-0.16)*0.013)*2),IF(AND(ISERROR(FIND(""drawer front"",A166))=FALSE,KitchenDoorStyl"&amp;"e=""In-frame flat""),((((B166-76)/1000)*((C166-38)/1000))*2)+(MID(KitchenDoorMaterial,FIND(""("",KitchenDoorMaterial)+1,2)/1000)*((((B166-76)+(C166-38))/1000)*2)+(((B166/1000)*0.032)*2)+((((B166-76)/1000)*0.032)*2)+(((B166/1000)*0.019)*4)+(((C166/1000)*0."&amp;"032)*2)+((((C166-38)/1000)*0.032)*2)+(((C166/1000)*0.038)*4),IF(AND(ISERROR(FIND(""drawer front"",A166))=FALSE,LEFT(KitchenDoorStyle,14)=""In-frame panel""),((((B166-76)/1000)*((C166-38)/1000))*2)+((MID(KitchenDoorMaterial,FIND(""("",KitchenDoorMaterial)+"&amp;"1,2)/1000)*((((B166-76)+(C166-38))/1000)*2))+((((B166-236)/1000)+((C166-198)/1000)*2)*0.013)+(((B166/1000)*0.032)*2)+((((B166-76)/1000)*0.032)*2)+(((B166/1000)*0.019)*4)+(((C166/1000)*0.032)*2)+((((C166-38)/1000)*0.032)*2)+(((C166/1000)*0.038)*4),IF(ISERR"&amp;"OR(FIND(""drawer box"",A166))=FALSE,((((B166/1000)*(D166/1000))+((B166/1000)*(C166/1000)))*4)+((((D166/1000)+(C166/1000))*0.016)*4)+(((C166/1000)*(D166/1000))*2),IF(OR(ISERROR(FIND(""shelf"",A166))=FALSE,ISERROR(FIND(""spacer"",A166))=FALSE,,ISERROR(FIND("&amp;"""filler panel"",A166))=FALSE),(((C166/1000)*(D166/1000))*2)+((((C166+D166)*2)/1000)*0.022),IF(ISERROR(FIND(""lost corner"",A166))=FALSE,(((B166/1000)*(C166/1000))*2)+((B166/1000)*(C166/1000))+((B166/1000)*((C166/2)/1000))+((((B166/1000)*0.025)+((C166/100"&amp;"0)*0.025))*2),IF(ISERROR(FIND(""carcass"",A166))=FALSE,(((C166/1000)*(D166/1000))*2)+(((B166/1000)*(D166/1000))*2)+((B166/1000)*(C166/1000))+((((B166/1000)*0.025)+((C166/1000)*0.025))*2),IF(AND(ISERROR(FIND(""door"",A166))=FALSE,KitchenDoorStyle=""Flat"")"&amp;",(((B166/1000)*(C166/1000))*2)+(MID(KitchenDoorMaterial,FIND(""("",KitchenDoorMaterial)+1,2)/1000)*(((B166+C166)/1000)*2),IF(AND(ISERROR(FIND(""door"",A166))=FALSE,LEFT(KitchenDoorStyle,5)=""Panel""),(((B166/1000)*(C166/1000))*2)+((MID(KitchenDoorMaterial"&amp;",FIND(""("",KitchenDoorMaterial)+1,2)/1000)*(((B166+C166)/1000)*2))+(((((B166-160)+(C166-160))*2)/1000)*(0.013)),IF(AND(ISERROR(FIND(""door"",A166))=FALSE,KitchenDoorStyle=""In-frame flat""),((((B166-76)/1000)*((C166-38)/1000))*2)+(MID(KitchenDoorMaterial"&amp;",FIND(""("",KitchenDoorMaterial)+1,2)/1000)*((((B166-76)+(C166-38))/1000)*2)+(((B166/1000)*0.032)*2)+((((B166-76)/1000)*0.032)*2)+(((B166/1000)*0.019)*4)+(((C166/1000)*0.032)*2)+((((C166-38)/1000)*0.032)*2)+(((C166/1000)*0.038)*4),IF(AND(ISERROR(FIND(""do"&amp;"or"",A166))=FALSE,LEFT(KitchenDoorStyle,14)=""In-frame panel""),((((B166-76)/1000)*((C166-38)/1000))*2)+((MID(KitchenDoorMaterial,FIND(""("",KitchenDoorMaterial)+1,2)/1000)*((((B166-76)+(C166-38))/1000)*2))+((((B166-236)/1000)+((C166-198)/1000)*2)*0.013)+"&amp;"(((B166/1000)*0.032)*2)+((((B166-76)/1000)*0.032)*2)+(((B166/1000)*0.019)*4)+(((C166/1000)*0.032)*2)+((((C166-38)/1000)*0.032)*2)+(((C166/1000)*0.038)*4),IF(ISERROR(FIND(""Plinth"",A166))=FALSE,((B166/1000)*(C166/1000))+(((C166/1000)*0.018)*2)+(((B166/100"&amp;"0)*0.018)*2),IF(ISERROR(FIND(""Cornice"",A166))=FALSE,(((C166/1000)*0.1)*2)+(((C166/1000)*0.044)*2)+(((B166/1000)*0.08)*2),IF(ISERROR(FIND(""Base end panel"",A166))=FALSE,((B166/1000)*(C166/1000))+(0.022*((B166/1000)+((C166/1000)*2)))+((B166/1000)*0.05),I"&amp;"F(ISERROR(FIND(""Wall end panel"",A166))=FALSE,((B166/1000)*(C166/1000))+(0.022*((B166/1000)+((C166/1000)*2)))+((B166/1000)*0.05),IF(ISERROR(FIND(""Tower end panel"",A166))=FALSE,((B166/1000)*(C166/1000))+(0.022*((B166/1000)+((C166/1000)*2)))+((B166/1000)"&amp;"*0.05),IF(ISERROR(FIND(""Fillers"",A166))=FALSE,((C166/1000)*0.06)+((C166/1000)*0.069)+((0.06*0.018)*2)+((0.06*0.009)*2)+((C166/1000)*0.009)+((C166/1000)*0.018),IF(ISERROR(FIND(""corner post"",A166))=FALSE,(((B166/1000*0.05)*2)+((B166/1000)*0.022)*2)+((B1"&amp;"66/1000)*0.072)+((B166/1000)*0.05)+((0.072*0.022)*2)+((0.05*0.022)*2),IF(ISERROR(FIND(""Pelmet"",A166))=FALSE,((C166/1000)*0.05)+((C166/1000)*0.068)+((0.05*0.018)*4)+(((C166/1000)*0.018))*2))))))))))))))))))))))))))))"),"")</f>
        <v/>
      </c>
      <c r="N166" s="152" t="str">
        <f>IF(M166="","",IF(AND(ISERROR(FIND("carcass",A166))=TRUE,ISERROR(FIND("unit",A166))=TRUE,ISERROR(FIND("insert",A166))=TRUE,ISERROR(FIND("rack",A166))=TRUE,ISERROR(FIND("box",A166))=TRUE,ISERROR(FIND("shelf",#REF!))=TRUE),VLOOKUP(KitchenDoorFinish,Finishing!$A$2:$K$10,9,0)*M166,VLOOKUP(KitchenCarcassFinish,Finishing!$A$2:$K$40,9,0)*M166))</f>
        <v/>
      </c>
      <c r="O166" s="155"/>
      <c r="P166" s="155"/>
      <c r="Q166" s="152" t="str">
        <f>IF(OR(O166="",P166=""),"",((O166*X166)*(VLOOKUP("Workshop",Labour!$A$3:$E$20,4,0)/8))+((P166*AE166)*(VLOOKUP("Finishing",Labour!$A$3:$E$20,4,0)/8)))</f>
        <v/>
      </c>
      <c r="R166" s="152" t="str">
        <f t="shared" si="4"/>
        <v/>
      </c>
      <c r="S166" s="156" t="str">
        <f>IF(OR(O166="",P166=""),"",IF(OR(ISERROR(FIND("carcass",$A166))=FALSE,ISERROR(FIND("unit",$A166))=FALSE),VLOOKUP(KitchenCarcassMaterial,FixedListsCarcassMaterial,2,0),0))</f>
        <v/>
      </c>
      <c r="T166" s="156" t="str">
        <f>IF(OR(O166="",P166=""),"",IF(ISERROR(FIND("door",$A166))=FALSE,VLOOKUP(KitchenDoorStyle,FixedListsDoorStyle,2,0),0))</f>
        <v/>
      </c>
      <c r="U166" s="156" t="str">
        <f>IF(OR(O166="",P166=""),"",IF(ISERROR(FIND("door",$A166))=FALSE,VLOOKUP(KitchenDoorMaterial,FixedListsDoorMaterial,2,0),0))</f>
        <v/>
      </c>
      <c r="V166" s="156" t="str">
        <f>IF(OR(O166="",P166=""),"",IF(ISERROR(FIND("drawer",$A166))=FALSE,VLOOKUP(KitchenDrawerType,FixedListsDrawerType,2,0),0))</f>
        <v/>
      </c>
      <c r="W166" s="156" t="str">
        <f>IF(OR(O166="",P166=""),"",IF(OR(S166&gt;0, T166&gt;0,V166&gt;0),VLOOKUP(KitchenHandleType,FixedListsHandleType,2,FALSE)*IF(KitchenHandleType="Simple",0,IF(S166&gt;0,VLOOKUP(KitchenHandleType,FixedListsHandleType,4,FALSE),IF(OR(T166&gt;0,V166&gt;0),1-VLOOKUP(KitchenHandleType,FixedListsHandleType,4,FALSE),"Error"))),0))</f>
        <v/>
      </c>
      <c r="X166" s="156" t="str">
        <f t="shared" si="5"/>
        <v/>
      </c>
      <c r="Y166" s="156" t="str">
        <f>IF(OR(O166="",P166=""),"",IF(OR(ISERROR(FIND("carcass",$A166))=FALSE,ISERROR(FIND("unit",$A166))=FALSE),VLOOKUP(KitchenCarcassMaterial,FixedListsCarcassMaterial,3,0),0))</f>
        <v/>
      </c>
      <c r="Z166" s="156" t="str">
        <f>IF(OR(O166="",P166=""),"",IF(ISERROR(FIND("door",$A166))=FALSE,VLOOKUP(KitchenDoorStyle,FixedListsDoorStyle,3,0),0))</f>
        <v/>
      </c>
      <c r="AA166" s="156" t="str">
        <f>IF(OR(O166="",P166=""),"",IF(ISERROR(FIND("door",$A166))=FALSE,VLOOKUP(KitchenDoorMaterial,FixedListsDoorMaterial,3,0),0))</f>
        <v/>
      </c>
      <c r="AB166" s="156" t="str">
        <f>IF(OR(O166="",P166=""),"",IF(ISERROR(FIND("drawer",$A166))=FALSE,VLOOKUP(KitchenDrawerType,FixedListsDrawerType,3,0),0))</f>
        <v/>
      </c>
      <c r="AC166" s="156" t="str">
        <f>IF(OR(O166="",P166=""),"",IF(OR(Y166&gt;0,Z166&gt;0,AB166&gt;0),VLOOKUP(KitchenHandleType,FixedListsHandleType,3,FALSE),0))</f>
        <v/>
      </c>
      <c r="AD166" s="156" t="str">
        <f>IF(OR(O166="",P166=""),"",IF(OR(ISERROR(FIND("carcass",$A166))=FALSE,ISERROR(FIND("unit",$A166))=FALSE),VLOOKUP(KitchenCarcassFinish,FixedListsFinishes,3,0),IF(OR(ISERROR(FIND("door",$A166))=FALSE,ISERROR(FIND("Plinth",$A166))=FALSE,ISERROR(FIND("Cornice",$A166))=FALSE,ISERROR(FIND("Fillers",$A166))=FALSE,ISERROR(FIND("Pelmet",$A166))=FALSE,ISERROR(FIND("panel",$A166))=FALSE,ISERROR(FIND("post",$A166))=FALSE),VLOOKUP(KitchenDoorFinish,FixedListsFinishes,3,0),IF(OR(ISERROR(FIND("drawer",$A166))=FALSE,ISERROR(FIND("insert",$A166))=FALSE,ISERROR(FIND("rck",$A166))=FALSE),VLOOKUP(KitchenCarcassFinish,FixedListsFinishes,3,0),0))))</f>
        <v/>
      </c>
      <c r="AE166" s="156" t="str">
        <f t="shared" si="6"/>
        <v/>
      </c>
      <c r="AF166" s="157" t="str">
        <f>IF(AND(KitchenHandleType="Channel",OR(ISERROR(FIND("arcass",$A166))=FALSE,ISERROR(FIND("unit",$A166))=FALSE)),IF(ISERROR(FIND("Tower",$A166))=TRUE,IF(KitchenHandleFinish="Match carcass",IF(ISERROR(FIND("Walnut",KitchenCarcassMaterial))=FALSE,(0.035*0.075*($C166/1000))*VLOOKUP("Walnut (solid m3)",SolidData,4,FALSE),IF(ISERROR(FIND("Oak",KitchenCarcassMaterial))=FALSE,(0.035*0.075*($C166/1000))*VLOOKUP("Oak (solid m3)",SolidData,4,FALSE),IF(ISERROR(FIND("ply",KitchenCarcassMaterial))=FALSE,(0.1*($C166/1000))*VLOOKUP("Birch ply (24mm)",SheetsData,7,FALSE),IF(ISERROR(FIND("H/F",KitchenCarcassMaterial))=FALSE,(0.1*($C166/1000))*VLOOKUP("H/F (22mm)",SheetsData,7,FALSE),"Carcass - not tower - new material")))),IF(KitchenHandleFinish="Match door",IF(ISERROR(FIND("Walnut",KitchenDoorMaterial))=FALSE,(0.035*0.075*($C166/1000))*VLOOKUP("Walnut (solid m3)",SolidData,4,FALSE),IF(ISERROR(FIND("Oak",KitchenDoorMaterial))=FALSE,(0.035*0.075*($C166/1000))*VLOOKUP("Oak (solid m3)",SolidData,4,FALSE),IF(ISERROR(FIND("ply",KitchenDoorMaterial))=FALSE,(0.1*($C166/1000))*VLOOKUP("Birch ply (24mm)",SheetsData,7,FALSE),IF(ISERROR(FIND("H/F",KitchenCarcassMaterial))=FALSE,(0.1*($C166/1000))*VLOOKUP("H/F (22mm)",SheetsData,7,FALSE),"Door - not tower - new material")))),"Channel - not tower - handle set to other")),IF(ISERROR(FIND("Tower",$A166))=FALSE,IF(KitchenHandleFinish="Match carcass",IF(ISERROR(FIND("Walnut",KitchenCarcassMaterial))=FALSE,(0.035*0.075*($B166/1000))*VLOOKUP("Walnut (solid m3)",SolidData,4,FALSE),IF(ISERROR(FIND("Oak",KitchenCarcassMaterial))=FALSE,(0.035*0.075*($B166/1000))*VLOOKUP("Oak (solid m3)",SolidData,4,FALSE),IF(ISERROR(FIND("ply",KitchenCarcassMaterial))=FALSE,(0.1*($B166/1000))*VLOOKUP("Birch ply (24mm)",SheetsData,7,FALSE),IF(ISERROR(FIND("H/F",KitchenCarcassMaterial))=FALSE,(0.1*($C166/1000))*VLOOKUP("H/F (22mm)",SheetsData,7,FALSE),"Carcass - tower - new material")))),IF(KitchenHandleFinish="Match door",IF(ISERROR(FIND("Walnut",KitchenDoorMaterial))=FALSE,(0.035*0.075*($B166/1000))*VLOOKUP("Walnut (solid m3)",SolidData,4,FALSE),IF(ISERROR(FIND("Oak",KitchenDoorMaterial))=FALSE,(0.035*0.075*($B166/1000))*VLOOKUP("Oak (solid m3)",SolidData,4,FALSE),IF(ISERROR(FIND("ply",KitchenDoorMaterial))=FALSE,(0.1*($B166/1000))*VLOOKUP("Birch ply (24mm)",SheetData,7,FALSE),IF(ISERROR(FIND("H/F",KitchenCarcassMaterial))=FALSE,(0.1*($C166/1000))*VLOOKUP("H/F (22mm)",SheetsData,7,FALSE),"Door - tower - new material")))),"Channel - tower - handle set to other")))),"")</f>
        <v/>
      </c>
    </row>
    <row r="167">
      <c r="A167" s="150"/>
      <c r="B167" s="115" t="str">
        <f t="shared" si="1"/>
        <v/>
      </c>
      <c r="C167" s="115" t="str">
        <f>IFERROR(__xludf.DUMMYFUNCTION("IF(A167="""","""",IF(OR(RIGHT(A167,LEN(A167)-len(regexextract(A167,"".* "")))=""1200"",RIGHT(A167,LEN(A167)-len(regexextract(A167,"".* "")))=""600"",RIGHT(A167,LEN(A167)-len(regexextract(A167,"".* "")))=""400"",RIGHT(A167,LEN(A167)-len(regexextract(A167,"&amp;""".* "")))=""300"",RIGHT(A167,LEN(A167)-len(regexextract(A167,"".* "")))=""700"",RIGHT(A167,LEN(A167)-len(regexextract(A167,"".* "")))=""2400"",RIGHT(A167,LEN(A167)-len(regexextract(A167,"".* "")))=""650"",RIGHT(A167,LEN(A167)-len(regexextract(A167,"".* "&amp;""")))=""350"",RIGHT(A167,LEN(A167)-len(regexextract(A167,"".* "")))=""50""),RIGHT(A167,LEN(A167)-len(regexextract(A167,"".* ""))),IF(OR(ISERROR(FIND(""spacer"",A167))=FALSE,ISERROR(FIND(""filler panel"",A167))=FALSE),""1000"",""Unexpected size in descript"&amp;"ion"")))"),"")</f>
        <v/>
      </c>
      <c r="D167" s="151" t="str">
        <f t="shared" si="2"/>
        <v/>
      </c>
      <c r="E167" s="152" t="str">
        <f>IFERROR(__xludf.DUMMYFUNCTION("IF(OR(A167="""",AND(ISERROR(FIND(""drawer box"",A167))=FALSE,KitchenDrawerType="""")),"""",IF(OR(ISERROR(FIND(""larder"",A167))=FALSE,ISERROR(FIND(""fridge/freezer"",A167))=FALSE,ISERROR(FIND(""double oven"",A167))=FALSE,ISERROR(FIND(""single oven"",A167)"&amp;")=FALSE),VLOOKUP(LEFT(A167,FIND("" "",A167))&amp;""carcass ""&amp;RIGHT(A167,LEN(A167)-(LEN(A167)-3)),KitchensData,5,0),IF(ISERROR(FIND(""sink"",A167))=FALSE,VLOOKUP(LEFT(A167,FIND("" "",A167))&amp;""carcass ""&amp;VALUE(REGEXREPLACE(A167,""[^[:digit:]]"", """")),Kitchen"&amp;"sData,5,0)+(((C167/1000)*(300/1000))*VLOOKUP(KitchenCarcassMaterial,SheetsData,8,0)),IF(ISERROR(FIND(""bins"",A167))=FALSE,IF(ISERROR(FIND(""veneer"",KitchenCarcassMaterial))=FALSE,VLOOKUP(""Base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600"",A167))=FALSE,IF(ISERR"&amp;"OR(FIND(""veneer"",KitchenCarcassMaterial))=FALSE,0.54*(VLOOKUP(LEFT(KitchenCarcassMaterial,FIND(""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1"&amp;"200"",A167))=FALSE,IF(ISERROR(FIND(""veneer"",KitchenCarcassMaterial))=FALSE,0.84*(VLOOKUP(LEFT(KitchenCarcassMaterial,FIND(""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600"",A167))=FALSE,IF(ISERROR(FIND(""veneer"",KitchenCarcassMaterial))=FALSE,1.44*(VLOOKUP(LEFT(KitchenCarcassMaterial,FIND(""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1200"",A167))=FALSE,IF(ISERROR(FIND(""veneer"",KitchenCarcassMaterial))=FALSE,2.7*(VLOOKUP(LEFT(KitchenCarcassMaterial,FIND(""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front"",A167))=FALSE,((B167/1000)*(C167/1000))*VLOOKUP(KitchenDoorMaterial,SheetsData,8,0),IF(AND(KitchenDrawerType=""Match carcass"",ISERROR(FIND(""drawer box"",A167))=FALSE),(((((B167/10"&amp;"00)*(C167/1000))+((B167/1000)*(D167/1000)))*2)*VLOOKUP(KitchenCarcassMaterial,SheetsData,8,0))+(((C167/1000)*(D167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box"",A167))=FALSE),(((((B167/1000)*(C167/1000))+((B167/1000)*(D167/1000)))*2)*(16/1000)*VLOOKUP(L"&amp;"EFT(KitchenCarcassMaterial,FIND("" "",KitchenCarcassMaterial))&amp;""(solid m3)"",SolidData,5,0))+(((C167/1000)*(D167/1000))*VLOOKUP(LEFT(KitchenCarcassMaterial,FIND(""("",KitchenCarcassMaterial)-1)&amp;IF(OR(ISERROR(FIND(""ply"",KitchenCarcassMaterial))=FALSE,IS"&amp;"ERROR(FIND(""H/F"",KitchenCarcassMaterial))=FALSE),""(9mm)"",""(10mm)""),SheetsData,8,0)),IF(ISERROR(FIND(""spacer"",A167))=FALSE,((D167/1000)*(C167/1000))*VLOOKUP(""Poplar ply (18mm)"",SheetsData,8,0),IF(ISERROR(FIND(""filler panel"",A167))=FALSE,((B167/"&amp;"1000)*(C167/1000))*VLOOKUP(KitchenDoorMaterial,SheetsData,8,0),IF(ISERROR(FIND(""shelf"",A167))=FALSE,((D167/1000)*(C167/1000))*VLOOKUP(KitchenCarcassMaterial,SheetsData,8,0),IF(ISERROR(FIND(""lost corner"",A167))=FALSE,VLOOKUP(LEFT(A167,FIND("" "",A167))"&amp;"&amp;""carcass ""&amp;VALUE(REGEXREPLACE(A167,""[^[:digit:]]"", """")),KitchensData,5,0)+((((B167/1000)*(C167/1000))+((B167/1000)*(60/1000)))*VLOOKUP(KitchenCarcassMaterial,SheetsData,8,0)),IF(ISERROR(FIND(""carcass"",A167))=FALSE,(((((B167/1000)*2)*(D167/1000))+"&amp;"(((C167/1000)*2)*(D167/1000)))*VLOOKUP(KitchenCarcassMaterial,SheetsData,8,0))+((B167/1000)*(C167/1000))*VLOOKUP(LEFT(KitchenCarcassMaterial,FIND(""("",KitchenCarcassMaterial)-1)&amp;IF(OR(ISERROR(FIND(""ply"",KitchenCarcassMaterial))=FALSE,ISERROR(FIND(""H/F"&amp;""",KitchenCarcassMaterial))=FALSE),""(9mm)"",""(10mm)""),SheetsData,8,0),IF(OR(ISERROR(FIND(""Plinth"",A167))=FALSE,ISERROR(FIND(""Cornice (flat)"",A167))=FALSE),((B167/1000)*(C167/1000))*VLOOKUP(""H/F (18mm)"",SheetsData,8,0),IF(ISERROR(FIND(""Cornice (s"&amp;"tacked)"",A167))=FALSE,((0.08*(C167/1000))*2)*VLOOKUP(""H/F (22mm)"",SheetsData,8,0),IF(ISERROR(FIND(""Base end panel"",A167))=FALSE,VLOOKUP(KitchenDoorMaterial,SheetsData,5,0)/3,IF(ISERROR(FIND(""Wall end panel"",A167))=FALSE,VLOOKUP(KitchenDoorMaterial,"&amp;"SheetsData,5,0)/9,IF(ISERROR(FIND(""Tower end panel"",A167))=FALSE,VLOOKUP(KitchenDoorMaterial,SheetsData,5,0),IF(ISERROR(FIND(""Fillers"",A167))=FALSE,(((0.06*(C167/1000))*2)*VLOOKUP(""H/F (18mm)"",SheetsData,8,0))+(((0.06*(C167/1000))*2)*VLOOKUP(""H/F ("&amp;"9mm)"",SheetsData,8,0)),IF(ISERROR(FIND(""corner post"",A167))=FALSE,(((B167/1000)*0.05)*2)*VLOOKUP(KitchenDoorMaterial,SheetsData,8,0),IF(ISERROR(FIND(""Pelmet"",A167))=FALSE,((((B167/1000)*(C167/1000))*2)*VLOOKUP(""H/F (18mm)"",SheetsData,8,0)),IF(ISERR"&amp;"OR(FIND(""door"",A167))=TRUE,""Check description"",IF(KitchenDoorStyle=""Flat"",((B167/1000)*(C167/1000))*VLOOKUP(KitchenDoorMaterial,SheetsData,8,0),IF(LEFT(KitchenDoorStyle,5)=""Panel"",(((((B167/1000)*2)*0.08)+((((C167/1000)-0.16)*2)*0.08))*VLOOKUP(""H"&amp;"/F (22mm)"",SheetsData,8,0))+(((B167/1000)-0.14)*((C167/1000)-0.14)*VLOOKUP(""H/F (9mm)"",SheetsData,8,0)),IF(KitchenDoorStyle=""In-frame flat"",((((((B167/1000)*0.019)*0.038)+((((C167-38)/1000)*0.038)*0.038))*2)*VLOOKUP(""Tulip (solid m3)"",SolidData,5,0"&amp;"))+(((B167-76)/1000)*((C167-38)/1000))*VLOOKUP(""H/F (22mm)"",SheetsData,8,0),IF(LEFT(KitchenDoorStyle,14)=""In-frame panel"",(((((((B167/1000)*0.019)*0.038)+((((C167-38)/1000)*0.038)*0.038))*2)*VLOOKUP(""Tulip (solid m3)"",SolidData,5,0))+(((((((B167-76)"&amp;"/1000)*2)*0.08)+(((((C167-198)/1000)*2)*0.08)))*VLOOKUP(""H/F (22mm)"",SheetsData,8,0))+(((B167-216)/1000)*((C167-178)/1000)*VLOOKUP(""H/F (9mm)"",SheetsData,8,0)))))))))))))))))))))))))))))))))"),"")</f>
        <v/>
      </c>
      <c r="F167" s="152" t="str">
        <f>IFERROR(__xludf.DUMMYFUNCTION("IF(OR(A167="""",AND(ISERROR(FIND(""drawer box"",A167))=FALSE,KitchenDrawerType=""Solid dovetail"")),"""",IF(ISERROR(FIND(""bins"",A167))=FALSE,VLOOKUP(""Base carcass 600"",KitchensData,6,0),IF(OR(ISERROR(FIND(""larder"",A167))=FALSE,ISERROR(FIND(""unit"","&amp;"A167))=FALSE),VLOOKUP(LEFT(A167,FIND("" "",A167))&amp;""carcass ""&amp;RIGHT(A167,LEN(A167)-len(regexextract(A167,"".* ""))),KitchensData,6,0),IF(ISERROR(FIND(""drawer front"",A167))=FALSE,IF(ISERROR(FIND(""veneer"",KitchenCarcassMaterial))=TRUE,0,(((B167+C167)/1"&amp;"000)*2)*VLOOKUP(""Edge banding (per M)"",SheetsData,5,0)),IF(ISERROR(FIND(""drawer box"",A167))=FALSE,IF(ISERROR(FIND(""veneer"",KitchenCarcassMaterial))=TRUE,0,(((C167+D167)/1000)*2)*VLOOKUP(""Edge banding (per M)"",SheetsData,5,0)),IF(ISERROR(FIND(""she"&amp;"lf"",A167))=FALSE,IF(ISERROR(FIND(""veneer"",KitchenCarcassMaterial))=TRUE,0,(C167/1000)*VLOOKUP(""Edge banding (per M)"",SheetsData,5,0)),IF(AND(ISERROR(FIND(""carcass"",A167))=FALSE,ISERROR(FIND(""shelf"",A167))=TRUE),IF(ISERROR(FIND(""veneer"",KitchenC"&amp;"arcassMaterial))=TRUE,0,((2*(B167+C167))/1000)*VLOOKUP(""Edge banding (per M)"",SheetsData,5,0)),IF(ISERROR(FIND(""door"",A167))=TRUE,"""",IF(ISERROR(FIND(""veneer"",KitchenDoorMaterial))=TRUE,"""",((2*(B167+C167))/1000)*VLOOKUP(""Edge banding (per M)"",S"&amp;"heetsData,5,0))))))))))"),"")</f>
        <v/>
      </c>
      <c r="G167" s="153" t="str">
        <f>IF(A167="","",IF(ISERROR(FIND("bins",A167))=FALSE,VLOOKUP("Base carcass 600",KitchensData,7,0),IF(OR(ISERROR(FIND("larder",A167))=FALSE,ISERROR(FIND("fridge/freezer",A167))=FALSE,ISERROR(FIND("double oven",A167))=FALSE,ISERROR(FIND("single oven",A167))=FALSE),VLOOKUP(LEFT(A167,FIND(" ",A167))&amp;"carcass "&amp;RIGHT(A167,LEN(A167)-(LEN(A167)-3)),KitchensData,7,0),IF(AND(ISERROR(FIND("carcass",A167))=FALSE,ISERROR(FIND("shelf",A167))=TRUE),IF(OR(ISERROR(FIND("Base",A167))=FALSE,ISERROR(FIND("Tower",A167))=FALSE),IF(OR(ISERROR(FIND("1200",A167))=FALSE, ISERROR(FIND("lost corner",A167))=FALSE),6*VLOOKUP("Plinth foot (2 Parts 80mm)",FurnitureData,5,0),4*VLOOKUP("Plinth foot (2 Parts 80mm)",FurnitureData,5,0)),""),""))))</f>
        <v/>
      </c>
      <c r="H167" s="115" t="str">
        <f>IF(OR(A167="",ISERROR(FIND("door",A167))=TRUE),"",IF(ISERROR(FIND("Wall",A167))=FALSE,VLOOKUP("Hinges &amp; plates (Hettich thick door)",FurnitureData,5,0)*2,IF(ISERROR(FIND("Base",A167))=FALSE,VLOOKUP("Hinges &amp; plates (Hettich thick door)",FurnitureData,5,0)*3,IF(ISERROR(FIND("Boiler",A167))=FALSE,VLOOKUP("Hinges &amp; plates (Hettich thick door)",FurnitureData,5,0)*4,IF(ISERROR(FIND("Tower",A167))=FALSE,VLOOKUP("Hinges &amp; plates (Hettich thick door)",FurnitureData,5,0)*5)))))</f>
        <v/>
      </c>
      <c r="I167" s="115" t="str">
        <f>IF(ISERROR(FIND("shelf",A167))=FALSE,(VLOOKUP("Shelf pegs",FurnitureData,5,0)/100)*4,"")</f>
        <v/>
      </c>
      <c r="J167" s="152" t="str">
        <f>IF(OR(ISERROR(FIND("fridge/freezer",A167))=FALSE,ISERROR(FIND("larder",A167))=FALSE,AND(ISERROR(FIND("Base",A167))=FALSE,ISERROR(FIND("bins",A167))=TRUE,ISERROR(FIND("no shelves",A167))=TRUE,OR(ISERROR(FIND("carcass",A167))=FALSE,ISERROR(FIND("unit",A167))=FALSE))),VLOOKUP("Deep shelf "&amp;C167,KitchensData,18,0),IF(AND(ISERROR(FIND("Wall",A167))=FALSE,ISERROR(FIND("carcass",A167))=FALSE),2*VLOOKUP("Shallow shelf "&amp;C167,KitchensData,18,0),IF(AND(ISERROR(FIND("Tower",A167))=FALSE,ISERROR(FIND("oven",A167))=FALSE),4*VLOOKUP("Deep shelf "&amp;C167,KitchensData,18,0),IF(AND(ISERROR(FIND("Tower",A167))=FALSE,ISERROR(FIND("carcass",A167))=FALSE),5*VLOOKUP("Deep shelf "&amp;C167,KitchensData,18,0),""))))</f>
        <v/>
      </c>
      <c r="K167" s="152" t="str">
        <f>IF(ISERROR(FIND("sink",A167))=FALSE,VLOOKUP("Sink liner - Aluminium "&amp;RIGHT(A167,LEN(A167)-22)&amp;"mm",ExceptionalData,5,0),IF(ISERROR(FIND("bins",A167))=FALSE,VLOOKUP("Drawer runners and clip set for bin unit (500) Dynapro",FurnitureData,5,0)+(2*VLOOKUP("Bin (42L Anthracite)",FurnitureData,5,0)),IF(ISERROR(FIND("larder",A167))=FALSE,VLOOKUP("Pull out larder unit 600mm",FurnitureData,5,0),IF(AND(ISERROR(FIND("drawer box",A167))=FALSE,ISERROR(FIND("internal",A167))=TRUE),VLOOKUP("Drawer runners and clip set (550) Dynapro",FurnitureData,5,0),IF(ISERROR(FIND("internal drawer box",A167))=FALSE,VLOOKUP("Drawer runners and clip set (450) Dynapro",FurnitureData,5,0),"")))))</f>
        <v/>
      </c>
      <c r="L167" s="152" t="str">
        <f t="shared" si="3"/>
        <v/>
      </c>
      <c r="M167" s="154" t="str">
        <f>IFERROR(__xludf.DUMMYFUNCTION("IF(A167="""","""",IF(OR(ISERROR(FIND(""larder"",A167))=FALSE,ISERROR(FIND(""unit"",A167))=FALSE),VLOOKUP(LEFT(A167,FIND("" "",A167))&amp;""carcass ""&amp;RIGHT(A167,LEN(A167)-len(regexextract(A167,"".* ""))),KitchensData,13,0),IF(ISERROR(FIND(""bins"",A167))=FALS"&amp;"E,0.95,IF(ISERROR(FIND(""Cutlery insert 600"",A167))=FALSE,1.3,IF(ISERROR(FIND(""Cutlery insert 1200"",A167))=FALSE,2,IF(ISERROR(FIND(""Pan/tray rack 600"",A167))=FALSE,3.25,IF(ISERROR(FIND(""Pan/tray rack 1200"",A167))=FALSE,5.9,IF(ISERROR(FIND(""split"""&amp;",A167))=FALSE,(((C167/1000)*0.022)*2)+VLOOKUP(SUBSTITUTE(A167,"" split"",""""),KitchensData,13,0),IF(AND(ISERROR(FIND(""drawer front"",A167))=FALSE,KitchenDoorStyle=""Flat""),(((B167/1000)*(C167/1000))*2)+((((B167+C167)/1000)*2)*0.022),IF(AND(ISERROR(FIND"&amp;"(""drawer front"",A167))=FALSE,LEFT(KitchenDoorStyle,5)=""Panel""),(((B167/1000)*(C167/1000))*2)+((((B167+C167)/1000)*2)*0.022)+((((C167/1000)-0.16)*0.013)*2)+((((D167/1000)-0.16)*0.013)*2),IF(AND(ISERROR(FIND(""drawer front"",A167))=FALSE,KitchenDoorStyl"&amp;"e=""In-frame flat""),((((B167-76)/1000)*((C167-38)/1000))*2)+(MID(KitchenDoorMaterial,FIND(""("",KitchenDoorMaterial)+1,2)/1000)*((((B167-76)+(C167-38))/1000)*2)+(((B167/1000)*0.032)*2)+((((B167-76)/1000)*0.032)*2)+(((B167/1000)*0.019)*4)+(((C167/1000)*0."&amp;"032)*2)+((((C167-38)/1000)*0.032)*2)+(((C167/1000)*0.038)*4),IF(AND(ISERROR(FIND(""drawer front"",A167))=FALSE,LEFT(KitchenDoorStyle,14)=""In-frame panel""),((((B167-76)/1000)*((C167-38)/1000))*2)+((MID(KitchenDoorMaterial,FIND(""("",KitchenDoorMaterial)+"&amp;"1,2)/1000)*((((B167-76)+(C167-38))/1000)*2))+((((B167-236)/1000)+((C167-198)/1000)*2)*0.013)+(((B167/1000)*0.032)*2)+((((B167-76)/1000)*0.032)*2)+(((B167/1000)*0.019)*4)+(((C167/1000)*0.032)*2)+((((C167-38)/1000)*0.032)*2)+(((C167/1000)*0.038)*4),IF(ISERR"&amp;"OR(FIND(""drawer box"",A167))=FALSE,((((B167/1000)*(D167/1000))+((B167/1000)*(C167/1000)))*4)+((((D167/1000)+(C167/1000))*0.016)*4)+(((C167/1000)*(D167/1000))*2),IF(OR(ISERROR(FIND(""shelf"",A167))=FALSE,ISERROR(FIND(""spacer"",A167))=FALSE,,ISERROR(FIND("&amp;"""filler panel"",A167))=FALSE),(((C167/1000)*(D167/1000))*2)+((((C167+D167)*2)/1000)*0.022),IF(ISERROR(FIND(""lost corner"",A167))=FALSE,(((B167/1000)*(C167/1000))*2)+((B167/1000)*(C167/1000))+((B167/1000)*((C167/2)/1000))+((((B167/1000)*0.025)+((C167/100"&amp;"0)*0.025))*2),IF(ISERROR(FIND(""carcass"",A167))=FALSE,(((C167/1000)*(D167/1000))*2)+(((B167/1000)*(D167/1000))*2)+((B167/1000)*(C167/1000))+((((B167/1000)*0.025)+((C167/1000)*0.025))*2),IF(AND(ISERROR(FIND(""door"",A167))=FALSE,KitchenDoorStyle=""Flat"")"&amp;",(((B167/1000)*(C167/1000))*2)+(MID(KitchenDoorMaterial,FIND(""("",KitchenDoorMaterial)+1,2)/1000)*(((B167+C167)/1000)*2),IF(AND(ISERROR(FIND(""door"",A167))=FALSE,LEFT(KitchenDoorStyle,5)=""Panel""),(((B167/1000)*(C167/1000))*2)+((MID(KitchenDoorMaterial"&amp;",FIND(""("",KitchenDoorMaterial)+1,2)/1000)*(((B167+C167)/1000)*2))+(((((B167-160)+(C167-160))*2)/1000)*(0.013)),IF(AND(ISERROR(FIND(""door"",A167))=FALSE,KitchenDoorStyle=""In-frame flat""),((((B167-76)/1000)*((C167-38)/1000))*2)+(MID(KitchenDoorMaterial"&amp;",FIND(""("",KitchenDoorMaterial)+1,2)/1000)*((((B167-76)+(C167-38))/1000)*2)+(((B167/1000)*0.032)*2)+((((B167-76)/1000)*0.032)*2)+(((B167/1000)*0.019)*4)+(((C167/1000)*0.032)*2)+((((C167-38)/1000)*0.032)*2)+(((C167/1000)*0.038)*4),IF(AND(ISERROR(FIND(""do"&amp;"or"",A167))=FALSE,LEFT(KitchenDoorStyle,14)=""In-frame panel""),((((B167-76)/1000)*((C167-38)/1000))*2)+((MID(KitchenDoorMaterial,FIND(""("",KitchenDoorMaterial)+1,2)/1000)*((((B167-76)+(C167-38))/1000)*2))+((((B167-236)/1000)+((C167-198)/1000)*2)*0.013)+"&amp;"(((B167/1000)*0.032)*2)+((((B167-76)/1000)*0.032)*2)+(((B167/1000)*0.019)*4)+(((C167/1000)*0.032)*2)+((((C167-38)/1000)*0.032)*2)+(((C167/1000)*0.038)*4),IF(ISERROR(FIND(""Plinth"",A167))=FALSE,((B167/1000)*(C167/1000))+(((C167/1000)*0.018)*2)+(((B167/100"&amp;"0)*0.018)*2),IF(ISERROR(FIND(""Cornice"",A167))=FALSE,(((C167/1000)*0.1)*2)+(((C167/1000)*0.044)*2)+(((B167/1000)*0.08)*2),IF(ISERROR(FIND(""Base end panel"",A167))=FALSE,((B167/1000)*(C167/1000))+(0.022*((B167/1000)+((C167/1000)*2)))+((B167/1000)*0.05),I"&amp;"F(ISERROR(FIND(""Wall end panel"",A167))=FALSE,((B167/1000)*(C167/1000))+(0.022*((B167/1000)+((C167/1000)*2)))+((B167/1000)*0.05),IF(ISERROR(FIND(""Tower end panel"",A167))=FALSE,((B167/1000)*(C167/1000))+(0.022*((B167/1000)+((C167/1000)*2)))+((B167/1000)"&amp;"*0.05),IF(ISERROR(FIND(""Fillers"",A167))=FALSE,((C167/1000)*0.06)+((C167/1000)*0.069)+((0.06*0.018)*2)+((0.06*0.009)*2)+((C167/1000)*0.009)+((C167/1000)*0.018),IF(ISERROR(FIND(""corner post"",A167))=FALSE,(((B167/1000*0.05)*2)+((B167/1000)*0.022)*2)+((B1"&amp;"67/1000)*0.072)+((B167/1000)*0.05)+((0.072*0.022)*2)+((0.05*0.022)*2),IF(ISERROR(FIND(""Pelmet"",A167))=FALSE,((C167/1000)*0.05)+((C167/1000)*0.068)+((0.05*0.018)*4)+(((C167/1000)*0.018))*2))))))))))))))))))))))))))))"),"")</f>
        <v/>
      </c>
      <c r="N167" s="152" t="str">
        <f>IF(M167="","",IF(AND(ISERROR(FIND("carcass",A167))=TRUE,ISERROR(FIND("unit",A167))=TRUE,ISERROR(FIND("insert",A167))=TRUE,ISERROR(FIND("rack",A167))=TRUE,ISERROR(FIND("box",A167))=TRUE,ISERROR(FIND("shelf",#REF!))=TRUE),VLOOKUP(KitchenDoorFinish,Finishing!$A$2:$K$10,9,0)*M167,VLOOKUP(KitchenCarcassFinish,Finishing!$A$2:$K$40,9,0)*M167))</f>
        <v/>
      </c>
      <c r="O167" s="155"/>
      <c r="P167" s="155"/>
      <c r="Q167" s="152" t="str">
        <f>IF(OR(O167="",P167=""),"",((O167*X167)*(VLOOKUP("Workshop",Labour!$A$3:$E$20,4,0)/8))+((P167*AE167)*(VLOOKUP("Finishing",Labour!$A$3:$E$20,4,0)/8)))</f>
        <v/>
      </c>
      <c r="R167" s="152" t="str">
        <f t="shared" si="4"/>
        <v/>
      </c>
      <c r="S167" s="156" t="str">
        <f>IF(OR(O167="",P167=""),"",IF(OR(ISERROR(FIND("carcass",$A167))=FALSE,ISERROR(FIND("unit",$A167))=FALSE),VLOOKUP(KitchenCarcassMaterial,FixedListsCarcassMaterial,2,0),0))</f>
        <v/>
      </c>
      <c r="T167" s="156" t="str">
        <f>IF(OR(O167="",P167=""),"",IF(ISERROR(FIND("door",$A167))=FALSE,VLOOKUP(KitchenDoorStyle,FixedListsDoorStyle,2,0),0))</f>
        <v/>
      </c>
      <c r="U167" s="156" t="str">
        <f>IF(OR(O167="",P167=""),"",IF(ISERROR(FIND("door",$A167))=FALSE,VLOOKUP(KitchenDoorMaterial,FixedListsDoorMaterial,2,0),0))</f>
        <v/>
      </c>
      <c r="V167" s="156" t="str">
        <f>IF(OR(O167="",P167=""),"",IF(ISERROR(FIND("drawer",$A167))=FALSE,VLOOKUP(KitchenDrawerType,FixedListsDrawerType,2,0),0))</f>
        <v/>
      </c>
      <c r="W167" s="156" t="str">
        <f>IF(OR(O167="",P167=""),"",IF(OR(S167&gt;0, T167&gt;0,V167&gt;0),VLOOKUP(KitchenHandleType,FixedListsHandleType,2,FALSE)*IF(KitchenHandleType="Simple",0,IF(S167&gt;0,VLOOKUP(KitchenHandleType,FixedListsHandleType,4,FALSE),IF(OR(T167&gt;0,V167&gt;0),1-VLOOKUP(KitchenHandleType,FixedListsHandleType,4,FALSE),"Error"))),0))</f>
        <v/>
      </c>
      <c r="X167" s="156" t="str">
        <f t="shared" si="5"/>
        <v/>
      </c>
      <c r="Y167" s="156" t="str">
        <f>IF(OR(O167="",P167=""),"",IF(OR(ISERROR(FIND("carcass",$A167))=FALSE,ISERROR(FIND("unit",$A167))=FALSE),VLOOKUP(KitchenCarcassMaterial,FixedListsCarcassMaterial,3,0),0))</f>
        <v/>
      </c>
      <c r="Z167" s="156" t="str">
        <f>IF(OR(O167="",P167=""),"",IF(ISERROR(FIND("door",$A167))=FALSE,VLOOKUP(KitchenDoorStyle,FixedListsDoorStyle,3,0),0))</f>
        <v/>
      </c>
      <c r="AA167" s="156" t="str">
        <f>IF(OR(O167="",P167=""),"",IF(ISERROR(FIND("door",$A167))=FALSE,VLOOKUP(KitchenDoorMaterial,FixedListsDoorMaterial,3,0),0))</f>
        <v/>
      </c>
      <c r="AB167" s="156" t="str">
        <f>IF(OR(O167="",P167=""),"",IF(ISERROR(FIND("drawer",$A167))=FALSE,VLOOKUP(KitchenDrawerType,FixedListsDrawerType,3,0),0))</f>
        <v/>
      </c>
      <c r="AC167" s="156" t="str">
        <f>IF(OR(O167="",P167=""),"",IF(OR(Y167&gt;0,Z167&gt;0,AB167&gt;0),VLOOKUP(KitchenHandleType,FixedListsHandleType,3,FALSE),0))</f>
        <v/>
      </c>
      <c r="AD167" s="156" t="str">
        <f>IF(OR(O167="",P167=""),"",IF(OR(ISERROR(FIND("carcass",$A167))=FALSE,ISERROR(FIND("unit",$A167))=FALSE),VLOOKUP(KitchenCarcassFinish,FixedListsFinishes,3,0),IF(OR(ISERROR(FIND("door",$A167))=FALSE,ISERROR(FIND("Plinth",$A167))=FALSE,ISERROR(FIND("Cornice",$A167))=FALSE,ISERROR(FIND("Fillers",$A167))=FALSE,ISERROR(FIND("Pelmet",$A167))=FALSE,ISERROR(FIND("panel",$A167))=FALSE,ISERROR(FIND("post",$A167))=FALSE),VLOOKUP(KitchenDoorFinish,FixedListsFinishes,3,0),IF(OR(ISERROR(FIND("drawer",$A167))=FALSE,ISERROR(FIND("insert",$A167))=FALSE,ISERROR(FIND("rck",$A167))=FALSE),VLOOKUP(KitchenCarcassFinish,FixedListsFinishes,3,0),0))))</f>
        <v/>
      </c>
      <c r="AE167" s="156" t="str">
        <f t="shared" si="6"/>
        <v/>
      </c>
      <c r="AF167" s="157" t="str">
        <f>IF(AND(KitchenHandleType="Channel",OR(ISERROR(FIND("arcass",$A167))=FALSE,ISERROR(FIND("unit",$A167))=FALSE)),IF(ISERROR(FIND("Tower",$A167))=TRUE,IF(KitchenHandleFinish="Match carcass",IF(ISERROR(FIND("Walnut",KitchenCarcassMaterial))=FALSE,(0.035*0.075*($C167/1000))*VLOOKUP("Walnut (solid m3)",SolidData,4,FALSE),IF(ISERROR(FIND("Oak",KitchenCarcassMaterial))=FALSE,(0.035*0.075*($C167/1000))*VLOOKUP("Oak (solid m3)",SolidData,4,FALSE),IF(ISERROR(FIND("ply",KitchenCarcassMaterial))=FALSE,(0.1*($C167/1000))*VLOOKUP("Birch ply (24mm)",SheetsData,7,FALSE),IF(ISERROR(FIND("H/F",KitchenCarcassMaterial))=FALSE,(0.1*($C167/1000))*VLOOKUP("H/F (22mm)",SheetsData,7,FALSE),"Carcass - not tower - new material")))),IF(KitchenHandleFinish="Match door",IF(ISERROR(FIND("Walnut",KitchenDoorMaterial))=FALSE,(0.035*0.075*($C167/1000))*VLOOKUP("Walnut (solid m3)",SolidData,4,FALSE),IF(ISERROR(FIND("Oak",KitchenDoorMaterial))=FALSE,(0.035*0.075*($C167/1000))*VLOOKUP("Oak (solid m3)",SolidData,4,FALSE),IF(ISERROR(FIND("ply",KitchenDoorMaterial))=FALSE,(0.1*($C167/1000))*VLOOKUP("Birch ply (24mm)",SheetsData,7,FALSE),IF(ISERROR(FIND("H/F",KitchenCarcassMaterial))=FALSE,(0.1*($C167/1000))*VLOOKUP("H/F (22mm)",SheetsData,7,FALSE),"Door - not tower - new material")))),"Channel - not tower - handle set to other")),IF(ISERROR(FIND("Tower",$A167))=FALSE,IF(KitchenHandleFinish="Match carcass",IF(ISERROR(FIND("Walnut",KitchenCarcassMaterial))=FALSE,(0.035*0.075*($B167/1000))*VLOOKUP("Walnut (solid m3)",SolidData,4,FALSE),IF(ISERROR(FIND("Oak",KitchenCarcassMaterial))=FALSE,(0.035*0.075*($B167/1000))*VLOOKUP("Oak (solid m3)",SolidData,4,FALSE),IF(ISERROR(FIND("ply",KitchenCarcassMaterial))=FALSE,(0.1*($B167/1000))*VLOOKUP("Birch ply (24mm)",SheetsData,7,FALSE),IF(ISERROR(FIND("H/F",KitchenCarcassMaterial))=FALSE,(0.1*($C167/1000))*VLOOKUP("H/F (22mm)",SheetsData,7,FALSE),"Carcass - tower - new material")))),IF(KitchenHandleFinish="Match door",IF(ISERROR(FIND("Walnut",KitchenDoorMaterial))=FALSE,(0.035*0.075*($B167/1000))*VLOOKUP("Walnut (solid m3)",SolidData,4,FALSE),IF(ISERROR(FIND("Oak",KitchenDoorMaterial))=FALSE,(0.035*0.075*($B167/1000))*VLOOKUP("Oak (solid m3)",SolidData,4,FALSE),IF(ISERROR(FIND("ply",KitchenDoorMaterial))=FALSE,(0.1*($B167/1000))*VLOOKUP("Birch ply (24mm)",SheetData,7,FALSE),IF(ISERROR(FIND("H/F",KitchenCarcassMaterial))=FALSE,(0.1*($C167/1000))*VLOOKUP("H/F (22mm)",SheetsData,7,FALSE),"Door - tower - new material")))),"Channel - tower - handle set to other")))),"")</f>
        <v/>
      </c>
    </row>
    <row r="168">
      <c r="A168" s="150"/>
      <c r="B168" s="115" t="str">
        <f t="shared" si="1"/>
        <v/>
      </c>
      <c r="C168" s="115" t="str">
        <f>IFERROR(__xludf.DUMMYFUNCTION("IF(A168="""","""",IF(OR(RIGHT(A168,LEN(A168)-len(regexextract(A168,"".* "")))=""1200"",RIGHT(A168,LEN(A168)-len(regexextract(A168,"".* "")))=""600"",RIGHT(A168,LEN(A168)-len(regexextract(A168,"".* "")))=""400"",RIGHT(A168,LEN(A168)-len(regexextract(A168,"&amp;""".* "")))=""300"",RIGHT(A168,LEN(A168)-len(regexextract(A168,"".* "")))=""700"",RIGHT(A168,LEN(A168)-len(regexextract(A168,"".* "")))=""2400"",RIGHT(A168,LEN(A168)-len(regexextract(A168,"".* "")))=""650"",RIGHT(A168,LEN(A168)-len(regexextract(A168,"".* "&amp;""")))=""350"",RIGHT(A168,LEN(A168)-len(regexextract(A168,"".* "")))=""50""),RIGHT(A168,LEN(A168)-len(regexextract(A168,"".* ""))),IF(OR(ISERROR(FIND(""spacer"",A168))=FALSE,ISERROR(FIND(""filler panel"",A168))=FALSE),""1000"",""Unexpected size in descript"&amp;"ion"")))"),"")</f>
        <v/>
      </c>
      <c r="D168" s="151" t="str">
        <f t="shared" si="2"/>
        <v/>
      </c>
      <c r="E168" s="152" t="str">
        <f>IFERROR(__xludf.DUMMYFUNCTION("IF(OR(A168="""",AND(ISERROR(FIND(""drawer box"",A168))=FALSE,KitchenDrawerType="""")),"""",IF(OR(ISERROR(FIND(""larder"",A168))=FALSE,ISERROR(FIND(""fridge/freezer"",A168))=FALSE,ISERROR(FIND(""double oven"",A168))=FALSE,ISERROR(FIND(""single oven"",A168)"&amp;")=FALSE),VLOOKUP(LEFT(A168,FIND("" "",A168))&amp;""carcass ""&amp;RIGHT(A168,LEN(A168)-(LEN(A168)-3)),KitchensData,5,0),IF(ISERROR(FIND(""sink"",A168))=FALSE,VLOOKUP(LEFT(A168,FIND("" "",A168))&amp;""carcass ""&amp;VALUE(REGEXREPLACE(A168,""[^[:digit:]]"", """")),Kitchen"&amp;"sData,5,0)+(((C168/1000)*(300/1000))*VLOOKUP(KitchenCarcassMaterial,SheetsData,8,0)),IF(ISERROR(FIND(""bins"",A168))=FALSE,IF(ISERROR(FIND(""veneer"",KitchenCarcassMaterial))=FALSE,VLOOKUP(""Base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600"",A168))=FALSE,IF(ISERR"&amp;"OR(FIND(""veneer"",KitchenCarcassMaterial))=FALSE,0.54*(VLOOKUP(LEFT(KitchenCarcassMaterial,FIND(""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1"&amp;"200"",A168))=FALSE,IF(ISERROR(FIND(""veneer"",KitchenCarcassMaterial))=FALSE,0.84*(VLOOKUP(LEFT(KitchenCarcassMaterial,FIND(""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600"",A168))=FALSE,IF(ISERROR(FIND(""veneer"",KitchenCarcassMaterial))=FALSE,1.44*(VLOOKUP(LEFT(KitchenCarcassMaterial,FIND(""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1200"",A168))=FALSE,IF(ISERROR(FIND(""veneer"",KitchenCarcassMaterial))=FALSE,2.7*(VLOOKUP(LEFT(KitchenCarcassMaterial,FIND(""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front"",A168))=FALSE,((B168/1000)*(C168/1000))*VLOOKUP(KitchenDoorMaterial,SheetsData,8,0),IF(AND(KitchenDrawerType=""Match carcass"",ISERROR(FIND(""drawer box"",A168))=FALSE),(((((B168/10"&amp;"00)*(C168/1000))+((B168/1000)*(D168/1000)))*2)*VLOOKUP(KitchenCarcassMaterial,SheetsData,8,0))+(((C168/1000)*(D168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box"",A168))=FALSE),(((((B168/1000)*(C168/1000))+((B168/1000)*(D168/1000)))*2)*(16/1000)*VLOOKUP(L"&amp;"EFT(KitchenCarcassMaterial,FIND("" "",KitchenCarcassMaterial))&amp;""(solid m3)"",SolidData,5,0))+(((C168/1000)*(D168/1000))*VLOOKUP(LEFT(KitchenCarcassMaterial,FIND(""("",KitchenCarcassMaterial)-1)&amp;IF(OR(ISERROR(FIND(""ply"",KitchenCarcassMaterial))=FALSE,IS"&amp;"ERROR(FIND(""H/F"",KitchenCarcassMaterial))=FALSE),""(9mm)"",""(10mm)""),SheetsData,8,0)),IF(ISERROR(FIND(""spacer"",A168))=FALSE,((D168/1000)*(C168/1000))*VLOOKUP(""Poplar ply (18mm)"",SheetsData,8,0),IF(ISERROR(FIND(""filler panel"",A168))=FALSE,((B168/"&amp;"1000)*(C168/1000))*VLOOKUP(KitchenDoorMaterial,SheetsData,8,0),IF(ISERROR(FIND(""shelf"",A168))=FALSE,((D168/1000)*(C168/1000))*VLOOKUP(KitchenCarcassMaterial,SheetsData,8,0),IF(ISERROR(FIND(""lost corner"",A168))=FALSE,VLOOKUP(LEFT(A168,FIND("" "",A168))"&amp;"&amp;""carcass ""&amp;VALUE(REGEXREPLACE(A168,""[^[:digit:]]"", """")),KitchensData,5,0)+((((B168/1000)*(C168/1000))+((B168/1000)*(60/1000)))*VLOOKUP(KitchenCarcassMaterial,SheetsData,8,0)),IF(ISERROR(FIND(""carcass"",A168))=FALSE,(((((B168/1000)*2)*(D168/1000))+"&amp;"(((C168/1000)*2)*(D168/1000)))*VLOOKUP(KitchenCarcassMaterial,SheetsData,8,0))+((B168/1000)*(C168/1000))*VLOOKUP(LEFT(KitchenCarcassMaterial,FIND(""("",KitchenCarcassMaterial)-1)&amp;IF(OR(ISERROR(FIND(""ply"",KitchenCarcassMaterial))=FALSE,ISERROR(FIND(""H/F"&amp;""",KitchenCarcassMaterial))=FALSE),""(9mm)"",""(10mm)""),SheetsData,8,0),IF(OR(ISERROR(FIND(""Plinth"",A168))=FALSE,ISERROR(FIND(""Cornice (flat)"",A168))=FALSE),((B168/1000)*(C168/1000))*VLOOKUP(""H/F (18mm)"",SheetsData,8,0),IF(ISERROR(FIND(""Cornice (s"&amp;"tacked)"",A168))=FALSE,((0.08*(C168/1000))*2)*VLOOKUP(""H/F (22mm)"",SheetsData,8,0),IF(ISERROR(FIND(""Base end panel"",A168))=FALSE,VLOOKUP(KitchenDoorMaterial,SheetsData,5,0)/3,IF(ISERROR(FIND(""Wall end panel"",A168))=FALSE,VLOOKUP(KitchenDoorMaterial,"&amp;"SheetsData,5,0)/9,IF(ISERROR(FIND(""Tower end panel"",A168))=FALSE,VLOOKUP(KitchenDoorMaterial,SheetsData,5,0),IF(ISERROR(FIND(""Fillers"",A168))=FALSE,(((0.06*(C168/1000))*2)*VLOOKUP(""H/F (18mm)"",SheetsData,8,0))+(((0.06*(C168/1000))*2)*VLOOKUP(""H/F ("&amp;"9mm)"",SheetsData,8,0)),IF(ISERROR(FIND(""corner post"",A168))=FALSE,(((B168/1000)*0.05)*2)*VLOOKUP(KitchenDoorMaterial,SheetsData,8,0),IF(ISERROR(FIND(""Pelmet"",A168))=FALSE,((((B168/1000)*(C168/1000))*2)*VLOOKUP(""H/F (18mm)"",SheetsData,8,0)),IF(ISERR"&amp;"OR(FIND(""door"",A168))=TRUE,""Check description"",IF(KitchenDoorStyle=""Flat"",((B168/1000)*(C168/1000))*VLOOKUP(KitchenDoorMaterial,SheetsData,8,0),IF(LEFT(KitchenDoorStyle,5)=""Panel"",(((((B168/1000)*2)*0.08)+((((C168/1000)-0.16)*2)*0.08))*VLOOKUP(""H"&amp;"/F (22mm)"",SheetsData,8,0))+(((B168/1000)-0.14)*((C168/1000)-0.14)*VLOOKUP(""H/F (9mm)"",SheetsData,8,0)),IF(KitchenDoorStyle=""In-frame flat"",((((((B168/1000)*0.019)*0.038)+((((C168-38)/1000)*0.038)*0.038))*2)*VLOOKUP(""Tulip (solid m3)"",SolidData,5,0"&amp;"))+(((B168-76)/1000)*((C168-38)/1000))*VLOOKUP(""H/F (22mm)"",SheetsData,8,0),IF(LEFT(KitchenDoorStyle,14)=""In-frame panel"",(((((((B168/1000)*0.019)*0.038)+((((C168-38)/1000)*0.038)*0.038))*2)*VLOOKUP(""Tulip (solid m3)"",SolidData,5,0))+(((((((B168-76)"&amp;"/1000)*2)*0.08)+(((((C168-198)/1000)*2)*0.08)))*VLOOKUP(""H/F (22mm)"",SheetsData,8,0))+(((B168-216)/1000)*((C168-178)/1000)*VLOOKUP(""H/F (9mm)"",SheetsData,8,0)))))))))))))))))))))))))))))))))"),"")</f>
        <v/>
      </c>
      <c r="F168" s="152" t="str">
        <f>IFERROR(__xludf.DUMMYFUNCTION("IF(OR(A168="""",AND(ISERROR(FIND(""drawer box"",A168))=FALSE,KitchenDrawerType=""Solid dovetail"")),"""",IF(ISERROR(FIND(""bins"",A168))=FALSE,VLOOKUP(""Base carcass 600"",KitchensData,6,0),IF(OR(ISERROR(FIND(""larder"",A168))=FALSE,ISERROR(FIND(""unit"","&amp;"A168))=FALSE),VLOOKUP(LEFT(A168,FIND("" "",A168))&amp;""carcass ""&amp;RIGHT(A168,LEN(A168)-len(regexextract(A168,"".* ""))),KitchensData,6,0),IF(ISERROR(FIND(""drawer front"",A168))=FALSE,IF(ISERROR(FIND(""veneer"",KitchenCarcassMaterial))=TRUE,0,(((B168+C168)/1"&amp;"000)*2)*VLOOKUP(""Edge banding (per M)"",SheetsData,5,0)),IF(ISERROR(FIND(""drawer box"",A168))=FALSE,IF(ISERROR(FIND(""veneer"",KitchenCarcassMaterial))=TRUE,0,(((C168+D168)/1000)*2)*VLOOKUP(""Edge banding (per M)"",SheetsData,5,0)),IF(ISERROR(FIND(""she"&amp;"lf"",A168))=FALSE,IF(ISERROR(FIND(""veneer"",KitchenCarcassMaterial))=TRUE,0,(C168/1000)*VLOOKUP(""Edge banding (per M)"",SheetsData,5,0)),IF(AND(ISERROR(FIND(""carcass"",A168))=FALSE,ISERROR(FIND(""shelf"",A168))=TRUE),IF(ISERROR(FIND(""veneer"",KitchenC"&amp;"arcassMaterial))=TRUE,0,((2*(B168+C168))/1000)*VLOOKUP(""Edge banding (per M)"",SheetsData,5,0)),IF(ISERROR(FIND(""door"",A168))=TRUE,"""",IF(ISERROR(FIND(""veneer"",KitchenDoorMaterial))=TRUE,"""",((2*(B168+C168))/1000)*VLOOKUP(""Edge banding (per M)"",S"&amp;"heetsData,5,0))))))))))"),"")</f>
        <v/>
      </c>
      <c r="G168" s="153" t="str">
        <f>IF(A168="","",IF(ISERROR(FIND("bins",A168))=FALSE,VLOOKUP("Base carcass 600",KitchensData,7,0),IF(OR(ISERROR(FIND("larder",A168))=FALSE,ISERROR(FIND("fridge/freezer",A168))=FALSE,ISERROR(FIND("double oven",A168))=FALSE,ISERROR(FIND("single oven",A168))=FALSE),VLOOKUP(LEFT(A168,FIND(" ",A168))&amp;"carcass "&amp;RIGHT(A168,LEN(A168)-(LEN(A168)-3)),KitchensData,7,0),IF(AND(ISERROR(FIND("carcass",A168))=FALSE,ISERROR(FIND("shelf",A168))=TRUE),IF(OR(ISERROR(FIND("Base",A168))=FALSE,ISERROR(FIND("Tower",A168))=FALSE),IF(OR(ISERROR(FIND("1200",A168))=FALSE, ISERROR(FIND("lost corner",A168))=FALSE),6*VLOOKUP("Plinth foot (2 Parts 80mm)",FurnitureData,5,0),4*VLOOKUP("Plinth foot (2 Parts 80mm)",FurnitureData,5,0)),""),""))))</f>
        <v/>
      </c>
      <c r="H168" s="115" t="str">
        <f>IF(OR(A168="",ISERROR(FIND("door",A168))=TRUE),"",IF(ISERROR(FIND("Wall",A168))=FALSE,VLOOKUP("Hinges &amp; plates (Hettich thick door)",FurnitureData,5,0)*2,IF(ISERROR(FIND("Base",A168))=FALSE,VLOOKUP("Hinges &amp; plates (Hettich thick door)",FurnitureData,5,0)*3,IF(ISERROR(FIND("Boiler",A168))=FALSE,VLOOKUP("Hinges &amp; plates (Hettich thick door)",FurnitureData,5,0)*4,IF(ISERROR(FIND("Tower",A168))=FALSE,VLOOKUP("Hinges &amp; plates (Hettich thick door)",FurnitureData,5,0)*5)))))</f>
        <v/>
      </c>
      <c r="I168" s="115" t="str">
        <f>IF(ISERROR(FIND("shelf",A168))=FALSE,(VLOOKUP("Shelf pegs",FurnitureData,5,0)/100)*4,"")</f>
        <v/>
      </c>
      <c r="J168" s="152" t="str">
        <f>IF(OR(ISERROR(FIND("fridge/freezer",A168))=FALSE,ISERROR(FIND("larder",A168))=FALSE,AND(ISERROR(FIND("Base",A168))=FALSE,ISERROR(FIND("bins",A168))=TRUE,ISERROR(FIND("no shelves",A168))=TRUE,OR(ISERROR(FIND("carcass",A168))=FALSE,ISERROR(FIND("unit",A168))=FALSE))),VLOOKUP("Deep shelf "&amp;C168,KitchensData,18,0),IF(AND(ISERROR(FIND("Wall",A168))=FALSE,ISERROR(FIND("carcass",A168))=FALSE),2*VLOOKUP("Shallow shelf "&amp;C168,KitchensData,18,0),IF(AND(ISERROR(FIND("Tower",A168))=FALSE,ISERROR(FIND("oven",A168))=FALSE),4*VLOOKUP("Deep shelf "&amp;C168,KitchensData,18,0),IF(AND(ISERROR(FIND("Tower",A168))=FALSE,ISERROR(FIND("carcass",A168))=FALSE),5*VLOOKUP("Deep shelf "&amp;C168,KitchensData,18,0),""))))</f>
        <v/>
      </c>
      <c r="K168" s="152" t="str">
        <f>IF(ISERROR(FIND("sink",A168))=FALSE,VLOOKUP("Sink liner - Aluminium "&amp;RIGHT(A168,LEN(A168)-22)&amp;"mm",ExceptionalData,5,0),IF(ISERROR(FIND("bins",A168))=FALSE,VLOOKUP("Drawer runners and clip set for bin unit (500) Dynapro",FurnitureData,5,0)+(2*VLOOKUP("Bin (42L Anthracite)",FurnitureData,5,0)),IF(ISERROR(FIND("larder",A168))=FALSE,VLOOKUP("Pull out larder unit 600mm",FurnitureData,5,0),IF(AND(ISERROR(FIND("drawer box",A168))=FALSE,ISERROR(FIND("internal",A168))=TRUE),VLOOKUP("Drawer runners and clip set (550) Dynapro",FurnitureData,5,0),IF(ISERROR(FIND("internal drawer box",A168))=FALSE,VLOOKUP("Drawer runners and clip set (450) Dynapro",FurnitureData,5,0),"")))))</f>
        <v/>
      </c>
      <c r="L168" s="152" t="str">
        <f t="shared" si="3"/>
        <v/>
      </c>
      <c r="M168" s="154" t="str">
        <f>IFERROR(__xludf.DUMMYFUNCTION("IF(A168="""","""",IF(OR(ISERROR(FIND(""larder"",A168))=FALSE,ISERROR(FIND(""unit"",A168))=FALSE),VLOOKUP(LEFT(A168,FIND("" "",A168))&amp;""carcass ""&amp;RIGHT(A168,LEN(A168)-len(regexextract(A168,"".* ""))),KitchensData,13,0),IF(ISERROR(FIND(""bins"",A168))=FALS"&amp;"E,0.95,IF(ISERROR(FIND(""Cutlery insert 600"",A168))=FALSE,1.3,IF(ISERROR(FIND(""Cutlery insert 1200"",A168))=FALSE,2,IF(ISERROR(FIND(""Pan/tray rack 600"",A168))=FALSE,3.25,IF(ISERROR(FIND(""Pan/tray rack 1200"",A168))=FALSE,5.9,IF(ISERROR(FIND(""split"""&amp;",A168))=FALSE,(((C168/1000)*0.022)*2)+VLOOKUP(SUBSTITUTE(A168,"" split"",""""),KitchensData,13,0),IF(AND(ISERROR(FIND(""drawer front"",A168))=FALSE,KitchenDoorStyle=""Flat""),(((B168/1000)*(C168/1000))*2)+((((B168+C168)/1000)*2)*0.022),IF(AND(ISERROR(FIND"&amp;"(""drawer front"",A168))=FALSE,LEFT(KitchenDoorStyle,5)=""Panel""),(((B168/1000)*(C168/1000))*2)+((((B168+C168)/1000)*2)*0.022)+((((C168/1000)-0.16)*0.013)*2)+((((D168/1000)-0.16)*0.013)*2),IF(AND(ISERROR(FIND(""drawer front"",A168))=FALSE,KitchenDoorStyl"&amp;"e=""In-frame flat""),((((B168-76)/1000)*((C168-38)/1000))*2)+(MID(KitchenDoorMaterial,FIND(""("",KitchenDoorMaterial)+1,2)/1000)*((((B168-76)+(C168-38))/1000)*2)+(((B168/1000)*0.032)*2)+((((B168-76)/1000)*0.032)*2)+(((B168/1000)*0.019)*4)+(((C168/1000)*0."&amp;"032)*2)+((((C168-38)/1000)*0.032)*2)+(((C168/1000)*0.038)*4),IF(AND(ISERROR(FIND(""drawer front"",A168))=FALSE,LEFT(KitchenDoorStyle,14)=""In-frame panel""),((((B168-76)/1000)*((C168-38)/1000))*2)+((MID(KitchenDoorMaterial,FIND(""("",KitchenDoorMaterial)+"&amp;"1,2)/1000)*((((B168-76)+(C168-38))/1000)*2))+((((B168-236)/1000)+((C168-198)/1000)*2)*0.013)+(((B168/1000)*0.032)*2)+((((B168-76)/1000)*0.032)*2)+(((B168/1000)*0.019)*4)+(((C168/1000)*0.032)*2)+((((C168-38)/1000)*0.032)*2)+(((C168/1000)*0.038)*4),IF(ISERR"&amp;"OR(FIND(""drawer box"",A168))=FALSE,((((B168/1000)*(D168/1000))+((B168/1000)*(C168/1000)))*4)+((((D168/1000)+(C168/1000))*0.016)*4)+(((C168/1000)*(D168/1000))*2),IF(OR(ISERROR(FIND(""shelf"",A168))=FALSE,ISERROR(FIND(""spacer"",A168))=FALSE,,ISERROR(FIND("&amp;"""filler panel"",A168))=FALSE),(((C168/1000)*(D168/1000))*2)+((((C168+D168)*2)/1000)*0.022),IF(ISERROR(FIND(""lost corner"",A168))=FALSE,(((B168/1000)*(C168/1000))*2)+((B168/1000)*(C168/1000))+((B168/1000)*((C168/2)/1000))+((((B168/1000)*0.025)+((C168/100"&amp;"0)*0.025))*2),IF(ISERROR(FIND(""carcass"",A168))=FALSE,(((C168/1000)*(D168/1000))*2)+(((B168/1000)*(D168/1000))*2)+((B168/1000)*(C168/1000))+((((B168/1000)*0.025)+((C168/1000)*0.025))*2),IF(AND(ISERROR(FIND(""door"",A168))=FALSE,KitchenDoorStyle=""Flat"")"&amp;",(((B168/1000)*(C168/1000))*2)+(MID(KitchenDoorMaterial,FIND(""("",KitchenDoorMaterial)+1,2)/1000)*(((B168+C168)/1000)*2),IF(AND(ISERROR(FIND(""door"",A168))=FALSE,LEFT(KitchenDoorStyle,5)=""Panel""),(((B168/1000)*(C168/1000))*2)+((MID(KitchenDoorMaterial"&amp;",FIND(""("",KitchenDoorMaterial)+1,2)/1000)*(((B168+C168)/1000)*2))+(((((B168-160)+(C168-160))*2)/1000)*(0.013)),IF(AND(ISERROR(FIND(""door"",A168))=FALSE,KitchenDoorStyle=""In-frame flat""),((((B168-76)/1000)*((C168-38)/1000))*2)+(MID(KitchenDoorMaterial"&amp;",FIND(""("",KitchenDoorMaterial)+1,2)/1000)*((((B168-76)+(C168-38))/1000)*2)+(((B168/1000)*0.032)*2)+((((B168-76)/1000)*0.032)*2)+(((B168/1000)*0.019)*4)+(((C168/1000)*0.032)*2)+((((C168-38)/1000)*0.032)*2)+(((C168/1000)*0.038)*4),IF(AND(ISERROR(FIND(""do"&amp;"or"",A168))=FALSE,LEFT(KitchenDoorStyle,14)=""In-frame panel""),((((B168-76)/1000)*((C168-38)/1000))*2)+((MID(KitchenDoorMaterial,FIND(""("",KitchenDoorMaterial)+1,2)/1000)*((((B168-76)+(C168-38))/1000)*2))+((((B168-236)/1000)+((C168-198)/1000)*2)*0.013)+"&amp;"(((B168/1000)*0.032)*2)+((((B168-76)/1000)*0.032)*2)+(((B168/1000)*0.019)*4)+(((C168/1000)*0.032)*2)+((((C168-38)/1000)*0.032)*2)+(((C168/1000)*0.038)*4),IF(ISERROR(FIND(""Plinth"",A168))=FALSE,((B168/1000)*(C168/1000))+(((C168/1000)*0.018)*2)+(((B168/100"&amp;"0)*0.018)*2),IF(ISERROR(FIND(""Cornice"",A168))=FALSE,(((C168/1000)*0.1)*2)+(((C168/1000)*0.044)*2)+(((B168/1000)*0.08)*2),IF(ISERROR(FIND(""Base end panel"",A168))=FALSE,((B168/1000)*(C168/1000))+(0.022*((B168/1000)+((C168/1000)*2)))+((B168/1000)*0.05),I"&amp;"F(ISERROR(FIND(""Wall end panel"",A168))=FALSE,((B168/1000)*(C168/1000))+(0.022*((B168/1000)+((C168/1000)*2)))+((B168/1000)*0.05),IF(ISERROR(FIND(""Tower end panel"",A168))=FALSE,((B168/1000)*(C168/1000))+(0.022*((B168/1000)+((C168/1000)*2)))+((B168/1000)"&amp;"*0.05),IF(ISERROR(FIND(""Fillers"",A168))=FALSE,((C168/1000)*0.06)+((C168/1000)*0.069)+((0.06*0.018)*2)+((0.06*0.009)*2)+((C168/1000)*0.009)+((C168/1000)*0.018),IF(ISERROR(FIND(""corner post"",A168))=FALSE,(((B168/1000*0.05)*2)+((B168/1000)*0.022)*2)+((B1"&amp;"68/1000)*0.072)+((B168/1000)*0.05)+((0.072*0.022)*2)+((0.05*0.022)*2),IF(ISERROR(FIND(""Pelmet"",A168))=FALSE,((C168/1000)*0.05)+((C168/1000)*0.068)+((0.05*0.018)*4)+(((C168/1000)*0.018))*2))))))))))))))))))))))))))))"),"")</f>
        <v/>
      </c>
      <c r="N168" s="152" t="str">
        <f>IF(M168="","",IF(AND(ISERROR(FIND("carcass",A168))=TRUE,ISERROR(FIND("unit",A168))=TRUE,ISERROR(FIND("insert",A168))=TRUE,ISERROR(FIND("rack",A168))=TRUE,ISERROR(FIND("box",A168))=TRUE,ISERROR(FIND("shelf",#REF!))=TRUE),VLOOKUP(KitchenDoorFinish,Finishing!$A$2:$K$10,9,0)*M168,VLOOKUP(KitchenCarcassFinish,Finishing!$A$2:$K$40,9,0)*M168))</f>
        <v/>
      </c>
      <c r="O168" s="155"/>
      <c r="P168" s="155"/>
      <c r="Q168" s="152" t="str">
        <f>IF(OR(O168="",P168=""),"",((O168*X168)*(VLOOKUP("Workshop",Labour!$A$3:$E$20,4,0)/8))+((P168*AE168)*(VLOOKUP("Finishing",Labour!$A$3:$E$20,4,0)/8)))</f>
        <v/>
      </c>
      <c r="R168" s="152" t="str">
        <f t="shared" si="4"/>
        <v/>
      </c>
      <c r="S168" s="156" t="str">
        <f>IF(OR(O168="",P168=""),"",IF(OR(ISERROR(FIND("carcass",$A168))=FALSE,ISERROR(FIND("unit",$A168))=FALSE),VLOOKUP(KitchenCarcassMaterial,FixedListsCarcassMaterial,2,0),0))</f>
        <v/>
      </c>
      <c r="T168" s="156" t="str">
        <f>IF(OR(O168="",P168=""),"",IF(ISERROR(FIND("door",$A168))=FALSE,VLOOKUP(KitchenDoorStyle,FixedListsDoorStyle,2,0),0))</f>
        <v/>
      </c>
      <c r="U168" s="156" t="str">
        <f>IF(OR(O168="",P168=""),"",IF(ISERROR(FIND("door",$A168))=FALSE,VLOOKUP(KitchenDoorMaterial,FixedListsDoorMaterial,2,0),0))</f>
        <v/>
      </c>
      <c r="V168" s="156" t="str">
        <f>IF(OR(O168="",P168=""),"",IF(ISERROR(FIND("drawer",$A168))=FALSE,VLOOKUP(KitchenDrawerType,FixedListsDrawerType,2,0),0))</f>
        <v/>
      </c>
      <c r="W168" s="156" t="str">
        <f>IF(OR(O168="",P168=""),"",IF(OR(S168&gt;0, T168&gt;0,V168&gt;0),VLOOKUP(KitchenHandleType,FixedListsHandleType,2,FALSE)*IF(KitchenHandleType="Simple",0,IF(S168&gt;0,VLOOKUP(KitchenHandleType,FixedListsHandleType,4,FALSE),IF(OR(T168&gt;0,V168&gt;0),1-VLOOKUP(KitchenHandleType,FixedListsHandleType,4,FALSE),"Error"))),0))</f>
        <v/>
      </c>
      <c r="X168" s="156" t="str">
        <f t="shared" si="5"/>
        <v/>
      </c>
      <c r="Y168" s="156" t="str">
        <f>IF(OR(O168="",P168=""),"",IF(OR(ISERROR(FIND("carcass",$A168))=FALSE,ISERROR(FIND("unit",$A168))=FALSE),VLOOKUP(KitchenCarcassMaterial,FixedListsCarcassMaterial,3,0),0))</f>
        <v/>
      </c>
      <c r="Z168" s="156" t="str">
        <f>IF(OR(O168="",P168=""),"",IF(ISERROR(FIND("door",$A168))=FALSE,VLOOKUP(KitchenDoorStyle,FixedListsDoorStyle,3,0),0))</f>
        <v/>
      </c>
      <c r="AA168" s="156" t="str">
        <f>IF(OR(O168="",P168=""),"",IF(ISERROR(FIND("door",$A168))=FALSE,VLOOKUP(KitchenDoorMaterial,FixedListsDoorMaterial,3,0),0))</f>
        <v/>
      </c>
      <c r="AB168" s="156" t="str">
        <f>IF(OR(O168="",P168=""),"",IF(ISERROR(FIND("drawer",$A168))=FALSE,VLOOKUP(KitchenDrawerType,FixedListsDrawerType,3,0),0))</f>
        <v/>
      </c>
      <c r="AC168" s="156" t="str">
        <f>IF(OR(O168="",P168=""),"",IF(OR(Y168&gt;0,Z168&gt;0,AB168&gt;0),VLOOKUP(KitchenHandleType,FixedListsHandleType,3,FALSE),0))</f>
        <v/>
      </c>
      <c r="AD168" s="156" t="str">
        <f>IF(OR(O168="",P168=""),"",IF(OR(ISERROR(FIND("carcass",$A168))=FALSE,ISERROR(FIND("unit",$A168))=FALSE),VLOOKUP(KitchenCarcassFinish,FixedListsFinishes,3,0),IF(OR(ISERROR(FIND("door",$A168))=FALSE,ISERROR(FIND("Plinth",$A168))=FALSE,ISERROR(FIND("Cornice",$A168))=FALSE,ISERROR(FIND("Fillers",$A168))=FALSE,ISERROR(FIND("Pelmet",$A168))=FALSE,ISERROR(FIND("panel",$A168))=FALSE,ISERROR(FIND("post",$A168))=FALSE),VLOOKUP(KitchenDoorFinish,FixedListsFinishes,3,0),IF(OR(ISERROR(FIND("drawer",$A168))=FALSE,ISERROR(FIND("insert",$A168))=FALSE,ISERROR(FIND("rck",$A168))=FALSE),VLOOKUP(KitchenCarcassFinish,FixedListsFinishes,3,0),0))))</f>
        <v/>
      </c>
      <c r="AE168" s="156" t="str">
        <f t="shared" si="6"/>
        <v/>
      </c>
      <c r="AF168" s="157" t="str">
        <f>IF(AND(KitchenHandleType="Channel",OR(ISERROR(FIND("arcass",$A168))=FALSE,ISERROR(FIND("unit",$A168))=FALSE)),IF(ISERROR(FIND("Tower",$A168))=TRUE,IF(KitchenHandleFinish="Match carcass",IF(ISERROR(FIND("Walnut",KitchenCarcassMaterial))=FALSE,(0.035*0.075*($C168/1000))*VLOOKUP("Walnut (solid m3)",SolidData,4,FALSE),IF(ISERROR(FIND("Oak",KitchenCarcassMaterial))=FALSE,(0.035*0.075*($C168/1000))*VLOOKUP("Oak (solid m3)",SolidData,4,FALSE),IF(ISERROR(FIND("ply",KitchenCarcassMaterial))=FALSE,(0.1*($C168/1000))*VLOOKUP("Birch ply (24mm)",SheetsData,7,FALSE),IF(ISERROR(FIND("H/F",KitchenCarcassMaterial))=FALSE,(0.1*($C168/1000))*VLOOKUP("H/F (22mm)",SheetsData,7,FALSE),"Carcass - not tower - new material")))),IF(KitchenHandleFinish="Match door",IF(ISERROR(FIND("Walnut",KitchenDoorMaterial))=FALSE,(0.035*0.075*($C168/1000))*VLOOKUP("Walnut (solid m3)",SolidData,4,FALSE),IF(ISERROR(FIND("Oak",KitchenDoorMaterial))=FALSE,(0.035*0.075*($C168/1000))*VLOOKUP("Oak (solid m3)",SolidData,4,FALSE),IF(ISERROR(FIND("ply",KitchenDoorMaterial))=FALSE,(0.1*($C168/1000))*VLOOKUP("Birch ply (24mm)",SheetsData,7,FALSE),IF(ISERROR(FIND("H/F",KitchenCarcassMaterial))=FALSE,(0.1*($C168/1000))*VLOOKUP("H/F (22mm)",SheetsData,7,FALSE),"Door - not tower - new material")))),"Channel - not tower - handle set to other")),IF(ISERROR(FIND("Tower",$A168))=FALSE,IF(KitchenHandleFinish="Match carcass",IF(ISERROR(FIND("Walnut",KitchenCarcassMaterial))=FALSE,(0.035*0.075*($B168/1000))*VLOOKUP("Walnut (solid m3)",SolidData,4,FALSE),IF(ISERROR(FIND("Oak",KitchenCarcassMaterial))=FALSE,(0.035*0.075*($B168/1000))*VLOOKUP("Oak (solid m3)",SolidData,4,FALSE),IF(ISERROR(FIND("ply",KitchenCarcassMaterial))=FALSE,(0.1*($B168/1000))*VLOOKUP("Birch ply (24mm)",SheetsData,7,FALSE),IF(ISERROR(FIND("H/F",KitchenCarcassMaterial))=FALSE,(0.1*($C168/1000))*VLOOKUP("H/F (22mm)",SheetsData,7,FALSE),"Carcass - tower - new material")))),IF(KitchenHandleFinish="Match door",IF(ISERROR(FIND("Walnut",KitchenDoorMaterial))=FALSE,(0.035*0.075*($B168/1000))*VLOOKUP("Walnut (solid m3)",SolidData,4,FALSE),IF(ISERROR(FIND("Oak",KitchenDoorMaterial))=FALSE,(0.035*0.075*($B168/1000))*VLOOKUP("Oak (solid m3)",SolidData,4,FALSE),IF(ISERROR(FIND("ply",KitchenDoorMaterial))=FALSE,(0.1*($B168/1000))*VLOOKUP("Birch ply (24mm)",SheetData,7,FALSE),IF(ISERROR(FIND("H/F",KitchenCarcassMaterial))=FALSE,(0.1*($C168/1000))*VLOOKUP("H/F (22mm)",SheetsData,7,FALSE),"Door - tower - new material")))),"Channel - tower - handle set to other")))),"")</f>
        <v/>
      </c>
    </row>
    <row r="169">
      <c r="A169" s="150"/>
      <c r="B169" s="115" t="str">
        <f t="shared" si="1"/>
        <v/>
      </c>
      <c r="C169" s="115" t="str">
        <f>IFERROR(__xludf.DUMMYFUNCTION("IF(A169="""","""",IF(OR(RIGHT(A169,LEN(A169)-len(regexextract(A169,"".* "")))=""1200"",RIGHT(A169,LEN(A169)-len(regexextract(A169,"".* "")))=""600"",RIGHT(A169,LEN(A169)-len(regexextract(A169,"".* "")))=""400"",RIGHT(A169,LEN(A169)-len(regexextract(A169,"&amp;""".* "")))=""300"",RIGHT(A169,LEN(A169)-len(regexextract(A169,"".* "")))=""700"",RIGHT(A169,LEN(A169)-len(regexextract(A169,"".* "")))=""2400"",RIGHT(A169,LEN(A169)-len(regexextract(A169,"".* "")))=""650"",RIGHT(A169,LEN(A169)-len(regexextract(A169,"".* "&amp;""")))=""350"",RIGHT(A169,LEN(A169)-len(regexextract(A169,"".* "")))=""50""),RIGHT(A169,LEN(A169)-len(regexextract(A169,"".* ""))),IF(OR(ISERROR(FIND(""spacer"",A169))=FALSE,ISERROR(FIND(""filler panel"",A169))=FALSE),""1000"",""Unexpected size in descript"&amp;"ion"")))"),"")</f>
        <v/>
      </c>
      <c r="D169" s="151" t="str">
        <f t="shared" si="2"/>
        <v/>
      </c>
      <c r="E169" s="152" t="str">
        <f>IFERROR(__xludf.DUMMYFUNCTION("IF(OR(A169="""",AND(ISERROR(FIND(""drawer box"",A169))=FALSE,KitchenDrawerType="""")),"""",IF(OR(ISERROR(FIND(""larder"",A169))=FALSE,ISERROR(FIND(""fridge/freezer"",A169))=FALSE,ISERROR(FIND(""double oven"",A169))=FALSE,ISERROR(FIND(""single oven"",A169)"&amp;")=FALSE),VLOOKUP(LEFT(A169,FIND("" "",A169))&amp;""carcass ""&amp;RIGHT(A169,LEN(A169)-(LEN(A169)-3)),KitchensData,5,0),IF(ISERROR(FIND(""sink"",A169))=FALSE,VLOOKUP(LEFT(A169,FIND("" "",A169))&amp;""carcass ""&amp;VALUE(REGEXREPLACE(A169,""[^[:digit:]]"", """")),Kitchen"&amp;"sData,5,0)+(((C169/1000)*(300/1000))*VLOOKUP(KitchenCarcassMaterial,SheetsData,8,0)),IF(ISERROR(FIND(""bins"",A169))=FALSE,IF(ISERROR(FIND(""veneer"",KitchenCarcassMaterial))=FALSE,VLOOKUP(""Base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600"",A169))=FALSE,IF(ISERR"&amp;"OR(FIND(""veneer"",KitchenCarcassMaterial))=FALSE,0.54*(VLOOKUP(LEFT(KitchenCarcassMaterial,FIND(""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1"&amp;"200"",A169))=FALSE,IF(ISERROR(FIND(""veneer"",KitchenCarcassMaterial))=FALSE,0.84*(VLOOKUP(LEFT(KitchenCarcassMaterial,FIND(""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600"",A169))=FALSE,IF(ISERROR(FIND(""veneer"",KitchenCarcassMaterial))=FALSE,1.44*(VLOOKUP(LEFT(KitchenCarcassMaterial,FIND(""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1200"",A169))=FALSE,IF(ISERROR(FIND(""veneer"",KitchenCarcassMaterial))=FALSE,2.7*(VLOOKUP(LEFT(KitchenCarcassMaterial,FIND(""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front"",A169))=FALSE,((B169/1000)*(C169/1000))*VLOOKUP(KitchenDoorMaterial,SheetsData,8,0),IF(AND(KitchenDrawerType=""Match carcass"",ISERROR(FIND(""drawer box"",A169))=FALSE),(((((B169/10"&amp;"00)*(C169/1000))+((B169/1000)*(D169/1000)))*2)*VLOOKUP(KitchenCarcassMaterial,SheetsData,8,0))+(((C169/1000)*(D169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box"",A169))=FALSE),(((((B169/1000)*(C169/1000))+((B169/1000)*(D169/1000)))*2)*(16/1000)*VLOOKUP(L"&amp;"EFT(KitchenCarcassMaterial,FIND("" "",KitchenCarcassMaterial))&amp;""(solid m3)"",SolidData,5,0))+(((C169/1000)*(D169/1000))*VLOOKUP(LEFT(KitchenCarcassMaterial,FIND(""("",KitchenCarcassMaterial)-1)&amp;IF(OR(ISERROR(FIND(""ply"",KitchenCarcassMaterial))=FALSE,IS"&amp;"ERROR(FIND(""H/F"",KitchenCarcassMaterial))=FALSE),""(9mm)"",""(10mm)""),SheetsData,8,0)),IF(ISERROR(FIND(""spacer"",A169))=FALSE,((D169/1000)*(C169/1000))*VLOOKUP(""Poplar ply (18mm)"",SheetsData,8,0),IF(ISERROR(FIND(""filler panel"",A169))=FALSE,((B169/"&amp;"1000)*(C169/1000))*VLOOKUP(KitchenDoorMaterial,SheetsData,8,0),IF(ISERROR(FIND(""shelf"",A169))=FALSE,((D169/1000)*(C169/1000))*VLOOKUP(KitchenCarcassMaterial,SheetsData,8,0),IF(ISERROR(FIND(""lost corner"",A169))=FALSE,VLOOKUP(LEFT(A169,FIND("" "",A169))"&amp;"&amp;""carcass ""&amp;VALUE(REGEXREPLACE(A169,""[^[:digit:]]"", """")),KitchensData,5,0)+((((B169/1000)*(C169/1000))+((B169/1000)*(60/1000)))*VLOOKUP(KitchenCarcassMaterial,SheetsData,8,0)),IF(ISERROR(FIND(""carcass"",A169))=FALSE,(((((B169/1000)*2)*(D169/1000))+"&amp;"(((C169/1000)*2)*(D169/1000)))*VLOOKUP(KitchenCarcassMaterial,SheetsData,8,0))+((B169/1000)*(C169/1000))*VLOOKUP(LEFT(KitchenCarcassMaterial,FIND(""("",KitchenCarcassMaterial)-1)&amp;IF(OR(ISERROR(FIND(""ply"",KitchenCarcassMaterial))=FALSE,ISERROR(FIND(""H/F"&amp;""",KitchenCarcassMaterial))=FALSE),""(9mm)"",""(10mm)""),SheetsData,8,0),IF(OR(ISERROR(FIND(""Plinth"",A169))=FALSE,ISERROR(FIND(""Cornice (flat)"",A169))=FALSE),((B169/1000)*(C169/1000))*VLOOKUP(""H/F (18mm)"",SheetsData,8,0),IF(ISERROR(FIND(""Cornice (s"&amp;"tacked)"",A169))=FALSE,((0.08*(C169/1000))*2)*VLOOKUP(""H/F (22mm)"",SheetsData,8,0),IF(ISERROR(FIND(""Base end panel"",A169))=FALSE,VLOOKUP(KitchenDoorMaterial,SheetsData,5,0)/3,IF(ISERROR(FIND(""Wall end panel"",A169))=FALSE,VLOOKUP(KitchenDoorMaterial,"&amp;"SheetsData,5,0)/9,IF(ISERROR(FIND(""Tower end panel"",A169))=FALSE,VLOOKUP(KitchenDoorMaterial,SheetsData,5,0),IF(ISERROR(FIND(""Fillers"",A169))=FALSE,(((0.06*(C169/1000))*2)*VLOOKUP(""H/F (18mm)"",SheetsData,8,0))+(((0.06*(C169/1000))*2)*VLOOKUP(""H/F ("&amp;"9mm)"",SheetsData,8,0)),IF(ISERROR(FIND(""corner post"",A169))=FALSE,(((B169/1000)*0.05)*2)*VLOOKUP(KitchenDoorMaterial,SheetsData,8,0),IF(ISERROR(FIND(""Pelmet"",A169))=FALSE,((((B169/1000)*(C169/1000))*2)*VLOOKUP(""H/F (18mm)"",SheetsData,8,0)),IF(ISERR"&amp;"OR(FIND(""door"",A169))=TRUE,""Check description"",IF(KitchenDoorStyle=""Flat"",((B169/1000)*(C169/1000))*VLOOKUP(KitchenDoorMaterial,SheetsData,8,0),IF(LEFT(KitchenDoorStyle,5)=""Panel"",(((((B169/1000)*2)*0.08)+((((C169/1000)-0.16)*2)*0.08))*VLOOKUP(""H"&amp;"/F (22mm)"",SheetsData,8,0))+(((B169/1000)-0.14)*((C169/1000)-0.14)*VLOOKUP(""H/F (9mm)"",SheetsData,8,0)),IF(KitchenDoorStyle=""In-frame flat"",((((((B169/1000)*0.019)*0.038)+((((C169-38)/1000)*0.038)*0.038))*2)*VLOOKUP(""Tulip (solid m3)"",SolidData,5,0"&amp;"))+(((B169-76)/1000)*((C169-38)/1000))*VLOOKUP(""H/F (22mm)"",SheetsData,8,0),IF(LEFT(KitchenDoorStyle,14)=""In-frame panel"",(((((((B169/1000)*0.019)*0.038)+((((C169-38)/1000)*0.038)*0.038))*2)*VLOOKUP(""Tulip (solid m3)"",SolidData,5,0))+(((((((B169-76)"&amp;"/1000)*2)*0.08)+(((((C169-198)/1000)*2)*0.08)))*VLOOKUP(""H/F (22mm)"",SheetsData,8,0))+(((B169-216)/1000)*((C169-178)/1000)*VLOOKUP(""H/F (9mm)"",SheetsData,8,0)))))))))))))))))))))))))))))))))"),"")</f>
        <v/>
      </c>
      <c r="F169" s="152" t="str">
        <f>IFERROR(__xludf.DUMMYFUNCTION("IF(OR(A169="""",AND(ISERROR(FIND(""drawer box"",A169))=FALSE,KitchenDrawerType=""Solid dovetail"")),"""",IF(ISERROR(FIND(""bins"",A169))=FALSE,VLOOKUP(""Base carcass 600"",KitchensData,6,0),IF(OR(ISERROR(FIND(""larder"",A169))=FALSE,ISERROR(FIND(""unit"","&amp;"A169))=FALSE),VLOOKUP(LEFT(A169,FIND("" "",A169))&amp;""carcass ""&amp;RIGHT(A169,LEN(A169)-len(regexextract(A169,"".* ""))),KitchensData,6,0),IF(ISERROR(FIND(""drawer front"",A169))=FALSE,IF(ISERROR(FIND(""veneer"",KitchenCarcassMaterial))=TRUE,0,(((B169+C169)/1"&amp;"000)*2)*VLOOKUP(""Edge banding (per M)"",SheetsData,5,0)),IF(ISERROR(FIND(""drawer box"",A169))=FALSE,IF(ISERROR(FIND(""veneer"",KitchenCarcassMaterial))=TRUE,0,(((C169+D169)/1000)*2)*VLOOKUP(""Edge banding (per M)"",SheetsData,5,0)),IF(ISERROR(FIND(""she"&amp;"lf"",A169))=FALSE,IF(ISERROR(FIND(""veneer"",KitchenCarcassMaterial))=TRUE,0,(C169/1000)*VLOOKUP(""Edge banding (per M)"",SheetsData,5,0)),IF(AND(ISERROR(FIND(""carcass"",A169))=FALSE,ISERROR(FIND(""shelf"",A169))=TRUE),IF(ISERROR(FIND(""veneer"",KitchenC"&amp;"arcassMaterial))=TRUE,0,((2*(B169+C169))/1000)*VLOOKUP(""Edge banding (per M)"",SheetsData,5,0)),IF(ISERROR(FIND(""door"",A169))=TRUE,"""",IF(ISERROR(FIND(""veneer"",KitchenDoorMaterial))=TRUE,"""",((2*(B169+C169))/1000)*VLOOKUP(""Edge banding (per M)"",S"&amp;"heetsData,5,0))))))))))"),"")</f>
        <v/>
      </c>
      <c r="G169" s="153" t="str">
        <f>IF(A169="","",IF(ISERROR(FIND("bins",A169))=FALSE,VLOOKUP("Base carcass 600",KitchensData,7,0),IF(OR(ISERROR(FIND("larder",A169))=FALSE,ISERROR(FIND("fridge/freezer",A169))=FALSE,ISERROR(FIND("double oven",A169))=FALSE,ISERROR(FIND("single oven",A169))=FALSE),VLOOKUP(LEFT(A169,FIND(" ",A169))&amp;"carcass "&amp;RIGHT(A169,LEN(A169)-(LEN(A169)-3)),KitchensData,7,0),IF(AND(ISERROR(FIND("carcass",A169))=FALSE,ISERROR(FIND("shelf",A169))=TRUE),IF(OR(ISERROR(FIND("Base",A169))=FALSE,ISERROR(FIND("Tower",A169))=FALSE),IF(OR(ISERROR(FIND("1200",A169))=FALSE, ISERROR(FIND("lost corner",A169))=FALSE),6*VLOOKUP("Plinth foot (2 Parts 80mm)",FurnitureData,5,0),4*VLOOKUP("Plinth foot (2 Parts 80mm)",FurnitureData,5,0)),""),""))))</f>
        <v/>
      </c>
      <c r="H169" s="115" t="str">
        <f>IF(OR(A169="",ISERROR(FIND("door",A169))=TRUE),"",IF(ISERROR(FIND("Wall",A169))=FALSE,VLOOKUP("Hinges &amp; plates (Hettich thick door)",FurnitureData,5,0)*2,IF(ISERROR(FIND("Base",A169))=FALSE,VLOOKUP("Hinges &amp; plates (Hettich thick door)",FurnitureData,5,0)*3,IF(ISERROR(FIND("Boiler",A169))=FALSE,VLOOKUP("Hinges &amp; plates (Hettich thick door)",FurnitureData,5,0)*4,IF(ISERROR(FIND("Tower",A169))=FALSE,VLOOKUP("Hinges &amp; plates (Hettich thick door)",FurnitureData,5,0)*5)))))</f>
        <v/>
      </c>
      <c r="I169" s="115" t="str">
        <f>IF(ISERROR(FIND("shelf",A169))=FALSE,(VLOOKUP("Shelf pegs",FurnitureData,5,0)/100)*4,"")</f>
        <v/>
      </c>
      <c r="J169" s="152" t="str">
        <f>IF(OR(ISERROR(FIND("fridge/freezer",A169))=FALSE,ISERROR(FIND("larder",A169))=FALSE,AND(ISERROR(FIND("Base",A169))=FALSE,ISERROR(FIND("bins",A169))=TRUE,ISERROR(FIND("no shelves",A169))=TRUE,OR(ISERROR(FIND("carcass",A169))=FALSE,ISERROR(FIND("unit",A169))=FALSE))),VLOOKUP("Deep shelf "&amp;C169,KitchensData,18,0),IF(AND(ISERROR(FIND("Wall",A169))=FALSE,ISERROR(FIND("carcass",A169))=FALSE),2*VLOOKUP("Shallow shelf "&amp;C169,KitchensData,18,0),IF(AND(ISERROR(FIND("Tower",A169))=FALSE,ISERROR(FIND("oven",A169))=FALSE),4*VLOOKUP("Deep shelf "&amp;C169,KitchensData,18,0),IF(AND(ISERROR(FIND("Tower",A169))=FALSE,ISERROR(FIND("carcass",A169))=FALSE),5*VLOOKUP("Deep shelf "&amp;C169,KitchensData,18,0),""))))</f>
        <v/>
      </c>
      <c r="K169" s="152" t="str">
        <f>IF(ISERROR(FIND("sink",A169))=FALSE,VLOOKUP("Sink liner - Aluminium "&amp;RIGHT(A169,LEN(A169)-22)&amp;"mm",ExceptionalData,5,0),IF(ISERROR(FIND("bins",A169))=FALSE,VLOOKUP("Drawer runners and clip set for bin unit (500) Dynapro",FurnitureData,5,0)+(2*VLOOKUP("Bin (42L Anthracite)",FurnitureData,5,0)),IF(ISERROR(FIND("larder",A169))=FALSE,VLOOKUP("Pull out larder unit 600mm",FurnitureData,5,0),IF(AND(ISERROR(FIND("drawer box",A169))=FALSE,ISERROR(FIND("internal",A169))=TRUE),VLOOKUP("Drawer runners and clip set (550) Dynapro",FurnitureData,5,0),IF(ISERROR(FIND("internal drawer box",A169))=FALSE,VLOOKUP("Drawer runners and clip set (450) Dynapro",FurnitureData,5,0),"")))))</f>
        <v/>
      </c>
      <c r="L169" s="152" t="str">
        <f t="shared" si="3"/>
        <v/>
      </c>
      <c r="M169" s="154" t="str">
        <f>IFERROR(__xludf.DUMMYFUNCTION("IF(A169="""","""",IF(OR(ISERROR(FIND(""larder"",A169))=FALSE,ISERROR(FIND(""unit"",A169))=FALSE),VLOOKUP(LEFT(A169,FIND("" "",A169))&amp;""carcass ""&amp;RIGHT(A169,LEN(A169)-len(regexextract(A169,"".* ""))),KitchensData,13,0),IF(ISERROR(FIND(""bins"",A169))=FALS"&amp;"E,0.95,IF(ISERROR(FIND(""Cutlery insert 600"",A169))=FALSE,1.3,IF(ISERROR(FIND(""Cutlery insert 1200"",A169))=FALSE,2,IF(ISERROR(FIND(""Pan/tray rack 600"",A169))=FALSE,3.25,IF(ISERROR(FIND(""Pan/tray rack 1200"",A169))=FALSE,5.9,IF(ISERROR(FIND(""split"""&amp;",A169))=FALSE,(((C169/1000)*0.022)*2)+VLOOKUP(SUBSTITUTE(A169,"" split"",""""),KitchensData,13,0),IF(AND(ISERROR(FIND(""drawer front"",A169))=FALSE,KitchenDoorStyle=""Flat""),(((B169/1000)*(C169/1000))*2)+((((B169+C169)/1000)*2)*0.022),IF(AND(ISERROR(FIND"&amp;"(""drawer front"",A169))=FALSE,LEFT(KitchenDoorStyle,5)=""Panel""),(((B169/1000)*(C169/1000))*2)+((((B169+C169)/1000)*2)*0.022)+((((C169/1000)-0.16)*0.013)*2)+((((D169/1000)-0.16)*0.013)*2),IF(AND(ISERROR(FIND(""drawer front"",A169))=FALSE,KitchenDoorStyl"&amp;"e=""In-frame flat""),((((B169-76)/1000)*((C169-38)/1000))*2)+(MID(KitchenDoorMaterial,FIND(""("",KitchenDoorMaterial)+1,2)/1000)*((((B169-76)+(C169-38))/1000)*2)+(((B169/1000)*0.032)*2)+((((B169-76)/1000)*0.032)*2)+(((B169/1000)*0.019)*4)+(((C169/1000)*0."&amp;"032)*2)+((((C169-38)/1000)*0.032)*2)+(((C169/1000)*0.038)*4),IF(AND(ISERROR(FIND(""drawer front"",A169))=FALSE,LEFT(KitchenDoorStyle,14)=""In-frame panel""),((((B169-76)/1000)*((C169-38)/1000))*2)+((MID(KitchenDoorMaterial,FIND(""("",KitchenDoorMaterial)+"&amp;"1,2)/1000)*((((B169-76)+(C169-38))/1000)*2))+((((B169-236)/1000)+((C169-198)/1000)*2)*0.013)+(((B169/1000)*0.032)*2)+((((B169-76)/1000)*0.032)*2)+(((B169/1000)*0.019)*4)+(((C169/1000)*0.032)*2)+((((C169-38)/1000)*0.032)*2)+(((C169/1000)*0.038)*4),IF(ISERR"&amp;"OR(FIND(""drawer box"",A169))=FALSE,((((B169/1000)*(D169/1000))+((B169/1000)*(C169/1000)))*4)+((((D169/1000)+(C169/1000))*0.016)*4)+(((C169/1000)*(D169/1000))*2),IF(OR(ISERROR(FIND(""shelf"",A169))=FALSE,ISERROR(FIND(""spacer"",A169))=FALSE,,ISERROR(FIND("&amp;"""filler panel"",A169))=FALSE),(((C169/1000)*(D169/1000))*2)+((((C169+D169)*2)/1000)*0.022),IF(ISERROR(FIND(""lost corner"",A169))=FALSE,(((B169/1000)*(C169/1000))*2)+((B169/1000)*(C169/1000))+((B169/1000)*((C169/2)/1000))+((((B169/1000)*0.025)+((C169/100"&amp;"0)*0.025))*2),IF(ISERROR(FIND(""carcass"",A169))=FALSE,(((C169/1000)*(D169/1000))*2)+(((B169/1000)*(D169/1000))*2)+((B169/1000)*(C169/1000))+((((B169/1000)*0.025)+((C169/1000)*0.025))*2),IF(AND(ISERROR(FIND(""door"",A169))=FALSE,KitchenDoorStyle=""Flat"")"&amp;",(((B169/1000)*(C169/1000))*2)+(MID(KitchenDoorMaterial,FIND(""("",KitchenDoorMaterial)+1,2)/1000)*(((B169+C169)/1000)*2),IF(AND(ISERROR(FIND(""door"",A169))=FALSE,LEFT(KitchenDoorStyle,5)=""Panel""),(((B169/1000)*(C169/1000))*2)+((MID(KitchenDoorMaterial"&amp;",FIND(""("",KitchenDoorMaterial)+1,2)/1000)*(((B169+C169)/1000)*2))+(((((B169-160)+(C169-160))*2)/1000)*(0.013)),IF(AND(ISERROR(FIND(""door"",A169))=FALSE,KitchenDoorStyle=""In-frame flat""),((((B169-76)/1000)*((C169-38)/1000))*2)+(MID(KitchenDoorMaterial"&amp;",FIND(""("",KitchenDoorMaterial)+1,2)/1000)*((((B169-76)+(C169-38))/1000)*2)+(((B169/1000)*0.032)*2)+((((B169-76)/1000)*0.032)*2)+(((B169/1000)*0.019)*4)+(((C169/1000)*0.032)*2)+((((C169-38)/1000)*0.032)*2)+(((C169/1000)*0.038)*4),IF(AND(ISERROR(FIND(""do"&amp;"or"",A169))=FALSE,LEFT(KitchenDoorStyle,14)=""In-frame panel""),((((B169-76)/1000)*((C169-38)/1000))*2)+((MID(KitchenDoorMaterial,FIND(""("",KitchenDoorMaterial)+1,2)/1000)*((((B169-76)+(C169-38))/1000)*2))+((((B169-236)/1000)+((C169-198)/1000)*2)*0.013)+"&amp;"(((B169/1000)*0.032)*2)+((((B169-76)/1000)*0.032)*2)+(((B169/1000)*0.019)*4)+(((C169/1000)*0.032)*2)+((((C169-38)/1000)*0.032)*2)+(((C169/1000)*0.038)*4),IF(ISERROR(FIND(""Plinth"",A169))=FALSE,((B169/1000)*(C169/1000))+(((C169/1000)*0.018)*2)+(((B169/100"&amp;"0)*0.018)*2),IF(ISERROR(FIND(""Cornice"",A169))=FALSE,(((C169/1000)*0.1)*2)+(((C169/1000)*0.044)*2)+(((B169/1000)*0.08)*2),IF(ISERROR(FIND(""Base end panel"",A169))=FALSE,((B169/1000)*(C169/1000))+(0.022*((B169/1000)+((C169/1000)*2)))+((B169/1000)*0.05),I"&amp;"F(ISERROR(FIND(""Wall end panel"",A169))=FALSE,((B169/1000)*(C169/1000))+(0.022*((B169/1000)+((C169/1000)*2)))+((B169/1000)*0.05),IF(ISERROR(FIND(""Tower end panel"",A169))=FALSE,((B169/1000)*(C169/1000))+(0.022*((B169/1000)+((C169/1000)*2)))+((B169/1000)"&amp;"*0.05),IF(ISERROR(FIND(""Fillers"",A169))=FALSE,((C169/1000)*0.06)+((C169/1000)*0.069)+((0.06*0.018)*2)+((0.06*0.009)*2)+((C169/1000)*0.009)+((C169/1000)*0.018),IF(ISERROR(FIND(""corner post"",A169))=FALSE,(((B169/1000*0.05)*2)+((B169/1000)*0.022)*2)+((B1"&amp;"69/1000)*0.072)+((B169/1000)*0.05)+((0.072*0.022)*2)+((0.05*0.022)*2),IF(ISERROR(FIND(""Pelmet"",A169))=FALSE,((C169/1000)*0.05)+((C169/1000)*0.068)+((0.05*0.018)*4)+(((C169/1000)*0.018))*2))))))))))))))))))))))))))))"),"")</f>
        <v/>
      </c>
      <c r="N169" s="152" t="str">
        <f>IF(M169="","",IF(AND(ISERROR(FIND("carcass",A169))=TRUE,ISERROR(FIND("unit",A169))=TRUE,ISERROR(FIND("insert",A169))=TRUE,ISERROR(FIND("rack",A169))=TRUE,ISERROR(FIND("box",A169))=TRUE,ISERROR(FIND("shelf",#REF!))=TRUE),VLOOKUP(KitchenDoorFinish,Finishing!$A$2:$K$10,9,0)*M169,VLOOKUP(KitchenCarcassFinish,Finishing!$A$2:$K$40,9,0)*M169))</f>
        <v/>
      </c>
      <c r="O169" s="155"/>
      <c r="P169" s="155"/>
      <c r="Q169" s="152" t="str">
        <f>IF(OR(O169="",P169=""),"",((O169*X169)*(VLOOKUP("Workshop",Labour!$A$3:$E$20,4,0)/8))+((P169*AE169)*(VLOOKUP("Finishing",Labour!$A$3:$E$20,4,0)/8)))</f>
        <v/>
      </c>
      <c r="R169" s="152" t="str">
        <f t="shared" si="4"/>
        <v/>
      </c>
      <c r="S169" s="156" t="str">
        <f>IF(OR(O169="",P169=""),"",IF(OR(ISERROR(FIND("carcass",$A169))=FALSE,ISERROR(FIND("unit",$A169))=FALSE),VLOOKUP(KitchenCarcassMaterial,FixedListsCarcassMaterial,2,0),0))</f>
        <v/>
      </c>
      <c r="T169" s="156" t="str">
        <f>IF(OR(O169="",P169=""),"",IF(ISERROR(FIND("door",$A169))=FALSE,VLOOKUP(KitchenDoorStyle,FixedListsDoorStyle,2,0),0))</f>
        <v/>
      </c>
      <c r="U169" s="156" t="str">
        <f>IF(OR(O169="",P169=""),"",IF(ISERROR(FIND("door",$A169))=FALSE,VLOOKUP(KitchenDoorMaterial,FixedListsDoorMaterial,2,0),0))</f>
        <v/>
      </c>
      <c r="V169" s="156" t="str">
        <f>IF(OR(O169="",P169=""),"",IF(ISERROR(FIND("drawer",$A169))=FALSE,VLOOKUP(KitchenDrawerType,FixedListsDrawerType,2,0),0))</f>
        <v/>
      </c>
      <c r="W169" s="156" t="str">
        <f>IF(OR(O169="",P169=""),"",IF(OR(S169&gt;0, T169&gt;0,V169&gt;0),VLOOKUP(KitchenHandleType,FixedListsHandleType,2,FALSE)*IF(KitchenHandleType="Simple",0,IF(S169&gt;0,VLOOKUP(KitchenHandleType,FixedListsHandleType,4,FALSE),IF(OR(T169&gt;0,V169&gt;0),1-VLOOKUP(KitchenHandleType,FixedListsHandleType,4,FALSE),"Error"))),0))</f>
        <v/>
      </c>
      <c r="X169" s="156" t="str">
        <f t="shared" si="5"/>
        <v/>
      </c>
      <c r="Y169" s="156" t="str">
        <f>IF(OR(O169="",P169=""),"",IF(OR(ISERROR(FIND("carcass",$A169))=FALSE,ISERROR(FIND("unit",$A169))=FALSE),VLOOKUP(KitchenCarcassMaterial,FixedListsCarcassMaterial,3,0),0))</f>
        <v/>
      </c>
      <c r="Z169" s="156" t="str">
        <f>IF(OR(O169="",P169=""),"",IF(ISERROR(FIND("door",$A169))=FALSE,VLOOKUP(KitchenDoorStyle,FixedListsDoorStyle,3,0),0))</f>
        <v/>
      </c>
      <c r="AA169" s="156" t="str">
        <f>IF(OR(O169="",P169=""),"",IF(ISERROR(FIND("door",$A169))=FALSE,VLOOKUP(KitchenDoorMaterial,FixedListsDoorMaterial,3,0),0))</f>
        <v/>
      </c>
      <c r="AB169" s="156" t="str">
        <f>IF(OR(O169="",P169=""),"",IF(ISERROR(FIND("drawer",$A169))=FALSE,VLOOKUP(KitchenDrawerType,FixedListsDrawerType,3,0),0))</f>
        <v/>
      </c>
      <c r="AC169" s="156" t="str">
        <f>IF(OR(O169="",P169=""),"",IF(OR(Y169&gt;0,Z169&gt;0,AB169&gt;0),VLOOKUP(KitchenHandleType,FixedListsHandleType,3,FALSE),0))</f>
        <v/>
      </c>
      <c r="AD169" s="156" t="str">
        <f>IF(OR(O169="",P169=""),"",IF(OR(ISERROR(FIND("carcass",$A169))=FALSE,ISERROR(FIND("unit",$A169))=FALSE),VLOOKUP(KitchenCarcassFinish,FixedListsFinishes,3,0),IF(OR(ISERROR(FIND("door",$A169))=FALSE,ISERROR(FIND("Plinth",$A169))=FALSE,ISERROR(FIND("Cornice",$A169))=FALSE,ISERROR(FIND("Fillers",$A169))=FALSE,ISERROR(FIND("Pelmet",$A169))=FALSE,ISERROR(FIND("panel",$A169))=FALSE,ISERROR(FIND("post",$A169))=FALSE),VLOOKUP(KitchenDoorFinish,FixedListsFinishes,3,0),IF(OR(ISERROR(FIND("drawer",$A169))=FALSE,ISERROR(FIND("insert",$A169))=FALSE,ISERROR(FIND("rck",$A169))=FALSE),VLOOKUP(KitchenCarcassFinish,FixedListsFinishes,3,0),0))))</f>
        <v/>
      </c>
      <c r="AE169" s="156" t="str">
        <f t="shared" si="6"/>
        <v/>
      </c>
      <c r="AF169" s="157" t="str">
        <f>IF(AND(KitchenHandleType="Channel",OR(ISERROR(FIND("arcass",$A169))=FALSE,ISERROR(FIND("unit",$A169))=FALSE)),IF(ISERROR(FIND("Tower",$A169))=TRUE,IF(KitchenHandleFinish="Match carcass",IF(ISERROR(FIND("Walnut",KitchenCarcassMaterial))=FALSE,(0.035*0.075*($C169/1000))*VLOOKUP("Walnut (solid m3)",SolidData,4,FALSE),IF(ISERROR(FIND("Oak",KitchenCarcassMaterial))=FALSE,(0.035*0.075*($C169/1000))*VLOOKUP("Oak (solid m3)",SolidData,4,FALSE),IF(ISERROR(FIND("ply",KitchenCarcassMaterial))=FALSE,(0.1*($C169/1000))*VLOOKUP("Birch ply (24mm)",SheetsData,7,FALSE),IF(ISERROR(FIND("H/F",KitchenCarcassMaterial))=FALSE,(0.1*($C169/1000))*VLOOKUP("H/F (22mm)",SheetsData,7,FALSE),"Carcass - not tower - new material")))),IF(KitchenHandleFinish="Match door",IF(ISERROR(FIND("Walnut",KitchenDoorMaterial))=FALSE,(0.035*0.075*($C169/1000))*VLOOKUP("Walnut (solid m3)",SolidData,4,FALSE),IF(ISERROR(FIND("Oak",KitchenDoorMaterial))=FALSE,(0.035*0.075*($C169/1000))*VLOOKUP("Oak (solid m3)",SolidData,4,FALSE),IF(ISERROR(FIND("ply",KitchenDoorMaterial))=FALSE,(0.1*($C169/1000))*VLOOKUP("Birch ply (24mm)",SheetsData,7,FALSE),IF(ISERROR(FIND("H/F",KitchenCarcassMaterial))=FALSE,(0.1*($C169/1000))*VLOOKUP("H/F (22mm)",SheetsData,7,FALSE),"Door - not tower - new material")))),"Channel - not tower - handle set to other")),IF(ISERROR(FIND("Tower",$A169))=FALSE,IF(KitchenHandleFinish="Match carcass",IF(ISERROR(FIND("Walnut",KitchenCarcassMaterial))=FALSE,(0.035*0.075*($B169/1000))*VLOOKUP("Walnut (solid m3)",SolidData,4,FALSE),IF(ISERROR(FIND("Oak",KitchenCarcassMaterial))=FALSE,(0.035*0.075*($B169/1000))*VLOOKUP("Oak (solid m3)",SolidData,4,FALSE),IF(ISERROR(FIND("ply",KitchenCarcassMaterial))=FALSE,(0.1*($B169/1000))*VLOOKUP("Birch ply (24mm)",SheetsData,7,FALSE),IF(ISERROR(FIND("H/F",KitchenCarcassMaterial))=FALSE,(0.1*($C169/1000))*VLOOKUP("H/F (22mm)",SheetsData,7,FALSE),"Carcass - tower - new material")))),IF(KitchenHandleFinish="Match door",IF(ISERROR(FIND("Walnut",KitchenDoorMaterial))=FALSE,(0.035*0.075*($B169/1000))*VLOOKUP("Walnut (solid m3)",SolidData,4,FALSE),IF(ISERROR(FIND("Oak",KitchenDoorMaterial))=FALSE,(0.035*0.075*($B169/1000))*VLOOKUP("Oak (solid m3)",SolidData,4,FALSE),IF(ISERROR(FIND("ply",KitchenDoorMaterial))=FALSE,(0.1*($B169/1000))*VLOOKUP("Birch ply (24mm)",SheetData,7,FALSE),IF(ISERROR(FIND("H/F",KitchenCarcassMaterial))=FALSE,(0.1*($C169/1000))*VLOOKUP("H/F (22mm)",SheetsData,7,FALSE),"Door - tower - new material")))),"Channel - tower - handle set to other")))),"")</f>
        <v/>
      </c>
    </row>
    <row r="170">
      <c r="A170" s="150"/>
      <c r="B170" s="115" t="str">
        <f t="shared" si="1"/>
        <v/>
      </c>
      <c r="C170" s="115" t="str">
        <f>IFERROR(__xludf.DUMMYFUNCTION("IF(A170="""","""",IF(OR(RIGHT(A170,LEN(A170)-len(regexextract(A170,"".* "")))=""1200"",RIGHT(A170,LEN(A170)-len(regexextract(A170,"".* "")))=""600"",RIGHT(A170,LEN(A170)-len(regexextract(A170,"".* "")))=""400"",RIGHT(A170,LEN(A170)-len(regexextract(A170,"&amp;""".* "")))=""300"",RIGHT(A170,LEN(A170)-len(regexextract(A170,"".* "")))=""700"",RIGHT(A170,LEN(A170)-len(regexextract(A170,"".* "")))=""2400"",RIGHT(A170,LEN(A170)-len(regexextract(A170,"".* "")))=""650"",RIGHT(A170,LEN(A170)-len(regexextract(A170,"".* "&amp;""")))=""350"",RIGHT(A170,LEN(A170)-len(regexextract(A170,"".* "")))=""50""),RIGHT(A170,LEN(A170)-len(regexextract(A170,"".* ""))),IF(OR(ISERROR(FIND(""spacer"",A170))=FALSE,ISERROR(FIND(""filler panel"",A170))=FALSE),""1000"",""Unexpected size in descript"&amp;"ion"")))"),"")</f>
        <v/>
      </c>
      <c r="D170" s="151" t="str">
        <f t="shared" si="2"/>
        <v/>
      </c>
      <c r="E170" s="152" t="str">
        <f>IFERROR(__xludf.DUMMYFUNCTION("IF(OR(A170="""",AND(ISERROR(FIND(""drawer box"",A170))=FALSE,KitchenDrawerType="""")),"""",IF(OR(ISERROR(FIND(""larder"",A170))=FALSE,ISERROR(FIND(""fridge/freezer"",A170))=FALSE,ISERROR(FIND(""double oven"",A170))=FALSE,ISERROR(FIND(""single oven"",A170)"&amp;")=FALSE),VLOOKUP(LEFT(A170,FIND("" "",A170))&amp;""carcass ""&amp;RIGHT(A170,LEN(A170)-(LEN(A170)-3)),KitchensData,5,0),IF(ISERROR(FIND(""sink"",A170))=FALSE,VLOOKUP(LEFT(A170,FIND("" "",A170))&amp;""carcass ""&amp;VALUE(REGEXREPLACE(A170,""[^[:digit:]]"", """")),Kitchen"&amp;"sData,5,0)+(((C170/1000)*(300/1000))*VLOOKUP(KitchenCarcassMaterial,SheetsData,8,0)),IF(ISERROR(FIND(""bins"",A170))=FALSE,IF(ISERROR(FIND(""veneer"",KitchenCarcassMaterial))=FALSE,VLOOKUP(""Base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600"",A170))=FALSE,IF(ISERR"&amp;"OR(FIND(""veneer"",KitchenCarcassMaterial))=FALSE,0.54*(VLOOKUP(LEFT(KitchenCarcassMaterial,FIND(""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1"&amp;"200"",A170))=FALSE,IF(ISERROR(FIND(""veneer"",KitchenCarcassMaterial))=FALSE,0.84*(VLOOKUP(LEFT(KitchenCarcassMaterial,FIND(""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600"",A170))=FALSE,IF(ISERROR(FIND(""veneer"",KitchenCarcassMaterial))=FALSE,1.44*(VLOOKUP(LEFT(KitchenCarcassMaterial,FIND(""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1200"",A170))=FALSE,IF(ISERROR(FIND(""veneer"",KitchenCarcassMaterial))=FALSE,2.7*(VLOOKUP(LEFT(KitchenCarcassMaterial,FIND(""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front"",A170))=FALSE,((B170/1000)*(C170/1000))*VLOOKUP(KitchenDoorMaterial,SheetsData,8,0),IF(AND(KitchenDrawerType=""Match carcass"",ISERROR(FIND(""drawer box"",A170))=FALSE),(((((B170/10"&amp;"00)*(C170/1000))+((B170/1000)*(D170/1000)))*2)*VLOOKUP(KitchenCarcassMaterial,SheetsData,8,0))+(((C170/1000)*(D170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box"",A170))=FALSE),(((((B170/1000)*(C170/1000))+((B170/1000)*(D170/1000)))*2)*(16/1000)*VLOOKUP(L"&amp;"EFT(KitchenCarcassMaterial,FIND("" "",KitchenCarcassMaterial))&amp;""(solid m3)"",SolidData,5,0))+(((C170/1000)*(D170/1000))*VLOOKUP(LEFT(KitchenCarcassMaterial,FIND(""("",KitchenCarcassMaterial)-1)&amp;IF(OR(ISERROR(FIND(""ply"",KitchenCarcassMaterial))=FALSE,IS"&amp;"ERROR(FIND(""H/F"",KitchenCarcassMaterial))=FALSE),""(9mm)"",""(10mm)""),SheetsData,8,0)),IF(ISERROR(FIND(""spacer"",A170))=FALSE,((D170/1000)*(C170/1000))*VLOOKUP(""Poplar ply (18mm)"",SheetsData,8,0),IF(ISERROR(FIND(""filler panel"",A170))=FALSE,((B170/"&amp;"1000)*(C170/1000))*VLOOKUP(KitchenDoorMaterial,SheetsData,8,0),IF(ISERROR(FIND(""shelf"",A170))=FALSE,((D170/1000)*(C170/1000))*VLOOKUP(KitchenCarcassMaterial,SheetsData,8,0),IF(ISERROR(FIND(""lost corner"",A170))=FALSE,VLOOKUP(LEFT(A170,FIND("" "",A170))"&amp;"&amp;""carcass ""&amp;VALUE(REGEXREPLACE(A170,""[^[:digit:]]"", """")),KitchensData,5,0)+((((B170/1000)*(C170/1000))+((B170/1000)*(60/1000)))*VLOOKUP(KitchenCarcassMaterial,SheetsData,8,0)),IF(ISERROR(FIND(""carcass"",A170))=FALSE,(((((B170/1000)*2)*(D170/1000))+"&amp;"(((C170/1000)*2)*(D170/1000)))*VLOOKUP(KitchenCarcassMaterial,SheetsData,8,0))+((B170/1000)*(C170/1000))*VLOOKUP(LEFT(KitchenCarcassMaterial,FIND(""("",KitchenCarcassMaterial)-1)&amp;IF(OR(ISERROR(FIND(""ply"",KitchenCarcassMaterial))=FALSE,ISERROR(FIND(""H/F"&amp;""",KitchenCarcassMaterial))=FALSE),""(9mm)"",""(10mm)""),SheetsData,8,0),IF(OR(ISERROR(FIND(""Plinth"",A170))=FALSE,ISERROR(FIND(""Cornice (flat)"",A170))=FALSE),((B170/1000)*(C170/1000))*VLOOKUP(""H/F (18mm)"",SheetsData,8,0),IF(ISERROR(FIND(""Cornice (s"&amp;"tacked)"",A170))=FALSE,((0.08*(C170/1000))*2)*VLOOKUP(""H/F (22mm)"",SheetsData,8,0),IF(ISERROR(FIND(""Base end panel"",A170))=FALSE,VLOOKUP(KitchenDoorMaterial,SheetsData,5,0)/3,IF(ISERROR(FIND(""Wall end panel"",A170))=FALSE,VLOOKUP(KitchenDoorMaterial,"&amp;"SheetsData,5,0)/9,IF(ISERROR(FIND(""Tower end panel"",A170))=FALSE,VLOOKUP(KitchenDoorMaterial,SheetsData,5,0),IF(ISERROR(FIND(""Fillers"",A170))=FALSE,(((0.06*(C170/1000))*2)*VLOOKUP(""H/F (18mm)"",SheetsData,8,0))+(((0.06*(C170/1000))*2)*VLOOKUP(""H/F ("&amp;"9mm)"",SheetsData,8,0)),IF(ISERROR(FIND(""corner post"",A170))=FALSE,(((B170/1000)*0.05)*2)*VLOOKUP(KitchenDoorMaterial,SheetsData,8,0),IF(ISERROR(FIND(""Pelmet"",A170))=FALSE,((((B170/1000)*(C170/1000))*2)*VLOOKUP(""H/F (18mm)"",SheetsData,8,0)),IF(ISERR"&amp;"OR(FIND(""door"",A170))=TRUE,""Check description"",IF(KitchenDoorStyle=""Flat"",((B170/1000)*(C170/1000))*VLOOKUP(KitchenDoorMaterial,SheetsData,8,0),IF(LEFT(KitchenDoorStyle,5)=""Panel"",(((((B170/1000)*2)*0.08)+((((C170/1000)-0.16)*2)*0.08))*VLOOKUP(""H"&amp;"/F (22mm)"",SheetsData,8,0))+(((B170/1000)-0.14)*((C170/1000)-0.14)*VLOOKUP(""H/F (9mm)"",SheetsData,8,0)),IF(KitchenDoorStyle=""In-frame flat"",((((((B170/1000)*0.019)*0.038)+((((C170-38)/1000)*0.038)*0.038))*2)*VLOOKUP(""Tulip (solid m3)"",SolidData,5,0"&amp;"))+(((B170-76)/1000)*((C170-38)/1000))*VLOOKUP(""H/F (22mm)"",SheetsData,8,0),IF(LEFT(KitchenDoorStyle,14)=""In-frame panel"",(((((((B170/1000)*0.019)*0.038)+((((C170-38)/1000)*0.038)*0.038))*2)*VLOOKUP(""Tulip (solid m3)"",SolidData,5,0))+(((((((B170-76)"&amp;"/1000)*2)*0.08)+(((((C170-198)/1000)*2)*0.08)))*VLOOKUP(""H/F (22mm)"",SheetsData,8,0))+(((B170-216)/1000)*((C170-178)/1000)*VLOOKUP(""H/F (9mm)"",SheetsData,8,0)))))))))))))))))))))))))))))))))"),"")</f>
        <v/>
      </c>
      <c r="F170" s="152" t="str">
        <f>IFERROR(__xludf.DUMMYFUNCTION("IF(OR(A170="""",AND(ISERROR(FIND(""drawer box"",A170))=FALSE,KitchenDrawerType=""Solid dovetail"")),"""",IF(ISERROR(FIND(""bins"",A170))=FALSE,VLOOKUP(""Base carcass 600"",KitchensData,6,0),IF(OR(ISERROR(FIND(""larder"",A170))=FALSE,ISERROR(FIND(""unit"","&amp;"A170))=FALSE),VLOOKUP(LEFT(A170,FIND("" "",A170))&amp;""carcass ""&amp;RIGHT(A170,LEN(A170)-len(regexextract(A170,"".* ""))),KitchensData,6,0),IF(ISERROR(FIND(""drawer front"",A170))=FALSE,IF(ISERROR(FIND(""veneer"",KitchenCarcassMaterial))=TRUE,0,(((B170+C170)/1"&amp;"000)*2)*VLOOKUP(""Edge banding (per M)"",SheetsData,5,0)),IF(ISERROR(FIND(""drawer box"",A170))=FALSE,IF(ISERROR(FIND(""veneer"",KitchenCarcassMaterial))=TRUE,0,(((C170+D170)/1000)*2)*VLOOKUP(""Edge banding (per M)"",SheetsData,5,0)),IF(ISERROR(FIND(""she"&amp;"lf"",A170))=FALSE,IF(ISERROR(FIND(""veneer"",KitchenCarcassMaterial))=TRUE,0,(C170/1000)*VLOOKUP(""Edge banding (per M)"",SheetsData,5,0)),IF(AND(ISERROR(FIND(""carcass"",A170))=FALSE,ISERROR(FIND(""shelf"",A170))=TRUE),IF(ISERROR(FIND(""veneer"",KitchenC"&amp;"arcassMaterial))=TRUE,0,((2*(B170+C170))/1000)*VLOOKUP(""Edge banding (per M)"",SheetsData,5,0)),IF(ISERROR(FIND(""door"",A170))=TRUE,"""",IF(ISERROR(FIND(""veneer"",KitchenDoorMaterial))=TRUE,"""",((2*(B170+C170))/1000)*VLOOKUP(""Edge banding (per M)"",S"&amp;"heetsData,5,0))))))))))"),"")</f>
        <v/>
      </c>
      <c r="G170" s="153" t="str">
        <f>IF(A170="","",IF(ISERROR(FIND("bins",A170))=FALSE,VLOOKUP("Base carcass 600",KitchensData,7,0),IF(OR(ISERROR(FIND("larder",A170))=FALSE,ISERROR(FIND("fridge/freezer",A170))=FALSE,ISERROR(FIND("double oven",A170))=FALSE,ISERROR(FIND("single oven",A170))=FALSE),VLOOKUP(LEFT(A170,FIND(" ",A170))&amp;"carcass "&amp;RIGHT(A170,LEN(A170)-(LEN(A170)-3)),KitchensData,7,0),IF(AND(ISERROR(FIND("carcass",A170))=FALSE,ISERROR(FIND("shelf",A170))=TRUE),IF(OR(ISERROR(FIND("Base",A170))=FALSE,ISERROR(FIND("Tower",A170))=FALSE),IF(OR(ISERROR(FIND("1200",A170))=FALSE, ISERROR(FIND("lost corner",A170))=FALSE),6*VLOOKUP("Plinth foot (2 Parts 80mm)",FurnitureData,5,0),4*VLOOKUP("Plinth foot (2 Parts 80mm)",FurnitureData,5,0)),""),""))))</f>
        <v/>
      </c>
      <c r="H170" s="115" t="str">
        <f>IF(OR(A170="",ISERROR(FIND("door",A170))=TRUE),"",IF(ISERROR(FIND("Wall",A170))=FALSE,VLOOKUP("Hinges &amp; plates (Hettich thick door)",FurnitureData,5,0)*2,IF(ISERROR(FIND("Base",A170))=FALSE,VLOOKUP("Hinges &amp; plates (Hettich thick door)",FurnitureData,5,0)*3,IF(ISERROR(FIND("Boiler",A170))=FALSE,VLOOKUP("Hinges &amp; plates (Hettich thick door)",FurnitureData,5,0)*4,IF(ISERROR(FIND("Tower",A170))=FALSE,VLOOKUP("Hinges &amp; plates (Hettich thick door)",FurnitureData,5,0)*5)))))</f>
        <v/>
      </c>
      <c r="I170" s="115" t="str">
        <f>IF(ISERROR(FIND("shelf",A170))=FALSE,(VLOOKUP("Shelf pegs",FurnitureData,5,0)/100)*4,"")</f>
        <v/>
      </c>
      <c r="J170" s="152" t="str">
        <f>IF(OR(ISERROR(FIND("fridge/freezer",A170))=FALSE,ISERROR(FIND("larder",A170))=FALSE,AND(ISERROR(FIND("Base",A170))=FALSE,ISERROR(FIND("bins",A170))=TRUE,ISERROR(FIND("no shelves",A170))=TRUE,OR(ISERROR(FIND("carcass",A170))=FALSE,ISERROR(FIND("unit",A170))=FALSE))),VLOOKUP("Deep shelf "&amp;C170,KitchensData,18,0),IF(AND(ISERROR(FIND("Wall",A170))=FALSE,ISERROR(FIND("carcass",A170))=FALSE),2*VLOOKUP("Shallow shelf "&amp;C170,KitchensData,18,0),IF(AND(ISERROR(FIND("Tower",A170))=FALSE,ISERROR(FIND("oven",A170))=FALSE),4*VLOOKUP("Deep shelf "&amp;C170,KitchensData,18,0),IF(AND(ISERROR(FIND("Tower",A170))=FALSE,ISERROR(FIND("carcass",A170))=FALSE),5*VLOOKUP("Deep shelf "&amp;C170,KitchensData,18,0),""))))</f>
        <v/>
      </c>
      <c r="K170" s="152" t="str">
        <f>IF(ISERROR(FIND("sink",A170))=FALSE,VLOOKUP("Sink liner - Aluminium "&amp;RIGHT(A170,LEN(A170)-22)&amp;"mm",ExceptionalData,5,0),IF(ISERROR(FIND("bins",A170))=FALSE,VLOOKUP("Drawer runners and clip set for bin unit (500) Dynapro",FurnitureData,5,0)+(2*VLOOKUP("Bin (42L Anthracite)",FurnitureData,5,0)),IF(ISERROR(FIND("larder",A170))=FALSE,VLOOKUP("Pull out larder unit 600mm",FurnitureData,5,0),IF(AND(ISERROR(FIND("drawer box",A170))=FALSE,ISERROR(FIND("internal",A170))=TRUE),VLOOKUP("Drawer runners and clip set (550) Dynapro",FurnitureData,5,0),IF(ISERROR(FIND("internal drawer box",A170))=FALSE,VLOOKUP("Drawer runners and clip set (450) Dynapro",FurnitureData,5,0),"")))))</f>
        <v/>
      </c>
      <c r="L170" s="152" t="str">
        <f t="shared" si="3"/>
        <v/>
      </c>
      <c r="M170" s="154" t="str">
        <f>IFERROR(__xludf.DUMMYFUNCTION("IF(A170="""","""",IF(OR(ISERROR(FIND(""larder"",A170))=FALSE,ISERROR(FIND(""unit"",A170))=FALSE),VLOOKUP(LEFT(A170,FIND("" "",A170))&amp;""carcass ""&amp;RIGHT(A170,LEN(A170)-len(regexextract(A170,"".* ""))),KitchensData,13,0),IF(ISERROR(FIND(""bins"",A170))=FALS"&amp;"E,0.95,IF(ISERROR(FIND(""Cutlery insert 600"",A170))=FALSE,1.3,IF(ISERROR(FIND(""Cutlery insert 1200"",A170))=FALSE,2,IF(ISERROR(FIND(""Pan/tray rack 600"",A170))=FALSE,3.25,IF(ISERROR(FIND(""Pan/tray rack 1200"",A170))=FALSE,5.9,IF(ISERROR(FIND(""split"""&amp;",A170))=FALSE,(((C170/1000)*0.022)*2)+VLOOKUP(SUBSTITUTE(A170,"" split"",""""),KitchensData,13,0),IF(AND(ISERROR(FIND(""drawer front"",A170))=FALSE,KitchenDoorStyle=""Flat""),(((B170/1000)*(C170/1000))*2)+((((B170+C170)/1000)*2)*0.022),IF(AND(ISERROR(FIND"&amp;"(""drawer front"",A170))=FALSE,LEFT(KitchenDoorStyle,5)=""Panel""),(((B170/1000)*(C170/1000))*2)+((((B170+C170)/1000)*2)*0.022)+((((C170/1000)-0.16)*0.013)*2)+((((D170/1000)-0.16)*0.013)*2),IF(AND(ISERROR(FIND(""drawer front"",A170))=FALSE,KitchenDoorStyl"&amp;"e=""In-frame flat""),((((B170-76)/1000)*((C170-38)/1000))*2)+(MID(KitchenDoorMaterial,FIND(""("",KitchenDoorMaterial)+1,2)/1000)*((((B170-76)+(C170-38))/1000)*2)+(((B170/1000)*0.032)*2)+((((B170-76)/1000)*0.032)*2)+(((B170/1000)*0.019)*4)+(((C170/1000)*0."&amp;"032)*2)+((((C170-38)/1000)*0.032)*2)+(((C170/1000)*0.038)*4),IF(AND(ISERROR(FIND(""drawer front"",A170))=FALSE,LEFT(KitchenDoorStyle,14)=""In-frame panel""),((((B170-76)/1000)*((C170-38)/1000))*2)+((MID(KitchenDoorMaterial,FIND(""("",KitchenDoorMaterial)+"&amp;"1,2)/1000)*((((B170-76)+(C170-38))/1000)*2))+((((B170-236)/1000)+((C170-198)/1000)*2)*0.013)+(((B170/1000)*0.032)*2)+((((B170-76)/1000)*0.032)*2)+(((B170/1000)*0.019)*4)+(((C170/1000)*0.032)*2)+((((C170-38)/1000)*0.032)*2)+(((C170/1000)*0.038)*4),IF(ISERR"&amp;"OR(FIND(""drawer box"",A170))=FALSE,((((B170/1000)*(D170/1000))+((B170/1000)*(C170/1000)))*4)+((((D170/1000)+(C170/1000))*0.016)*4)+(((C170/1000)*(D170/1000))*2),IF(OR(ISERROR(FIND(""shelf"",A170))=FALSE,ISERROR(FIND(""spacer"",A170))=FALSE,,ISERROR(FIND("&amp;"""filler panel"",A170))=FALSE),(((C170/1000)*(D170/1000))*2)+((((C170+D170)*2)/1000)*0.022),IF(ISERROR(FIND(""lost corner"",A170))=FALSE,(((B170/1000)*(C170/1000))*2)+((B170/1000)*(C170/1000))+((B170/1000)*((C170/2)/1000))+((((B170/1000)*0.025)+((C170/100"&amp;"0)*0.025))*2),IF(ISERROR(FIND(""carcass"",A170))=FALSE,(((C170/1000)*(D170/1000))*2)+(((B170/1000)*(D170/1000))*2)+((B170/1000)*(C170/1000))+((((B170/1000)*0.025)+((C170/1000)*0.025))*2),IF(AND(ISERROR(FIND(""door"",A170))=FALSE,KitchenDoorStyle=""Flat"")"&amp;",(((B170/1000)*(C170/1000))*2)+(MID(KitchenDoorMaterial,FIND(""("",KitchenDoorMaterial)+1,2)/1000)*(((B170+C170)/1000)*2),IF(AND(ISERROR(FIND(""door"",A170))=FALSE,LEFT(KitchenDoorStyle,5)=""Panel""),(((B170/1000)*(C170/1000))*2)+((MID(KitchenDoorMaterial"&amp;",FIND(""("",KitchenDoorMaterial)+1,2)/1000)*(((B170+C170)/1000)*2))+(((((B170-160)+(C170-160))*2)/1000)*(0.013)),IF(AND(ISERROR(FIND(""door"",A170))=FALSE,KitchenDoorStyle=""In-frame flat""),((((B170-76)/1000)*((C170-38)/1000))*2)+(MID(KitchenDoorMaterial"&amp;",FIND(""("",KitchenDoorMaterial)+1,2)/1000)*((((B170-76)+(C170-38))/1000)*2)+(((B170/1000)*0.032)*2)+((((B170-76)/1000)*0.032)*2)+(((B170/1000)*0.019)*4)+(((C170/1000)*0.032)*2)+((((C170-38)/1000)*0.032)*2)+(((C170/1000)*0.038)*4),IF(AND(ISERROR(FIND(""do"&amp;"or"",A170))=FALSE,LEFT(KitchenDoorStyle,14)=""In-frame panel""),((((B170-76)/1000)*((C170-38)/1000))*2)+((MID(KitchenDoorMaterial,FIND(""("",KitchenDoorMaterial)+1,2)/1000)*((((B170-76)+(C170-38))/1000)*2))+((((B170-236)/1000)+((C170-198)/1000)*2)*0.013)+"&amp;"(((B170/1000)*0.032)*2)+((((B170-76)/1000)*0.032)*2)+(((B170/1000)*0.019)*4)+(((C170/1000)*0.032)*2)+((((C170-38)/1000)*0.032)*2)+(((C170/1000)*0.038)*4),IF(ISERROR(FIND(""Plinth"",A170))=FALSE,((B170/1000)*(C170/1000))+(((C170/1000)*0.018)*2)+(((B170/100"&amp;"0)*0.018)*2),IF(ISERROR(FIND(""Cornice"",A170))=FALSE,(((C170/1000)*0.1)*2)+(((C170/1000)*0.044)*2)+(((B170/1000)*0.08)*2),IF(ISERROR(FIND(""Base end panel"",A170))=FALSE,((B170/1000)*(C170/1000))+(0.022*((B170/1000)+((C170/1000)*2)))+((B170/1000)*0.05),I"&amp;"F(ISERROR(FIND(""Wall end panel"",A170))=FALSE,((B170/1000)*(C170/1000))+(0.022*((B170/1000)+((C170/1000)*2)))+((B170/1000)*0.05),IF(ISERROR(FIND(""Tower end panel"",A170))=FALSE,((B170/1000)*(C170/1000))+(0.022*((B170/1000)+((C170/1000)*2)))+((B170/1000)"&amp;"*0.05),IF(ISERROR(FIND(""Fillers"",A170))=FALSE,((C170/1000)*0.06)+((C170/1000)*0.069)+((0.06*0.018)*2)+((0.06*0.009)*2)+((C170/1000)*0.009)+((C170/1000)*0.018),IF(ISERROR(FIND(""corner post"",A170))=FALSE,(((B170/1000*0.05)*2)+((B170/1000)*0.022)*2)+((B1"&amp;"70/1000)*0.072)+((B170/1000)*0.05)+((0.072*0.022)*2)+((0.05*0.022)*2),IF(ISERROR(FIND(""Pelmet"",A170))=FALSE,((C170/1000)*0.05)+((C170/1000)*0.068)+((0.05*0.018)*4)+(((C170/1000)*0.018))*2))))))))))))))))))))))))))))"),"")</f>
        <v/>
      </c>
      <c r="N170" s="152" t="str">
        <f>IF(M170="","",IF(AND(ISERROR(FIND("carcass",A170))=TRUE,ISERROR(FIND("unit",A170))=TRUE,ISERROR(FIND("insert",A170))=TRUE,ISERROR(FIND("rack",A170))=TRUE,ISERROR(FIND("box",A170))=TRUE,ISERROR(FIND("shelf",#REF!))=TRUE),VLOOKUP(KitchenDoorFinish,Finishing!$A$2:$K$10,9,0)*M170,VLOOKUP(KitchenCarcassFinish,Finishing!$A$2:$K$40,9,0)*M170))</f>
        <v/>
      </c>
      <c r="O170" s="155"/>
      <c r="P170" s="155"/>
      <c r="Q170" s="152" t="str">
        <f>IF(OR(O170="",P170=""),"",((O170*X170)*(VLOOKUP("Workshop",Labour!$A$3:$E$20,4,0)/8))+((P170*AE170)*(VLOOKUP("Finishing",Labour!$A$3:$E$20,4,0)/8)))</f>
        <v/>
      </c>
      <c r="R170" s="152" t="str">
        <f t="shared" si="4"/>
        <v/>
      </c>
      <c r="S170" s="156" t="str">
        <f>IF(OR(O170="",P170=""),"",IF(OR(ISERROR(FIND("carcass",$A170))=FALSE,ISERROR(FIND("unit",$A170))=FALSE),VLOOKUP(KitchenCarcassMaterial,FixedListsCarcassMaterial,2,0),0))</f>
        <v/>
      </c>
      <c r="T170" s="156" t="str">
        <f>IF(OR(O170="",P170=""),"",IF(ISERROR(FIND("door",$A170))=FALSE,VLOOKUP(KitchenDoorStyle,FixedListsDoorStyle,2,0),0))</f>
        <v/>
      </c>
      <c r="U170" s="156" t="str">
        <f>IF(OR(O170="",P170=""),"",IF(ISERROR(FIND("door",$A170))=FALSE,VLOOKUP(KitchenDoorMaterial,FixedListsDoorMaterial,2,0),0))</f>
        <v/>
      </c>
      <c r="V170" s="156" t="str">
        <f>IF(OR(O170="",P170=""),"",IF(ISERROR(FIND("drawer",$A170))=FALSE,VLOOKUP(KitchenDrawerType,FixedListsDrawerType,2,0),0))</f>
        <v/>
      </c>
      <c r="W170" s="156" t="str">
        <f>IF(OR(O170="",P170=""),"",IF(OR(S170&gt;0, T170&gt;0,V170&gt;0),VLOOKUP(KitchenHandleType,FixedListsHandleType,2,FALSE)*IF(KitchenHandleType="Simple",0,IF(S170&gt;0,VLOOKUP(KitchenHandleType,FixedListsHandleType,4,FALSE),IF(OR(T170&gt;0,V170&gt;0),1-VLOOKUP(KitchenHandleType,FixedListsHandleType,4,FALSE),"Error"))),0))</f>
        <v/>
      </c>
      <c r="X170" s="156" t="str">
        <f t="shared" si="5"/>
        <v/>
      </c>
      <c r="Y170" s="156" t="str">
        <f>IF(OR(O170="",P170=""),"",IF(OR(ISERROR(FIND("carcass",$A170))=FALSE,ISERROR(FIND("unit",$A170))=FALSE),VLOOKUP(KitchenCarcassMaterial,FixedListsCarcassMaterial,3,0),0))</f>
        <v/>
      </c>
      <c r="Z170" s="156" t="str">
        <f>IF(OR(O170="",P170=""),"",IF(ISERROR(FIND("door",$A170))=FALSE,VLOOKUP(KitchenDoorStyle,FixedListsDoorStyle,3,0),0))</f>
        <v/>
      </c>
      <c r="AA170" s="156" t="str">
        <f>IF(OR(O170="",P170=""),"",IF(ISERROR(FIND("door",$A170))=FALSE,VLOOKUP(KitchenDoorMaterial,FixedListsDoorMaterial,3,0),0))</f>
        <v/>
      </c>
      <c r="AB170" s="156" t="str">
        <f>IF(OR(O170="",P170=""),"",IF(ISERROR(FIND("drawer",$A170))=FALSE,VLOOKUP(KitchenDrawerType,FixedListsDrawerType,3,0),0))</f>
        <v/>
      </c>
      <c r="AC170" s="156" t="str">
        <f>IF(OR(O170="",P170=""),"",IF(OR(Y170&gt;0,Z170&gt;0,AB170&gt;0),VLOOKUP(KitchenHandleType,FixedListsHandleType,3,FALSE),0))</f>
        <v/>
      </c>
      <c r="AD170" s="156" t="str">
        <f>IF(OR(O170="",P170=""),"",IF(OR(ISERROR(FIND("carcass",$A170))=FALSE,ISERROR(FIND("unit",$A170))=FALSE),VLOOKUP(KitchenCarcassFinish,FixedListsFinishes,3,0),IF(OR(ISERROR(FIND("door",$A170))=FALSE,ISERROR(FIND("Plinth",$A170))=FALSE,ISERROR(FIND("Cornice",$A170))=FALSE,ISERROR(FIND("Fillers",$A170))=FALSE,ISERROR(FIND("Pelmet",$A170))=FALSE,ISERROR(FIND("panel",$A170))=FALSE,ISERROR(FIND("post",$A170))=FALSE),VLOOKUP(KitchenDoorFinish,FixedListsFinishes,3,0),IF(OR(ISERROR(FIND("drawer",$A170))=FALSE,ISERROR(FIND("insert",$A170))=FALSE,ISERROR(FIND("rck",$A170))=FALSE),VLOOKUP(KitchenCarcassFinish,FixedListsFinishes,3,0),0))))</f>
        <v/>
      </c>
      <c r="AE170" s="156" t="str">
        <f t="shared" si="6"/>
        <v/>
      </c>
      <c r="AF170" s="157" t="str">
        <f>IF(AND(KitchenHandleType="Channel",OR(ISERROR(FIND("arcass",$A170))=FALSE,ISERROR(FIND("unit",$A170))=FALSE)),IF(ISERROR(FIND("Tower",$A170))=TRUE,IF(KitchenHandleFinish="Match carcass",IF(ISERROR(FIND("Walnut",KitchenCarcassMaterial))=FALSE,(0.035*0.075*($C170/1000))*VLOOKUP("Walnut (solid m3)",SolidData,4,FALSE),IF(ISERROR(FIND("Oak",KitchenCarcassMaterial))=FALSE,(0.035*0.075*($C170/1000))*VLOOKUP("Oak (solid m3)",SolidData,4,FALSE),IF(ISERROR(FIND("ply",KitchenCarcassMaterial))=FALSE,(0.1*($C170/1000))*VLOOKUP("Birch ply (24mm)",SheetsData,7,FALSE),IF(ISERROR(FIND("H/F",KitchenCarcassMaterial))=FALSE,(0.1*($C170/1000))*VLOOKUP("H/F (22mm)",SheetsData,7,FALSE),"Carcass - not tower - new material")))),IF(KitchenHandleFinish="Match door",IF(ISERROR(FIND("Walnut",KitchenDoorMaterial))=FALSE,(0.035*0.075*($C170/1000))*VLOOKUP("Walnut (solid m3)",SolidData,4,FALSE),IF(ISERROR(FIND("Oak",KitchenDoorMaterial))=FALSE,(0.035*0.075*($C170/1000))*VLOOKUP("Oak (solid m3)",SolidData,4,FALSE),IF(ISERROR(FIND("ply",KitchenDoorMaterial))=FALSE,(0.1*($C170/1000))*VLOOKUP("Birch ply (24mm)",SheetsData,7,FALSE),IF(ISERROR(FIND("H/F",KitchenCarcassMaterial))=FALSE,(0.1*($C170/1000))*VLOOKUP("H/F (22mm)",SheetsData,7,FALSE),"Door - not tower - new material")))),"Channel - not tower - handle set to other")),IF(ISERROR(FIND("Tower",$A170))=FALSE,IF(KitchenHandleFinish="Match carcass",IF(ISERROR(FIND("Walnut",KitchenCarcassMaterial))=FALSE,(0.035*0.075*($B170/1000))*VLOOKUP("Walnut (solid m3)",SolidData,4,FALSE),IF(ISERROR(FIND("Oak",KitchenCarcassMaterial))=FALSE,(0.035*0.075*($B170/1000))*VLOOKUP("Oak (solid m3)",SolidData,4,FALSE),IF(ISERROR(FIND("ply",KitchenCarcassMaterial))=FALSE,(0.1*($B170/1000))*VLOOKUP("Birch ply (24mm)",SheetsData,7,FALSE),IF(ISERROR(FIND("H/F",KitchenCarcassMaterial))=FALSE,(0.1*($C170/1000))*VLOOKUP("H/F (22mm)",SheetsData,7,FALSE),"Carcass - tower - new material")))),IF(KitchenHandleFinish="Match door",IF(ISERROR(FIND("Walnut",KitchenDoorMaterial))=FALSE,(0.035*0.075*($B170/1000))*VLOOKUP("Walnut (solid m3)",SolidData,4,FALSE),IF(ISERROR(FIND("Oak",KitchenDoorMaterial))=FALSE,(0.035*0.075*($B170/1000))*VLOOKUP("Oak (solid m3)",SolidData,4,FALSE),IF(ISERROR(FIND("ply",KitchenDoorMaterial))=FALSE,(0.1*($B170/1000))*VLOOKUP("Birch ply (24mm)",SheetData,7,FALSE),IF(ISERROR(FIND("H/F",KitchenCarcassMaterial))=FALSE,(0.1*($C170/1000))*VLOOKUP("H/F (22mm)",SheetsData,7,FALSE),"Door - tower - new material")))),"Channel - tower - handle set to other")))),"")</f>
        <v/>
      </c>
    </row>
    <row r="171">
      <c r="A171" s="150"/>
      <c r="B171" s="115" t="str">
        <f t="shared" si="1"/>
        <v/>
      </c>
      <c r="C171" s="115" t="str">
        <f>IFERROR(__xludf.DUMMYFUNCTION("IF(A171="""","""",IF(OR(RIGHT(A171,LEN(A171)-len(regexextract(A171,"".* "")))=""1200"",RIGHT(A171,LEN(A171)-len(regexextract(A171,"".* "")))=""600"",RIGHT(A171,LEN(A171)-len(regexextract(A171,"".* "")))=""400"",RIGHT(A171,LEN(A171)-len(regexextract(A171,"&amp;""".* "")))=""300"",RIGHT(A171,LEN(A171)-len(regexextract(A171,"".* "")))=""700"",RIGHT(A171,LEN(A171)-len(regexextract(A171,"".* "")))=""2400"",RIGHT(A171,LEN(A171)-len(regexextract(A171,"".* "")))=""650"",RIGHT(A171,LEN(A171)-len(regexextract(A171,"".* "&amp;""")))=""350"",RIGHT(A171,LEN(A171)-len(regexextract(A171,"".* "")))=""50""),RIGHT(A171,LEN(A171)-len(regexextract(A171,"".* ""))),IF(OR(ISERROR(FIND(""spacer"",A171))=FALSE,ISERROR(FIND(""filler panel"",A171))=FALSE),""1000"",""Unexpected size in descript"&amp;"ion"")))"),"")</f>
        <v/>
      </c>
      <c r="D171" s="151" t="str">
        <f t="shared" si="2"/>
        <v/>
      </c>
      <c r="E171" s="152" t="str">
        <f>IFERROR(__xludf.DUMMYFUNCTION("IF(OR(A171="""",AND(ISERROR(FIND(""drawer box"",A171))=FALSE,KitchenDrawerType="""")),"""",IF(OR(ISERROR(FIND(""larder"",A171))=FALSE,ISERROR(FIND(""fridge/freezer"",A171))=FALSE,ISERROR(FIND(""double oven"",A171))=FALSE,ISERROR(FIND(""single oven"",A171)"&amp;")=FALSE),VLOOKUP(LEFT(A171,FIND("" "",A171))&amp;""carcass ""&amp;RIGHT(A171,LEN(A171)-(LEN(A171)-3)),KitchensData,5,0),IF(ISERROR(FIND(""sink"",A171))=FALSE,VLOOKUP(LEFT(A171,FIND("" "",A171))&amp;""carcass ""&amp;VALUE(REGEXREPLACE(A171,""[^[:digit:]]"", """")),Kitchen"&amp;"sData,5,0)+(((C171/1000)*(300/1000))*VLOOKUP(KitchenCarcassMaterial,SheetsData,8,0)),IF(ISERROR(FIND(""bins"",A171))=FALSE,IF(ISERROR(FIND(""veneer"",KitchenCarcassMaterial))=FALSE,VLOOKUP(""Base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600"",A171))=FALSE,IF(ISERR"&amp;"OR(FIND(""veneer"",KitchenCarcassMaterial))=FALSE,0.54*(VLOOKUP(LEFT(KitchenCarcassMaterial,FIND(""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1"&amp;"200"",A171))=FALSE,IF(ISERROR(FIND(""veneer"",KitchenCarcassMaterial))=FALSE,0.84*(VLOOKUP(LEFT(KitchenCarcassMaterial,FIND(""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600"",A171))=FALSE,IF(ISERROR(FIND(""veneer"",KitchenCarcassMaterial))=FALSE,1.44*(VLOOKUP(LEFT(KitchenCarcassMaterial,FIND(""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1200"",A171))=FALSE,IF(ISERROR(FIND(""veneer"",KitchenCarcassMaterial))=FALSE,2.7*(VLOOKUP(LEFT(KitchenCarcassMaterial,FIND(""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front"",A171))=FALSE,((B171/1000)*(C171/1000))*VLOOKUP(KitchenDoorMaterial,SheetsData,8,0),IF(AND(KitchenDrawerType=""Match carcass"",ISERROR(FIND(""drawer box"",A171))=FALSE),(((((B171/10"&amp;"00)*(C171/1000))+((B171/1000)*(D171/1000)))*2)*VLOOKUP(KitchenCarcassMaterial,SheetsData,8,0))+(((C171/1000)*(D171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box"",A171))=FALSE),(((((B171/1000)*(C171/1000))+((B171/1000)*(D171/1000)))*2)*(16/1000)*VLOOKUP(L"&amp;"EFT(KitchenCarcassMaterial,FIND("" "",KitchenCarcassMaterial))&amp;""(solid m3)"",SolidData,5,0))+(((C171/1000)*(D171/1000))*VLOOKUP(LEFT(KitchenCarcassMaterial,FIND(""("",KitchenCarcassMaterial)-1)&amp;IF(OR(ISERROR(FIND(""ply"",KitchenCarcassMaterial))=FALSE,IS"&amp;"ERROR(FIND(""H/F"",KitchenCarcassMaterial))=FALSE),""(9mm)"",""(10mm)""),SheetsData,8,0)),IF(ISERROR(FIND(""spacer"",A171))=FALSE,((D171/1000)*(C171/1000))*VLOOKUP(""Poplar ply (18mm)"",SheetsData,8,0),IF(ISERROR(FIND(""filler panel"",A171))=FALSE,((B171/"&amp;"1000)*(C171/1000))*VLOOKUP(KitchenDoorMaterial,SheetsData,8,0),IF(ISERROR(FIND(""shelf"",A171))=FALSE,((D171/1000)*(C171/1000))*VLOOKUP(KitchenCarcassMaterial,SheetsData,8,0),IF(ISERROR(FIND(""lost corner"",A171))=FALSE,VLOOKUP(LEFT(A171,FIND("" "",A171))"&amp;"&amp;""carcass ""&amp;VALUE(REGEXREPLACE(A171,""[^[:digit:]]"", """")),KitchensData,5,0)+((((B171/1000)*(C171/1000))+((B171/1000)*(60/1000)))*VLOOKUP(KitchenCarcassMaterial,SheetsData,8,0)),IF(ISERROR(FIND(""carcass"",A171))=FALSE,(((((B171/1000)*2)*(D171/1000))+"&amp;"(((C171/1000)*2)*(D171/1000)))*VLOOKUP(KitchenCarcassMaterial,SheetsData,8,0))+((B171/1000)*(C171/1000))*VLOOKUP(LEFT(KitchenCarcassMaterial,FIND(""("",KitchenCarcassMaterial)-1)&amp;IF(OR(ISERROR(FIND(""ply"",KitchenCarcassMaterial))=FALSE,ISERROR(FIND(""H/F"&amp;""",KitchenCarcassMaterial))=FALSE),""(9mm)"",""(10mm)""),SheetsData,8,0),IF(OR(ISERROR(FIND(""Plinth"",A171))=FALSE,ISERROR(FIND(""Cornice (flat)"",A171))=FALSE),((B171/1000)*(C171/1000))*VLOOKUP(""H/F (18mm)"",SheetsData,8,0),IF(ISERROR(FIND(""Cornice (s"&amp;"tacked)"",A171))=FALSE,((0.08*(C171/1000))*2)*VLOOKUP(""H/F (22mm)"",SheetsData,8,0),IF(ISERROR(FIND(""Base end panel"",A171))=FALSE,VLOOKUP(KitchenDoorMaterial,SheetsData,5,0)/3,IF(ISERROR(FIND(""Wall end panel"",A171))=FALSE,VLOOKUP(KitchenDoorMaterial,"&amp;"SheetsData,5,0)/9,IF(ISERROR(FIND(""Tower end panel"",A171))=FALSE,VLOOKUP(KitchenDoorMaterial,SheetsData,5,0),IF(ISERROR(FIND(""Fillers"",A171))=FALSE,(((0.06*(C171/1000))*2)*VLOOKUP(""H/F (18mm)"",SheetsData,8,0))+(((0.06*(C171/1000))*2)*VLOOKUP(""H/F ("&amp;"9mm)"",SheetsData,8,0)),IF(ISERROR(FIND(""corner post"",A171))=FALSE,(((B171/1000)*0.05)*2)*VLOOKUP(KitchenDoorMaterial,SheetsData,8,0),IF(ISERROR(FIND(""Pelmet"",A171))=FALSE,((((B171/1000)*(C171/1000))*2)*VLOOKUP(""H/F (18mm)"",SheetsData,8,0)),IF(ISERR"&amp;"OR(FIND(""door"",A171))=TRUE,""Check description"",IF(KitchenDoorStyle=""Flat"",((B171/1000)*(C171/1000))*VLOOKUP(KitchenDoorMaterial,SheetsData,8,0),IF(LEFT(KitchenDoorStyle,5)=""Panel"",(((((B171/1000)*2)*0.08)+((((C171/1000)-0.16)*2)*0.08))*VLOOKUP(""H"&amp;"/F (22mm)"",SheetsData,8,0))+(((B171/1000)-0.14)*((C171/1000)-0.14)*VLOOKUP(""H/F (9mm)"",SheetsData,8,0)),IF(KitchenDoorStyle=""In-frame flat"",((((((B171/1000)*0.019)*0.038)+((((C171-38)/1000)*0.038)*0.038))*2)*VLOOKUP(""Tulip (solid m3)"",SolidData,5,0"&amp;"))+(((B171-76)/1000)*((C171-38)/1000))*VLOOKUP(""H/F (22mm)"",SheetsData,8,0),IF(LEFT(KitchenDoorStyle,14)=""In-frame panel"",(((((((B171/1000)*0.019)*0.038)+((((C171-38)/1000)*0.038)*0.038))*2)*VLOOKUP(""Tulip (solid m3)"",SolidData,5,0))+(((((((B171-76)"&amp;"/1000)*2)*0.08)+(((((C171-198)/1000)*2)*0.08)))*VLOOKUP(""H/F (22mm)"",SheetsData,8,0))+(((B171-216)/1000)*((C171-178)/1000)*VLOOKUP(""H/F (9mm)"",SheetsData,8,0)))))))))))))))))))))))))))))))))"),"")</f>
        <v/>
      </c>
      <c r="F171" s="152" t="str">
        <f>IFERROR(__xludf.DUMMYFUNCTION("IF(OR(A171="""",AND(ISERROR(FIND(""drawer box"",A171))=FALSE,KitchenDrawerType=""Solid dovetail"")),"""",IF(ISERROR(FIND(""bins"",A171))=FALSE,VLOOKUP(""Base carcass 600"",KitchensData,6,0),IF(OR(ISERROR(FIND(""larder"",A171))=FALSE,ISERROR(FIND(""unit"","&amp;"A171))=FALSE),VLOOKUP(LEFT(A171,FIND("" "",A171))&amp;""carcass ""&amp;RIGHT(A171,LEN(A171)-len(regexextract(A171,"".* ""))),KitchensData,6,0),IF(ISERROR(FIND(""drawer front"",A171))=FALSE,IF(ISERROR(FIND(""veneer"",KitchenCarcassMaterial))=TRUE,0,(((B171+C171)/1"&amp;"000)*2)*VLOOKUP(""Edge banding (per M)"",SheetsData,5,0)),IF(ISERROR(FIND(""drawer box"",A171))=FALSE,IF(ISERROR(FIND(""veneer"",KitchenCarcassMaterial))=TRUE,0,(((C171+D171)/1000)*2)*VLOOKUP(""Edge banding (per M)"",SheetsData,5,0)),IF(ISERROR(FIND(""she"&amp;"lf"",A171))=FALSE,IF(ISERROR(FIND(""veneer"",KitchenCarcassMaterial))=TRUE,0,(C171/1000)*VLOOKUP(""Edge banding (per M)"",SheetsData,5,0)),IF(AND(ISERROR(FIND(""carcass"",A171))=FALSE,ISERROR(FIND(""shelf"",A171))=TRUE),IF(ISERROR(FIND(""veneer"",KitchenC"&amp;"arcassMaterial))=TRUE,0,((2*(B171+C171))/1000)*VLOOKUP(""Edge banding (per M)"",SheetsData,5,0)),IF(ISERROR(FIND(""door"",A171))=TRUE,"""",IF(ISERROR(FIND(""veneer"",KitchenDoorMaterial))=TRUE,"""",((2*(B171+C171))/1000)*VLOOKUP(""Edge banding (per M)"",S"&amp;"heetsData,5,0))))))))))"),"")</f>
        <v/>
      </c>
      <c r="G171" s="153" t="str">
        <f>IF(A171="","",IF(ISERROR(FIND("bins",A171))=FALSE,VLOOKUP("Base carcass 600",KitchensData,7,0),IF(OR(ISERROR(FIND("larder",A171))=FALSE,ISERROR(FIND("fridge/freezer",A171))=FALSE,ISERROR(FIND("double oven",A171))=FALSE,ISERROR(FIND("single oven",A171))=FALSE),VLOOKUP(LEFT(A171,FIND(" ",A171))&amp;"carcass "&amp;RIGHT(A171,LEN(A171)-(LEN(A171)-3)),KitchensData,7,0),IF(AND(ISERROR(FIND("carcass",A171))=FALSE,ISERROR(FIND("shelf",A171))=TRUE),IF(OR(ISERROR(FIND("Base",A171))=FALSE,ISERROR(FIND("Tower",A171))=FALSE),IF(OR(ISERROR(FIND("1200",A171))=FALSE, ISERROR(FIND("lost corner",A171))=FALSE),6*VLOOKUP("Plinth foot (2 Parts 80mm)",FurnitureData,5,0),4*VLOOKUP("Plinth foot (2 Parts 80mm)",FurnitureData,5,0)),""),""))))</f>
        <v/>
      </c>
      <c r="H171" s="115" t="str">
        <f>IF(OR(A171="",ISERROR(FIND("door",A171))=TRUE),"",IF(ISERROR(FIND("Wall",A171))=FALSE,VLOOKUP("Hinges &amp; plates (Hettich thick door)",FurnitureData,5,0)*2,IF(ISERROR(FIND("Base",A171))=FALSE,VLOOKUP("Hinges &amp; plates (Hettich thick door)",FurnitureData,5,0)*3,IF(ISERROR(FIND("Boiler",A171))=FALSE,VLOOKUP("Hinges &amp; plates (Hettich thick door)",FurnitureData,5,0)*4,IF(ISERROR(FIND("Tower",A171))=FALSE,VLOOKUP("Hinges &amp; plates (Hettich thick door)",FurnitureData,5,0)*5)))))</f>
        <v/>
      </c>
      <c r="I171" s="115" t="str">
        <f>IF(ISERROR(FIND("shelf",A171))=FALSE,(VLOOKUP("Shelf pegs",FurnitureData,5,0)/100)*4,"")</f>
        <v/>
      </c>
      <c r="J171" s="152" t="str">
        <f>IF(OR(ISERROR(FIND("fridge/freezer",A171))=FALSE,ISERROR(FIND("larder",A171))=FALSE,AND(ISERROR(FIND("Base",A171))=FALSE,ISERROR(FIND("bins",A171))=TRUE,ISERROR(FIND("no shelves",A171))=TRUE,OR(ISERROR(FIND("carcass",A171))=FALSE,ISERROR(FIND("unit",A171))=FALSE))),VLOOKUP("Deep shelf "&amp;C171,KitchensData,18,0),IF(AND(ISERROR(FIND("Wall",A171))=FALSE,ISERROR(FIND("carcass",A171))=FALSE),2*VLOOKUP("Shallow shelf "&amp;C171,KitchensData,18,0),IF(AND(ISERROR(FIND("Tower",A171))=FALSE,ISERROR(FIND("oven",A171))=FALSE),4*VLOOKUP("Deep shelf "&amp;C171,KitchensData,18,0),IF(AND(ISERROR(FIND("Tower",A171))=FALSE,ISERROR(FIND("carcass",A171))=FALSE),5*VLOOKUP("Deep shelf "&amp;C171,KitchensData,18,0),""))))</f>
        <v/>
      </c>
      <c r="K171" s="152" t="str">
        <f>IF(ISERROR(FIND("sink",A171))=FALSE,VLOOKUP("Sink liner - Aluminium "&amp;RIGHT(A171,LEN(A171)-22)&amp;"mm",ExceptionalData,5,0),IF(ISERROR(FIND("bins",A171))=FALSE,VLOOKUP("Drawer runners and clip set for bin unit (500) Dynapro",FurnitureData,5,0)+(2*VLOOKUP("Bin (42L Anthracite)",FurnitureData,5,0)),IF(ISERROR(FIND("larder",A171))=FALSE,VLOOKUP("Pull out larder unit 600mm",FurnitureData,5,0),IF(AND(ISERROR(FIND("drawer box",A171))=FALSE,ISERROR(FIND("internal",A171))=TRUE),VLOOKUP("Drawer runners and clip set (550) Dynapro",FurnitureData,5,0),IF(ISERROR(FIND("internal drawer box",A171))=FALSE,VLOOKUP("Drawer runners and clip set (450) Dynapro",FurnitureData,5,0),"")))))</f>
        <v/>
      </c>
      <c r="L171" s="152" t="str">
        <f t="shared" si="3"/>
        <v/>
      </c>
      <c r="M171" s="154" t="str">
        <f>IFERROR(__xludf.DUMMYFUNCTION("IF(A171="""","""",IF(OR(ISERROR(FIND(""larder"",A171))=FALSE,ISERROR(FIND(""unit"",A171))=FALSE),VLOOKUP(LEFT(A171,FIND("" "",A171))&amp;""carcass ""&amp;RIGHT(A171,LEN(A171)-len(regexextract(A171,"".* ""))),KitchensData,13,0),IF(ISERROR(FIND(""bins"",A171))=FALS"&amp;"E,0.95,IF(ISERROR(FIND(""Cutlery insert 600"",A171))=FALSE,1.3,IF(ISERROR(FIND(""Cutlery insert 1200"",A171))=FALSE,2,IF(ISERROR(FIND(""Pan/tray rack 600"",A171))=FALSE,3.25,IF(ISERROR(FIND(""Pan/tray rack 1200"",A171))=FALSE,5.9,IF(ISERROR(FIND(""split"""&amp;",A171))=FALSE,(((C171/1000)*0.022)*2)+VLOOKUP(SUBSTITUTE(A171,"" split"",""""),KitchensData,13,0),IF(AND(ISERROR(FIND(""drawer front"",A171))=FALSE,KitchenDoorStyle=""Flat""),(((B171/1000)*(C171/1000))*2)+((((B171+C171)/1000)*2)*0.022),IF(AND(ISERROR(FIND"&amp;"(""drawer front"",A171))=FALSE,LEFT(KitchenDoorStyle,5)=""Panel""),(((B171/1000)*(C171/1000))*2)+((((B171+C171)/1000)*2)*0.022)+((((C171/1000)-0.16)*0.013)*2)+((((D171/1000)-0.16)*0.013)*2),IF(AND(ISERROR(FIND(""drawer front"",A171))=FALSE,KitchenDoorStyl"&amp;"e=""In-frame flat""),((((B171-76)/1000)*((C171-38)/1000))*2)+(MID(KitchenDoorMaterial,FIND(""("",KitchenDoorMaterial)+1,2)/1000)*((((B171-76)+(C171-38))/1000)*2)+(((B171/1000)*0.032)*2)+((((B171-76)/1000)*0.032)*2)+(((B171/1000)*0.019)*4)+(((C171/1000)*0."&amp;"032)*2)+((((C171-38)/1000)*0.032)*2)+(((C171/1000)*0.038)*4),IF(AND(ISERROR(FIND(""drawer front"",A171))=FALSE,LEFT(KitchenDoorStyle,14)=""In-frame panel""),((((B171-76)/1000)*((C171-38)/1000))*2)+((MID(KitchenDoorMaterial,FIND(""("",KitchenDoorMaterial)+"&amp;"1,2)/1000)*((((B171-76)+(C171-38))/1000)*2))+((((B171-236)/1000)+((C171-198)/1000)*2)*0.013)+(((B171/1000)*0.032)*2)+((((B171-76)/1000)*0.032)*2)+(((B171/1000)*0.019)*4)+(((C171/1000)*0.032)*2)+((((C171-38)/1000)*0.032)*2)+(((C171/1000)*0.038)*4),IF(ISERR"&amp;"OR(FIND(""drawer box"",A171))=FALSE,((((B171/1000)*(D171/1000))+((B171/1000)*(C171/1000)))*4)+((((D171/1000)+(C171/1000))*0.016)*4)+(((C171/1000)*(D171/1000))*2),IF(OR(ISERROR(FIND(""shelf"",A171))=FALSE,ISERROR(FIND(""spacer"",A171))=FALSE,,ISERROR(FIND("&amp;"""filler panel"",A171))=FALSE),(((C171/1000)*(D171/1000))*2)+((((C171+D171)*2)/1000)*0.022),IF(ISERROR(FIND(""lost corner"",A171))=FALSE,(((B171/1000)*(C171/1000))*2)+((B171/1000)*(C171/1000))+((B171/1000)*((C171/2)/1000))+((((B171/1000)*0.025)+((C171/100"&amp;"0)*0.025))*2),IF(ISERROR(FIND(""carcass"",A171))=FALSE,(((C171/1000)*(D171/1000))*2)+(((B171/1000)*(D171/1000))*2)+((B171/1000)*(C171/1000))+((((B171/1000)*0.025)+((C171/1000)*0.025))*2),IF(AND(ISERROR(FIND(""door"",A171))=FALSE,KitchenDoorStyle=""Flat"")"&amp;",(((B171/1000)*(C171/1000))*2)+(MID(KitchenDoorMaterial,FIND(""("",KitchenDoorMaterial)+1,2)/1000)*(((B171+C171)/1000)*2),IF(AND(ISERROR(FIND(""door"",A171))=FALSE,LEFT(KitchenDoorStyle,5)=""Panel""),(((B171/1000)*(C171/1000))*2)+((MID(KitchenDoorMaterial"&amp;",FIND(""("",KitchenDoorMaterial)+1,2)/1000)*(((B171+C171)/1000)*2))+(((((B171-160)+(C171-160))*2)/1000)*(0.013)),IF(AND(ISERROR(FIND(""door"",A171))=FALSE,KitchenDoorStyle=""In-frame flat""),((((B171-76)/1000)*((C171-38)/1000))*2)+(MID(KitchenDoorMaterial"&amp;",FIND(""("",KitchenDoorMaterial)+1,2)/1000)*((((B171-76)+(C171-38))/1000)*2)+(((B171/1000)*0.032)*2)+((((B171-76)/1000)*0.032)*2)+(((B171/1000)*0.019)*4)+(((C171/1000)*0.032)*2)+((((C171-38)/1000)*0.032)*2)+(((C171/1000)*0.038)*4),IF(AND(ISERROR(FIND(""do"&amp;"or"",A171))=FALSE,LEFT(KitchenDoorStyle,14)=""In-frame panel""),((((B171-76)/1000)*((C171-38)/1000))*2)+((MID(KitchenDoorMaterial,FIND(""("",KitchenDoorMaterial)+1,2)/1000)*((((B171-76)+(C171-38))/1000)*2))+((((B171-236)/1000)+((C171-198)/1000)*2)*0.013)+"&amp;"(((B171/1000)*0.032)*2)+((((B171-76)/1000)*0.032)*2)+(((B171/1000)*0.019)*4)+(((C171/1000)*0.032)*2)+((((C171-38)/1000)*0.032)*2)+(((C171/1000)*0.038)*4),IF(ISERROR(FIND(""Plinth"",A171))=FALSE,((B171/1000)*(C171/1000))+(((C171/1000)*0.018)*2)+(((B171/100"&amp;"0)*0.018)*2),IF(ISERROR(FIND(""Cornice"",A171))=FALSE,(((C171/1000)*0.1)*2)+(((C171/1000)*0.044)*2)+(((B171/1000)*0.08)*2),IF(ISERROR(FIND(""Base end panel"",A171))=FALSE,((B171/1000)*(C171/1000))+(0.022*((B171/1000)+((C171/1000)*2)))+((B171/1000)*0.05),I"&amp;"F(ISERROR(FIND(""Wall end panel"",A171))=FALSE,((B171/1000)*(C171/1000))+(0.022*((B171/1000)+((C171/1000)*2)))+((B171/1000)*0.05),IF(ISERROR(FIND(""Tower end panel"",A171))=FALSE,((B171/1000)*(C171/1000))+(0.022*((B171/1000)+((C171/1000)*2)))+((B171/1000)"&amp;"*0.05),IF(ISERROR(FIND(""Fillers"",A171))=FALSE,((C171/1000)*0.06)+((C171/1000)*0.069)+((0.06*0.018)*2)+((0.06*0.009)*2)+((C171/1000)*0.009)+((C171/1000)*0.018),IF(ISERROR(FIND(""corner post"",A171))=FALSE,(((B171/1000*0.05)*2)+((B171/1000)*0.022)*2)+((B1"&amp;"71/1000)*0.072)+((B171/1000)*0.05)+((0.072*0.022)*2)+((0.05*0.022)*2),IF(ISERROR(FIND(""Pelmet"",A171))=FALSE,((C171/1000)*0.05)+((C171/1000)*0.068)+((0.05*0.018)*4)+(((C171/1000)*0.018))*2))))))))))))))))))))))))))))"),"")</f>
        <v/>
      </c>
      <c r="N171" s="152" t="str">
        <f>IF(M171="","",IF(AND(ISERROR(FIND("carcass",A171))=TRUE,ISERROR(FIND("unit",A171))=TRUE,ISERROR(FIND("insert",A171))=TRUE,ISERROR(FIND("rack",A171))=TRUE,ISERROR(FIND("box",A171))=TRUE,ISERROR(FIND("shelf",#REF!))=TRUE),VLOOKUP(KitchenDoorFinish,Finishing!$A$2:$K$10,9,0)*M171,VLOOKUP(KitchenCarcassFinish,Finishing!$A$2:$K$40,9,0)*M171))</f>
        <v/>
      </c>
      <c r="O171" s="155"/>
      <c r="P171" s="155"/>
      <c r="Q171" s="152" t="str">
        <f>IF(OR(O171="",P171=""),"",((O171*X171)*(VLOOKUP("Workshop",Labour!$A$3:$E$20,4,0)/8))+((P171*AE171)*(VLOOKUP("Finishing",Labour!$A$3:$E$20,4,0)/8)))</f>
        <v/>
      </c>
      <c r="R171" s="152" t="str">
        <f t="shared" si="4"/>
        <v/>
      </c>
      <c r="S171" s="156" t="str">
        <f>IF(OR(O171="",P171=""),"",IF(OR(ISERROR(FIND("carcass",$A171))=FALSE,ISERROR(FIND("unit",$A171))=FALSE),VLOOKUP(KitchenCarcassMaterial,FixedListsCarcassMaterial,2,0),0))</f>
        <v/>
      </c>
      <c r="T171" s="156" t="str">
        <f>IF(OR(O171="",P171=""),"",IF(ISERROR(FIND("door",$A171))=FALSE,VLOOKUP(KitchenDoorStyle,FixedListsDoorStyle,2,0),0))</f>
        <v/>
      </c>
      <c r="U171" s="156" t="str">
        <f>IF(OR(O171="",P171=""),"",IF(ISERROR(FIND("door",$A171))=FALSE,VLOOKUP(KitchenDoorMaterial,FixedListsDoorMaterial,2,0),0))</f>
        <v/>
      </c>
      <c r="V171" s="156" t="str">
        <f>IF(OR(O171="",P171=""),"",IF(ISERROR(FIND("drawer",$A171))=FALSE,VLOOKUP(KitchenDrawerType,FixedListsDrawerType,2,0),0))</f>
        <v/>
      </c>
      <c r="W171" s="156" t="str">
        <f>IF(OR(O171="",P171=""),"",IF(OR(S171&gt;0, T171&gt;0,V171&gt;0),VLOOKUP(KitchenHandleType,FixedListsHandleType,2,FALSE)*IF(KitchenHandleType="Simple",0,IF(S171&gt;0,VLOOKUP(KitchenHandleType,FixedListsHandleType,4,FALSE),IF(OR(T171&gt;0,V171&gt;0),1-VLOOKUP(KitchenHandleType,FixedListsHandleType,4,FALSE),"Error"))),0))</f>
        <v/>
      </c>
      <c r="X171" s="156" t="str">
        <f t="shared" si="5"/>
        <v/>
      </c>
      <c r="Y171" s="156" t="str">
        <f>IF(OR(O171="",P171=""),"",IF(OR(ISERROR(FIND("carcass",$A171))=FALSE,ISERROR(FIND("unit",$A171))=FALSE),VLOOKUP(KitchenCarcassMaterial,FixedListsCarcassMaterial,3,0),0))</f>
        <v/>
      </c>
      <c r="Z171" s="156" t="str">
        <f>IF(OR(O171="",P171=""),"",IF(ISERROR(FIND("door",$A171))=FALSE,VLOOKUP(KitchenDoorStyle,FixedListsDoorStyle,3,0),0))</f>
        <v/>
      </c>
      <c r="AA171" s="156" t="str">
        <f>IF(OR(O171="",P171=""),"",IF(ISERROR(FIND("door",$A171))=FALSE,VLOOKUP(KitchenDoorMaterial,FixedListsDoorMaterial,3,0),0))</f>
        <v/>
      </c>
      <c r="AB171" s="156" t="str">
        <f>IF(OR(O171="",P171=""),"",IF(ISERROR(FIND("drawer",$A171))=FALSE,VLOOKUP(KitchenDrawerType,FixedListsDrawerType,3,0),0))</f>
        <v/>
      </c>
      <c r="AC171" s="156" t="str">
        <f>IF(OR(O171="",P171=""),"",IF(OR(Y171&gt;0,Z171&gt;0,AB171&gt;0),VLOOKUP(KitchenHandleType,FixedListsHandleType,3,FALSE),0))</f>
        <v/>
      </c>
      <c r="AD171" s="156" t="str">
        <f>IF(OR(O171="",P171=""),"",IF(OR(ISERROR(FIND("carcass",$A171))=FALSE,ISERROR(FIND("unit",$A171))=FALSE),VLOOKUP(KitchenCarcassFinish,FixedListsFinishes,3,0),IF(OR(ISERROR(FIND("door",$A171))=FALSE,ISERROR(FIND("Plinth",$A171))=FALSE,ISERROR(FIND("Cornice",$A171))=FALSE,ISERROR(FIND("Fillers",$A171))=FALSE,ISERROR(FIND("Pelmet",$A171))=FALSE,ISERROR(FIND("panel",$A171))=FALSE,ISERROR(FIND("post",$A171))=FALSE),VLOOKUP(KitchenDoorFinish,FixedListsFinishes,3,0),IF(OR(ISERROR(FIND("drawer",$A171))=FALSE,ISERROR(FIND("insert",$A171))=FALSE,ISERROR(FIND("rck",$A171))=FALSE),VLOOKUP(KitchenCarcassFinish,FixedListsFinishes,3,0),0))))</f>
        <v/>
      </c>
      <c r="AE171" s="156" t="str">
        <f t="shared" si="6"/>
        <v/>
      </c>
      <c r="AF171" s="157" t="str">
        <f>IF(AND(KitchenHandleType="Channel",OR(ISERROR(FIND("arcass",$A171))=FALSE,ISERROR(FIND("unit",$A171))=FALSE)),IF(ISERROR(FIND("Tower",$A171))=TRUE,IF(KitchenHandleFinish="Match carcass",IF(ISERROR(FIND("Walnut",KitchenCarcassMaterial))=FALSE,(0.035*0.075*($C171/1000))*VLOOKUP("Walnut (solid m3)",SolidData,4,FALSE),IF(ISERROR(FIND("Oak",KitchenCarcassMaterial))=FALSE,(0.035*0.075*($C171/1000))*VLOOKUP("Oak (solid m3)",SolidData,4,FALSE),IF(ISERROR(FIND("ply",KitchenCarcassMaterial))=FALSE,(0.1*($C171/1000))*VLOOKUP("Birch ply (24mm)",SheetsData,7,FALSE),IF(ISERROR(FIND("H/F",KitchenCarcassMaterial))=FALSE,(0.1*($C171/1000))*VLOOKUP("H/F (22mm)",SheetsData,7,FALSE),"Carcass - not tower - new material")))),IF(KitchenHandleFinish="Match door",IF(ISERROR(FIND("Walnut",KitchenDoorMaterial))=FALSE,(0.035*0.075*($C171/1000))*VLOOKUP("Walnut (solid m3)",SolidData,4,FALSE),IF(ISERROR(FIND("Oak",KitchenDoorMaterial))=FALSE,(0.035*0.075*($C171/1000))*VLOOKUP("Oak (solid m3)",SolidData,4,FALSE),IF(ISERROR(FIND("ply",KitchenDoorMaterial))=FALSE,(0.1*($C171/1000))*VLOOKUP("Birch ply (24mm)",SheetsData,7,FALSE),IF(ISERROR(FIND("H/F",KitchenCarcassMaterial))=FALSE,(0.1*($C171/1000))*VLOOKUP("H/F (22mm)",SheetsData,7,FALSE),"Door - not tower - new material")))),"Channel - not tower - handle set to other")),IF(ISERROR(FIND("Tower",$A171))=FALSE,IF(KitchenHandleFinish="Match carcass",IF(ISERROR(FIND("Walnut",KitchenCarcassMaterial))=FALSE,(0.035*0.075*($B171/1000))*VLOOKUP("Walnut (solid m3)",SolidData,4,FALSE),IF(ISERROR(FIND("Oak",KitchenCarcassMaterial))=FALSE,(0.035*0.075*($B171/1000))*VLOOKUP("Oak (solid m3)",SolidData,4,FALSE),IF(ISERROR(FIND("ply",KitchenCarcassMaterial))=FALSE,(0.1*($B171/1000))*VLOOKUP("Birch ply (24mm)",SheetsData,7,FALSE),IF(ISERROR(FIND("H/F",KitchenCarcassMaterial))=FALSE,(0.1*($C171/1000))*VLOOKUP("H/F (22mm)",SheetsData,7,FALSE),"Carcass - tower - new material")))),IF(KitchenHandleFinish="Match door",IF(ISERROR(FIND("Walnut",KitchenDoorMaterial))=FALSE,(0.035*0.075*($B171/1000))*VLOOKUP("Walnut (solid m3)",SolidData,4,FALSE),IF(ISERROR(FIND("Oak",KitchenDoorMaterial))=FALSE,(0.035*0.075*($B171/1000))*VLOOKUP("Oak (solid m3)",SolidData,4,FALSE),IF(ISERROR(FIND("ply",KitchenDoorMaterial))=FALSE,(0.1*($B171/1000))*VLOOKUP("Birch ply (24mm)",SheetData,7,FALSE),IF(ISERROR(FIND("H/F",KitchenCarcassMaterial))=FALSE,(0.1*($C171/1000))*VLOOKUP("H/F (22mm)",SheetsData,7,FALSE),"Door - tower - new material")))),"Channel - tower - handle set to other")))),"")</f>
        <v/>
      </c>
    </row>
    <row r="172">
      <c r="A172" s="150"/>
      <c r="B172" s="115" t="str">
        <f t="shared" si="1"/>
        <v/>
      </c>
      <c r="C172" s="115" t="str">
        <f>IFERROR(__xludf.DUMMYFUNCTION("IF(A172="""","""",IF(OR(RIGHT(A172,LEN(A172)-len(regexextract(A172,"".* "")))=""1200"",RIGHT(A172,LEN(A172)-len(regexextract(A172,"".* "")))=""600"",RIGHT(A172,LEN(A172)-len(regexextract(A172,"".* "")))=""400"",RIGHT(A172,LEN(A172)-len(regexextract(A172,"&amp;""".* "")))=""300"",RIGHT(A172,LEN(A172)-len(regexextract(A172,"".* "")))=""700"",RIGHT(A172,LEN(A172)-len(regexextract(A172,"".* "")))=""2400"",RIGHT(A172,LEN(A172)-len(regexextract(A172,"".* "")))=""650"",RIGHT(A172,LEN(A172)-len(regexextract(A172,"".* "&amp;""")))=""350"",RIGHT(A172,LEN(A172)-len(regexextract(A172,"".* "")))=""50""),RIGHT(A172,LEN(A172)-len(regexextract(A172,"".* ""))),IF(OR(ISERROR(FIND(""spacer"",A172))=FALSE,ISERROR(FIND(""filler panel"",A172))=FALSE),""1000"",""Unexpected size in descript"&amp;"ion"")))"),"")</f>
        <v/>
      </c>
      <c r="D172" s="151" t="str">
        <f t="shared" si="2"/>
        <v/>
      </c>
      <c r="E172" s="152" t="str">
        <f>IFERROR(__xludf.DUMMYFUNCTION("IF(OR(A172="""",AND(ISERROR(FIND(""drawer box"",A172))=FALSE,KitchenDrawerType="""")),"""",IF(OR(ISERROR(FIND(""larder"",A172))=FALSE,ISERROR(FIND(""fridge/freezer"",A172))=FALSE,ISERROR(FIND(""double oven"",A172))=FALSE,ISERROR(FIND(""single oven"",A172)"&amp;")=FALSE),VLOOKUP(LEFT(A172,FIND("" "",A172))&amp;""carcass ""&amp;RIGHT(A172,LEN(A172)-(LEN(A172)-3)),KitchensData,5,0),IF(ISERROR(FIND(""sink"",A172))=FALSE,VLOOKUP(LEFT(A172,FIND("" "",A172))&amp;""carcass ""&amp;VALUE(REGEXREPLACE(A172,""[^[:digit:]]"", """")),Kitchen"&amp;"sData,5,0)+(((C172/1000)*(300/1000))*VLOOKUP(KitchenCarcassMaterial,SheetsData,8,0)),IF(ISERROR(FIND(""bins"",A172))=FALSE,IF(ISERROR(FIND(""veneer"",KitchenCarcassMaterial))=FALSE,VLOOKUP(""Base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600"",A172))=FALSE,IF(ISERR"&amp;"OR(FIND(""veneer"",KitchenCarcassMaterial))=FALSE,0.54*(VLOOKUP(LEFT(KitchenCarcassMaterial,FIND(""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1"&amp;"200"",A172))=FALSE,IF(ISERROR(FIND(""veneer"",KitchenCarcassMaterial))=FALSE,0.84*(VLOOKUP(LEFT(KitchenCarcassMaterial,FIND(""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600"",A172))=FALSE,IF(ISERROR(FIND(""veneer"",KitchenCarcassMaterial))=FALSE,1.44*(VLOOKUP(LEFT(KitchenCarcassMaterial,FIND(""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1200"",A172))=FALSE,IF(ISERROR(FIND(""veneer"",KitchenCarcassMaterial))=FALSE,2.7*(VLOOKUP(LEFT(KitchenCarcassMaterial,FIND(""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front"",A172))=FALSE,((B172/1000)*(C172/1000))*VLOOKUP(KitchenDoorMaterial,SheetsData,8,0),IF(AND(KitchenDrawerType=""Match carcass"",ISERROR(FIND(""drawer box"",A172))=FALSE),(((((B172/10"&amp;"00)*(C172/1000))+((B172/1000)*(D172/1000)))*2)*VLOOKUP(KitchenCarcassMaterial,SheetsData,8,0))+(((C172/1000)*(D172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box"",A172))=FALSE),(((((B172/1000)*(C172/1000))+((B172/1000)*(D172/1000)))*2)*(16/1000)*VLOOKUP(L"&amp;"EFT(KitchenCarcassMaterial,FIND("" "",KitchenCarcassMaterial))&amp;""(solid m3)"",SolidData,5,0))+(((C172/1000)*(D172/1000))*VLOOKUP(LEFT(KitchenCarcassMaterial,FIND(""("",KitchenCarcassMaterial)-1)&amp;IF(OR(ISERROR(FIND(""ply"",KitchenCarcassMaterial))=FALSE,IS"&amp;"ERROR(FIND(""H/F"",KitchenCarcassMaterial))=FALSE),""(9mm)"",""(10mm)""),SheetsData,8,0)),IF(ISERROR(FIND(""spacer"",A172))=FALSE,((D172/1000)*(C172/1000))*VLOOKUP(""Poplar ply (18mm)"",SheetsData,8,0),IF(ISERROR(FIND(""filler panel"",A172))=FALSE,((B172/"&amp;"1000)*(C172/1000))*VLOOKUP(KitchenDoorMaterial,SheetsData,8,0),IF(ISERROR(FIND(""shelf"",A172))=FALSE,((D172/1000)*(C172/1000))*VLOOKUP(KitchenCarcassMaterial,SheetsData,8,0),IF(ISERROR(FIND(""lost corner"",A172))=FALSE,VLOOKUP(LEFT(A172,FIND("" "",A172))"&amp;"&amp;""carcass ""&amp;VALUE(REGEXREPLACE(A172,""[^[:digit:]]"", """")),KitchensData,5,0)+((((B172/1000)*(C172/1000))+((B172/1000)*(60/1000)))*VLOOKUP(KitchenCarcassMaterial,SheetsData,8,0)),IF(ISERROR(FIND(""carcass"",A172))=FALSE,(((((B172/1000)*2)*(D172/1000))+"&amp;"(((C172/1000)*2)*(D172/1000)))*VLOOKUP(KitchenCarcassMaterial,SheetsData,8,0))+((B172/1000)*(C172/1000))*VLOOKUP(LEFT(KitchenCarcassMaterial,FIND(""("",KitchenCarcassMaterial)-1)&amp;IF(OR(ISERROR(FIND(""ply"",KitchenCarcassMaterial))=FALSE,ISERROR(FIND(""H/F"&amp;""",KitchenCarcassMaterial))=FALSE),""(9mm)"",""(10mm)""),SheetsData,8,0),IF(OR(ISERROR(FIND(""Plinth"",A172))=FALSE,ISERROR(FIND(""Cornice (flat)"",A172))=FALSE),((B172/1000)*(C172/1000))*VLOOKUP(""H/F (18mm)"",SheetsData,8,0),IF(ISERROR(FIND(""Cornice (s"&amp;"tacked)"",A172))=FALSE,((0.08*(C172/1000))*2)*VLOOKUP(""H/F (22mm)"",SheetsData,8,0),IF(ISERROR(FIND(""Base end panel"",A172))=FALSE,VLOOKUP(KitchenDoorMaterial,SheetsData,5,0)/3,IF(ISERROR(FIND(""Wall end panel"",A172))=FALSE,VLOOKUP(KitchenDoorMaterial,"&amp;"SheetsData,5,0)/9,IF(ISERROR(FIND(""Tower end panel"",A172))=FALSE,VLOOKUP(KitchenDoorMaterial,SheetsData,5,0),IF(ISERROR(FIND(""Fillers"",A172))=FALSE,(((0.06*(C172/1000))*2)*VLOOKUP(""H/F (18mm)"",SheetsData,8,0))+(((0.06*(C172/1000))*2)*VLOOKUP(""H/F ("&amp;"9mm)"",SheetsData,8,0)),IF(ISERROR(FIND(""corner post"",A172))=FALSE,(((B172/1000)*0.05)*2)*VLOOKUP(KitchenDoorMaterial,SheetsData,8,0),IF(ISERROR(FIND(""Pelmet"",A172))=FALSE,((((B172/1000)*(C172/1000))*2)*VLOOKUP(""H/F (18mm)"",SheetsData,8,0)),IF(ISERR"&amp;"OR(FIND(""door"",A172))=TRUE,""Check description"",IF(KitchenDoorStyle=""Flat"",((B172/1000)*(C172/1000))*VLOOKUP(KitchenDoorMaterial,SheetsData,8,0),IF(LEFT(KitchenDoorStyle,5)=""Panel"",(((((B172/1000)*2)*0.08)+((((C172/1000)-0.16)*2)*0.08))*VLOOKUP(""H"&amp;"/F (22mm)"",SheetsData,8,0))+(((B172/1000)-0.14)*((C172/1000)-0.14)*VLOOKUP(""H/F (9mm)"",SheetsData,8,0)),IF(KitchenDoorStyle=""In-frame flat"",((((((B172/1000)*0.019)*0.038)+((((C172-38)/1000)*0.038)*0.038))*2)*VLOOKUP(""Tulip (solid m3)"",SolidData,5,0"&amp;"))+(((B172-76)/1000)*((C172-38)/1000))*VLOOKUP(""H/F (22mm)"",SheetsData,8,0),IF(LEFT(KitchenDoorStyle,14)=""In-frame panel"",(((((((B172/1000)*0.019)*0.038)+((((C172-38)/1000)*0.038)*0.038))*2)*VLOOKUP(""Tulip (solid m3)"",SolidData,5,0))+(((((((B172-76)"&amp;"/1000)*2)*0.08)+(((((C172-198)/1000)*2)*0.08)))*VLOOKUP(""H/F (22mm)"",SheetsData,8,0))+(((B172-216)/1000)*((C172-178)/1000)*VLOOKUP(""H/F (9mm)"",SheetsData,8,0)))))))))))))))))))))))))))))))))"),"")</f>
        <v/>
      </c>
      <c r="F172" s="152" t="str">
        <f>IFERROR(__xludf.DUMMYFUNCTION("IF(OR(A172="""",AND(ISERROR(FIND(""drawer box"",A172))=FALSE,KitchenDrawerType=""Solid dovetail"")),"""",IF(ISERROR(FIND(""bins"",A172))=FALSE,VLOOKUP(""Base carcass 600"",KitchensData,6,0),IF(OR(ISERROR(FIND(""larder"",A172))=FALSE,ISERROR(FIND(""unit"","&amp;"A172))=FALSE),VLOOKUP(LEFT(A172,FIND("" "",A172))&amp;""carcass ""&amp;RIGHT(A172,LEN(A172)-len(regexextract(A172,"".* ""))),KitchensData,6,0),IF(ISERROR(FIND(""drawer front"",A172))=FALSE,IF(ISERROR(FIND(""veneer"",KitchenCarcassMaterial))=TRUE,0,(((B172+C172)/1"&amp;"000)*2)*VLOOKUP(""Edge banding (per M)"",SheetsData,5,0)),IF(ISERROR(FIND(""drawer box"",A172))=FALSE,IF(ISERROR(FIND(""veneer"",KitchenCarcassMaterial))=TRUE,0,(((C172+D172)/1000)*2)*VLOOKUP(""Edge banding (per M)"",SheetsData,5,0)),IF(ISERROR(FIND(""she"&amp;"lf"",A172))=FALSE,IF(ISERROR(FIND(""veneer"",KitchenCarcassMaterial))=TRUE,0,(C172/1000)*VLOOKUP(""Edge banding (per M)"",SheetsData,5,0)),IF(AND(ISERROR(FIND(""carcass"",A172))=FALSE,ISERROR(FIND(""shelf"",A172))=TRUE),IF(ISERROR(FIND(""veneer"",KitchenC"&amp;"arcassMaterial))=TRUE,0,((2*(B172+C172))/1000)*VLOOKUP(""Edge banding (per M)"",SheetsData,5,0)),IF(ISERROR(FIND(""door"",A172))=TRUE,"""",IF(ISERROR(FIND(""veneer"",KitchenDoorMaterial))=TRUE,"""",((2*(B172+C172))/1000)*VLOOKUP(""Edge banding (per M)"",S"&amp;"heetsData,5,0))))))))))"),"")</f>
        <v/>
      </c>
      <c r="G172" s="153" t="str">
        <f>IF(A172="","",IF(ISERROR(FIND("bins",A172))=FALSE,VLOOKUP("Base carcass 600",KitchensData,7,0),IF(OR(ISERROR(FIND("larder",A172))=FALSE,ISERROR(FIND("fridge/freezer",A172))=FALSE,ISERROR(FIND("double oven",A172))=FALSE,ISERROR(FIND("single oven",A172))=FALSE),VLOOKUP(LEFT(A172,FIND(" ",A172))&amp;"carcass "&amp;RIGHT(A172,LEN(A172)-(LEN(A172)-3)),KitchensData,7,0),IF(AND(ISERROR(FIND("carcass",A172))=FALSE,ISERROR(FIND("shelf",A172))=TRUE),IF(OR(ISERROR(FIND("Base",A172))=FALSE,ISERROR(FIND("Tower",A172))=FALSE),IF(OR(ISERROR(FIND("1200",A172))=FALSE, ISERROR(FIND("lost corner",A172))=FALSE),6*VLOOKUP("Plinth foot (2 Parts 80mm)",FurnitureData,5,0),4*VLOOKUP("Plinth foot (2 Parts 80mm)",FurnitureData,5,0)),""),""))))</f>
        <v/>
      </c>
      <c r="H172" s="115" t="str">
        <f>IF(OR(A172="",ISERROR(FIND("door",A172))=TRUE),"",IF(ISERROR(FIND("Wall",A172))=FALSE,VLOOKUP("Hinges &amp; plates (Hettich thick door)",FurnitureData,5,0)*2,IF(ISERROR(FIND("Base",A172))=FALSE,VLOOKUP("Hinges &amp; plates (Hettich thick door)",FurnitureData,5,0)*3,IF(ISERROR(FIND("Boiler",A172))=FALSE,VLOOKUP("Hinges &amp; plates (Hettich thick door)",FurnitureData,5,0)*4,IF(ISERROR(FIND("Tower",A172))=FALSE,VLOOKUP("Hinges &amp; plates (Hettich thick door)",FurnitureData,5,0)*5)))))</f>
        <v/>
      </c>
      <c r="I172" s="115" t="str">
        <f>IF(ISERROR(FIND("shelf",A172))=FALSE,(VLOOKUP("Shelf pegs",FurnitureData,5,0)/100)*4,"")</f>
        <v/>
      </c>
      <c r="J172" s="152" t="str">
        <f>IF(OR(ISERROR(FIND("fridge/freezer",A172))=FALSE,ISERROR(FIND("larder",A172))=FALSE,AND(ISERROR(FIND("Base",A172))=FALSE,ISERROR(FIND("bins",A172))=TRUE,ISERROR(FIND("no shelves",A172))=TRUE,OR(ISERROR(FIND("carcass",A172))=FALSE,ISERROR(FIND("unit",A172))=FALSE))),VLOOKUP("Deep shelf "&amp;C172,KitchensData,18,0),IF(AND(ISERROR(FIND("Wall",A172))=FALSE,ISERROR(FIND("carcass",A172))=FALSE),2*VLOOKUP("Shallow shelf "&amp;C172,KitchensData,18,0),IF(AND(ISERROR(FIND("Tower",A172))=FALSE,ISERROR(FIND("oven",A172))=FALSE),4*VLOOKUP("Deep shelf "&amp;C172,KitchensData,18,0),IF(AND(ISERROR(FIND("Tower",A172))=FALSE,ISERROR(FIND("carcass",A172))=FALSE),5*VLOOKUP("Deep shelf "&amp;C172,KitchensData,18,0),""))))</f>
        <v/>
      </c>
      <c r="K172" s="152" t="str">
        <f>IF(ISERROR(FIND("sink",A172))=FALSE,VLOOKUP("Sink liner - Aluminium "&amp;RIGHT(A172,LEN(A172)-22)&amp;"mm",ExceptionalData,5,0),IF(ISERROR(FIND("bins",A172))=FALSE,VLOOKUP("Drawer runners and clip set for bin unit (500) Dynapro",FurnitureData,5,0)+(2*VLOOKUP("Bin (42L Anthracite)",FurnitureData,5,0)),IF(ISERROR(FIND("larder",A172))=FALSE,VLOOKUP("Pull out larder unit 600mm",FurnitureData,5,0),IF(AND(ISERROR(FIND("drawer box",A172))=FALSE,ISERROR(FIND("internal",A172))=TRUE),VLOOKUP("Drawer runners and clip set (550) Dynapro",FurnitureData,5,0),IF(ISERROR(FIND("internal drawer box",A172))=FALSE,VLOOKUP("Drawer runners and clip set (450) Dynapro",FurnitureData,5,0),"")))))</f>
        <v/>
      </c>
      <c r="L172" s="152" t="str">
        <f t="shared" si="3"/>
        <v/>
      </c>
      <c r="M172" s="154" t="str">
        <f>IFERROR(__xludf.DUMMYFUNCTION("IF(A172="""","""",IF(OR(ISERROR(FIND(""larder"",A172))=FALSE,ISERROR(FIND(""unit"",A172))=FALSE),VLOOKUP(LEFT(A172,FIND("" "",A172))&amp;""carcass ""&amp;RIGHT(A172,LEN(A172)-len(regexextract(A172,"".* ""))),KitchensData,13,0),IF(ISERROR(FIND(""bins"",A172))=FALS"&amp;"E,0.95,IF(ISERROR(FIND(""Cutlery insert 600"",A172))=FALSE,1.3,IF(ISERROR(FIND(""Cutlery insert 1200"",A172))=FALSE,2,IF(ISERROR(FIND(""Pan/tray rack 600"",A172))=FALSE,3.25,IF(ISERROR(FIND(""Pan/tray rack 1200"",A172))=FALSE,5.9,IF(ISERROR(FIND(""split"""&amp;",A172))=FALSE,(((C172/1000)*0.022)*2)+VLOOKUP(SUBSTITUTE(A172,"" split"",""""),KitchensData,13,0),IF(AND(ISERROR(FIND(""drawer front"",A172))=FALSE,KitchenDoorStyle=""Flat""),(((B172/1000)*(C172/1000))*2)+((((B172+C172)/1000)*2)*0.022),IF(AND(ISERROR(FIND"&amp;"(""drawer front"",A172))=FALSE,LEFT(KitchenDoorStyle,5)=""Panel""),(((B172/1000)*(C172/1000))*2)+((((B172+C172)/1000)*2)*0.022)+((((C172/1000)-0.16)*0.013)*2)+((((D172/1000)-0.16)*0.013)*2),IF(AND(ISERROR(FIND(""drawer front"",A172))=FALSE,KitchenDoorStyl"&amp;"e=""In-frame flat""),((((B172-76)/1000)*((C172-38)/1000))*2)+(MID(KitchenDoorMaterial,FIND(""("",KitchenDoorMaterial)+1,2)/1000)*((((B172-76)+(C172-38))/1000)*2)+(((B172/1000)*0.032)*2)+((((B172-76)/1000)*0.032)*2)+(((B172/1000)*0.019)*4)+(((C172/1000)*0."&amp;"032)*2)+((((C172-38)/1000)*0.032)*2)+(((C172/1000)*0.038)*4),IF(AND(ISERROR(FIND(""drawer front"",A172))=FALSE,LEFT(KitchenDoorStyle,14)=""In-frame panel""),((((B172-76)/1000)*((C172-38)/1000))*2)+((MID(KitchenDoorMaterial,FIND(""("",KitchenDoorMaterial)+"&amp;"1,2)/1000)*((((B172-76)+(C172-38))/1000)*2))+((((B172-236)/1000)+((C172-198)/1000)*2)*0.013)+(((B172/1000)*0.032)*2)+((((B172-76)/1000)*0.032)*2)+(((B172/1000)*0.019)*4)+(((C172/1000)*0.032)*2)+((((C172-38)/1000)*0.032)*2)+(((C172/1000)*0.038)*4),IF(ISERR"&amp;"OR(FIND(""drawer box"",A172))=FALSE,((((B172/1000)*(D172/1000))+((B172/1000)*(C172/1000)))*4)+((((D172/1000)+(C172/1000))*0.016)*4)+(((C172/1000)*(D172/1000))*2),IF(OR(ISERROR(FIND(""shelf"",A172))=FALSE,ISERROR(FIND(""spacer"",A172))=FALSE,,ISERROR(FIND("&amp;"""filler panel"",A172))=FALSE),(((C172/1000)*(D172/1000))*2)+((((C172+D172)*2)/1000)*0.022),IF(ISERROR(FIND(""lost corner"",A172))=FALSE,(((B172/1000)*(C172/1000))*2)+((B172/1000)*(C172/1000))+((B172/1000)*((C172/2)/1000))+((((B172/1000)*0.025)+((C172/100"&amp;"0)*0.025))*2),IF(ISERROR(FIND(""carcass"",A172))=FALSE,(((C172/1000)*(D172/1000))*2)+(((B172/1000)*(D172/1000))*2)+((B172/1000)*(C172/1000))+((((B172/1000)*0.025)+((C172/1000)*0.025))*2),IF(AND(ISERROR(FIND(""door"",A172))=FALSE,KitchenDoorStyle=""Flat"")"&amp;",(((B172/1000)*(C172/1000))*2)+(MID(KitchenDoorMaterial,FIND(""("",KitchenDoorMaterial)+1,2)/1000)*(((B172+C172)/1000)*2),IF(AND(ISERROR(FIND(""door"",A172))=FALSE,LEFT(KitchenDoorStyle,5)=""Panel""),(((B172/1000)*(C172/1000))*2)+((MID(KitchenDoorMaterial"&amp;",FIND(""("",KitchenDoorMaterial)+1,2)/1000)*(((B172+C172)/1000)*2))+(((((B172-160)+(C172-160))*2)/1000)*(0.013)),IF(AND(ISERROR(FIND(""door"",A172))=FALSE,KitchenDoorStyle=""In-frame flat""),((((B172-76)/1000)*((C172-38)/1000))*2)+(MID(KitchenDoorMaterial"&amp;",FIND(""("",KitchenDoorMaterial)+1,2)/1000)*((((B172-76)+(C172-38))/1000)*2)+(((B172/1000)*0.032)*2)+((((B172-76)/1000)*0.032)*2)+(((B172/1000)*0.019)*4)+(((C172/1000)*0.032)*2)+((((C172-38)/1000)*0.032)*2)+(((C172/1000)*0.038)*4),IF(AND(ISERROR(FIND(""do"&amp;"or"",A172))=FALSE,LEFT(KitchenDoorStyle,14)=""In-frame panel""),((((B172-76)/1000)*((C172-38)/1000))*2)+((MID(KitchenDoorMaterial,FIND(""("",KitchenDoorMaterial)+1,2)/1000)*((((B172-76)+(C172-38))/1000)*2))+((((B172-236)/1000)+((C172-198)/1000)*2)*0.013)+"&amp;"(((B172/1000)*0.032)*2)+((((B172-76)/1000)*0.032)*2)+(((B172/1000)*0.019)*4)+(((C172/1000)*0.032)*2)+((((C172-38)/1000)*0.032)*2)+(((C172/1000)*0.038)*4),IF(ISERROR(FIND(""Plinth"",A172))=FALSE,((B172/1000)*(C172/1000))+(((C172/1000)*0.018)*2)+(((B172/100"&amp;"0)*0.018)*2),IF(ISERROR(FIND(""Cornice"",A172))=FALSE,(((C172/1000)*0.1)*2)+(((C172/1000)*0.044)*2)+(((B172/1000)*0.08)*2),IF(ISERROR(FIND(""Base end panel"",A172))=FALSE,((B172/1000)*(C172/1000))+(0.022*((B172/1000)+((C172/1000)*2)))+((B172/1000)*0.05),I"&amp;"F(ISERROR(FIND(""Wall end panel"",A172))=FALSE,((B172/1000)*(C172/1000))+(0.022*((B172/1000)+((C172/1000)*2)))+((B172/1000)*0.05),IF(ISERROR(FIND(""Tower end panel"",A172))=FALSE,((B172/1000)*(C172/1000))+(0.022*((B172/1000)+((C172/1000)*2)))+((B172/1000)"&amp;"*0.05),IF(ISERROR(FIND(""Fillers"",A172))=FALSE,((C172/1000)*0.06)+((C172/1000)*0.069)+((0.06*0.018)*2)+((0.06*0.009)*2)+((C172/1000)*0.009)+((C172/1000)*0.018),IF(ISERROR(FIND(""corner post"",A172))=FALSE,(((B172/1000*0.05)*2)+((B172/1000)*0.022)*2)+((B1"&amp;"72/1000)*0.072)+((B172/1000)*0.05)+((0.072*0.022)*2)+((0.05*0.022)*2),IF(ISERROR(FIND(""Pelmet"",A172))=FALSE,((C172/1000)*0.05)+((C172/1000)*0.068)+((0.05*0.018)*4)+(((C172/1000)*0.018))*2))))))))))))))))))))))))))))"),"")</f>
        <v/>
      </c>
      <c r="N172" s="152" t="str">
        <f>IF(M172="","",IF(AND(ISERROR(FIND("carcass",A172))=TRUE,ISERROR(FIND("unit",A172))=TRUE,ISERROR(FIND("insert",A172))=TRUE,ISERROR(FIND("rack",A172))=TRUE,ISERROR(FIND("box",A172))=TRUE,ISERROR(FIND("shelf",#REF!))=TRUE),VLOOKUP(KitchenDoorFinish,Finishing!$A$2:$K$10,9,0)*M172,VLOOKUP(KitchenCarcassFinish,Finishing!$A$2:$K$40,9,0)*M172))</f>
        <v/>
      </c>
      <c r="O172" s="155"/>
      <c r="P172" s="155"/>
      <c r="Q172" s="152" t="str">
        <f>IF(OR(O172="",P172=""),"",((O172*X172)*(VLOOKUP("Workshop",Labour!$A$3:$E$20,4,0)/8))+((P172*AE172)*(VLOOKUP("Finishing",Labour!$A$3:$E$20,4,0)/8)))</f>
        <v/>
      </c>
      <c r="R172" s="152" t="str">
        <f t="shared" si="4"/>
        <v/>
      </c>
      <c r="S172" s="156" t="str">
        <f>IF(OR(O172="",P172=""),"",IF(OR(ISERROR(FIND("carcass",$A172))=FALSE,ISERROR(FIND("unit",$A172))=FALSE),VLOOKUP(KitchenCarcassMaterial,FixedListsCarcassMaterial,2,0),0))</f>
        <v/>
      </c>
      <c r="T172" s="156" t="str">
        <f>IF(OR(O172="",P172=""),"",IF(ISERROR(FIND("door",$A172))=FALSE,VLOOKUP(KitchenDoorStyle,FixedListsDoorStyle,2,0),0))</f>
        <v/>
      </c>
      <c r="U172" s="156" t="str">
        <f>IF(OR(O172="",P172=""),"",IF(ISERROR(FIND("door",$A172))=FALSE,VLOOKUP(KitchenDoorMaterial,FixedListsDoorMaterial,2,0),0))</f>
        <v/>
      </c>
      <c r="V172" s="156" t="str">
        <f>IF(OR(O172="",P172=""),"",IF(ISERROR(FIND("drawer",$A172))=FALSE,VLOOKUP(KitchenDrawerType,FixedListsDrawerType,2,0),0))</f>
        <v/>
      </c>
      <c r="W172" s="156" t="str">
        <f>IF(OR(O172="",P172=""),"",IF(OR(S172&gt;0, T172&gt;0,V172&gt;0),VLOOKUP(KitchenHandleType,FixedListsHandleType,2,FALSE)*IF(KitchenHandleType="Simple",0,IF(S172&gt;0,VLOOKUP(KitchenHandleType,FixedListsHandleType,4,FALSE),IF(OR(T172&gt;0,V172&gt;0),1-VLOOKUP(KitchenHandleType,FixedListsHandleType,4,FALSE),"Error"))),0))</f>
        <v/>
      </c>
      <c r="X172" s="156" t="str">
        <f t="shared" si="5"/>
        <v/>
      </c>
      <c r="Y172" s="156" t="str">
        <f>IF(OR(O172="",P172=""),"",IF(OR(ISERROR(FIND("carcass",$A172))=FALSE,ISERROR(FIND("unit",$A172))=FALSE),VLOOKUP(KitchenCarcassMaterial,FixedListsCarcassMaterial,3,0),0))</f>
        <v/>
      </c>
      <c r="Z172" s="156" t="str">
        <f>IF(OR(O172="",P172=""),"",IF(ISERROR(FIND("door",$A172))=FALSE,VLOOKUP(KitchenDoorStyle,FixedListsDoorStyle,3,0),0))</f>
        <v/>
      </c>
      <c r="AA172" s="156" t="str">
        <f>IF(OR(O172="",P172=""),"",IF(ISERROR(FIND("door",$A172))=FALSE,VLOOKUP(KitchenDoorMaterial,FixedListsDoorMaterial,3,0),0))</f>
        <v/>
      </c>
      <c r="AB172" s="156" t="str">
        <f>IF(OR(O172="",P172=""),"",IF(ISERROR(FIND("drawer",$A172))=FALSE,VLOOKUP(KitchenDrawerType,FixedListsDrawerType,3,0),0))</f>
        <v/>
      </c>
      <c r="AC172" s="156" t="str">
        <f>IF(OR(O172="",P172=""),"",IF(OR(Y172&gt;0,Z172&gt;0,AB172&gt;0),VLOOKUP(KitchenHandleType,FixedListsHandleType,3,FALSE),0))</f>
        <v/>
      </c>
      <c r="AD172" s="156" t="str">
        <f>IF(OR(O172="",P172=""),"",IF(OR(ISERROR(FIND("carcass",$A172))=FALSE,ISERROR(FIND("unit",$A172))=FALSE),VLOOKUP(KitchenCarcassFinish,FixedListsFinishes,3,0),IF(OR(ISERROR(FIND("door",$A172))=FALSE,ISERROR(FIND("Plinth",$A172))=FALSE,ISERROR(FIND("Cornice",$A172))=FALSE,ISERROR(FIND("Fillers",$A172))=FALSE,ISERROR(FIND("Pelmet",$A172))=FALSE,ISERROR(FIND("panel",$A172))=FALSE,ISERROR(FIND("post",$A172))=FALSE),VLOOKUP(KitchenDoorFinish,FixedListsFinishes,3,0),IF(OR(ISERROR(FIND("drawer",$A172))=FALSE,ISERROR(FIND("insert",$A172))=FALSE,ISERROR(FIND("rck",$A172))=FALSE),VLOOKUP(KitchenCarcassFinish,FixedListsFinishes,3,0),0))))</f>
        <v/>
      </c>
      <c r="AE172" s="156" t="str">
        <f t="shared" si="6"/>
        <v/>
      </c>
      <c r="AF172" s="157" t="str">
        <f>IF(AND(KitchenHandleType="Channel",OR(ISERROR(FIND("arcass",$A172))=FALSE,ISERROR(FIND("unit",$A172))=FALSE)),IF(ISERROR(FIND("Tower",$A172))=TRUE,IF(KitchenHandleFinish="Match carcass",IF(ISERROR(FIND("Walnut",KitchenCarcassMaterial))=FALSE,(0.035*0.075*($C172/1000))*VLOOKUP("Walnut (solid m3)",SolidData,4,FALSE),IF(ISERROR(FIND("Oak",KitchenCarcassMaterial))=FALSE,(0.035*0.075*($C172/1000))*VLOOKUP("Oak (solid m3)",SolidData,4,FALSE),IF(ISERROR(FIND("ply",KitchenCarcassMaterial))=FALSE,(0.1*($C172/1000))*VLOOKUP("Birch ply (24mm)",SheetsData,7,FALSE),IF(ISERROR(FIND("H/F",KitchenCarcassMaterial))=FALSE,(0.1*($C172/1000))*VLOOKUP("H/F (22mm)",SheetsData,7,FALSE),"Carcass - not tower - new material")))),IF(KitchenHandleFinish="Match door",IF(ISERROR(FIND("Walnut",KitchenDoorMaterial))=FALSE,(0.035*0.075*($C172/1000))*VLOOKUP("Walnut (solid m3)",SolidData,4,FALSE),IF(ISERROR(FIND("Oak",KitchenDoorMaterial))=FALSE,(0.035*0.075*($C172/1000))*VLOOKUP("Oak (solid m3)",SolidData,4,FALSE),IF(ISERROR(FIND("ply",KitchenDoorMaterial))=FALSE,(0.1*($C172/1000))*VLOOKUP("Birch ply (24mm)",SheetsData,7,FALSE),IF(ISERROR(FIND("H/F",KitchenCarcassMaterial))=FALSE,(0.1*($C172/1000))*VLOOKUP("H/F (22mm)",SheetsData,7,FALSE),"Door - not tower - new material")))),"Channel - not tower - handle set to other")),IF(ISERROR(FIND("Tower",$A172))=FALSE,IF(KitchenHandleFinish="Match carcass",IF(ISERROR(FIND("Walnut",KitchenCarcassMaterial))=FALSE,(0.035*0.075*($B172/1000))*VLOOKUP("Walnut (solid m3)",SolidData,4,FALSE),IF(ISERROR(FIND("Oak",KitchenCarcassMaterial))=FALSE,(0.035*0.075*($B172/1000))*VLOOKUP("Oak (solid m3)",SolidData,4,FALSE),IF(ISERROR(FIND("ply",KitchenCarcassMaterial))=FALSE,(0.1*($B172/1000))*VLOOKUP("Birch ply (24mm)",SheetsData,7,FALSE),IF(ISERROR(FIND("H/F",KitchenCarcassMaterial))=FALSE,(0.1*($C172/1000))*VLOOKUP("H/F (22mm)",SheetsData,7,FALSE),"Carcass - tower - new material")))),IF(KitchenHandleFinish="Match door",IF(ISERROR(FIND("Walnut",KitchenDoorMaterial))=FALSE,(0.035*0.075*($B172/1000))*VLOOKUP("Walnut (solid m3)",SolidData,4,FALSE),IF(ISERROR(FIND("Oak",KitchenDoorMaterial))=FALSE,(0.035*0.075*($B172/1000))*VLOOKUP("Oak (solid m3)",SolidData,4,FALSE),IF(ISERROR(FIND("ply",KitchenDoorMaterial))=FALSE,(0.1*($B172/1000))*VLOOKUP("Birch ply (24mm)",SheetData,7,FALSE),IF(ISERROR(FIND("H/F",KitchenCarcassMaterial))=FALSE,(0.1*($C172/1000))*VLOOKUP("H/F (22mm)",SheetsData,7,FALSE),"Door - tower - new material")))),"Channel - tower - handle set to other")))),"")</f>
        <v/>
      </c>
    </row>
    <row r="173">
      <c r="A173" s="150"/>
      <c r="B173" s="115" t="str">
        <f t="shared" si="1"/>
        <v/>
      </c>
      <c r="C173" s="115" t="str">
        <f>IFERROR(__xludf.DUMMYFUNCTION("IF(A173="""","""",IF(OR(RIGHT(A173,LEN(A173)-len(regexextract(A173,"".* "")))=""1200"",RIGHT(A173,LEN(A173)-len(regexextract(A173,"".* "")))=""600"",RIGHT(A173,LEN(A173)-len(regexextract(A173,"".* "")))=""400"",RIGHT(A173,LEN(A173)-len(regexextract(A173,"&amp;""".* "")))=""300"",RIGHT(A173,LEN(A173)-len(regexextract(A173,"".* "")))=""700"",RIGHT(A173,LEN(A173)-len(regexextract(A173,"".* "")))=""2400"",RIGHT(A173,LEN(A173)-len(regexextract(A173,"".* "")))=""650"",RIGHT(A173,LEN(A173)-len(regexextract(A173,"".* "&amp;""")))=""350"",RIGHT(A173,LEN(A173)-len(regexextract(A173,"".* "")))=""50""),RIGHT(A173,LEN(A173)-len(regexextract(A173,"".* ""))),IF(OR(ISERROR(FIND(""spacer"",A173))=FALSE,ISERROR(FIND(""filler panel"",A173))=FALSE),""1000"",""Unexpected size in descript"&amp;"ion"")))"),"")</f>
        <v/>
      </c>
      <c r="D173" s="151" t="str">
        <f t="shared" si="2"/>
        <v/>
      </c>
      <c r="E173" s="152" t="str">
        <f>IFERROR(__xludf.DUMMYFUNCTION("IF(OR(A173="""",AND(ISERROR(FIND(""drawer box"",A173))=FALSE,KitchenDrawerType="""")),"""",IF(OR(ISERROR(FIND(""larder"",A173))=FALSE,ISERROR(FIND(""fridge/freezer"",A173))=FALSE,ISERROR(FIND(""double oven"",A173))=FALSE,ISERROR(FIND(""single oven"",A173)"&amp;")=FALSE),VLOOKUP(LEFT(A173,FIND("" "",A173))&amp;""carcass ""&amp;RIGHT(A173,LEN(A173)-(LEN(A173)-3)),KitchensData,5,0),IF(ISERROR(FIND(""sink"",A173))=FALSE,VLOOKUP(LEFT(A173,FIND("" "",A173))&amp;""carcass ""&amp;VALUE(REGEXREPLACE(A173,""[^[:digit:]]"", """")),Kitchen"&amp;"sData,5,0)+(((C173/1000)*(300/1000))*VLOOKUP(KitchenCarcassMaterial,SheetsData,8,0)),IF(ISERROR(FIND(""bins"",A173))=FALSE,IF(ISERROR(FIND(""veneer"",KitchenCarcassMaterial))=FALSE,VLOOKUP(""Base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600"",A173))=FALSE,IF(ISERR"&amp;"OR(FIND(""veneer"",KitchenCarcassMaterial))=FALSE,0.54*(VLOOKUP(LEFT(KitchenCarcassMaterial,FIND(""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1"&amp;"200"",A173))=FALSE,IF(ISERROR(FIND(""veneer"",KitchenCarcassMaterial))=FALSE,0.84*(VLOOKUP(LEFT(KitchenCarcassMaterial,FIND(""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600"",A173))=FALSE,IF(ISERROR(FIND(""veneer"",KitchenCarcassMaterial))=FALSE,1.44*(VLOOKUP(LEFT(KitchenCarcassMaterial,FIND(""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1200"",A173))=FALSE,IF(ISERROR(FIND(""veneer"",KitchenCarcassMaterial))=FALSE,2.7*(VLOOKUP(LEFT(KitchenCarcassMaterial,FIND(""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front"",A173))=FALSE,((B173/1000)*(C173/1000))*VLOOKUP(KitchenDoorMaterial,SheetsData,8,0),IF(AND(KitchenDrawerType=""Match carcass"",ISERROR(FIND(""drawer box"",A173))=FALSE),(((((B173/10"&amp;"00)*(C173/1000))+((B173/1000)*(D173/1000)))*2)*VLOOKUP(KitchenCarcassMaterial,SheetsData,8,0))+(((C173/1000)*(D173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box"",A173))=FALSE),(((((B173/1000)*(C173/1000))+((B173/1000)*(D173/1000)))*2)*(16/1000)*VLOOKUP(L"&amp;"EFT(KitchenCarcassMaterial,FIND("" "",KitchenCarcassMaterial))&amp;""(solid m3)"",SolidData,5,0))+(((C173/1000)*(D173/1000))*VLOOKUP(LEFT(KitchenCarcassMaterial,FIND(""("",KitchenCarcassMaterial)-1)&amp;IF(OR(ISERROR(FIND(""ply"",KitchenCarcassMaterial))=FALSE,IS"&amp;"ERROR(FIND(""H/F"",KitchenCarcassMaterial))=FALSE),""(9mm)"",""(10mm)""),SheetsData,8,0)),IF(ISERROR(FIND(""spacer"",A173))=FALSE,((D173/1000)*(C173/1000))*VLOOKUP(""Poplar ply (18mm)"",SheetsData,8,0),IF(ISERROR(FIND(""filler panel"",A173))=FALSE,((B173/"&amp;"1000)*(C173/1000))*VLOOKUP(KitchenDoorMaterial,SheetsData,8,0),IF(ISERROR(FIND(""shelf"",A173))=FALSE,((D173/1000)*(C173/1000))*VLOOKUP(KitchenCarcassMaterial,SheetsData,8,0),IF(ISERROR(FIND(""lost corner"",A173))=FALSE,VLOOKUP(LEFT(A173,FIND("" "",A173))"&amp;"&amp;""carcass ""&amp;VALUE(REGEXREPLACE(A173,""[^[:digit:]]"", """")),KitchensData,5,0)+((((B173/1000)*(C173/1000))+((B173/1000)*(60/1000)))*VLOOKUP(KitchenCarcassMaterial,SheetsData,8,0)),IF(ISERROR(FIND(""carcass"",A173))=FALSE,(((((B173/1000)*2)*(D173/1000))+"&amp;"(((C173/1000)*2)*(D173/1000)))*VLOOKUP(KitchenCarcassMaterial,SheetsData,8,0))+((B173/1000)*(C173/1000))*VLOOKUP(LEFT(KitchenCarcassMaterial,FIND(""("",KitchenCarcassMaterial)-1)&amp;IF(OR(ISERROR(FIND(""ply"",KitchenCarcassMaterial))=FALSE,ISERROR(FIND(""H/F"&amp;""",KitchenCarcassMaterial))=FALSE),""(9mm)"",""(10mm)""),SheetsData,8,0),IF(OR(ISERROR(FIND(""Plinth"",A173))=FALSE,ISERROR(FIND(""Cornice (flat)"",A173))=FALSE),((B173/1000)*(C173/1000))*VLOOKUP(""H/F (18mm)"",SheetsData,8,0),IF(ISERROR(FIND(""Cornice (s"&amp;"tacked)"",A173))=FALSE,((0.08*(C173/1000))*2)*VLOOKUP(""H/F (22mm)"",SheetsData,8,0),IF(ISERROR(FIND(""Base end panel"",A173))=FALSE,VLOOKUP(KitchenDoorMaterial,SheetsData,5,0)/3,IF(ISERROR(FIND(""Wall end panel"",A173))=FALSE,VLOOKUP(KitchenDoorMaterial,"&amp;"SheetsData,5,0)/9,IF(ISERROR(FIND(""Tower end panel"",A173))=FALSE,VLOOKUP(KitchenDoorMaterial,SheetsData,5,0),IF(ISERROR(FIND(""Fillers"",A173))=FALSE,(((0.06*(C173/1000))*2)*VLOOKUP(""H/F (18mm)"",SheetsData,8,0))+(((0.06*(C173/1000))*2)*VLOOKUP(""H/F ("&amp;"9mm)"",SheetsData,8,0)),IF(ISERROR(FIND(""corner post"",A173))=FALSE,(((B173/1000)*0.05)*2)*VLOOKUP(KitchenDoorMaterial,SheetsData,8,0),IF(ISERROR(FIND(""Pelmet"",A173))=FALSE,((((B173/1000)*(C173/1000))*2)*VLOOKUP(""H/F (18mm)"",SheetsData,8,0)),IF(ISERR"&amp;"OR(FIND(""door"",A173))=TRUE,""Check description"",IF(KitchenDoorStyle=""Flat"",((B173/1000)*(C173/1000))*VLOOKUP(KitchenDoorMaterial,SheetsData,8,0),IF(LEFT(KitchenDoorStyle,5)=""Panel"",(((((B173/1000)*2)*0.08)+((((C173/1000)-0.16)*2)*0.08))*VLOOKUP(""H"&amp;"/F (22mm)"",SheetsData,8,0))+(((B173/1000)-0.14)*((C173/1000)-0.14)*VLOOKUP(""H/F (9mm)"",SheetsData,8,0)),IF(KitchenDoorStyle=""In-frame flat"",((((((B173/1000)*0.019)*0.038)+((((C173-38)/1000)*0.038)*0.038))*2)*VLOOKUP(""Tulip (solid m3)"",SolidData,5,0"&amp;"))+(((B173-76)/1000)*((C173-38)/1000))*VLOOKUP(""H/F (22mm)"",SheetsData,8,0),IF(LEFT(KitchenDoorStyle,14)=""In-frame panel"",(((((((B173/1000)*0.019)*0.038)+((((C173-38)/1000)*0.038)*0.038))*2)*VLOOKUP(""Tulip (solid m3)"",SolidData,5,0))+(((((((B173-76)"&amp;"/1000)*2)*0.08)+(((((C173-198)/1000)*2)*0.08)))*VLOOKUP(""H/F (22mm)"",SheetsData,8,0))+(((B173-216)/1000)*((C173-178)/1000)*VLOOKUP(""H/F (9mm)"",SheetsData,8,0)))))))))))))))))))))))))))))))))"),"")</f>
        <v/>
      </c>
      <c r="F173" s="152" t="str">
        <f>IFERROR(__xludf.DUMMYFUNCTION("IF(OR(A173="""",AND(ISERROR(FIND(""drawer box"",A173))=FALSE,KitchenDrawerType=""Solid dovetail"")),"""",IF(ISERROR(FIND(""bins"",A173))=FALSE,VLOOKUP(""Base carcass 600"",KitchensData,6,0),IF(OR(ISERROR(FIND(""larder"",A173))=FALSE,ISERROR(FIND(""unit"","&amp;"A173))=FALSE),VLOOKUP(LEFT(A173,FIND("" "",A173))&amp;""carcass ""&amp;RIGHT(A173,LEN(A173)-len(regexextract(A173,"".* ""))),KitchensData,6,0),IF(ISERROR(FIND(""drawer front"",A173))=FALSE,IF(ISERROR(FIND(""veneer"",KitchenCarcassMaterial))=TRUE,0,(((B173+C173)/1"&amp;"000)*2)*VLOOKUP(""Edge banding (per M)"",SheetsData,5,0)),IF(ISERROR(FIND(""drawer box"",A173))=FALSE,IF(ISERROR(FIND(""veneer"",KitchenCarcassMaterial))=TRUE,0,(((C173+D173)/1000)*2)*VLOOKUP(""Edge banding (per M)"",SheetsData,5,0)),IF(ISERROR(FIND(""she"&amp;"lf"",A173))=FALSE,IF(ISERROR(FIND(""veneer"",KitchenCarcassMaterial))=TRUE,0,(C173/1000)*VLOOKUP(""Edge banding (per M)"",SheetsData,5,0)),IF(AND(ISERROR(FIND(""carcass"",A173))=FALSE,ISERROR(FIND(""shelf"",A173))=TRUE),IF(ISERROR(FIND(""veneer"",KitchenC"&amp;"arcassMaterial))=TRUE,0,((2*(B173+C173))/1000)*VLOOKUP(""Edge banding (per M)"",SheetsData,5,0)),IF(ISERROR(FIND(""door"",A173))=TRUE,"""",IF(ISERROR(FIND(""veneer"",KitchenDoorMaterial))=TRUE,"""",((2*(B173+C173))/1000)*VLOOKUP(""Edge banding (per M)"",S"&amp;"heetsData,5,0))))))))))"),"")</f>
        <v/>
      </c>
      <c r="G173" s="153" t="str">
        <f>IF(A173="","",IF(ISERROR(FIND("bins",A173))=FALSE,VLOOKUP("Base carcass 600",KitchensData,7,0),IF(OR(ISERROR(FIND("larder",A173))=FALSE,ISERROR(FIND("fridge/freezer",A173))=FALSE,ISERROR(FIND("double oven",A173))=FALSE,ISERROR(FIND("single oven",A173))=FALSE),VLOOKUP(LEFT(A173,FIND(" ",A173))&amp;"carcass "&amp;RIGHT(A173,LEN(A173)-(LEN(A173)-3)),KitchensData,7,0),IF(AND(ISERROR(FIND("carcass",A173))=FALSE,ISERROR(FIND("shelf",A173))=TRUE),IF(OR(ISERROR(FIND("Base",A173))=FALSE,ISERROR(FIND("Tower",A173))=FALSE),IF(OR(ISERROR(FIND("1200",A173))=FALSE, ISERROR(FIND("lost corner",A173))=FALSE),6*VLOOKUP("Plinth foot (2 Parts 80mm)",FurnitureData,5,0),4*VLOOKUP("Plinth foot (2 Parts 80mm)",FurnitureData,5,0)),""),""))))</f>
        <v/>
      </c>
      <c r="H173" s="115" t="str">
        <f>IF(OR(A173="",ISERROR(FIND("door",A173))=TRUE),"",IF(ISERROR(FIND("Wall",A173))=FALSE,VLOOKUP("Hinges &amp; plates (Hettich thick door)",FurnitureData,5,0)*2,IF(ISERROR(FIND("Base",A173))=FALSE,VLOOKUP("Hinges &amp; plates (Hettich thick door)",FurnitureData,5,0)*3,IF(ISERROR(FIND("Boiler",A173))=FALSE,VLOOKUP("Hinges &amp; plates (Hettich thick door)",FurnitureData,5,0)*4,IF(ISERROR(FIND("Tower",A173))=FALSE,VLOOKUP("Hinges &amp; plates (Hettich thick door)",FurnitureData,5,0)*5)))))</f>
        <v/>
      </c>
      <c r="I173" s="115" t="str">
        <f>IF(ISERROR(FIND("shelf",A173))=FALSE,(VLOOKUP("Shelf pegs",FurnitureData,5,0)/100)*4,"")</f>
        <v/>
      </c>
      <c r="J173" s="152" t="str">
        <f>IF(OR(ISERROR(FIND("fridge/freezer",A173))=FALSE,ISERROR(FIND("larder",A173))=FALSE,AND(ISERROR(FIND("Base",A173))=FALSE,ISERROR(FIND("bins",A173))=TRUE,ISERROR(FIND("no shelves",A173))=TRUE,OR(ISERROR(FIND("carcass",A173))=FALSE,ISERROR(FIND("unit",A173))=FALSE))),VLOOKUP("Deep shelf "&amp;C173,KitchensData,18,0),IF(AND(ISERROR(FIND("Wall",A173))=FALSE,ISERROR(FIND("carcass",A173))=FALSE),2*VLOOKUP("Shallow shelf "&amp;C173,KitchensData,18,0),IF(AND(ISERROR(FIND("Tower",A173))=FALSE,ISERROR(FIND("oven",A173))=FALSE),4*VLOOKUP("Deep shelf "&amp;C173,KitchensData,18,0),IF(AND(ISERROR(FIND("Tower",A173))=FALSE,ISERROR(FIND("carcass",A173))=FALSE),5*VLOOKUP("Deep shelf "&amp;C173,KitchensData,18,0),""))))</f>
        <v/>
      </c>
      <c r="K173" s="152" t="str">
        <f>IF(ISERROR(FIND("sink",A173))=FALSE,VLOOKUP("Sink liner - Aluminium "&amp;RIGHT(A173,LEN(A173)-22)&amp;"mm",ExceptionalData,5,0),IF(ISERROR(FIND("bins",A173))=FALSE,VLOOKUP("Drawer runners and clip set for bin unit (500) Dynapro",FurnitureData,5,0)+(2*VLOOKUP("Bin (42L Anthracite)",FurnitureData,5,0)),IF(ISERROR(FIND("larder",A173))=FALSE,VLOOKUP("Pull out larder unit 600mm",FurnitureData,5,0),IF(AND(ISERROR(FIND("drawer box",A173))=FALSE,ISERROR(FIND("internal",A173))=TRUE),VLOOKUP("Drawer runners and clip set (550) Dynapro",FurnitureData,5,0),IF(ISERROR(FIND("internal drawer box",A173))=FALSE,VLOOKUP("Drawer runners and clip set (450) Dynapro",FurnitureData,5,0),"")))))</f>
        <v/>
      </c>
      <c r="L173" s="152" t="str">
        <f t="shared" si="3"/>
        <v/>
      </c>
      <c r="M173" s="154" t="str">
        <f>IFERROR(__xludf.DUMMYFUNCTION("IF(A173="""","""",IF(OR(ISERROR(FIND(""larder"",A173))=FALSE,ISERROR(FIND(""unit"",A173))=FALSE),VLOOKUP(LEFT(A173,FIND("" "",A173))&amp;""carcass ""&amp;RIGHT(A173,LEN(A173)-len(regexextract(A173,"".* ""))),KitchensData,13,0),IF(ISERROR(FIND(""bins"",A173))=FALS"&amp;"E,0.95,IF(ISERROR(FIND(""Cutlery insert 600"",A173))=FALSE,1.3,IF(ISERROR(FIND(""Cutlery insert 1200"",A173))=FALSE,2,IF(ISERROR(FIND(""Pan/tray rack 600"",A173))=FALSE,3.25,IF(ISERROR(FIND(""Pan/tray rack 1200"",A173))=FALSE,5.9,IF(ISERROR(FIND(""split"""&amp;",A173))=FALSE,(((C173/1000)*0.022)*2)+VLOOKUP(SUBSTITUTE(A173,"" split"",""""),KitchensData,13,0),IF(AND(ISERROR(FIND(""drawer front"",A173))=FALSE,KitchenDoorStyle=""Flat""),(((B173/1000)*(C173/1000))*2)+((((B173+C173)/1000)*2)*0.022),IF(AND(ISERROR(FIND"&amp;"(""drawer front"",A173))=FALSE,LEFT(KitchenDoorStyle,5)=""Panel""),(((B173/1000)*(C173/1000))*2)+((((B173+C173)/1000)*2)*0.022)+((((C173/1000)-0.16)*0.013)*2)+((((D173/1000)-0.16)*0.013)*2),IF(AND(ISERROR(FIND(""drawer front"",A173))=FALSE,KitchenDoorStyl"&amp;"e=""In-frame flat""),((((B173-76)/1000)*((C173-38)/1000))*2)+(MID(KitchenDoorMaterial,FIND(""("",KitchenDoorMaterial)+1,2)/1000)*((((B173-76)+(C173-38))/1000)*2)+(((B173/1000)*0.032)*2)+((((B173-76)/1000)*0.032)*2)+(((B173/1000)*0.019)*4)+(((C173/1000)*0."&amp;"032)*2)+((((C173-38)/1000)*0.032)*2)+(((C173/1000)*0.038)*4),IF(AND(ISERROR(FIND(""drawer front"",A173))=FALSE,LEFT(KitchenDoorStyle,14)=""In-frame panel""),((((B173-76)/1000)*((C173-38)/1000))*2)+((MID(KitchenDoorMaterial,FIND(""("",KitchenDoorMaterial)+"&amp;"1,2)/1000)*((((B173-76)+(C173-38))/1000)*2))+((((B173-236)/1000)+((C173-198)/1000)*2)*0.013)+(((B173/1000)*0.032)*2)+((((B173-76)/1000)*0.032)*2)+(((B173/1000)*0.019)*4)+(((C173/1000)*0.032)*2)+((((C173-38)/1000)*0.032)*2)+(((C173/1000)*0.038)*4),IF(ISERR"&amp;"OR(FIND(""drawer box"",A173))=FALSE,((((B173/1000)*(D173/1000))+((B173/1000)*(C173/1000)))*4)+((((D173/1000)+(C173/1000))*0.016)*4)+(((C173/1000)*(D173/1000))*2),IF(OR(ISERROR(FIND(""shelf"",A173))=FALSE,ISERROR(FIND(""spacer"",A173))=FALSE,,ISERROR(FIND("&amp;"""filler panel"",A173))=FALSE),(((C173/1000)*(D173/1000))*2)+((((C173+D173)*2)/1000)*0.022),IF(ISERROR(FIND(""lost corner"",A173))=FALSE,(((B173/1000)*(C173/1000))*2)+((B173/1000)*(C173/1000))+((B173/1000)*((C173/2)/1000))+((((B173/1000)*0.025)+((C173/100"&amp;"0)*0.025))*2),IF(ISERROR(FIND(""carcass"",A173))=FALSE,(((C173/1000)*(D173/1000))*2)+(((B173/1000)*(D173/1000))*2)+((B173/1000)*(C173/1000))+((((B173/1000)*0.025)+((C173/1000)*0.025))*2),IF(AND(ISERROR(FIND(""door"",A173))=FALSE,KitchenDoorStyle=""Flat"")"&amp;",(((B173/1000)*(C173/1000))*2)+(MID(KitchenDoorMaterial,FIND(""("",KitchenDoorMaterial)+1,2)/1000)*(((B173+C173)/1000)*2),IF(AND(ISERROR(FIND(""door"",A173))=FALSE,LEFT(KitchenDoorStyle,5)=""Panel""),(((B173/1000)*(C173/1000))*2)+((MID(KitchenDoorMaterial"&amp;",FIND(""("",KitchenDoorMaterial)+1,2)/1000)*(((B173+C173)/1000)*2))+(((((B173-160)+(C173-160))*2)/1000)*(0.013)),IF(AND(ISERROR(FIND(""door"",A173))=FALSE,KitchenDoorStyle=""In-frame flat""),((((B173-76)/1000)*((C173-38)/1000))*2)+(MID(KitchenDoorMaterial"&amp;",FIND(""("",KitchenDoorMaterial)+1,2)/1000)*((((B173-76)+(C173-38))/1000)*2)+(((B173/1000)*0.032)*2)+((((B173-76)/1000)*0.032)*2)+(((B173/1000)*0.019)*4)+(((C173/1000)*0.032)*2)+((((C173-38)/1000)*0.032)*2)+(((C173/1000)*0.038)*4),IF(AND(ISERROR(FIND(""do"&amp;"or"",A173))=FALSE,LEFT(KitchenDoorStyle,14)=""In-frame panel""),((((B173-76)/1000)*((C173-38)/1000))*2)+((MID(KitchenDoorMaterial,FIND(""("",KitchenDoorMaterial)+1,2)/1000)*((((B173-76)+(C173-38))/1000)*2))+((((B173-236)/1000)+((C173-198)/1000)*2)*0.013)+"&amp;"(((B173/1000)*0.032)*2)+((((B173-76)/1000)*0.032)*2)+(((B173/1000)*0.019)*4)+(((C173/1000)*0.032)*2)+((((C173-38)/1000)*0.032)*2)+(((C173/1000)*0.038)*4),IF(ISERROR(FIND(""Plinth"",A173))=FALSE,((B173/1000)*(C173/1000))+(((C173/1000)*0.018)*2)+(((B173/100"&amp;"0)*0.018)*2),IF(ISERROR(FIND(""Cornice"",A173))=FALSE,(((C173/1000)*0.1)*2)+(((C173/1000)*0.044)*2)+(((B173/1000)*0.08)*2),IF(ISERROR(FIND(""Base end panel"",A173))=FALSE,((B173/1000)*(C173/1000))+(0.022*((B173/1000)+((C173/1000)*2)))+((B173/1000)*0.05),I"&amp;"F(ISERROR(FIND(""Wall end panel"",A173))=FALSE,((B173/1000)*(C173/1000))+(0.022*((B173/1000)+((C173/1000)*2)))+((B173/1000)*0.05),IF(ISERROR(FIND(""Tower end panel"",A173))=FALSE,((B173/1000)*(C173/1000))+(0.022*((B173/1000)+((C173/1000)*2)))+((B173/1000)"&amp;"*0.05),IF(ISERROR(FIND(""Fillers"",A173))=FALSE,((C173/1000)*0.06)+((C173/1000)*0.069)+((0.06*0.018)*2)+((0.06*0.009)*2)+((C173/1000)*0.009)+((C173/1000)*0.018),IF(ISERROR(FIND(""corner post"",A173))=FALSE,(((B173/1000*0.05)*2)+((B173/1000)*0.022)*2)+((B1"&amp;"73/1000)*0.072)+((B173/1000)*0.05)+((0.072*0.022)*2)+((0.05*0.022)*2),IF(ISERROR(FIND(""Pelmet"",A173))=FALSE,((C173/1000)*0.05)+((C173/1000)*0.068)+((0.05*0.018)*4)+(((C173/1000)*0.018))*2))))))))))))))))))))))))))))"),"")</f>
        <v/>
      </c>
      <c r="N173" s="152" t="str">
        <f>IF(M173="","",IF(AND(ISERROR(FIND("carcass",A173))=TRUE,ISERROR(FIND("unit",A173))=TRUE,ISERROR(FIND("insert",A173))=TRUE,ISERROR(FIND("rack",A173))=TRUE,ISERROR(FIND("box",A173))=TRUE,ISERROR(FIND("shelf",#REF!))=TRUE),VLOOKUP(KitchenDoorFinish,Finishing!$A$2:$K$10,9,0)*M173,VLOOKUP(KitchenCarcassFinish,Finishing!$A$2:$K$40,9,0)*M173))</f>
        <v/>
      </c>
      <c r="O173" s="155"/>
      <c r="P173" s="155"/>
      <c r="Q173" s="152" t="str">
        <f>IF(OR(O173="",P173=""),"",((O173*X173)*(VLOOKUP("Workshop",Labour!$A$3:$E$20,4,0)/8))+((P173*AE173)*(VLOOKUP("Finishing",Labour!$A$3:$E$20,4,0)/8)))</f>
        <v/>
      </c>
      <c r="R173" s="152" t="str">
        <f t="shared" si="4"/>
        <v/>
      </c>
      <c r="S173" s="156" t="str">
        <f>IF(OR(O173="",P173=""),"",IF(OR(ISERROR(FIND("carcass",$A173))=FALSE,ISERROR(FIND("unit",$A173))=FALSE),VLOOKUP(KitchenCarcassMaterial,FixedListsCarcassMaterial,2,0),0))</f>
        <v/>
      </c>
      <c r="T173" s="156" t="str">
        <f>IF(OR(O173="",P173=""),"",IF(ISERROR(FIND("door",$A173))=FALSE,VLOOKUP(KitchenDoorStyle,FixedListsDoorStyle,2,0),0))</f>
        <v/>
      </c>
      <c r="U173" s="156" t="str">
        <f>IF(OR(O173="",P173=""),"",IF(ISERROR(FIND("door",$A173))=FALSE,VLOOKUP(KitchenDoorMaterial,FixedListsDoorMaterial,2,0),0))</f>
        <v/>
      </c>
      <c r="V173" s="156" t="str">
        <f>IF(OR(O173="",P173=""),"",IF(ISERROR(FIND("drawer",$A173))=FALSE,VLOOKUP(KitchenDrawerType,FixedListsDrawerType,2,0),0))</f>
        <v/>
      </c>
      <c r="W173" s="156" t="str">
        <f>IF(OR(O173="",P173=""),"",IF(OR(S173&gt;0, T173&gt;0,V173&gt;0),VLOOKUP(KitchenHandleType,FixedListsHandleType,2,FALSE)*IF(KitchenHandleType="Simple",0,IF(S173&gt;0,VLOOKUP(KitchenHandleType,FixedListsHandleType,4,FALSE),IF(OR(T173&gt;0,V173&gt;0),1-VLOOKUP(KitchenHandleType,FixedListsHandleType,4,FALSE),"Error"))),0))</f>
        <v/>
      </c>
      <c r="X173" s="156" t="str">
        <f t="shared" si="5"/>
        <v/>
      </c>
      <c r="Y173" s="156" t="str">
        <f>IF(OR(O173="",P173=""),"",IF(OR(ISERROR(FIND("carcass",$A173))=FALSE,ISERROR(FIND("unit",$A173))=FALSE),VLOOKUP(KitchenCarcassMaterial,FixedListsCarcassMaterial,3,0),0))</f>
        <v/>
      </c>
      <c r="Z173" s="156" t="str">
        <f>IF(OR(O173="",P173=""),"",IF(ISERROR(FIND("door",$A173))=FALSE,VLOOKUP(KitchenDoorStyle,FixedListsDoorStyle,3,0),0))</f>
        <v/>
      </c>
      <c r="AA173" s="156" t="str">
        <f>IF(OR(O173="",P173=""),"",IF(ISERROR(FIND("door",$A173))=FALSE,VLOOKUP(KitchenDoorMaterial,FixedListsDoorMaterial,3,0),0))</f>
        <v/>
      </c>
      <c r="AB173" s="156" t="str">
        <f>IF(OR(O173="",P173=""),"",IF(ISERROR(FIND("drawer",$A173))=FALSE,VLOOKUP(KitchenDrawerType,FixedListsDrawerType,3,0),0))</f>
        <v/>
      </c>
      <c r="AC173" s="156" t="str">
        <f>IF(OR(O173="",P173=""),"",IF(OR(Y173&gt;0,Z173&gt;0,AB173&gt;0),VLOOKUP(KitchenHandleType,FixedListsHandleType,3,FALSE),0))</f>
        <v/>
      </c>
      <c r="AD173" s="156" t="str">
        <f>IF(OR(O173="",P173=""),"",IF(OR(ISERROR(FIND("carcass",$A173))=FALSE,ISERROR(FIND("unit",$A173))=FALSE),VLOOKUP(KitchenCarcassFinish,FixedListsFinishes,3,0),IF(OR(ISERROR(FIND("door",$A173))=FALSE,ISERROR(FIND("Plinth",$A173))=FALSE,ISERROR(FIND("Cornice",$A173))=FALSE,ISERROR(FIND("Fillers",$A173))=FALSE,ISERROR(FIND("Pelmet",$A173))=FALSE,ISERROR(FIND("panel",$A173))=FALSE,ISERROR(FIND("post",$A173))=FALSE),VLOOKUP(KitchenDoorFinish,FixedListsFinishes,3,0),IF(OR(ISERROR(FIND("drawer",$A173))=FALSE,ISERROR(FIND("insert",$A173))=FALSE,ISERROR(FIND("rck",$A173))=FALSE),VLOOKUP(KitchenCarcassFinish,FixedListsFinishes,3,0),0))))</f>
        <v/>
      </c>
      <c r="AE173" s="156" t="str">
        <f t="shared" si="6"/>
        <v/>
      </c>
      <c r="AF173" s="157" t="str">
        <f>IF(AND(KitchenHandleType="Channel",OR(ISERROR(FIND("arcass",$A173))=FALSE,ISERROR(FIND("unit",$A173))=FALSE)),IF(ISERROR(FIND("Tower",$A173))=TRUE,IF(KitchenHandleFinish="Match carcass",IF(ISERROR(FIND("Walnut",KitchenCarcassMaterial))=FALSE,(0.035*0.075*($C173/1000))*VLOOKUP("Walnut (solid m3)",SolidData,4,FALSE),IF(ISERROR(FIND("Oak",KitchenCarcassMaterial))=FALSE,(0.035*0.075*($C173/1000))*VLOOKUP("Oak (solid m3)",SolidData,4,FALSE),IF(ISERROR(FIND("ply",KitchenCarcassMaterial))=FALSE,(0.1*($C173/1000))*VLOOKUP("Birch ply (24mm)",SheetsData,7,FALSE),IF(ISERROR(FIND("H/F",KitchenCarcassMaterial))=FALSE,(0.1*($C173/1000))*VLOOKUP("H/F (22mm)",SheetsData,7,FALSE),"Carcass - not tower - new material")))),IF(KitchenHandleFinish="Match door",IF(ISERROR(FIND("Walnut",KitchenDoorMaterial))=FALSE,(0.035*0.075*($C173/1000))*VLOOKUP("Walnut (solid m3)",SolidData,4,FALSE),IF(ISERROR(FIND("Oak",KitchenDoorMaterial))=FALSE,(0.035*0.075*($C173/1000))*VLOOKUP("Oak (solid m3)",SolidData,4,FALSE),IF(ISERROR(FIND("ply",KitchenDoorMaterial))=FALSE,(0.1*($C173/1000))*VLOOKUP("Birch ply (24mm)",SheetsData,7,FALSE),IF(ISERROR(FIND("H/F",KitchenCarcassMaterial))=FALSE,(0.1*($C173/1000))*VLOOKUP("H/F (22mm)",SheetsData,7,FALSE),"Door - not tower - new material")))),"Channel - not tower - handle set to other")),IF(ISERROR(FIND("Tower",$A173))=FALSE,IF(KitchenHandleFinish="Match carcass",IF(ISERROR(FIND("Walnut",KitchenCarcassMaterial))=FALSE,(0.035*0.075*($B173/1000))*VLOOKUP("Walnut (solid m3)",SolidData,4,FALSE),IF(ISERROR(FIND("Oak",KitchenCarcassMaterial))=FALSE,(0.035*0.075*($B173/1000))*VLOOKUP("Oak (solid m3)",SolidData,4,FALSE),IF(ISERROR(FIND("ply",KitchenCarcassMaterial))=FALSE,(0.1*($B173/1000))*VLOOKUP("Birch ply (24mm)",SheetsData,7,FALSE),IF(ISERROR(FIND("H/F",KitchenCarcassMaterial))=FALSE,(0.1*($C173/1000))*VLOOKUP("H/F (22mm)",SheetsData,7,FALSE),"Carcass - tower - new material")))),IF(KitchenHandleFinish="Match door",IF(ISERROR(FIND("Walnut",KitchenDoorMaterial))=FALSE,(0.035*0.075*($B173/1000))*VLOOKUP("Walnut (solid m3)",SolidData,4,FALSE),IF(ISERROR(FIND("Oak",KitchenDoorMaterial))=FALSE,(0.035*0.075*($B173/1000))*VLOOKUP("Oak (solid m3)",SolidData,4,FALSE),IF(ISERROR(FIND("ply",KitchenDoorMaterial))=FALSE,(0.1*($B173/1000))*VLOOKUP("Birch ply (24mm)",SheetData,7,FALSE),IF(ISERROR(FIND("H/F",KitchenCarcassMaterial))=FALSE,(0.1*($C173/1000))*VLOOKUP("H/F (22mm)",SheetsData,7,FALSE),"Door - tower - new material")))),"Channel - tower - handle set to other")))),"")</f>
        <v/>
      </c>
    </row>
    <row r="174">
      <c r="A174" s="150"/>
      <c r="B174" s="115" t="str">
        <f t="shared" si="1"/>
        <v/>
      </c>
      <c r="C174" s="115" t="str">
        <f>IFERROR(__xludf.DUMMYFUNCTION("IF(A174="""","""",IF(OR(RIGHT(A174,LEN(A174)-len(regexextract(A174,"".* "")))=""1200"",RIGHT(A174,LEN(A174)-len(regexextract(A174,"".* "")))=""600"",RIGHT(A174,LEN(A174)-len(regexextract(A174,"".* "")))=""400"",RIGHT(A174,LEN(A174)-len(regexextract(A174,"&amp;""".* "")))=""300"",RIGHT(A174,LEN(A174)-len(regexextract(A174,"".* "")))=""700"",RIGHT(A174,LEN(A174)-len(regexextract(A174,"".* "")))=""2400"",RIGHT(A174,LEN(A174)-len(regexextract(A174,"".* "")))=""650"",RIGHT(A174,LEN(A174)-len(regexextract(A174,"".* "&amp;""")))=""350"",RIGHT(A174,LEN(A174)-len(regexextract(A174,"".* "")))=""50""),RIGHT(A174,LEN(A174)-len(regexextract(A174,"".* ""))),IF(OR(ISERROR(FIND(""spacer"",A174))=FALSE,ISERROR(FIND(""filler panel"",A174))=FALSE),""1000"",""Unexpected size in descript"&amp;"ion"")))"),"")</f>
        <v/>
      </c>
      <c r="D174" s="151" t="str">
        <f t="shared" si="2"/>
        <v/>
      </c>
      <c r="E174" s="152" t="str">
        <f>IFERROR(__xludf.DUMMYFUNCTION("IF(OR(A174="""",AND(ISERROR(FIND(""drawer box"",A174))=FALSE,KitchenDrawerType="""")),"""",IF(OR(ISERROR(FIND(""larder"",A174))=FALSE,ISERROR(FIND(""fridge/freezer"",A174))=FALSE,ISERROR(FIND(""double oven"",A174))=FALSE,ISERROR(FIND(""single oven"",A174)"&amp;")=FALSE),VLOOKUP(LEFT(A174,FIND("" "",A174))&amp;""carcass ""&amp;RIGHT(A174,LEN(A174)-(LEN(A174)-3)),KitchensData,5,0),IF(ISERROR(FIND(""sink"",A174))=FALSE,VLOOKUP(LEFT(A174,FIND("" "",A174))&amp;""carcass ""&amp;VALUE(REGEXREPLACE(A174,""[^[:digit:]]"", """")),Kitchen"&amp;"sData,5,0)+(((C174/1000)*(300/1000))*VLOOKUP(KitchenCarcassMaterial,SheetsData,8,0)),IF(ISERROR(FIND(""bins"",A174))=FALSE,IF(ISERROR(FIND(""veneer"",KitchenCarcassMaterial))=FALSE,VLOOKUP(""Base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600"",A174))=FALSE,IF(ISERR"&amp;"OR(FIND(""veneer"",KitchenCarcassMaterial))=FALSE,0.54*(VLOOKUP(LEFT(KitchenCarcassMaterial,FIND(""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1"&amp;"200"",A174))=FALSE,IF(ISERROR(FIND(""veneer"",KitchenCarcassMaterial))=FALSE,0.84*(VLOOKUP(LEFT(KitchenCarcassMaterial,FIND(""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600"",A174))=FALSE,IF(ISERROR(FIND(""veneer"",KitchenCarcassMaterial))=FALSE,1.44*(VLOOKUP(LEFT(KitchenCarcassMaterial,FIND(""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1200"",A174))=FALSE,IF(ISERROR(FIND(""veneer"",KitchenCarcassMaterial))=FALSE,2.7*(VLOOKUP(LEFT(KitchenCarcassMaterial,FIND(""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front"",A174))=FALSE,((B174/1000)*(C174/1000))*VLOOKUP(KitchenDoorMaterial,SheetsData,8,0),IF(AND(KitchenDrawerType=""Match carcass"",ISERROR(FIND(""drawer box"",A174))=FALSE),(((((B174/10"&amp;"00)*(C174/1000))+((B174/1000)*(D174/1000)))*2)*VLOOKUP(KitchenCarcassMaterial,SheetsData,8,0))+(((C174/1000)*(D174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box"",A174))=FALSE),(((((B174/1000)*(C174/1000))+((B174/1000)*(D174/1000)))*2)*(16/1000)*VLOOKUP(L"&amp;"EFT(KitchenCarcassMaterial,FIND("" "",KitchenCarcassMaterial))&amp;""(solid m3)"",SolidData,5,0))+(((C174/1000)*(D174/1000))*VLOOKUP(LEFT(KitchenCarcassMaterial,FIND(""("",KitchenCarcassMaterial)-1)&amp;IF(OR(ISERROR(FIND(""ply"",KitchenCarcassMaterial))=FALSE,IS"&amp;"ERROR(FIND(""H/F"",KitchenCarcassMaterial))=FALSE),""(9mm)"",""(10mm)""),SheetsData,8,0)),IF(ISERROR(FIND(""spacer"",A174))=FALSE,((D174/1000)*(C174/1000))*VLOOKUP(""Poplar ply (18mm)"",SheetsData,8,0),IF(ISERROR(FIND(""filler panel"",A174))=FALSE,((B174/"&amp;"1000)*(C174/1000))*VLOOKUP(KitchenDoorMaterial,SheetsData,8,0),IF(ISERROR(FIND(""shelf"",A174))=FALSE,((D174/1000)*(C174/1000))*VLOOKUP(KitchenCarcassMaterial,SheetsData,8,0),IF(ISERROR(FIND(""lost corner"",A174))=FALSE,VLOOKUP(LEFT(A174,FIND("" "",A174))"&amp;"&amp;""carcass ""&amp;VALUE(REGEXREPLACE(A174,""[^[:digit:]]"", """")),KitchensData,5,0)+((((B174/1000)*(C174/1000))+((B174/1000)*(60/1000)))*VLOOKUP(KitchenCarcassMaterial,SheetsData,8,0)),IF(ISERROR(FIND(""carcass"",A174))=FALSE,(((((B174/1000)*2)*(D174/1000))+"&amp;"(((C174/1000)*2)*(D174/1000)))*VLOOKUP(KitchenCarcassMaterial,SheetsData,8,0))+((B174/1000)*(C174/1000))*VLOOKUP(LEFT(KitchenCarcassMaterial,FIND(""("",KitchenCarcassMaterial)-1)&amp;IF(OR(ISERROR(FIND(""ply"",KitchenCarcassMaterial))=FALSE,ISERROR(FIND(""H/F"&amp;""",KitchenCarcassMaterial))=FALSE),""(9mm)"",""(10mm)""),SheetsData,8,0),IF(OR(ISERROR(FIND(""Plinth"",A174))=FALSE,ISERROR(FIND(""Cornice (flat)"",A174))=FALSE),((B174/1000)*(C174/1000))*VLOOKUP(""H/F (18mm)"",SheetsData,8,0),IF(ISERROR(FIND(""Cornice (s"&amp;"tacked)"",A174))=FALSE,((0.08*(C174/1000))*2)*VLOOKUP(""H/F (22mm)"",SheetsData,8,0),IF(ISERROR(FIND(""Base end panel"",A174))=FALSE,VLOOKUP(KitchenDoorMaterial,SheetsData,5,0)/3,IF(ISERROR(FIND(""Wall end panel"",A174))=FALSE,VLOOKUP(KitchenDoorMaterial,"&amp;"SheetsData,5,0)/9,IF(ISERROR(FIND(""Tower end panel"",A174))=FALSE,VLOOKUP(KitchenDoorMaterial,SheetsData,5,0),IF(ISERROR(FIND(""Fillers"",A174))=FALSE,(((0.06*(C174/1000))*2)*VLOOKUP(""H/F (18mm)"",SheetsData,8,0))+(((0.06*(C174/1000))*2)*VLOOKUP(""H/F ("&amp;"9mm)"",SheetsData,8,0)),IF(ISERROR(FIND(""corner post"",A174))=FALSE,(((B174/1000)*0.05)*2)*VLOOKUP(KitchenDoorMaterial,SheetsData,8,0),IF(ISERROR(FIND(""Pelmet"",A174))=FALSE,((((B174/1000)*(C174/1000))*2)*VLOOKUP(""H/F (18mm)"",SheetsData,8,0)),IF(ISERR"&amp;"OR(FIND(""door"",A174))=TRUE,""Check description"",IF(KitchenDoorStyle=""Flat"",((B174/1000)*(C174/1000))*VLOOKUP(KitchenDoorMaterial,SheetsData,8,0),IF(LEFT(KitchenDoorStyle,5)=""Panel"",(((((B174/1000)*2)*0.08)+((((C174/1000)-0.16)*2)*0.08))*VLOOKUP(""H"&amp;"/F (22mm)"",SheetsData,8,0))+(((B174/1000)-0.14)*((C174/1000)-0.14)*VLOOKUP(""H/F (9mm)"",SheetsData,8,0)),IF(KitchenDoorStyle=""In-frame flat"",((((((B174/1000)*0.019)*0.038)+((((C174-38)/1000)*0.038)*0.038))*2)*VLOOKUP(""Tulip (solid m3)"",SolidData,5,0"&amp;"))+(((B174-76)/1000)*((C174-38)/1000))*VLOOKUP(""H/F (22mm)"",SheetsData,8,0),IF(LEFT(KitchenDoorStyle,14)=""In-frame panel"",(((((((B174/1000)*0.019)*0.038)+((((C174-38)/1000)*0.038)*0.038))*2)*VLOOKUP(""Tulip (solid m3)"",SolidData,5,0))+(((((((B174-76)"&amp;"/1000)*2)*0.08)+(((((C174-198)/1000)*2)*0.08)))*VLOOKUP(""H/F (22mm)"",SheetsData,8,0))+(((B174-216)/1000)*((C174-178)/1000)*VLOOKUP(""H/F (9mm)"",SheetsData,8,0)))))))))))))))))))))))))))))))))"),"")</f>
        <v/>
      </c>
      <c r="F174" s="152" t="str">
        <f>IFERROR(__xludf.DUMMYFUNCTION("IF(OR(A174="""",AND(ISERROR(FIND(""drawer box"",A174))=FALSE,KitchenDrawerType=""Solid dovetail"")),"""",IF(ISERROR(FIND(""bins"",A174))=FALSE,VLOOKUP(""Base carcass 600"",KitchensData,6,0),IF(OR(ISERROR(FIND(""larder"",A174))=FALSE,ISERROR(FIND(""unit"","&amp;"A174))=FALSE),VLOOKUP(LEFT(A174,FIND("" "",A174))&amp;""carcass ""&amp;RIGHT(A174,LEN(A174)-len(regexextract(A174,"".* ""))),KitchensData,6,0),IF(ISERROR(FIND(""drawer front"",A174))=FALSE,IF(ISERROR(FIND(""veneer"",KitchenCarcassMaterial))=TRUE,0,(((B174+C174)/1"&amp;"000)*2)*VLOOKUP(""Edge banding (per M)"",SheetsData,5,0)),IF(ISERROR(FIND(""drawer box"",A174))=FALSE,IF(ISERROR(FIND(""veneer"",KitchenCarcassMaterial))=TRUE,0,(((C174+D174)/1000)*2)*VLOOKUP(""Edge banding (per M)"",SheetsData,5,0)),IF(ISERROR(FIND(""she"&amp;"lf"",A174))=FALSE,IF(ISERROR(FIND(""veneer"",KitchenCarcassMaterial))=TRUE,0,(C174/1000)*VLOOKUP(""Edge banding (per M)"",SheetsData,5,0)),IF(AND(ISERROR(FIND(""carcass"",A174))=FALSE,ISERROR(FIND(""shelf"",A174))=TRUE),IF(ISERROR(FIND(""veneer"",KitchenC"&amp;"arcassMaterial))=TRUE,0,((2*(B174+C174))/1000)*VLOOKUP(""Edge banding (per M)"",SheetsData,5,0)),IF(ISERROR(FIND(""door"",A174))=TRUE,"""",IF(ISERROR(FIND(""veneer"",KitchenDoorMaterial))=TRUE,"""",((2*(B174+C174))/1000)*VLOOKUP(""Edge banding (per M)"",S"&amp;"heetsData,5,0))))))))))"),"")</f>
        <v/>
      </c>
      <c r="G174" s="153" t="str">
        <f>IF(A174="","",IF(ISERROR(FIND("bins",A174))=FALSE,VLOOKUP("Base carcass 600",KitchensData,7,0),IF(OR(ISERROR(FIND("larder",A174))=FALSE,ISERROR(FIND("fridge/freezer",A174))=FALSE,ISERROR(FIND("double oven",A174))=FALSE,ISERROR(FIND("single oven",A174))=FALSE),VLOOKUP(LEFT(A174,FIND(" ",A174))&amp;"carcass "&amp;RIGHT(A174,LEN(A174)-(LEN(A174)-3)),KitchensData,7,0),IF(AND(ISERROR(FIND("carcass",A174))=FALSE,ISERROR(FIND("shelf",A174))=TRUE),IF(OR(ISERROR(FIND("Base",A174))=FALSE,ISERROR(FIND("Tower",A174))=FALSE),IF(OR(ISERROR(FIND("1200",A174))=FALSE, ISERROR(FIND("lost corner",A174))=FALSE),6*VLOOKUP("Plinth foot (2 Parts 80mm)",FurnitureData,5,0),4*VLOOKUP("Plinth foot (2 Parts 80mm)",FurnitureData,5,0)),""),""))))</f>
        <v/>
      </c>
      <c r="H174" s="115" t="str">
        <f>IF(OR(A174="",ISERROR(FIND("door",A174))=TRUE),"",IF(ISERROR(FIND("Wall",A174))=FALSE,VLOOKUP("Hinges &amp; plates (Hettich thick door)",FurnitureData,5,0)*2,IF(ISERROR(FIND("Base",A174))=FALSE,VLOOKUP("Hinges &amp; plates (Hettich thick door)",FurnitureData,5,0)*3,IF(ISERROR(FIND("Boiler",A174))=FALSE,VLOOKUP("Hinges &amp; plates (Hettich thick door)",FurnitureData,5,0)*4,IF(ISERROR(FIND("Tower",A174))=FALSE,VLOOKUP("Hinges &amp; plates (Hettich thick door)",FurnitureData,5,0)*5)))))</f>
        <v/>
      </c>
      <c r="I174" s="115" t="str">
        <f>IF(ISERROR(FIND("shelf",A174))=FALSE,(VLOOKUP("Shelf pegs",FurnitureData,5,0)/100)*4,"")</f>
        <v/>
      </c>
      <c r="J174" s="152" t="str">
        <f>IF(OR(ISERROR(FIND("fridge/freezer",A174))=FALSE,ISERROR(FIND("larder",A174))=FALSE,AND(ISERROR(FIND("Base",A174))=FALSE,ISERROR(FIND("bins",A174))=TRUE,ISERROR(FIND("no shelves",A174))=TRUE,OR(ISERROR(FIND("carcass",A174))=FALSE,ISERROR(FIND("unit",A174))=FALSE))),VLOOKUP("Deep shelf "&amp;C174,KitchensData,18,0),IF(AND(ISERROR(FIND("Wall",A174))=FALSE,ISERROR(FIND("carcass",A174))=FALSE),2*VLOOKUP("Shallow shelf "&amp;C174,KitchensData,18,0),IF(AND(ISERROR(FIND("Tower",A174))=FALSE,ISERROR(FIND("oven",A174))=FALSE),4*VLOOKUP("Deep shelf "&amp;C174,KitchensData,18,0),IF(AND(ISERROR(FIND("Tower",A174))=FALSE,ISERROR(FIND("carcass",A174))=FALSE),5*VLOOKUP("Deep shelf "&amp;C174,KitchensData,18,0),""))))</f>
        <v/>
      </c>
      <c r="K174" s="152" t="str">
        <f>IF(ISERROR(FIND("sink",A174))=FALSE,VLOOKUP("Sink liner - Aluminium "&amp;RIGHT(A174,LEN(A174)-22)&amp;"mm",ExceptionalData,5,0),IF(ISERROR(FIND("bins",A174))=FALSE,VLOOKUP("Drawer runners and clip set for bin unit (500) Dynapro",FurnitureData,5,0)+(2*VLOOKUP("Bin (42L Anthracite)",FurnitureData,5,0)),IF(ISERROR(FIND("larder",A174))=FALSE,VLOOKUP("Pull out larder unit 600mm",FurnitureData,5,0),IF(AND(ISERROR(FIND("drawer box",A174))=FALSE,ISERROR(FIND("internal",A174))=TRUE),VLOOKUP("Drawer runners and clip set (550) Dynapro",FurnitureData,5,0),IF(ISERROR(FIND("internal drawer box",A174))=FALSE,VLOOKUP("Drawer runners and clip set (450) Dynapro",FurnitureData,5,0),"")))))</f>
        <v/>
      </c>
      <c r="L174" s="152" t="str">
        <f t="shared" si="3"/>
        <v/>
      </c>
      <c r="M174" s="154" t="str">
        <f>IFERROR(__xludf.DUMMYFUNCTION("IF(A174="""","""",IF(OR(ISERROR(FIND(""larder"",A174))=FALSE,ISERROR(FIND(""unit"",A174))=FALSE),VLOOKUP(LEFT(A174,FIND("" "",A174))&amp;""carcass ""&amp;RIGHT(A174,LEN(A174)-len(regexextract(A174,"".* ""))),KitchensData,13,0),IF(ISERROR(FIND(""bins"",A174))=FALS"&amp;"E,0.95,IF(ISERROR(FIND(""Cutlery insert 600"",A174))=FALSE,1.3,IF(ISERROR(FIND(""Cutlery insert 1200"",A174))=FALSE,2,IF(ISERROR(FIND(""Pan/tray rack 600"",A174))=FALSE,3.25,IF(ISERROR(FIND(""Pan/tray rack 1200"",A174))=FALSE,5.9,IF(ISERROR(FIND(""split"""&amp;",A174))=FALSE,(((C174/1000)*0.022)*2)+VLOOKUP(SUBSTITUTE(A174,"" split"",""""),KitchensData,13,0),IF(AND(ISERROR(FIND(""drawer front"",A174))=FALSE,KitchenDoorStyle=""Flat""),(((B174/1000)*(C174/1000))*2)+((((B174+C174)/1000)*2)*0.022),IF(AND(ISERROR(FIND"&amp;"(""drawer front"",A174))=FALSE,LEFT(KitchenDoorStyle,5)=""Panel""),(((B174/1000)*(C174/1000))*2)+((((B174+C174)/1000)*2)*0.022)+((((C174/1000)-0.16)*0.013)*2)+((((D174/1000)-0.16)*0.013)*2),IF(AND(ISERROR(FIND(""drawer front"",A174))=FALSE,KitchenDoorStyl"&amp;"e=""In-frame flat""),((((B174-76)/1000)*((C174-38)/1000))*2)+(MID(KitchenDoorMaterial,FIND(""("",KitchenDoorMaterial)+1,2)/1000)*((((B174-76)+(C174-38))/1000)*2)+(((B174/1000)*0.032)*2)+((((B174-76)/1000)*0.032)*2)+(((B174/1000)*0.019)*4)+(((C174/1000)*0."&amp;"032)*2)+((((C174-38)/1000)*0.032)*2)+(((C174/1000)*0.038)*4),IF(AND(ISERROR(FIND(""drawer front"",A174))=FALSE,LEFT(KitchenDoorStyle,14)=""In-frame panel""),((((B174-76)/1000)*((C174-38)/1000))*2)+((MID(KitchenDoorMaterial,FIND(""("",KitchenDoorMaterial)+"&amp;"1,2)/1000)*((((B174-76)+(C174-38))/1000)*2))+((((B174-236)/1000)+((C174-198)/1000)*2)*0.013)+(((B174/1000)*0.032)*2)+((((B174-76)/1000)*0.032)*2)+(((B174/1000)*0.019)*4)+(((C174/1000)*0.032)*2)+((((C174-38)/1000)*0.032)*2)+(((C174/1000)*0.038)*4),IF(ISERR"&amp;"OR(FIND(""drawer box"",A174))=FALSE,((((B174/1000)*(D174/1000))+((B174/1000)*(C174/1000)))*4)+((((D174/1000)+(C174/1000))*0.016)*4)+(((C174/1000)*(D174/1000))*2),IF(OR(ISERROR(FIND(""shelf"",A174))=FALSE,ISERROR(FIND(""spacer"",A174))=FALSE,,ISERROR(FIND("&amp;"""filler panel"",A174))=FALSE),(((C174/1000)*(D174/1000))*2)+((((C174+D174)*2)/1000)*0.022),IF(ISERROR(FIND(""lost corner"",A174))=FALSE,(((B174/1000)*(C174/1000))*2)+((B174/1000)*(C174/1000))+((B174/1000)*((C174/2)/1000))+((((B174/1000)*0.025)+((C174/100"&amp;"0)*0.025))*2),IF(ISERROR(FIND(""carcass"",A174))=FALSE,(((C174/1000)*(D174/1000))*2)+(((B174/1000)*(D174/1000))*2)+((B174/1000)*(C174/1000))+((((B174/1000)*0.025)+((C174/1000)*0.025))*2),IF(AND(ISERROR(FIND(""door"",A174))=FALSE,KitchenDoorStyle=""Flat"")"&amp;",(((B174/1000)*(C174/1000))*2)+(MID(KitchenDoorMaterial,FIND(""("",KitchenDoorMaterial)+1,2)/1000)*(((B174+C174)/1000)*2),IF(AND(ISERROR(FIND(""door"",A174))=FALSE,LEFT(KitchenDoorStyle,5)=""Panel""),(((B174/1000)*(C174/1000))*2)+((MID(KitchenDoorMaterial"&amp;",FIND(""("",KitchenDoorMaterial)+1,2)/1000)*(((B174+C174)/1000)*2))+(((((B174-160)+(C174-160))*2)/1000)*(0.013)),IF(AND(ISERROR(FIND(""door"",A174))=FALSE,KitchenDoorStyle=""In-frame flat""),((((B174-76)/1000)*((C174-38)/1000))*2)+(MID(KitchenDoorMaterial"&amp;",FIND(""("",KitchenDoorMaterial)+1,2)/1000)*((((B174-76)+(C174-38))/1000)*2)+(((B174/1000)*0.032)*2)+((((B174-76)/1000)*0.032)*2)+(((B174/1000)*0.019)*4)+(((C174/1000)*0.032)*2)+((((C174-38)/1000)*0.032)*2)+(((C174/1000)*0.038)*4),IF(AND(ISERROR(FIND(""do"&amp;"or"",A174))=FALSE,LEFT(KitchenDoorStyle,14)=""In-frame panel""),((((B174-76)/1000)*((C174-38)/1000))*2)+((MID(KitchenDoorMaterial,FIND(""("",KitchenDoorMaterial)+1,2)/1000)*((((B174-76)+(C174-38))/1000)*2))+((((B174-236)/1000)+((C174-198)/1000)*2)*0.013)+"&amp;"(((B174/1000)*0.032)*2)+((((B174-76)/1000)*0.032)*2)+(((B174/1000)*0.019)*4)+(((C174/1000)*0.032)*2)+((((C174-38)/1000)*0.032)*2)+(((C174/1000)*0.038)*4),IF(ISERROR(FIND(""Plinth"",A174))=FALSE,((B174/1000)*(C174/1000))+(((C174/1000)*0.018)*2)+(((B174/100"&amp;"0)*0.018)*2),IF(ISERROR(FIND(""Cornice"",A174))=FALSE,(((C174/1000)*0.1)*2)+(((C174/1000)*0.044)*2)+(((B174/1000)*0.08)*2),IF(ISERROR(FIND(""Base end panel"",A174))=FALSE,((B174/1000)*(C174/1000))+(0.022*((B174/1000)+((C174/1000)*2)))+((B174/1000)*0.05),I"&amp;"F(ISERROR(FIND(""Wall end panel"",A174))=FALSE,((B174/1000)*(C174/1000))+(0.022*((B174/1000)+((C174/1000)*2)))+((B174/1000)*0.05),IF(ISERROR(FIND(""Tower end panel"",A174))=FALSE,((B174/1000)*(C174/1000))+(0.022*((B174/1000)+((C174/1000)*2)))+((B174/1000)"&amp;"*0.05),IF(ISERROR(FIND(""Fillers"",A174))=FALSE,((C174/1000)*0.06)+((C174/1000)*0.069)+((0.06*0.018)*2)+((0.06*0.009)*2)+((C174/1000)*0.009)+((C174/1000)*0.018),IF(ISERROR(FIND(""corner post"",A174))=FALSE,(((B174/1000*0.05)*2)+((B174/1000)*0.022)*2)+((B1"&amp;"74/1000)*0.072)+((B174/1000)*0.05)+((0.072*0.022)*2)+((0.05*0.022)*2),IF(ISERROR(FIND(""Pelmet"",A174))=FALSE,((C174/1000)*0.05)+((C174/1000)*0.068)+((0.05*0.018)*4)+(((C174/1000)*0.018))*2))))))))))))))))))))))))))))"),"")</f>
        <v/>
      </c>
      <c r="N174" s="152" t="str">
        <f>IF(M174="","",IF(AND(ISERROR(FIND("carcass",A174))=TRUE,ISERROR(FIND("unit",A174))=TRUE,ISERROR(FIND("insert",A174))=TRUE,ISERROR(FIND("rack",A174))=TRUE,ISERROR(FIND("box",A174))=TRUE,ISERROR(FIND("shelf",#REF!))=TRUE),VLOOKUP(KitchenDoorFinish,Finishing!$A$2:$K$10,9,0)*M174,VLOOKUP(KitchenCarcassFinish,Finishing!$A$2:$K$40,9,0)*M174))</f>
        <v/>
      </c>
      <c r="O174" s="155"/>
      <c r="P174" s="155"/>
      <c r="Q174" s="152" t="str">
        <f>IF(OR(O174="",P174=""),"",((O174*X174)*(VLOOKUP("Workshop",Labour!$A$3:$E$20,4,0)/8))+((P174*AE174)*(VLOOKUP("Finishing",Labour!$A$3:$E$20,4,0)/8)))</f>
        <v/>
      </c>
      <c r="R174" s="152" t="str">
        <f t="shared" si="4"/>
        <v/>
      </c>
      <c r="S174" s="156" t="str">
        <f>IF(OR(O174="",P174=""),"",IF(OR(ISERROR(FIND("carcass",$A174))=FALSE,ISERROR(FIND("unit",$A174))=FALSE),VLOOKUP(KitchenCarcassMaterial,FixedListsCarcassMaterial,2,0),0))</f>
        <v/>
      </c>
      <c r="T174" s="156" t="str">
        <f>IF(OR(O174="",P174=""),"",IF(ISERROR(FIND("door",$A174))=FALSE,VLOOKUP(KitchenDoorStyle,FixedListsDoorStyle,2,0),0))</f>
        <v/>
      </c>
      <c r="U174" s="156" t="str">
        <f>IF(OR(O174="",P174=""),"",IF(ISERROR(FIND("door",$A174))=FALSE,VLOOKUP(KitchenDoorMaterial,FixedListsDoorMaterial,2,0),0))</f>
        <v/>
      </c>
      <c r="V174" s="156" t="str">
        <f>IF(OR(O174="",P174=""),"",IF(ISERROR(FIND("drawer",$A174))=FALSE,VLOOKUP(KitchenDrawerType,FixedListsDrawerType,2,0),0))</f>
        <v/>
      </c>
      <c r="W174" s="156" t="str">
        <f>IF(OR(O174="",P174=""),"",IF(OR(S174&gt;0, T174&gt;0,V174&gt;0),VLOOKUP(KitchenHandleType,FixedListsHandleType,2,FALSE)*IF(KitchenHandleType="Simple",0,IF(S174&gt;0,VLOOKUP(KitchenHandleType,FixedListsHandleType,4,FALSE),IF(OR(T174&gt;0,V174&gt;0),1-VLOOKUP(KitchenHandleType,FixedListsHandleType,4,FALSE),"Error"))),0))</f>
        <v/>
      </c>
      <c r="X174" s="156" t="str">
        <f t="shared" si="5"/>
        <v/>
      </c>
      <c r="Y174" s="156" t="str">
        <f>IF(OR(O174="",P174=""),"",IF(OR(ISERROR(FIND("carcass",$A174))=FALSE,ISERROR(FIND("unit",$A174))=FALSE),VLOOKUP(KitchenCarcassMaterial,FixedListsCarcassMaterial,3,0),0))</f>
        <v/>
      </c>
      <c r="Z174" s="156" t="str">
        <f>IF(OR(O174="",P174=""),"",IF(ISERROR(FIND("door",$A174))=FALSE,VLOOKUP(KitchenDoorStyle,FixedListsDoorStyle,3,0),0))</f>
        <v/>
      </c>
      <c r="AA174" s="156" t="str">
        <f>IF(OR(O174="",P174=""),"",IF(ISERROR(FIND("door",$A174))=FALSE,VLOOKUP(KitchenDoorMaterial,FixedListsDoorMaterial,3,0),0))</f>
        <v/>
      </c>
      <c r="AB174" s="156" t="str">
        <f>IF(OR(O174="",P174=""),"",IF(ISERROR(FIND("drawer",$A174))=FALSE,VLOOKUP(KitchenDrawerType,FixedListsDrawerType,3,0),0))</f>
        <v/>
      </c>
      <c r="AC174" s="156" t="str">
        <f>IF(OR(O174="",P174=""),"",IF(OR(Y174&gt;0,Z174&gt;0,AB174&gt;0),VLOOKUP(KitchenHandleType,FixedListsHandleType,3,FALSE),0))</f>
        <v/>
      </c>
      <c r="AD174" s="156" t="str">
        <f>IF(OR(O174="",P174=""),"",IF(OR(ISERROR(FIND("carcass",$A174))=FALSE,ISERROR(FIND("unit",$A174))=FALSE),VLOOKUP(KitchenCarcassFinish,FixedListsFinishes,3,0),IF(OR(ISERROR(FIND("door",$A174))=FALSE,ISERROR(FIND("Plinth",$A174))=FALSE,ISERROR(FIND("Cornice",$A174))=FALSE,ISERROR(FIND("Fillers",$A174))=FALSE,ISERROR(FIND("Pelmet",$A174))=FALSE,ISERROR(FIND("panel",$A174))=FALSE,ISERROR(FIND("post",$A174))=FALSE),VLOOKUP(KitchenDoorFinish,FixedListsFinishes,3,0),IF(OR(ISERROR(FIND("drawer",$A174))=FALSE,ISERROR(FIND("insert",$A174))=FALSE,ISERROR(FIND("rck",$A174))=FALSE),VLOOKUP(KitchenCarcassFinish,FixedListsFinishes,3,0),0))))</f>
        <v/>
      </c>
      <c r="AE174" s="156" t="str">
        <f t="shared" si="6"/>
        <v/>
      </c>
      <c r="AF174" s="157" t="str">
        <f>IF(AND(KitchenHandleType="Channel",OR(ISERROR(FIND("arcass",$A174))=FALSE,ISERROR(FIND("unit",$A174))=FALSE)),IF(ISERROR(FIND("Tower",$A174))=TRUE,IF(KitchenHandleFinish="Match carcass",IF(ISERROR(FIND("Walnut",KitchenCarcassMaterial))=FALSE,(0.035*0.075*($C174/1000))*VLOOKUP("Walnut (solid m3)",SolidData,4,FALSE),IF(ISERROR(FIND("Oak",KitchenCarcassMaterial))=FALSE,(0.035*0.075*($C174/1000))*VLOOKUP("Oak (solid m3)",SolidData,4,FALSE),IF(ISERROR(FIND("ply",KitchenCarcassMaterial))=FALSE,(0.1*($C174/1000))*VLOOKUP("Birch ply (24mm)",SheetsData,7,FALSE),IF(ISERROR(FIND("H/F",KitchenCarcassMaterial))=FALSE,(0.1*($C174/1000))*VLOOKUP("H/F (22mm)",SheetsData,7,FALSE),"Carcass - not tower - new material")))),IF(KitchenHandleFinish="Match door",IF(ISERROR(FIND("Walnut",KitchenDoorMaterial))=FALSE,(0.035*0.075*($C174/1000))*VLOOKUP("Walnut (solid m3)",SolidData,4,FALSE),IF(ISERROR(FIND("Oak",KitchenDoorMaterial))=FALSE,(0.035*0.075*($C174/1000))*VLOOKUP("Oak (solid m3)",SolidData,4,FALSE),IF(ISERROR(FIND("ply",KitchenDoorMaterial))=FALSE,(0.1*($C174/1000))*VLOOKUP("Birch ply (24mm)",SheetsData,7,FALSE),IF(ISERROR(FIND("H/F",KitchenCarcassMaterial))=FALSE,(0.1*($C174/1000))*VLOOKUP("H/F (22mm)",SheetsData,7,FALSE),"Door - not tower - new material")))),"Channel - not tower - handle set to other")),IF(ISERROR(FIND("Tower",$A174))=FALSE,IF(KitchenHandleFinish="Match carcass",IF(ISERROR(FIND("Walnut",KitchenCarcassMaterial))=FALSE,(0.035*0.075*($B174/1000))*VLOOKUP("Walnut (solid m3)",SolidData,4,FALSE),IF(ISERROR(FIND("Oak",KitchenCarcassMaterial))=FALSE,(0.035*0.075*($B174/1000))*VLOOKUP("Oak (solid m3)",SolidData,4,FALSE),IF(ISERROR(FIND("ply",KitchenCarcassMaterial))=FALSE,(0.1*($B174/1000))*VLOOKUP("Birch ply (24mm)",SheetsData,7,FALSE),IF(ISERROR(FIND("H/F",KitchenCarcassMaterial))=FALSE,(0.1*($C174/1000))*VLOOKUP("H/F (22mm)",SheetsData,7,FALSE),"Carcass - tower - new material")))),IF(KitchenHandleFinish="Match door",IF(ISERROR(FIND("Walnut",KitchenDoorMaterial))=FALSE,(0.035*0.075*($B174/1000))*VLOOKUP("Walnut (solid m3)",SolidData,4,FALSE),IF(ISERROR(FIND("Oak",KitchenDoorMaterial))=FALSE,(0.035*0.075*($B174/1000))*VLOOKUP("Oak (solid m3)",SolidData,4,FALSE),IF(ISERROR(FIND("ply",KitchenDoorMaterial))=FALSE,(0.1*($B174/1000))*VLOOKUP("Birch ply (24mm)",SheetData,7,FALSE),IF(ISERROR(FIND("H/F",KitchenCarcassMaterial))=FALSE,(0.1*($C174/1000))*VLOOKUP("H/F (22mm)",SheetsData,7,FALSE),"Door - tower - new material")))),"Channel - tower - handle set to other")))),"")</f>
        <v/>
      </c>
    </row>
    <row r="175">
      <c r="A175" s="150"/>
      <c r="B175" s="115" t="str">
        <f t="shared" si="1"/>
        <v/>
      </c>
      <c r="C175" s="115" t="str">
        <f>IFERROR(__xludf.DUMMYFUNCTION("IF(A175="""","""",IF(OR(RIGHT(A175,LEN(A175)-len(regexextract(A175,"".* "")))=""1200"",RIGHT(A175,LEN(A175)-len(regexextract(A175,"".* "")))=""600"",RIGHT(A175,LEN(A175)-len(regexextract(A175,"".* "")))=""400"",RIGHT(A175,LEN(A175)-len(regexextract(A175,"&amp;""".* "")))=""300"",RIGHT(A175,LEN(A175)-len(regexextract(A175,"".* "")))=""700"",RIGHT(A175,LEN(A175)-len(regexextract(A175,"".* "")))=""2400"",RIGHT(A175,LEN(A175)-len(regexextract(A175,"".* "")))=""650"",RIGHT(A175,LEN(A175)-len(regexextract(A175,"".* "&amp;""")))=""350"",RIGHT(A175,LEN(A175)-len(regexextract(A175,"".* "")))=""50""),RIGHT(A175,LEN(A175)-len(regexextract(A175,"".* ""))),IF(OR(ISERROR(FIND(""spacer"",A175))=FALSE,ISERROR(FIND(""filler panel"",A175))=FALSE),""1000"",""Unexpected size in descript"&amp;"ion"")))"),"")</f>
        <v/>
      </c>
      <c r="D175" s="151" t="str">
        <f t="shared" si="2"/>
        <v/>
      </c>
      <c r="E175" s="152" t="str">
        <f>IFERROR(__xludf.DUMMYFUNCTION("IF(OR(A175="""",AND(ISERROR(FIND(""drawer box"",A175))=FALSE,KitchenDrawerType="""")),"""",IF(OR(ISERROR(FIND(""larder"",A175))=FALSE,ISERROR(FIND(""fridge/freezer"",A175))=FALSE,ISERROR(FIND(""double oven"",A175))=FALSE,ISERROR(FIND(""single oven"",A175)"&amp;")=FALSE),VLOOKUP(LEFT(A175,FIND("" "",A175))&amp;""carcass ""&amp;RIGHT(A175,LEN(A175)-(LEN(A175)-3)),KitchensData,5,0),IF(ISERROR(FIND(""sink"",A175))=FALSE,VLOOKUP(LEFT(A175,FIND("" "",A175))&amp;""carcass ""&amp;VALUE(REGEXREPLACE(A175,""[^[:digit:]]"", """")),Kitchen"&amp;"sData,5,0)+(((C175/1000)*(300/1000))*VLOOKUP(KitchenCarcassMaterial,SheetsData,8,0)),IF(ISERROR(FIND(""bins"",A175))=FALSE,IF(ISERROR(FIND(""veneer"",KitchenCarcassMaterial))=FALSE,VLOOKUP(""Base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600"",A175))=FALSE,IF(ISERR"&amp;"OR(FIND(""veneer"",KitchenCarcassMaterial))=FALSE,0.54*(VLOOKUP(LEFT(KitchenCarcassMaterial,FIND(""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1"&amp;"200"",A175))=FALSE,IF(ISERROR(FIND(""veneer"",KitchenCarcassMaterial))=FALSE,0.84*(VLOOKUP(LEFT(KitchenCarcassMaterial,FIND(""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600"",A175))=FALSE,IF(ISERROR(FIND(""veneer"",KitchenCarcassMaterial))=FALSE,1.44*(VLOOKUP(LEFT(KitchenCarcassMaterial,FIND(""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1200"",A175))=FALSE,IF(ISERROR(FIND(""veneer"",KitchenCarcassMaterial))=FALSE,2.7*(VLOOKUP(LEFT(KitchenCarcassMaterial,FIND(""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front"",A175))=FALSE,((B175/1000)*(C175/1000))*VLOOKUP(KitchenDoorMaterial,SheetsData,8,0),IF(AND(KitchenDrawerType=""Match carcass"",ISERROR(FIND(""drawer box"",A175))=FALSE),(((((B175/10"&amp;"00)*(C175/1000))+((B175/1000)*(D175/1000)))*2)*VLOOKUP(KitchenCarcassMaterial,SheetsData,8,0))+(((C175/1000)*(D175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box"",A175))=FALSE),(((((B175/1000)*(C175/1000))+((B175/1000)*(D175/1000)))*2)*(16/1000)*VLOOKUP(L"&amp;"EFT(KitchenCarcassMaterial,FIND("" "",KitchenCarcassMaterial))&amp;""(solid m3)"",SolidData,5,0))+(((C175/1000)*(D175/1000))*VLOOKUP(LEFT(KitchenCarcassMaterial,FIND(""("",KitchenCarcassMaterial)-1)&amp;IF(OR(ISERROR(FIND(""ply"",KitchenCarcassMaterial))=FALSE,IS"&amp;"ERROR(FIND(""H/F"",KitchenCarcassMaterial))=FALSE),""(9mm)"",""(10mm)""),SheetsData,8,0)),IF(ISERROR(FIND(""spacer"",A175))=FALSE,((D175/1000)*(C175/1000))*VLOOKUP(""Poplar ply (18mm)"",SheetsData,8,0),IF(ISERROR(FIND(""filler panel"",A175))=FALSE,((B175/"&amp;"1000)*(C175/1000))*VLOOKUP(KitchenDoorMaterial,SheetsData,8,0),IF(ISERROR(FIND(""shelf"",A175))=FALSE,((D175/1000)*(C175/1000))*VLOOKUP(KitchenCarcassMaterial,SheetsData,8,0),IF(ISERROR(FIND(""lost corner"",A175))=FALSE,VLOOKUP(LEFT(A175,FIND("" "",A175))"&amp;"&amp;""carcass ""&amp;VALUE(REGEXREPLACE(A175,""[^[:digit:]]"", """")),KitchensData,5,0)+((((B175/1000)*(C175/1000))+((B175/1000)*(60/1000)))*VLOOKUP(KitchenCarcassMaterial,SheetsData,8,0)),IF(ISERROR(FIND(""carcass"",A175))=FALSE,(((((B175/1000)*2)*(D175/1000))+"&amp;"(((C175/1000)*2)*(D175/1000)))*VLOOKUP(KitchenCarcassMaterial,SheetsData,8,0))+((B175/1000)*(C175/1000))*VLOOKUP(LEFT(KitchenCarcassMaterial,FIND(""("",KitchenCarcassMaterial)-1)&amp;IF(OR(ISERROR(FIND(""ply"",KitchenCarcassMaterial))=FALSE,ISERROR(FIND(""H/F"&amp;""",KitchenCarcassMaterial))=FALSE),""(9mm)"",""(10mm)""),SheetsData,8,0),IF(OR(ISERROR(FIND(""Plinth"",A175))=FALSE,ISERROR(FIND(""Cornice (flat)"",A175))=FALSE),((B175/1000)*(C175/1000))*VLOOKUP(""H/F (18mm)"",SheetsData,8,0),IF(ISERROR(FIND(""Cornice (s"&amp;"tacked)"",A175))=FALSE,((0.08*(C175/1000))*2)*VLOOKUP(""H/F (22mm)"",SheetsData,8,0),IF(ISERROR(FIND(""Base end panel"",A175))=FALSE,VLOOKUP(KitchenDoorMaterial,SheetsData,5,0)/3,IF(ISERROR(FIND(""Wall end panel"",A175))=FALSE,VLOOKUP(KitchenDoorMaterial,"&amp;"SheetsData,5,0)/9,IF(ISERROR(FIND(""Tower end panel"",A175))=FALSE,VLOOKUP(KitchenDoorMaterial,SheetsData,5,0),IF(ISERROR(FIND(""Fillers"",A175))=FALSE,(((0.06*(C175/1000))*2)*VLOOKUP(""H/F (18mm)"",SheetsData,8,0))+(((0.06*(C175/1000))*2)*VLOOKUP(""H/F ("&amp;"9mm)"",SheetsData,8,0)),IF(ISERROR(FIND(""corner post"",A175))=FALSE,(((B175/1000)*0.05)*2)*VLOOKUP(KitchenDoorMaterial,SheetsData,8,0),IF(ISERROR(FIND(""Pelmet"",A175))=FALSE,((((B175/1000)*(C175/1000))*2)*VLOOKUP(""H/F (18mm)"",SheetsData,8,0)),IF(ISERR"&amp;"OR(FIND(""door"",A175))=TRUE,""Check description"",IF(KitchenDoorStyle=""Flat"",((B175/1000)*(C175/1000))*VLOOKUP(KitchenDoorMaterial,SheetsData,8,0),IF(LEFT(KitchenDoorStyle,5)=""Panel"",(((((B175/1000)*2)*0.08)+((((C175/1000)-0.16)*2)*0.08))*VLOOKUP(""H"&amp;"/F (22mm)"",SheetsData,8,0))+(((B175/1000)-0.14)*((C175/1000)-0.14)*VLOOKUP(""H/F (9mm)"",SheetsData,8,0)),IF(KitchenDoorStyle=""In-frame flat"",((((((B175/1000)*0.019)*0.038)+((((C175-38)/1000)*0.038)*0.038))*2)*VLOOKUP(""Tulip (solid m3)"",SolidData,5,0"&amp;"))+(((B175-76)/1000)*((C175-38)/1000))*VLOOKUP(""H/F (22mm)"",SheetsData,8,0),IF(LEFT(KitchenDoorStyle,14)=""In-frame panel"",(((((((B175/1000)*0.019)*0.038)+((((C175-38)/1000)*0.038)*0.038))*2)*VLOOKUP(""Tulip (solid m3)"",SolidData,5,0))+(((((((B175-76)"&amp;"/1000)*2)*0.08)+(((((C175-198)/1000)*2)*0.08)))*VLOOKUP(""H/F (22mm)"",SheetsData,8,0))+(((B175-216)/1000)*((C175-178)/1000)*VLOOKUP(""H/F (9mm)"",SheetsData,8,0)))))))))))))))))))))))))))))))))"),"")</f>
        <v/>
      </c>
      <c r="F175" s="152" t="str">
        <f>IFERROR(__xludf.DUMMYFUNCTION("IF(OR(A175="""",AND(ISERROR(FIND(""drawer box"",A175))=FALSE,KitchenDrawerType=""Solid dovetail"")),"""",IF(ISERROR(FIND(""bins"",A175))=FALSE,VLOOKUP(""Base carcass 600"",KitchensData,6,0),IF(OR(ISERROR(FIND(""larder"",A175))=FALSE,ISERROR(FIND(""unit"","&amp;"A175))=FALSE),VLOOKUP(LEFT(A175,FIND("" "",A175))&amp;""carcass ""&amp;RIGHT(A175,LEN(A175)-len(regexextract(A175,"".* ""))),KitchensData,6,0),IF(ISERROR(FIND(""drawer front"",A175))=FALSE,IF(ISERROR(FIND(""veneer"",KitchenCarcassMaterial))=TRUE,0,(((B175+C175)/1"&amp;"000)*2)*VLOOKUP(""Edge banding (per M)"",SheetsData,5,0)),IF(ISERROR(FIND(""drawer box"",A175))=FALSE,IF(ISERROR(FIND(""veneer"",KitchenCarcassMaterial))=TRUE,0,(((C175+D175)/1000)*2)*VLOOKUP(""Edge banding (per M)"",SheetsData,5,0)),IF(ISERROR(FIND(""she"&amp;"lf"",A175))=FALSE,IF(ISERROR(FIND(""veneer"",KitchenCarcassMaterial))=TRUE,0,(C175/1000)*VLOOKUP(""Edge banding (per M)"",SheetsData,5,0)),IF(AND(ISERROR(FIND(""carcass"",A175))=FALSE,ISERROR(FIND(""shelf"",A175))=TRUE),IF(ISERROR(FIND(""veneer"",KitchenC"&amp;"arcassMaterial))=TRUE,0,((2*(B175+C175))/1000)*VLOOKUP(""Edge banding (per M)"",SheetsData,5,0)),IF(ISERROR(FIND(""door"",A175))=TRUE,"""",IF(ISERROR(FIND(""veneer"",KitchenDoorMaterial))=TRUE,"""",((2*(B175+C175))/1000)*VLOOKUP(""Edge banding (per M)"",S"&amp;"heetsData,5,0))))))))))"),"")</f>
        <v/>
      </c>
      <c r="G175" s="153" t="str">
        <f>IF(A175="","",IF(ISERROR(FIND("bins",A175))=FALSE,VLOOKUP("Base carcass 600",KitchensData,7,0),IF(OR(ISERROR(FIND("larder",A175))=FALSE,ISERROR(FIND("fridge/freezer",A175))=FALSE,ISERROR(FIND("double oven",A175))=FALSE,ISERROR(FIND("single oven",A175))=FALSE),VLOOKUP(LEFT(A175,FIND(" ",A175))&amp;"carcass "&amp;RIGHT(A175,LEN(A175)-(LEN(A175)-3)),KitchensData,7,0),IF(AND(ISERROR(FIND("carcass",A175))=FALSE,ISERROR(FIND("shelf",A175))=TRUE),IF(OR(ISERROR(FIND("Base",A175))=FALSE,ISERROR(FIND("Tower",A175))=FALSE),IF(OR(ISERROR(FIND("1200",A175))=FALSE, ISERROR(FIND("lost corner",A175))=FALSE),6*VLOOKUP("Plinth foot (2 Parts 80mm)",FurnitureData,5,0),4*VLOOKUP("Plinth foot (2 Parts 80mm)",FurnitureData,5,0)),""),""))))</f>
        <v/>
      </c>
      <c r="H175" s="115" t="str">
        <f>IF(OR(A175="",ISERROR(FIND("door",A175))=TRUE),"",IF(ISERROR(FIND("Wall",A175))=FALSE,VLOOKUP("Hinges &amp; plates (Hettich thick door)",FurnitureData,5,0)*2,IF(ISERROR(FIND("Base",A175))=FALSE,VLOOKUP("Hinges &amp; plates (Hettich thick door)",FurnitureData,5,0)*3,IF(ISERROR(FIND("Boiler",A175))=FALSE,VLOOKUP("Hinges &amp; plates (Hettich thick door)",FurnitureData,5,0)*4,IF(ISERROR(FIND("Tower",A175))=FALSE,VLOOKUP("Hinges &amp; plates (Hettich thick door)",FurnitureData,5,0)*5)))))</f>
        <v/>
      </c>
      <c r="I175" s="115" t="str">
        <f>IF(ISERROR(FIND("shelf",A175))=FALSE,(VLOOKUP("Shelf pegs",FurnitureData,5,0)/100)*4,"")</f>
        <v/>
      </c>
      <c r="J175" s="152" t="str">
        <f>IF(OR(ISERROR(FIND("fridge/freezer",A175))=FALSE,ISERROR(FIND("larder",A175))=FALSE,AND(ISERROR(FIND("Base",A175))=FALSE,ISERROR(FIND("bins",A175))=TRUE,ISERROR(FIND("no shelves",A175))=TRUE,OR(ISERROR(FIND("carcass",A175))=FALSE,ISERROR(FIND("unit",A175))=FALSE))),VLOOKUP("Deep shelf "&amp;C175,KitchensData,18,0),IF(AND(ISERROR(FIND("Wall",A175))=FALSE,ISERROR(FIND("carcass",A175))=FALSE),2*VLOOKUP("Shallow shelf "&amp;C175,KitchensData,18,0),IF(AND(ISERROR(FIND("Tower",A175))=FALSE,ISERROR(FIND("oven",A175))=FALSE),4*VLOOKUP("Deep shelf "&amp;C175,KitchensData,18,0),IF(AND(ISERROR(FIND("Tower",A175))=FALSE,ISERROR(FIND("carcass",A175))=FALSE),5*VLOOKUP("Deep shelf "&amp;C175,KitchensData,18,0),""))))</f>
        <v/>
      </c>
      <c r="K175" s="152" t="str">
        <f>IF(ISERROR(FIND("sink",A175))=FALSE,VLOOKUP("Sink liner - Aluminium "&amp;RIGHT(A175,LEN(A175)-22)&amp;"mm",ExceptionalData,5,0),IF(ISERROR(FIND("bins",A175))=FALSE,VLOOKUP("Drawer runners and clip set for bin unit (500) Dynapro",FurnitureData,5,0)+(2*VLOOKUP("Bin (42L Anthracite)",FurnitureData,5,0)),IF(ISERROR(FIND("larder",A175))=FALSE,VLOOKUP("Pull out larder unit 600mm",FurnitureData,5,0),IF(AND(ISERROR(FIND("drawer box",A175))=FALSE,ISERROR(FIND("internal",A175))=TRUE),VLOOKUP("Drawer runners and clip set (550) Dynapro",FurnitureData,5,0),IF(ISERROR(FIND("internal drawer box",A175))=FALSE,VLOOKUP("Drawer runners and clip set (450) Dynapro",FurnitureData,5,0),"")))))</f>
        <v/>
      </c>
      <c r="L175" s="152" t="str">
        <f t="shared" si="3"/>
        <v/>
      </c>
      <c r="M175" s="154" t="str">
        <f>IFERROR(__xludf.DUMMYFUNCTION("IF(A175="""","""",IF(OR(ISERROR(FIND(""larder"",A175))=FALSE,ISERROR(FIND(""unit"",A175))=FALSE),VLOOKUP(LEFT(A175,FIND("" "",A175))&amp;""carcass ""&amp;RIGHT(A175,LEN(A175)-len(regexextract(A175,"".* ""))),KitchensData,13,0),IF(ISERROR(FIND(""bins"",A175))=FALS"&amp;"E,0.95,IF(ISERROR(FIND(""Cutlery insert 600"",A175))=FALSE,1.3,IF(ISERROR(FIND(""Cutlery insert 1200"",A175))=FALSE,2,IF(ISERROR(FIND(""Pan/tray rack 600"",A175))=FALSE,3.25,IF(ISERROR(FIND(""Pan/tray rack 1200"",A175))=FALSE,5.9,IF(ISERROR(FIND(""split"""&amp;",A175))=FALSE,(((C175/1000)*0.022)*2)+VLOOKUP(SUBSTITUTE(A175,"" split"",""""),KitchensData,13,0),IF(AND(ISERROR(FIND(""drawer front"",A175))=FALSE,KitchenDoorStyle=""Flat""),(((B175/1000)*(C175/1000))*2)+((((B175+C175)/1000)*2)*0.022),IF(AND(ISERROR(FIND"&amp;"(""drawer front"",A175))=FALSE,LEFT(KitchenDoorStyle,5)=""Panel""),(((B175/1000)*(C175/1000))*2)+((((B175+C175)/1000)*2)*0.022)+((((C175/1000)-0.16)*0.013)*2)+((((D175/1000)-0.16)*0.013)*2),IF(AND(ISERROR(FIND(""drawer front"",A175))=FALSE,KitchenDoorStyl"&amp;"e=""In-frame flat""),((((B175-76)/1000)*((C175-38)/1000))*2)+(MID(KitchenDoorMaterial,FIND(""("",KitchenDoorMaterial)+1,2)/1000)*((((B175-76)+(C175-38))/1000)*2)+(((B175/1000)*0.032)*2)+((((B175-76)/1000)*0.032)*2)+(((B175/1000)*0.019)*4)+(((C175/1000)*0."&amp;"032)*2)+((((C175-38)/1000)*0.032)*2)+(((C175/1000)*0.038)*4),IF(AND(ISERROR(FIND(""drawer front"",A175))=FALSE,LEFT(KitchenDoorStyle,14)=""In-frame panel""),((((B175-76)/1000)*((C175-38)/1000))*2)+((MID(KitchenDoorMaterial,FIND(""("",KitchenDoorMaterial)+"&amp;"1,2)/1000)*((((B175-76)+(C175-38))/1000)*2))+((((B175-236)/1000)+((C175-198)/1000)*2)*0.013)+(((B175/1000)*0.032)*2)+((((B175-76)/1000)*0.032)*2)+(((B175/1000)*0.019)*4)+(((C175/1000)*0.032)*2)+((((C175-38)/1000)*0.032)*2)+(((C175/1000)*0.038)*4),IF(ISERR"&amp;"OR(FIND(""drawer box"",A175))=FALSE,((((B175/1000)*(D175/1000))+((B175/1000)*(C175/1000)))*4)+((((D175/1000)+(C175/1000))*0.016)*4)+(((C175/1000)*(D175/1000))*2),IF(OR(ISERROR(FIND(""shelf"",A175))=FALSE,ISERROR(FIND(""spacer"",A175))=FALSE,,ISERROR(FIND("&amp;"""filler panel"",A175))=FALSE),(((C175/1000)*(D175/1000))*2)+((((C175+D175)*2)/1000)*0.022),IF(ISERROR(FIND(""lost corner"",A175))=FALSE,(((B175/1000)*(C175/1000))*2)+((B175/1000)*(C175/1000))+((B175/1000)*((C175/2)/1000))+((((B175/1000)*0.025)+((C175/100"&amp;"0)*0.025))*2),IF(ISERROR(FIND(""carcass"",A175))=FALSE,(((C175/1000)*(D175/1000))*2)+(((B175/1000)*(D175/1000))*2)+((B175/1000)*(C175/1000))+((((B175/1000)*0.025)+((C175/1000)*0.025))*2),IF(AND(ISERROR(FIND(""door"",A175))=FALSE,KitchenDoorStyle=""Flat"")"&amp;",(((B175/1000)*(C175/1000))*2)+(MID(KitchenDoorMaterial,FIND(""("",KitchenDoorMaterial)+1,2)/1000)*(((B175+C175)/1000)*2),IF(AND(ISERROR(FIND(""door"",A175))=FALSE,LEFT(KitchenDoorStyle,5)=""Panel""),(((B175/1000)*(C175/1000))*2)+((MID(KitchenDoorMaterial"&amp;",FIND(""("",KitchenDoorMaterial)+1,2)/1000)*(((B175+C175)/1000)*2))+(((((B175-160)+(C175-160))*2)/1000)*(0.013)),IF(AND(ISERROR(FIND(""door"",A175))=FALSE,KitchenDoorStyle=""In-frame flat""),((((B175-76)/1000)*((C175-38)/1000))*2)+(MID(KitchenDoorMaterial"&amp;",FIND(""("",KitchenDoorMaterial)+1,2)/1000)*((((B175-76)+(C175-38))/1000)*2)+(((B175/1000)*0.032)*2)+((((B175-76)/1000)*0.032)*2)+(((B175/1000)*0.019)*4)+(((C175/1000)*0.032)*2)+((((C175-38)/1000)*0.032)*2)+(((C175/1000)*0.038)*4),IF(AND(ISERROR(FIND(""do"&amp;"or"",A175))=FALSE,LEFT(KitchenDoorStyle,14)=""In-frame panel""),((((B175-76)/1000)*((C175-38)/1000))*2)+((MID(KitchenDoorMaterial,FIND(""("",KitchenDoorMaterial)+1,2)/1000)*((((B175-76)+(C175-38))/1000)*2))+((((B175-236)/1000)+((C175-198)/1000)*2)*0.013)+"&amp;"(((B175/1000)*0.032)*2)+((((B175-76)/1000)*0.032)*2)+(((B175/1000)*0.019)*4)+(((C175/1000)*0.032)*2)+((((C175-38)/1000)*0.032)*2)+(((C175/1000)*0.038)*4),IF(ISERROR(FIND(""Plinth"",A175))=FALSE,((B175/1000)*(C175/1000))+(((C175/1000)*0.018)*2)+(((B175/100"&amp;"0)*0.018)*2),IF(ISERROR(FIND(""Cornice"",A175))=FALSE,(((C175/1000)*0.1)*2)+(((C175/1000)*0.044)*2)+(((B175/1000)*0.08)*2),IF(ISERROR(FIND(""Base end panel"",A175))=FALSE,((B175/1000)*(C175/1000))+(0.022*((B175/1000)+((C175/1000)*2)))+((B175/1000)*0.05),I"&amp;"F(ISERROR(FIND(""Wall end panel"",A175))=FALSE,((B175/1000)*(C175/1000))+(0.022*((B175/1000)+((C175/1000)*2)))+((B175/1000)*0.05),IF(ISERROR(FIND(""Tower end panel"",A175))=FALSE,((B175/1000)*(C175/1000))+(0.022*((B175/1000)+((C175/1000)*2)))+((B175/1000)"&amp;"*0.05),IF(ISERROR(FIND(""Fillers"",A175))=FALSE,((C175/1000)*0.06)+((C175/1000)*0.069)+((0.06*0.018)*2)+((0.06*0.009)*2)+((C175/1000)*0.009)+((C175/1000)*0.018),IF(ISERROR(FIND(""corner post"",A175))=FALSE,(((B175/1000*0.05)*2)+((B175/1000)*0.022)*2)+((B1"&amp;"75/1000)*0.072)+((B175/1000)*0.05)+((0.072*0.022)*2)+((0.05*0.022)*2),IF(ISERROR(FIND(""Pelmet"",A175))=FALSE,((C175/1000)*0.05)+((C175/1000)*0.068)+((0.05*0.018)*4)+(((C175/1000)*0.018))*2))))))))))))))))))))))))))))"),"")</f>
        <v/>
      </c>
      <c r="N175" s="152" t="str">
        <f>IF(M175="","",IF(AND(ISERROR(FIND("carcass",A175))=TRUE,ISERROR(FIND("unit",A175))=TRUE,ISERROR(FIND("insert",A175))=TRUE,ISERROR(FIND("rack",A175))=TRUE,ISERROR(FIND("box",A175))=TRUE,ISERROR(FIND("shelf",#REF!))=TRUE),VLOOKUP(KitchenDoorFinish,Finishing!$A$2:$K$10,9,0)*M175,VLOOKUP(KitchenCarcassFinish,Finishing!$A$2:$K$40,9,0)*M175))</f>
        <v/>
      </c>
      <c r="O175" s="155"/>
      <c r="P175" s="155"/>
      <c r="Q175" s="152" t="str">
        <f>IF(OR(O175="",P175=""),"",((O175*X175)*(VLOOKUP("Workshop",Labour!$A$3:$E$20,4,0)/8))+((P175*AE175)*(VLOOKUP("Finishing",Labour!$A$3:$E$20,4,0)/8)))</f>
        <v/>
      </c>
      <c r="R175" s="152" t="str">
        <f t="shared" si="4"/>
        <v/>
      </c>
      <c r="S175" s="156" t="str">
        <f>IF(OR(O175="",P175=""),"",IF(OR(ISERROR(FIND("carcass",$A175))=FALSE,ISERROR(FIND("unit",$A175))=FALSE),VLOOKUP(KitchenCarcassMaterial,FixedListsCarcassMaterial,2,0),0))</f>
        <v/>
      </c>
      <c r="T175" s="156" t="str">
        <f>IF(OR(O175="",P175=""),"",IF(ISERROR(FIND("door",$A175))=FALSE,VLOOKUP(KitchenDoorStyle,FixedListsDoorStyle,2,0),0))</f>
        <v/>
      </c>
      <c r="U175" s="156" t="str">
        <f>IF(OR(O175="",P175=""),"",IF(ISERROR(FIND("door",$A175))=FALSE,VLOOKUP(KitchenDoorMaterial,FixedListsDoorMaterial,2,0),0))</f>
        <v/>
      </c>
      <c r="V175" s="156" t="str">
        <f>IF(OR(O175="",P175=""),"",IF(ISERROR(FIND("drawer",$A175))=FALSE,VLOOKUP(KitchenDrawerType,FixedListsDrawerType,2,0),0))</f>
        <v/>
      </c>
      <c r="W175" s="156" t="str">
        <f>IF(OR(O175="",P175=""),"",IF(OR(S175&gt;0, T175&gt;0,V175&gt;0),VLOOKUP(KitchenHandleType,FixedListsHandleType,2,FALSE)*IF(KitchenHandleType="Simple",0,IF(S175&gt;0,VLOOKUP(KitchenHandleType,FixedListsHandleType,4,FALSE),IF(OR(T175&gt;0,V175&gt;0),1-VLOOKUP(KitchenHandleType,FixedListsHandleType,4,FALSE),"Error"))),0))</f>
        <v/>
      </c>
      <c r="X175" s="156" t="str">
        <f t="shared" si="5"/>
        <v/>
      </c>
      <c r="Y175" s="156" t="str">
        <f>IF(OR(O175="",P175=""),"",IF(OR(ISERROR(FIND("carcass",$A175))=FALSE,ISERROR(FIND("unit",$A175))=FALSE),VLOOKUP(KitchenCarcassMaterial,FixedListsCarcassMaterial,3,0),0))</f>
        <v/>
      </c>
      <c r="Z175" s="156" t="str">
        <f>IF(OR(O175="",P175=""),"",IF(ISERROR(FIND("door",$A175))=FALSE,VLOOKUP(KitchenDoorStyle,FixedListsDoorStyle,3,0),0))</f>
        <v/>
      </c>
      <c r="AA175" s="156" t="str">
        <f>IF(OR(O175="",P175=""),"",IF(ISERROR(FIND("door",$A175))=FALSE,VLOOKUP(KitchenDoorMaterial,FixedListsDoorMaterial,3,0),0))</f>
        <v/>
      </c>
      <c r="AB175" s="156" t="str">
        <f>IF(OR(O175="",P175=""),"",IF(ISERROR(FIND("drawer",$A175))=FALSE,VLOOKUP(KitchenDrawerType,FixedListsDrawerType,3,0),0))</f>
        <v/>
      </c>
      <c r="AC175" s="156" t="str">
        <f>IF(OR(O175="",P175=""),"",IF(OR(Y175&gt;0,Z175&gt;0,AB175&gt;0),VLOOKUP(KitchenHandleType,FixedListsHandleType,3,FALSE),0))</f>
        <v/>
      </c>
      <c r="AD175" s="156" t="str">
        <f>IF(OR(O175="",P175=""),"",IF(OR(ISERROR(FIND("carcass",$A175))=FALSE,ISERROR(FIND("unit",$A175))=FALSE),VLOOKUP(KitchenCarcassFinish,FixedListsFinishes,3,0),IF(OR(ISERROR(FIND("door",$A175))=FALSE,ISERROR(FIND("Plinth",$A175))=FALSE,ISERROR(FIND("Cornice",$A175))=FALSE,ISERROR(FIND("Fillers",$A175))=FALSE,ISERROR(FIND("Pelmet",$A175))=FALSE,ISERROR(FIND("panel",$A175))=FALSE,ISERROR(FIND("post",$A175))=FALSE),VLOOKUP(KitchenDoorFinish,FixedListsFinishes,3,0),IF(OR(ISERROR(FIND("drawer",$A175))=FALSE,ISERROR(FIND("insert",$A175))=FALSE,ISERROR(FIND("rck",$A175))=FALSE),VLOOKUP(KitchenCarcassFinish,FixedListsFinishes,3,0),0))))</f>
        <v/>
      </c>
      <c r="AE175" s="156" t="str">
        <f t="shared" si="6"/>
        <v/>
      </c>
      <c r="AF175" s="157" t="str">
        <f>IF(AND(KitchenHandleType="Channel",OR(ISERROR(FIND("arcass",$A175))=FALSE,ISERROR(FIND("unit",$A175))=FALSE)),IF(ISERROR(FIND("Tower",$A175))=TRUE,IF(KitchenHandleFinish="Match carcass",IF(ISERROR(FIND("Walnut",KitchenCarcassMaterial))=FALSE,(0.035*0.075*($C175/1000))*VLOOKUP("Walnut (solid m3)",SolidData,4,FALSE),IF(ISERROR(FIND("Oak",KitchenCarcassMaterial))=FALSE,(0.035*0.075*($C175/1000))*VLOOKUP("Oak (solid m3)",SolidData,4,FALSE),IF(ISERROR(FIND("ply",KitchenCarcassMaterial))=FALSE,(0.1*($C175/1000))*VLOOKUP("Birch ply (24mm)",SheetsData,7,FALSE),IF(ISERROR(FIND("H/F",KitchenCarcassMaterial))=FALSE,(0.1*($C175/1000))*VLOOKUP("H/F (22mm)",SheetsData,7,FALSE),"Carcass - not tower - new material")))),IF(KitchenHandleFinish="Match door",IF(ISERROR(FIND("Walnut",KitchenDoorMaterial))=FALSE,(0.035*0.075*($C175/1000))*VLOOKUP("Walnut (solid m3)",SolidData,4,FALSE),IF(ISERROR(FIND("Oak",KitchenDoorMaterial))=FALSE,(0.035*0.075*($C175/1000))*VLOOKUP("Oak (solid m3)",SolidData,4,FALSE),IF(ISERROR(FIND("ply",KitchenDoorMaterial))=FALSE,(0.1*($C175/1000))*VLOOKUP("Birch ply (24mm)",SheetsData,7,FALSE),IF(ISERROR(FIND("H/F",KitchenCarcassMaterial))=FALSE,(0.1*($C175/1000))*VLOOKUP("H/F (22mm)",SheetsData,7,FALSE),"Door - not tower - new material")))),"Channel - not tower - handle set to other")),IF(ISERROR(FIND("Tower",$A175))=FALSE,IF(KitchenHandleFinish="Match carcass",IF(ISERROR(FIND("Walnut",KitchenCarcassMaterial))=FALSE,(0.035*0.075*($B175/1000))*VLOOKUP("Walnut (solid m3)",SolidData,4,FALSE),IF(ISERROR(FIND("Oak",KitchenCarcassMaterial))=FALSE,(0.035*0.075*($B175/1000))*VLOOKUP("Oak (solid m3)",SolidData,4,FALSE),IF(ISERROR(FIND("ply",KitchenCarcassMaterial))=FALSE,(0.1*($B175/1000))*VLOOKUP("Birch ply (24mm)",SheetsData,7,FALSE),IF(ISERROR(FIND("H/F",KitchenCarcassMaterial))=FALSE,(0.1*($C175/1000))*VLOOKUP("H/F (22mm)",SheetsData,7,FALSE),"Carcass - tower - new material")))),IF(KitchenHandleFinish="Match door",IF(ISERROR(FIND("Walnut",KitchenDoorMaterial))=FALSE,(0.035*0.075*($B175/1000))*VLOOKUP("Walnut (solid m3)",SolidData,4,FALSE),IF(ISERROR(FIND("Oak",KitchenDoorMaterial))=FALSE,(0.035*0.075*($B175/1000))*VLOOKUP("Oak (solid m3)",SolidData,4,FALSE),IF(ISERROR(FIND("ply",KitchenDoorMaterial))=FALSE,(0.1*($B175/1000))*VLOOKUP("Birch ply (24mm)",SheetData,7,FALSE),IF(ISERROR(FIND("H/F",KitchenCarcassMaterial))=FALSE,(0.1*($C175/1000))*VLOOKUP("H/F (22mm)",SheetsData,7,FALSE),"Door - tower - new material")))),"Channel - tower - handle set to other")))),"")</f>
        <v/>
      </c>
    </row>
    <row r="176">
      <c r="A176" s="150"/>
      <c r="B176" s="115" t="str">
        <f t="shared" si="1"/>
        <v/>
      </c>
      <c r="C176" s="115" t="str">
        <f>IFERROR(__xludf.DUMMYFUNCTION("IF(A176="""","""",IF(OR(RIGHT(A176,LEN(A176)-len(regexextract(A176,"".* "")))=""1200"",RIGHT(A176,LEN(A176)-len(regexextract(A176,"".* "")))=""600"",RIGHT(A176,LEN(A176)-len(regexextract(A176,"".* "")))=""400"",RIGHT(A176,LEN(A176)-len(regexextract(A176,"&amp;""".* "")))=""300"",RIGHT(A176,LEN(A176)-len(regexextract(A176,"".* "")))=""700"",RIGHT(A176,LEN(A176)-len(regexextract(A176,"".* "")))=""2400"",RIGHT(A176,LEN(A176)-len(regexextract(A176,"".* "")))=""650"",RIGHT(A176,LEN(A176)-len(regexextract(A176,"".* "&amp;""")))=""350"",RIGHT(A176,LEN(A176)-len(regexextract(A176,"".* "")))=""50""),RIGHT(A176,LEN(A176)-len(regexextract(A176,"".* ""))),IF(OR(ISERROR(FIND(""spacer"",A176))=FALSE,ISERROR(FIND(""filler panel"",A176))=FALSE),""1000"",""Unexpected size in descript"&amp;"ion"")))"),"")</f>
        <v/>
      </c>
      <c r="D176" s="151" t="str">
        <f t="shared" si="2"/>
        <v/>
      </c>
      <c r="E176" s="152" t="str">
        <f>IFERROR(__xludf.DUMMYFUNCTION("IF(OR(A176="""",AND(ISERROR(FIND(""drawer box"",A176))=FALSE,KitchenDrawerType="""")),"""",IF(OR(ISERROR(FIND(""larder"",A176))=FALSE,ISERROR(FIND(""fridge/freezer"",A176))=FALSE,ISERROR(FIND(""double oven"",A176))=FALSE,ISERROR(FIND(""single oven"",A176)"&amp;")=FALSE),VLOOKUP(LEFT(A176,FIND("" "",A176))&amp;""carcass ""&amp;RIGHT(A176,LEN(A176)-(LEN(A176)-3)),KitchensData,5,0),IF(ISERROR(FIND(""sink"",A176))=FALSE,VLOOKUP(LEFT(A176,FIND("" "",A176))&amp;""carcass ""&amp;VALUE(REGEXREPLACE(A176,""[^[:digit:]]"", """")),Kitchen"&amp;"sData,5,0)+(((C176/1000)*(300/1000))*VLOOKUP(KitchenCarcassMaterial,SheetsData,8,0)),IF(ISERROR(FIND(""bins"",A176))=FALSE,IF(ISERROR(FIND(""veneer"",KitchenCarcassMaterial))=FALSE,VLOOKUP(""Base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600"",A176))=FALSE,IF(ISERR"&amp;"OR(FIND(""veneer"",KitchenCarcassMaterial))=FALSE,0.54*(VLOOKUP(LEFT(KitchenCarcassMaterial,FIND(""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1"&amp;"200"",A176))=FALSE,IF(ISERROR(FIND(""veneer"",KitchenCarcassMaterial))=FALSE,0.84*(VLOOKUP(LEFT(KitchenCarcassMaterial,FIND(""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600"",A176))=FALSE,IF(ISERROR(FIND(""veneer"",KitchenCarcassMaterial))=FALSE,1.44*(VLOOKUP(LEFT(KitchenCarcassMaterial,FIND(""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1200"",A176))=FALSE,IF(ISERROR(FIND(""veneer"",KitchenCarcassMaterial))=FALSE,2.7*(VLOOKUP(LEFT(KitchenCarcassMaterial,FIND(""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front"",A176))=FALSE,((B176/1000)*(C176/1000))*VLOOKUP(KitchenDoorMaterial,SheetsData,8,0),IF(AND(KitchenDrawerType=""Match carcass"",ISERROR(FIND(""drawer box"",A176))=FALSE),(((((B176/10"&amp;"00)*(C176/1000))+((B176/1000)*(D176/1000)))*2)*VLOOKUP(KitchenCarcassMaterial,SheetsData,8,0))+(((C176/1000)*(D176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box"",A176))=FALSE),(((((B176/1000)*(C176/1000))+((B176/1000)*(D176/1000)))*2)*(16/1000)*VLOOKUP(L"&amp;"EFT(KitchenCarcassMaterial,FIND("" "",KitchenCarcassMaterial))&amp;""(solid m3)"",SolidData,5,0))+(((C176/1000)*(D176/1000))*VLOOKUP(LEFT(KitchenCarcassMaterial,FIND(""("",KitchenCarcassMaterial)-1)&amp;IF(OR(ISERROR(FIND(""ply"",KitchenCarcassMaterial))=FALSE,IS"&amp;"ERROR(FIND(""H/F"",KitchenCarcassMaterial))=FALSE),""(9mm)"",""(10mm)""),SheetsData,8,0)),IF(ISERROR(FIND(""spacer"",A176))=FALSE,((D176/1000)*(C176/1000))*VLOOKUP(""Poplar ply (18mm)"",SheetsData,8,0),IF(ISERROR(FIND(""filler panel"",A176))=FALSE,((B176/"&amp;"1000)*(C176/1000))*VLOOKUP(KitchenDoorMaterial,SheetsData,8,0),IF(ISERROR(FIND(""shelf"",A176))=FALSE,((D176/1000)*(C176/1000))*VLOOKUP(KitchenCarcassMaterial,SheetsData,8,0),IF(ISERROR(FIND(""lost corner"",A176))=FALSE,VLOOKUP(LEFT(A176,FIND("" "",A176))"&amp;"&amp;""carcass ""&amp;VALUE(REGEXREPLACE(A176,""[^[:digit:]]"", """")),KitchensData,5,0)+((((B176/1000)*(C176/1000))+((B176/1000)*(60/1000)))*VLOOKUP(KitchenCarcassMaterial,SheetsData,8,0)),IF(ISERROR(FIND(""carcass"",A176))=FALSE,(((((B176/1000)*2)*(D176/1000))+"&amp;"(((C176/1000)*2)*(D176/1000)))*VLOOKUP(KitchenCarcassMaterial,SheetsData,8,0))+((B176/1000)*(C176/1000))*VLOOKUP(LEFT(KitchenCarcassMaterial,FIND(""("",KitchenCarcassMaterial)-1)&amp;IF(OR(ISERROR(FIND(""ply"",KitchenCarcassMaterial))=FALSE,ISERROR(FIND(""H/F"&amp;""",KitchenCarcassMaterial))=FALSE),""(9mm)"",""(10mm)""),SheetsData,8,0),IF(OR(ISERROR(FIND(""Plinth"",A176))=FALSE,ISERROR(FIND(""Cornice (flat)"",A176))=FALSE),((B176/1000)*(C176/1000))*VLOOKUP(""H/F (18mm)"",SheetsData,8,0),IF(ISERROR(FIND(""Cornice (s"&amp;"tacked)"",A176))=FALSE,((0.08*(C176/1000))*2)*VLOOKUP(""H/F (22mm)"",SheetsData,8,0),IF(ISERROR(FIND(""Base end panel"",A176))=FALSE,VLOOKUP(KitchenDoorMaterial,SheetsData,5,0)/3,IF(ISERROR(FIND(""Wall end panel"",A176))=FALSE,VLOOKUP(KitchenDoorMaterial,"&amp;"SheetsData,5,0)/9,IF(ISERROR(FIND(""Tower end panel"",A176))=FALSE,VLOOKUP(KitchenDoorMaterial,SheetsData,5,0),IF(ISERROR(FIND(""Fillers"",A176))=FALSE,(((0.06*(C176/1000))*2)*VLOOKUP(""H/F (18mm)"",SheetsData,8,0))+(((0.06*(C176/1000))*2)*VLOOKUP(""H/F ("&amp;"9mm)"",SheetsData,8,0)),IF(ISERROR(FIND(""corner post"",A176))=FALSE,(((B176/1000)*0.05)*2)*VLOOKUP(KitchenDoorMaterial,SheetsData,8,0),IF(ISERROR(FIND(""Pelmet"",A176))=FALSE,((((B176/1000)*(C176/1000))*2)*VLOOKUP(""H/F (18mm)"",SheetsData,8,0)),IF(ISERR"&amp;"OR(FIND(""door"",A176))=TRUE,""Check description"",IF(KitchenDoorStyle=""Flat"",((B176/1000)*(C176/1000))*VLOOKUP(KitchenDoorMaterial,SheetsData,8,0),IF(LEFT(KitchenDoorStyle,5)=""Panel"",(((((B176/1000)*2)*0.08)+((((C176/1000)-0.16)*2)*0.08))*VLOOKUP(""H"&amp;"/F (22mm)"",SheetsData,8,0))+(((B176/1000)-0.14)*((C176/1000)-0.14)*VLOOKUP(""H/F (9mm)"",SheetsData,8,0)),IF(KitchenDoorStyle=""In-frame flat"",((((((B176/1000)*0.019)*0.038)+((((C176-38)/1000)*0.038)*0.038))*2)*VLOOKUP(""Tulip (solid m3)"",SolidData,5,0"&amp;"))+(((B176-76)/1000)*((C176-38)/1000))*VLOOKUP(""H/F (22mm)"",SheetsData,8,0),IF(LEFT(KitchenDoorStyle,14)=""In-frame panel"",(((((((B176/1000)*0.019)*0.038)+((((C176-38)/1000)*0.038)*0.038))*2)*VLOOKUP(""Tulip (solid m3)"",SolidData,5,0))+(((((((B176-76)"&amp;"/1000)*2)*0.08)+(((((C176-198)/1000)*2)*0.08)))*VLOOKUP(""H/F (22mm)"",SheetsData,8,0))+(((B176-216)/1000)*((C176-178)/1000)*VLOOKUP(""H/F (9mm)"",SheetsData,8,0)))))))))))))))))))))))))))))))))"),"")</f>
        <v/>
      </c>
      <c r="F176" s="152" t="str">
        <f>IFERROR(__xludf.DUMMYFUNCTION("IF(OR(A176="""",AND(ISERROR(FIND(""drawer box"",A176))=FALSE,KitchenDrawerType=""Solid dovetail"")),"""",IF(ISERROR(FIND(""bins"",A176))=FALSE,VLOOKUP(""Base carcass 600"",KitchensData,6,0),IF(OR(ISERROR(FIND(""larder"",A176))=FALSE,ISERROR(FIND(""unit"","&amp;"A176))=FALSE),VLOOKUP(LEFT(A176,FIND("" "",A176))&amp;""carcass ""&amp;RIGHT(A176,LEN(A176)-len(regexextract(A176,"".* ""))),KitchensData,6,0),IF(ISERROR(FIND(""drawer front"",A176))=FALSE,IF(ISERROR(FIND(""veneer"",KitchenCarcassMaterial))=TRUE,0,(((B176+C176)/1"&amp;"000)*2)*VLOOKUP(""Edge banding (per M)"",SheetsData,5,0)),IF(ISERROR(FIND(""drawer box"",A176))=FALSE,IF(ISERROR(FIND(""veneer"",KitchenCarcassMaterial))=TRUE,0,(((C176+D176)/1000)*2)*VLOOKUP(""Edge banding (per M)"",SheetsData,5,0)),IF(ISERROR(FIND(""she"&amp;"lf"",A176))=FALSE,IF(ISERROR(FIND(""veneer"",KitchenCarcassMaterial))=TRUE,0,(C176/1000)*VLOOKUP(""Edge banding (per M)"",SheetsData,5,0)),IF(AND(ISERROR(FIND(""carcass"",A176))=FALSE,ISERROR(FIND(""shelf"",A176))=TRUE),IF(ISERROR(FIND(""veneer"",KitchenC"&amp;"arcassMaterial))=TRUE,0,((2*(B176+C176))/1000)*VLOOKUP(""Edge banding (per M)"",SheetsData,5,0)),IF(ISERROR(FIND(""door"",A176))=TRUE,"""",IF(ISERROR(FIND(""veneer"",KitchenDoorMaterial))=TRUE,"""",((2*(B176+C176))/1000)*VLOOKUP(""Edge banding (per M)"",S"&amp;"heetsData,5,0))))))))))"),"")</f>
        <v/>
      </c>
      <c r="G176" s="153" t="str">
        <f>IF(A176="","",IF(ISERROR(FIND("bins",A176))=FALSE,VLOOKUP("Base carcass 600",KitchensData,7,0),IF(OR(ISERROR(FIND("larder",A176))=FALSE,ISERROR(FIND("fridge/freezer",A176))=FALSE,ISERROR(FIND("double oven",A176))=FALSE,ISERROR(FIND("single oven",A176))=FALSE),VLOOKUP(LEFT(A176,FIND(" ",A176))&amp;"carcass "&amp;RIGHT(A176,LEN(A176)-(LEN(A176)-3)),KitchensData,7,0),IF(AND(ISERROR(FIND("carcass",A176))=FALSE,ISERROR(FIND("shelf",A176))=TRUE),IF(OR(ISERROR(FIND("Base",A176))=FALSE,ISERROR(FIND("Tower",A176))=FALSE),IF(OR(ISERROR(FIND("1200",A176))=FALSE, ISERROR(FIND("lost corner",A176))=FALSE),6*VLOOKUP("Plinth foot (2 Parts 80mm)",FurnitureData,5,0),4*VLOOKUP("Plinth foot (2 Parts 80mm)",FurnitureData,5,0)),""),""))))</f>
        <v/>
      </c>
      <c r="H176" s="115" t="str">
        <f>IF(OR(A176="",ISERROR(FIND("door",A176))=TRUE),"",IF(ISERROR(FIND("Wall",A176))=FALSE,VLOOKUP("Hinges &amp; plates (Hettich thick door)",FurnitureData,5,0)*2,IF(ISERROR(FIND("Base",A176))=FALSE,VLOOKUP("Hinges &amp; plates (Hettich thick door)",FurnitureData,5,0)*3,IF(ISERROR(FIND("Boiler",A176))=FALSE,VLOOKUP("Hinges &amp; plates (Hettich thick door)",FurnitureData,5,0)*4,IF(ISERROR(FIND("Tower",A176))=FALSE,VLOOKUP("Hinges &amp; plates (Hettich thick door)",FurnitureData,5,0)*5)))))</f>
        <v/>
      </c>
      <c r="I176" s="115" t="str">
        <f>IF(ISERROR(FIND("shelf",A176))=FALSE,(VLOOKUP("Shelf pegs",FurnitureData,5,0)/100)*4,"")</f>
        <v/>
      </c>
      <c r="J176" s="152" t="str">
        <f>IF(OR(ISERROR(FIND("fridge/freezer",A176))=FALSE,ISERROR(FIND("larder",A176))=FALSE,AND(ISERROR(FIND("Base",A176))=FALSE,ISERROR(FIND("bins",A176))=TRUE,ISERROR(FIND("no shelves",A176))=TRUE,OR(ISERROR(FIND("carcass",A176))=FALSE,ISERROR(FIND("unit",A176))=FALSE))),VLOOKUP("Deep shelf "&amp;C176,KitchensData,18,0),IF(AND(ISERROR(FIND("Wall",A176))=FALSE,ISERROR(FIND("carcass",A176))=FALSE),2*VLOOKUP("Shallow shelf "&amp;C176,KitchensData,18,0),IF(AND(ISERROR(FIND("Tower",A176))=FALSE,ISERROR(FIND("oven",A176))=FALSE),4*VLOOKUP("Deep shelf "&amp;C176,KitchensData,18,0),IF(AND(ISERROR(FIND("Tower",A176))=FALSE,ISERROR(FIND("carcass",A176))=FALSE),5*VLOOKUP("Deep shelf "&amp;C176,KitchensData,18,0),""))))</f>
        <v/>
      </c>
      <c r="K176" s="152" t="str">
        <f>IF(ISERROR(FIND("sink",A176))=FALSE,VLOOKUP("Sink liner - Aluminium "&amp;RIGHT(A176,LEN(A176)-22)&amp;"mm",ExceptionalData,5,0),IF(ISERROR(FIND("bins",A176))=FALSE,VLOOKUP("Drawer runners and clip set for bin unit (500) Dynapro",FurnitureData,5,0)+(2*VLOOKUP("Bin (42L Anthracite)",FurnitureData,5,0)),IF(ISERROR(FIND("larder",A176))=FALSE,VLOOKUP("Pull out larder unit 600mm",FurnitureData,5,0),IF(AND(ISERROR(FIND("drawer box",A176))=FALSE,ISERROR(FIND("internal",A176))=TRUE),VLOOKUP("Drawer runners and clip set (550) Dynapro",FurnitureData,5,0),IF(ISERROR(FIND("internal drawer box",A176))=FALSE,VLOOKUP("Drawer runners and clip set (450) Dynapro",FurnitureData,5,0),"")))))</f>
        <v/>
      </c>
      <c r="L176" s="152" t="str">
        <f t="shared" si="3"/>
        <v/>
      </c>
      <c r="M176" s="154" t="str">
        <f>IFERROR(__xludf.DUMMYFUNCTION("IF(A176="""","""",IF(OR(ISERROR(FIND(""larder"",A176))=FALSE,ISERROR(FIND(""unit"",A176))=FALSE),VLOOKUP(LEFT(A176,FIND("" "",A176))&amp;""carcass ""&amp;RIGHT(A176,LEN(A176)-len(regexextract(A176,"".* ""))),KitchensData,13,0),IF(ISERROR(FIND(""bins"",A176))=FALS"&amp;"E,0.95,IF(ISERROR(FIND(""Cutlery insert 600"",A176))=FALSE,1.3,IF(ISERROR(FIND(""Cutlery insert 1200"",A176))=FALSE,2,IF(ISERROR(FIND(""Pan/tray rack 600"",A176))=FALSE,3.25,IF(ISERROR(FIND(""Pan/tray rack 1200"",A176))=FALSE,5.9,IF(ISERROR(FIND(""split"""&amp;",A176))=FALSE,(((C176/1000)*0.022)*2)+VLOOKUP(SUBSTITUTE(A176,"" split"",""""),KitchensData,13,0),IF(AND(ISERROR(FIND(""drawer front"",A176))=FALSE,KitchenDoorStyle=""Flat""),(((B176/1000)*(C176/1000))*2)+((((B176+C176)/1000)*2)*0.022),IF(AND(ISERROR(FIND"&amp;"(""drawer front"",A176))=FALSE,LEFT(KitchenDoorStyle,5)=""Panel""),(((B176/1000)*(C176/1000))*2)+((((B176+C176)/1000)*2)*0.022)+((((C176/1000)-0.16)*0.013)*2)+((((D176/1000)-0.16)*0.013)*2),IF(AND(ISERROR(FIND(""drawer front"",A176))=FALSE,KitchenDoorStyl"&amp;"e=""In-frame flat""),((((B176-76)/1000)*((C176-38)/1000))*2)+(MID(KitchenDoorMaterial,FIND(""("",KitchenDoorMaterial)+1,2)/1000)*((((B176-76)+(C176-38))/1000)*2)+(((B176/1000)*0.032)*2)+((((B176-76)/1000)*0.032)*2)+(((B176/1000)*0.019)*4)+(((C176/1000)*0."&amp;"032)*2)+((((C176-38)/1000)*0.032)*2)+(((C176/1000)*0.038)*4),IF(AND(ISERROR(FIND(""drawer front"",A176))=FALSE,LEFT(KitchenDoorStyle,14)=""In-frame panel""),((((B176-76)/1000)*((C176-38)/1000))*2)+((MID(KitchenDoorMaterial,FIND(""("",KitchenDoorMaterial)+"&amp;"1,2)/1000)*((((B176-76)+(C176-38))/1000)*2))+((((B176-236)/1000)+((C176-198)/1000)*2)*0.013)+(((B176/1000)*0.032)*2)+((((B176-76)/1000)*0.032)*2)+(((B176/1000)*0.019)*4)+(((C176/1000)*0.032)*2)+((((C176-38)/1000)*0.032)*2)+(((C176/1000)*0.038)*4),IF(ISERR"&amp;"OR(FIND(""drawer box"",A176))=FALSE,((((B176/1000)*(D176/1000))+((B176/1000)*(C176/1000)))*4)+((((D176/1000)+(C176/1000))*0.016)*4)+(((C176/1000)*(D176/1000))*2),IF(OR(ISERROR(FIND(""shelf"",A176))=FALSE,ISERROR(FIND(""spacer"",A176))=FALSE,,ISERROR(FIND("&amp;"""filler panel"",A176))=FALSE),(((C176/1000)*(D176/1000))*2)+((((C176+D176)*2)/1000)*0.022),IF(ISERROR(FIND(""lost corner"",A176))=FALSE,(((B176/1000)*(C176/1000))*2)+((B176/1000)*(C176/1000))+((B176/1000)*((C176/2)/1000))+((((B176/1000)*0.025)+((C176/100"&amp;"0)*0.025))*2),IF(ISERROR(FIND(""carcass"",A176))=FALSE,(((C176/1000)*(D176/1000))*2)+(((B176/1000)*(D176/1000))*2)+((B176/1000)*(C176/1000))+((((B176/1000)*0.025)+((C176/1000)*0.025))*2),IF(AND(ISERROR(FIND(""door"",A176))=FALSE,KitchenDoorStyle=""Flat"")"&amp;",(((B176/1000)*(C176/1000))*2)+(MID(KitchenDoorMaterial,FIND(""("",KitchenDoorMaterial)+1,2)/1000)*(((B176+C176)/1000)*2),IF(AND(ISERROR(FIND(""door"",A176))=FALSE,LEFT(KitchenDoorStyle,5)=""Panel""),(((B176/1000)*(C176/1000))*2)+((MID(KitchenDoorMaterial"&amp;",FIND(""("",KitchenDoorMaterial)+1,2)/1000)*(((B176+C176)/1000)*2))+(((((B176-160)+(C176-160))*2)/1000)*(0.013)),IF(AND(ISERROR(FIND(""door"",A176))=FALSE,KitchenDoorStyle=""In-frame flat""),((((B176-76)/1000)*((C176-38)/1000))*2)+(MID(KitchenDoorMaterial"&amp;",FIND(""("",KitchenDoorMaterial)+1,2)/1000)*((((B176-76)+(C176-38))/1000)*2)+(((B176/1000)*0.032)*2)+((((B176-76)/1000)*0.032)*2)+(((B176/1000)*0.019)*4)+(((C176/1000)*0.032)*2)+((((C176-38)/1000)*0.032)*2)+(((C176/1000)*0.038)*4),IF(AND(ISERROR(FIND(""do"&amp;"or"",A176))=FALSE,LEFT(KitchenDoorStyle,14)=""In-frame panel""),((((B176-76)/1000)*((C176-38)/1000))*2)+((MID(KitchenDoorMaterial,FIND(""("",KitchenDoorMaterial)+1,2)/1000)*((((B176-76)+(C176-38))/1000)*2))+((((B176-236)/1000)+((C176-198)/1000)*2)*0.013)+"&amp;"(((B176/1000)*0.032)*2)+((((B176-76)/1000)*0.032)*2)+(((B176/1000)*0.019)*4)+(((C176/1000)*0.032)*2)+((((C176-38)/1000)*0.032)*2)+(((C176/1000)*0.038)*4),IF(ISERROR(FIND(""Plinth"",A176))=FALSE,((B176/1000)*(C176/1000))+(((C176/1000)*0.018)*2)+(((B176/100"&amp;"0)*0.018)*2),IF(ISERROR(FIND(""Cornice"",A176))=FALSE,(((C176/1000)*0.1)*2)+(((C176/1000)*0.044)*2)+(((B176/1000)*0.08)*2),IF(ISERROR(FIND(""Base end panel"",A176))=FALSE,((B176/1000)*(C176/1000))+(0.022*((B176/1000)+((C176/1000)*2)))+((B176/1000)*0.05),I"&amp;"F(ISERROR(FIND(""Wall end panel"",A176))=FALSE,((B176/1000)*(C176/1000))+(0.022*((B176/1000)+((C176/1000)*2)))+((B176/1000)*0.05),IF(ISERROR(FIND(""Tower end panel"",A176))=FALSE,((B176/1000)*(C176/1000))+(0.022*((B176/1000)+((C176/1000)*2)))+((B176/1000)"&amp;"*0.05),IF(ISERROR(FIND(""Fillers"",A176))=FALSE,((C176/1000)*0.06)+((C176/1000)*0.069)+((0.06*0.018)*2)+((0.06*0.009)*2)+((C176/1000)*0.009)+((C176/1000)*0.018),IF(ISERROR(FIND(""corner post"",A176))=FALSE,(((B176/1000*0.05)*2)+((B176/1000)*0.022)*2)+((B1"&amp;"76/1000)*0.072)+((B176/1000)*0.05)+((0.072*0.022)*2)+((0.05*0.022)*2),IF(ISERROR(FIND(""Pelmet"",A176))=FALSE,((C176/1000)*0.05)+((C176/1000)*0.068)+((0.05*0.018)*4)+(((C176/1000)*0.018))*2))))))))))))))))))))))))))))"),"")</f>
        <v/>
      </c>
      <c r="N176" s="152" t="str">
        <f>IF(M176="","",IF(AND(ISERROR(FIND("carcass",A176))=TRUE,ISERROR(FIND("unit",A176))=TRUE,ISERROR(FIND("insert",A176))=TRUE,ISERROR(FIND("rack",A176))=TRUE,ISERROR(FIND("box",A176))=TRUE,ISERROR(FIND("shelf",#REF!))=TRUE),VLOOKUP(KitchenDoorFinish,Finishing!$A$2:$K$10,9,0)*M176,VLOOKUP(KitchenCarcassFinish,Finishing!$A$2:$K$40,9,0)*M176))</f>
        <v/>
      </c>
      <c r="O176" s="155"/>
      <c r="P176" s="155"/>
      <c r="Q176" s="152" t="str">
        <f>IF(OR(O176="",P176=""),"",((O176*X176)*(VLOOKUP("Workshop",Labour!$A$3:$E$20,4,0)/8))+((P176*AE176)*(VLOOKUP("Finishing",Labour!$A$3:$E$20,4,0)/8)))</f>
        <v/>
      </c>
      <c r="R176" s="152" t="str">
        <f t="shared" si="4"/>
        <v/>
      </c>
      <c r="S176" s="156" t="str">
        <f>IF(OR(O176="",P176=""),"",IF(OR(ISERROR(FIND("carcass",$A176))=FALSE,ISERROR(FIND("unit",$A176))=FALSE),VLOOKUP(KitchenCarcassMaterial,FixedListsCarcassMaterial,2,0),0))</f>
        <v/>
      </c>
      <c r="T176" s="156" t="str">
        <f>IF(OR(O176="",P176=""),"",IF(ISERROR(FIND("door",$A176))=FALSE,VLOOKUP(KitchenDoorStyle,FixedListsDoorStyle,2,0),0))</f>
        <v/>
      </c>
      <c r="U176" s="156" t="str">
        <f>IF(OR(O176="",P176=""),"",IF(ISERROR(FIND("door",$A176))=FALSE,VLOOKUP(KitchenDoorMaterial,FixedListsDoorMaterial,2,0),0))</f>
        <v/>
      </c>
      <c r="V176" s="156" t="str">
        <f>IF(OR(O176="",P176=""),"",IF(ISERROR(FIND("drawer",$A176))=FALSE,VLOOKUP(KitchenDrawerType,FixedListsDrawerType,2,0),0))</f>
        <v/>
      </c>
      <c r="W176" s="156" t="str">
        <f>IF(OR(O176="",P176=""),"",IF(OR(S176&gt;0, T176&gt;0,V176&gt;0),VLOOKUP(KitchenHandleType,FixedListsHandleType,2,FALSE)*IF(KitchenHandleType="Simple",0,IF(S176&gt;0,VLOOKUP(KitchenHandleType,FixedListsHandleType,4,FALSE),IF(OR(T176&gt;0,V176&gt;0),1-VLOOKUP(KitchenHandleType,FixedListsHandleType,4,FALSE),"Error"))),0))</f>
        <v/>
      </c>
      <c r="X176" s="156" t="str">
        <f t="shared" si="5"/>
        <v/>
      </c>
      <c r="Y176" s="156" t="str">
        <f>IF(OR(O176="",P176=""),"",IF(OR(ISERROR(FIND("carcass",$A176))=FALSE,ISERROR(FIND("unit",$A176))=FALSE),VLOOKUP(KitchenCarcassMaterial,FixedListsCarcassMaterial,3,0),0))</f>
        <v/>
      </c>
      <c r="Z176" s="156" t="str">
        <f>IF(OR(O176="",P176=""),"",IF(ISERROR(FIND("door",$A176))=FALSE,VLOOKUP(KitchenDoorStyle,FixedListsDoorStyle,3,0),0))</f>
        <v/>
      </c>
      <c r="AA176" s="156" t="str">
        <f>IF(OR(O176="",P176=""),"",IF(ISERROR(FIND("door",$A176))=FALSE,VLOOKUP(KitchenDoorMaterial,FixedListsDoorMaterial,3,0),0))</f>
        <v/>
      </c>
      <c r="AB176" s="156" t="str">
        <f>IF(OR(O176="",P176=""),"",IF(ISERROR(FIND("drawer",$A176))=FALSE,VLOOKUP(KitchenDrawerType,FixedListsDrawerType,3,0),0))</f>
        <v/>
      </c>
      <c r="AC176" s="156" t="str">
        <f>IF(OR(O176="",P176=""),"",IF(OR(Y176&gt;0,Z176&gt;0,AB176&gt;0),VLOOKUP(KitchenHandleType,FixedListsHandleType,3,FALSE),0))</f>
        <v/>
      </c>
      <c r="AD176" s="156" t="str">
        <f>IF(OR(O176="",P176=""),"",IF(OR(ISERROR(FIND("carcass",$A176))=FALSE,ISERROR(FIND("unit",$A176))=FALSE),VLOOKUP(KitchenCarcassFinish,FixedListsFinishes,3,0),IF(OR(ISERROR(FIND("door",$A176))=FALSE,ISERROR(FIND("Plinth",$A176))=FALSE,ISERROR(FIND("Cornice",$A176))=FALSE,ISERROR(FIND("Fillers",$A176))=FALSE,ISERROR(FIND("Pelmet",$A176))=FALSE,ISERROR(FIND("panel",$A176))=FALSE,ISERROR(FIND("post",$A176))=FALSE),VLOOKUP(KitchenDoorFinish,FixedListsFinishes,3,0),IF(OR(ISERROR(FIND("drawer",$A176))=FALSE,ISERROR(FIND("insert",$A176))=FALSE,ISERROR(FIND("rck",$A176))=FALSE),VLOOKUP(KitchenCarcassFinish,FixedListsFinishes,3,0),0))))</f>
        <v/>
      </c>
      <c r="AE176" s="156" t="str">
        <f t="shared" si="6"/>
        <v/>
      </c>
      <c r="AF176" s="157" t="str">
        <f>IF(AND(KitchenHandleType="Channel",OR(ISERROR(FIND("arcass",$A176))=FALSE,ISERROR(FIND("unit",$A176))=FALSE)),IF(ISERROR(FIND("Tower",$A176))=TRUE,IF(KitchenHandleFinish="Match carcass",IF(ISERROR(FIND("Walnut",KitchenCarcassMaterial))=FALSE,(0.035*0.075*($C176/1000))*VLOOKUP("Walnut (solid m3)",SolidData,4,FALSE),IF(ISERROR(FIND("Oak",KitchenCarcassMaterial))=FALSE,(0.035*0.075*($C176/1000))*VLOOKUP("Oak (solid m3)",SolidData,4,FALSE),IF(ISERROR(FIND("ply",KitchenCarcassMaterial))=FALSE,(0.1*($C176/1000))*VLOOKUP("Birch ply (24mm)",SheetsData,7,FALSE),IF(ISERROR(FIND("H/F",KitchenCarcassMaterial))=FALSE,(0.1*($C176/1000))*VLOOKUP("H/F (22mm)",SheetsData,7,FALSE),"Carcass - not tower - new material")))),IF(KitchenHandleFinish="Match door",IF(ISERROR(FIND("Walnut",KitchenDoorMaterial))=FALSE,(0.035*0.075*($C176/1000))*VLOOKUP("Walnut (solid m3)",SolidData,4,FALSE),IF(ISERROR(FIND("Oak",KitchenDoorMaterial))=FALSE,(0.035*0.075*($C176/1000))*VLOOKUP("Oak (solid m3)",SolidData,4,FALSE),IF(ISERROR(FIND("ply",KitchenDoorMaterial))=FALSE,(0.1*($C176/1000))*VLOOKUP("Birch ply (24mm)",SheetsData,7,FALSE),IF(ISERROR(FIND("H/F",KitchenCarcassMaterial))=FALSE,(0.1*($C176/1000))*VLOOKUP("H/F (22mm)",SheetsData,7,FALSE),"Door - not tower - new material")))),"Channel - not tower - handle set to other")),IF(ISERROR(FIND("Tower",$A176))=FALSE,IF(KitchenHandleFinish="Match carcass",IF(ISERROR(FIND("Walnut",KitchenCarcassMaterial))=FALSE,(0.035*0.075*($B176/1000))*VLOOKUP("Walnut (solid m3)",SolidData,4,FALSE),IF(ISERROR(FIND("Oak",KitchenCarcassMaterial))=FALSE,(0.035*0.075*($B176/1000))*VLOOKUP("Oak (solid m3)",SolidData,4,FALSE),IF(ISERROR(FIND("ply",KitchenCarcassMaterial))=FALSE,(0.1*($B176/1000))*VLOOKUP("Birch ply (24mm)",SheetsData,7,FALSE),IF(ISERROR(FIND("H/F",KitchenCarcassMaterial))=FALSE,(0.1*($C176/1000))*VLOOKUP("H/F (22mm)",SheetsData,7,FALSE),"Carcass - tower - new material")))),IF(KitchenHandleFinish="Match door",IF(ISERROR(FIND("Walnut",KitchenDoorMaterial))=FALSE,(0.035*0.075*($B176/1000))*VLOOKUP("Walnut (solid m3)",SolidData,4,FALSE),IF(ISERROR(FIND("Oak",KitchenDoorMaterial))=FALSE,(0.035*0.075*($B176/1000))*VLOOKUP("Oak (solid m3)",SolidData,4,FALSE),IF(ISERROR(FIND("ply",KitchenDoorMaterial))=FALSE,(0.1*($B176/1000))*VLOOKUP("Birch ply (24mm)",SheetData,7,FALSE),IF(ISERROR(FIND("H/F",KitchenCarcassMaterial))=FALSE,(0.1*($C176/1000))*VLOOKUP("H/F (22mm)",SheetsData,7,FALSE),"Door - tower - new material")))),"Channel - tower - handle set to other")))),"")</f>
        <v/>
      </c>
    </row>
    <row r="177">
      <c r="A177" s="150"/>
      <c r="B177" s="115" t="str">
        <f t="shared" si="1"/>
        <v/>
      </c>
      <c r="C177" s="115" t="str">
        <f>IFERROR(__xludf.DUMMYFUNCTION("IF(A177="""","""",IF(OR(RIGHT(A177,LEN(A177)-len(regexextract(A177,"".* "")))=""1200"",RIGHT(A177,LEN(A177)-len(regexextract(A177,"".* "")))=""600"",RIGHT(A177,LEN(A177)-len(regexextract(A177,"".* "")))=""400"",RIGHT(A177,LEN(A177)-len(regexextract(A177,"&amp;""".* "")))=""300"",RIGHT(A177,LEN(A177)-len(regexextract(A177,"".* "")))=""700"",RIGHT(A177,LEN(A177)-len(regexextract(A177,"".* "")))=""2400"",RIGHT(A177,LEN(A177)-len(regexextract(A177,"".* "")))=""650"",RIGHT(A177,LEN(A177)-len(regexextract(A177,"".* "&amp;""")))=""350"",RIGHT(A177,LEN(A177)-len(regexextract(A177,"".* "")))=""50""),RIGHT(A177,LEN(A177)-len(regexextract(A177,"".* ""))),IF(OR(ISERROR(FIND(""spacer"",A177))=FALSE,ISERROR(FIND(""filler panel"",A177))=FALSE),""1000"",""Unexpected size in descript"&amp;"ion"")))"),"")</f>
        <v/>
      </c>
      <c r="D177" s="151" t="str">
        <f t="shared" si="2"/>
        <v/>
      </c>
      <c r="E177" s="152" t="str">
        <f>IFERROR(__xludf.DUMMYFUNCTION("IF(OR(A177="""",AND(ISERROR(FIND(""drawer box"",A177))=FALSE,KitchenDrawerType="""")),"""",IF(OR(ISERROR(FIND(""larder"",A177))=FALSE,ISERROR(FIND(""fridge/freezer"",A177))=FALSE,ISERROR(FIND(""double oven"",A177))=FALSE,ISERROR(FIND(""single oven"",A177)"&amp;")=FALSE),VLOOKUP(LEFT(A177,FIND("" "",A177))&amp;""carcass ""&amp;RIGHT(A177,LEN(A177)-(LEN(A177)-3)),KitchensData,5,0),IF(ISERROR(FIND(""sink"",A177))=FALSE,VLOOKUP(LEFT(A177,FIND("" "",A177))&amp;""carcass ""&amp;VALUE(REGEXREPLACE(A177,""[^[:digit:]]"", """")),Kitchen"&amp;"sData,5,0)+(((C177/1000)*(300/1000))*VLOOKUP(KitchenCarcassMaterial,SheetsData,8,0)),IF(ISERROR(FIND(""bins"",A177))=FALSE,IF(ISERROR(FIND(""veneer"",KitchenCarcassMaterial))=FALSE,VLOOKUP(""Base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600"",A177))=FALSE,IF(ISERR"&amp;"OR(FIND(""veneer"",KitchenCarcassMaterial))=FALSE,0.54*(VLOOKUP(LEFT(KitchenCarcassMaterial,FIND(""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1"&amp;"200"",A177))=FALSE,IF(ISERROR(FIND(""veneer"",KitchenCarcassMaterial))=FALSE,0.84*(VLOOKUP(LEFT(KitchenCarcassMaterial,FIND(""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600"",A177))=FALSE,IF(ISERROR(FIND(""veneer"",KitchenCarcassMaterial))=FALSE,1.44*(VLOOKUP(LEFT(KitchenCarcassMaterial,FIND(""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1200"",A177))=FALSE,IF(ISERROR(FIND(""veneer"",KitchenCarcassMaterial))=FALSE,2.7*(VLOOKUP(LEFT(KitchenCarcassMaterial,FIND(""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front"",A177))=FALSE,((B177/1000)*(C177/1000))*VLOOKUP(KitchenDoorMaterial,SheetsData,8,0),IF(AND(KitchenDrawerType=""Match carcass"",ISERROR(FIND(""drawer box"",A177))=FALSE),(((((B177/10"&amp;"00)*(C177/1000))+((B177/1000)*(D177/1000)))*2)*VLOOKUP(KitchenCarcassMaterial,SheetsData,8,0))+(((C177/1000)*(D177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box"",A177))=FALSE),(((((B177/1000)*(C177/1000))+((B177/1000)*(D177/1000)))*2)*(16/1000)*VLOOKUP(L"&amp;"EFT(KitchenCarcassMaterial,FIND("" "",KitchenCarcassMaterial))&amp;""(solid m3)"",SolidData,5,0))+(((C177/1000)*(D177/1000))*VLOOKUP(LEFT(KitchenCarcassMaterial,FIND(""("",KitchenCarcassMaterial)-1)&amp;IF(OR(ISERROR(FIND(""ply"",KitchenCarcassMaterial))=FALSE,IS"&amp;"ERROR(FIND(""H/F"",KitchenCarcassMaterial))=FALSE),""(9mm)"",""(10mm)""),SheetsData,8,0)),IF(ISERROR(FIND(""spacer"",A177))=FALSE,((D177/1000)*(C177/1000))*VLOOKUP(""Poplar ply (18mm)"",SheetsData,8,0),IF(ISERROR(FIND(""filler panel"",A177))=FALSE,((B177/"&amp;"1000)*(C177/1000))*VLOOKUP(KitchenDoorMaterial,SheetsData,8,0),IF(ISERROR(FIND(""shelf"",A177))=FALSE,((D177/1000)*(C177/1000))*VLOOKUP(KitchenCarcassMaterial,SheetsData,8,0),IF(ISERROR(FIND(""lost corner"",A177))=FALSE,VLOOKUP(LEFT(A177,FIND("" "",A177))"&amp;"&amp;""carcass ""&amp;VALUE(REGEXREPLACE(A177,""[^[:digit:]]"", """")),KitchensData,5,0)+((((B177/1000)*(C177/1000))+((B177/1000)*(60/1000)))*VLOOKUP(KitchenCarcassMaterial,SheetsData,8,0)),IF(ISERROR(FIND(""carcass"",A177))=FALSE,(((((B177/1000)*2)*(D177/1000))+"&amp;"(((C177/1000)*2)*(D177/1000)))*VLOOKUP(KitchenCarcassMaterial,SheetsData,8,0))+((B177/1000)*(C177/1000))*VLOOKUP(LEFT(KitchenCarcassMaterial,FIND(""("",KitchenCarcassMaterial)-1)&amp;IF(OR(ISERROR(FIND(""ply"",KitchenCarcassMaterial))=FALSE,ISERROR(FIND(""H/F"&amp;""",KitchenCarcassMaterial))=FALSE),""(9mm)"",""(10mm)""),SheetsData,8,0),IF(OR(ISERROR(FIND(""Plinth"",A177))=FALSE,ISERROR(FIND(""Cornice (flat)"",A177))=FALSE),((B177/1000)*(C177/1000))*VLOOKUP(""H/F (18mm)"",SheetsData,8,0),IF(ISERROR(FIND(""Cornice (s"&amp;"tacked)"",A177))=FALSE,((0.08*(C177/1000))*2)*VLOOKUP(""H/F (22mm)"",SheetsData,8,0),IF(ISERROR(FIND(""Base end panel"",A177))=FALSE,VLOOKUP(KitchenDoorMaterial,SheetsData,5,0)/3,IF(ISERROR(FIND(""Wall end panel"",A177))=FALSE,VLOOKUP(KitchenDoorMaterial,"&amp;"SheetsData,5,0)/9,IF(ISERROR(FIND(""Tower end panel"",A177))=FALSE,VLOOKUP(KitchenDoorMaterial,SheetsData,5,0),IF(ISERROR(FIND(""Fillers"",A177))=FALSE,(((0.06*(C177/1000))*2)*VLOOKUP(""H/F (18mm)"",SheetsData,8,0))+(((0.06*(C177/1000))*2)*VLOOKUP(""H/F ("&amp;"9mm)"",SheetsData,8,0)),IF(ISERROR(FIND(""corner post"",A177))=FALSE,(((B177/1000)*0.05)*2)*VLOOKUP(KitchenDoorMaterial,SheetsData,8,0),IF(ISERROR(FIND(""Pelmet"",A177))=FALSE,((((B177/1000)*(C177/1000))*2)*VLOOKUP(""H/F (18mm)"",SheetsData,8,0)),IF(ISERR"&amp;"OR(FIND(""door"",A177))=TRUE,""Check description"",IF(KitchenDoorStyle=""Flat"",((B177/1000)*(C177/1000))*VLOOKUP(KitchenDoorMaterial,SheetsData,8,0),IF(LEFT(KitchenDoorStyle,5)=""Panel"",(((((B177/1000)*2)*0.08)+((((C177/1000)-0.16)*2)*0.08))*VLOOKUP(""H"&amp;"/F (22mm)"",SheetsData,8,0))+(((B177/1000)-0.14)*((C177/1000)-0.14)*VLOOKUP(""H/F (9mm)"",SheetsData,8,0)),IF(KitchenDoorStyle=""In-frame flat"",((((((B177/1000)*0.019)*0.038)+((((C177-38)/1000)*0.038)*0.038))*2)*VLOOKUP(""Tulip (solid m3)"",SolidData,5,0"&amp;"))+(((B177-76)/1000)*((C177-38)/1000))*VLOOKUP(""H/F (22mm)"",SheetsData,8,0),IF(LEFT(KitchenDoorStyle,14)=""In-frame panel"",(((((((B177/1000)*0.019)*0.038)+((((C177-38)/1000)*0.038)*0.038))*2)*VLOOKUP(""Tulip (solid m3)"",SolidData,5,0))+(((((((B177-76)"&amp;"/1000)*2)*0.08)+(((((C177-198)/1000)*2)*0.08)))*VLOOKUP(""H/F (22mm)"",SheetsData,8,0))+(((B177-216)/1000)*((C177-178)/1000)*VLOOKUP(""H/F (9mm)"",SheetsData,8,0)))))))))))))))))))))))))))))))))"),"")</f>
        <v/>
      </c>
      <c r="F177" s="152" t="str">
        <f>IFERROR(__xludf.DUMMYFUNCTION("IF(OR(A177="""",AND(ISERROR(FIND(""drawer box"",A177))=FALSE,KitchenDrawerType=""Solid dovetail"")),"""",IF(ISERROR(FIND(""bins"",A177))=FALSE,VLOOKUP(""Base carcass 600"",KitchensData,6,0),IF(OR(ISERROR(FIND(""larder"",A177))=FALSE,ISERROR(FIND(""unit"","&amp;"A177))=FALSE),VLOOKUP(LEFT(A177,FIND("" "",A177))&amp;""carcass ""&amp;RIGHT(A177,LEN(A177)-len(regexextract(A177,"".* ""))),KitchensData,6,0),IF(ISERROR(FIND(""drawer front"",A177))=FALSE,IF(ISERROR(FIND(""veneer"",KitchenCarcassMaterial))=TRUE,0,(((B177+C177)/1"&amp;"000)*2)*VLOOKUP(""Edge banding (per M)"",SheetsData,5,0)),IF(ISERROR(FIND(""drawer box"",A177))=FALSE,IF(ISERROR(FIND(""veneer"",KitchenCarcassMaterial))=TRUE,0,(((C177+D177)/1000)*2)*VLOOKUP(""Edge banding (per M)"",SheetsData,5,0)),IF(ISERROR(FIND(""she"&amp;"lf"",A177))=FALSE,IF(ISERROR(FIND(""veneer"",KitchenCarcassMaterial))=TRUE,0,(C177/1000)*VLOOKUP(""Edge banding (per M)"",SheetsData,5,0)),IF(AND(ISERROR(FIND(""carcass"",A177))=FALSE,ISERROR(FIND(""shelf"",A177))=TRUE),IF(ISERROR(FIND(""veneer"",KitchenC"&amp;"arcassMaterial))=TRUE,0,((2*(B177+C177))/1000)*VLOOKUP(""Edge banding (per M)"",SheetsData,5,0)),IF(ISERROR(FIND(""door"",A177))=TRUE,"""",IF(ISERROR(FIND(""veneer"",KitchenDoorMaterial))=TRUE,"""",((2*(B177+C177))/1000)*VLOOKUP(""Edge banding (per M)"",S"&amp;"heetsData,5,0))))))))))"),"")</f>
        <v/>
      </c>
      <c r="G177" s="153" t="str">
        <f>IF(A177="","",IF(ISERROR(FIND("bins",A177))=FALSE,VLOOKUP("Base carcass 600",KitchensData,7,0),IF(OR(ISERROR(FIND("larder",A177))=FALSE,ISERROR(FIND("fridge/freezer",A177))=FALSE,ISERROR(FIND("double oven",A177))=FALSE,ISERROR(FIND("single oven",A177))=FALSE),VLOOKUP(LEFT(A177,FIND(" ",A177))&amp;"carcass "&amp;RIGHT(A177,LEN(A177)-(LEN(A177)-3)),KitchensData,7,0),IF(AND(ISERROR(FIND("carcass",A177))=FALSE,ISERROR(FIND("shelf",A177))=TRUE),IF(OR(ISERROR(FIND("Base",A177))=FALSE,ISERROR(FIND("Tower",A177))=FALSE),IF(OR(ISERROR(FIND("1200",A177))=FALSE, ISERROR(FIND("lost corner",A177))=FALSE),6*VLOOKUP("Plinth foot (2 Parts 80mm)",FurnitureData,5,0),4*VLOOKUP("Plinth foot (2 Parts 80mm)",FurnitureData,5,0)),""),""))))</f>
        <v/>
      </c>
      <c r="H177" s="115" t="str">
        <f>IF(OR(A177="",ISERROR(FIND("door",A177))=TRUE),"",IF(ISERROR(FIND("Wall",A177))=FALSE,VLOOKUP("Hinges &amp; plates (Hettich thick door)",FurnitureData,5,0)*2,IF(ISERROR(FIND("Base",A177))=FALSE,VLOOKUP("Hinges &amp; plates (Hettich thick door)",FurnitureData,5,0)*3,IF(ISERROR(FIND("Boiler",A177))=FALSE,VLOOKUP("Hinges &amp; plates (Hettich thick door)",FurnitureData,5,0)*4,IF(ISERROR(FIND("Tower",A177))=FALSE,VLOOKUP("Hinges &amp; plates (Hettich thick door)",FurnitureData,5,0)*5)))))</f>
        <v/>
      </c>
      <c r="I177" s="115" t="str">
        <f>IF(ISERROR(FIND("shelf",A177))=FALSE,(VLOOKUP("Shelf pegs",FurnitureData,5,0)/100)*4,"")</f>
        <v/>
      </c>
      <c r="J177" s="152" t="str">
        <f>IF(OR(ISERROR(FIND("fridge/freezer",A177))=FALSE,ISERROR(FIND("larder",A177))=FALSE,AND(ISERROR(FIND("Base",A177))=FALSE,ISERROR(FIND("bins",A177))=TRUE,ISERROR(FIND("no shelves",A177))=TRUE,OR(ISERROR(FIND("carcass",A177))=FALSE,ISERROR(FIND("unit",A177))=FALSE))),VLOOKUP("Deep shelf "&amp;C177,KitchensData,18,0),IF(AND(ISERROR(FIND("Wall",A177))=FALSE,ISERROR(FIND("carcass",A177))=FALSE),2*VLOOKUP("Shallow shelf "&amp;C177,KitchensData,18,0),IF(AND(ISERROR(FIND("Tower",A177))=FALSE,ISERROR(FIND("oven",A177))=FALSE),4*VLOOKUP("Deep shelf "&amp;C177,KitchensData,18,0),IF(AND(ISERROR(FIND("Tower",A177))=FALSE,ISERROR(FIND("carcass",A177))=FALSE),5*VLOOKUP("Deep shelf "&amp;C177,KitchensData,18,0),""))))</f>
        <v/>
      </c>
      <c r="K177" s="152" t="str">
        <f>IF(ISERROR(FIND("sink",A177))=FALSE,VLOOKUP("Sink liner - Aluminium "&amp;RIGHT(A177,LEN(A177)-22)&amp;"mm",ExceptionalData,5,0),IF(ISERROR(FIND("bins",A177))=FALSE,VLOOKUP("Drawer runners and clip set for bin unit (500) Dynapro",FurnitureData,5,0)+(2*VLOOKUP("Bin (42L Anthracite)",FurnitureData,5,0)),IF(ISERROR(FIND("larder",A177))=FALSE,VLOOKUP("Pull out larder unit 600mm",FurnitureData,5,0),IF(AND(ISERROR(FIND("drawer box",A177))=FALSE,ISERROR(FIND("internal",A177))=TRUE),VLOOKUP("Drawer runners and clip set (550) Dynapro",FurnitureData,5,0),IF(ISERROR(FIND("internal drawer box",A177))=FALSE,VLOOKUP("Drawer runners and clip set (450) Dynapro",FurnitureData,5,0),"")))))</f>
        <v/>
      </c>
      <c r="L177" s="152" t="str">
        <f t="shared" si="3"/>
        <v/>
      </c>
      <c r="M177" s="154" t="str">
        <f>IFERROR(__xludf.DUMMYFUNCTION("IF(A177="""","""",IF(OR(ISERROR(FIND(""larder"",A177))=FALSE,ISERROR(FIND(""unit"",A177))=FALSE),VLOOKUP(LEFT(A177,FIND("" "",A177))&amp;""carcass ""&amp;RIGHT(A177,LEN(A177)-len(regexextract(A177,"".* ""))),KitchensData,13,0),IF(ISERROR(FIND(""bins"",A177))=FALS"&amp;"E,0.95,IF(ISERROR(FIND(""Cutlery insert 600"",A177))=FALSE,1.3,IF(ISERROR(FIND(""Cutlery insert 1200"",A177))=FALSE,2,IF(ISERROR(FIND(""Pan/tray rack 600"",A177))=FALSE,3.25,IF(ISERROR(FIND(""Pan/tray rack 1200"",A177))=FALSE,5.9,IF(ISERROR(FIND(""split"""&amp;",A177))=FALSE,(((C177/1000)*0.022)*2)+VLOOKUP(SUBSTITUTE(A177,"" split"",""""),KitchensData,13,0),IF(AND(ISERROR(FIND(""drawer front"",A177))=FALSE,KitchenDoorStyle=""Flat""),(((B177/1000)*(C177/1000))*2)+((((B177+C177)/1000)*2)*0.022),IF(AND(ISERROR(FIND"&amp;"(""drawer front"",A177))=FALSE,LEFT(KitchenDoorStyle,5)=""Panel""),(((B177/1000)*(C177/1000))*2)+((((B177+C177)/1000)*2)*0.022)+((((C177/1000)-0.16)*0.013)*2)+((((D177/1000)-0.16)*0.013)*2),IF(AND(ISERROR(FIND(""drawer front"",A177))=FALSE,KitchenDoorStyl"&amp;"e=""In-frame flat""),((((B177-76)/1000)*((C177-38)/1000))*2)+(MID(KitchenDoorMaterial,FIND(""("",KitchenDoorMaterial)+1,2)/1000)*((((B177-76)+(C177-38))/1000)*2)+(((B177/1000)*0.032)*2)+((((B177-76)/1000)*0.032)*2)+(((B177/1000)*0.019)*4)+(((C177/1000)*0."&amp;"032)*2)+((((C177-38)/1000)*0.032)*2)+(((C177/1000)*0.038)*4),IF(AND(ISERROR(FIND(""drawer front"",A177))=FALSE,LEFT(KitchenDoorStyle,14)=""In-frame panel""),((((B177-76)/1000)*((C177-38)/1000))*2)+((MID(KitchenDoorMaterial,FIND(""("",KitchenDoorMaterial)+"&amp;"1,2)/1000)*((((B177-76)+(C177-38))/1000)*2))+((((B177-236)/1000)+((C177-198)/1000)*2)*0.013)+(((B177/1000)*0.032)*2)+((((B177-76)/1000)*0.032)*2)+(((B177/1000)*0.019)*4)+(((C177/1000)*0.032)*2)+((((C177-38)/1000)*0.032)*2)+(((C177/1000)*0.038)*4),IF(ISERR"&amp;"OR(FIND(""drawer box"",A177))=FALSE,((((B177/1000)*(D177/1000))+((B177/1000)*(C177/1000)))*4)+((((D177/1000)+(C177/1000))*0.016)*4)+(((C177/1000)*(D177/1000))*2),IF(OR(ISERROR(FIND(""shelf"",A177))=FALSE,ISERROR(FIND(""spacer"",A177))=FALSE,,ISERROR(FIND("&amp;"""filler panel"",A177))=FALSE),(((C177/1000)*(D177/1000))*2)+((((C177+D177)*2)/1000)*0.022),IF(ISERROR(FIND(""lost corner"",A177))=FALSE,(((B177/1000)*(C177/1000))*2)+((B177/1000)*(C177/1000))+((B177/1000)*((C177/2)/1000))+((((B177/1000)*0.025)+((C177/100"&amp;"0)*0.025))*2),IF(ISERROR(FIND(""carcass"",A177))=FALSE,(((C177/1000)*(D177/1000))*2)+(((B177/1000)*(D177/1000))*2)+((B177/1000)*(C177/1000))+((((B177/1000)*0.025)+((C177/1000)*0.025))*2),IF(AND(ISERROR(FIND(""door"",A177))=FALSE,KitchenDoorStyle=""Flat"")"&amp;",(((B177/1000)*(C177/1000))*2)+(MID(KitchenDoorMaterial,FIND(""("",KitchenDoorMaterial)+1,2)/1000)*(((B177+C177)/1000)*2),IF(AND(ISERROR(FIND(""door"",A177))=FALSE,LEFT(KitchenDoorStyle,5)=""Panel""),(((B177/1000)*(C177/1000))*2)+((MID(KitchenDoorMaterial"&amp;",FIND(""("",KitchenDoorMaterial)+1,2)/1000)*(((B177+C177)/1000)*2))+(((((B177-160)+(C177-160))*2)/1000)*(0.013)),IF(AND(ISERROR(FIND(""door"",A177))=FALSE,KitchenDoorStyle=""In-frame flat""),((((B177-76)/1000)*((C177-38)/1000))*2)+(MID(KitchenDoorMaterial"&amp;",FIND(""("",KitchenDoorMaterial)+1,2)/1000)*((((B177-76)+(C177-38))/1000)*2)+(((B177/1000)*0.032)*2)+((((B177-76)/1000)*0.032)*2)+(((B177/1000)*0.019)*4)+(((C177/1000)*0.032)*2)+((((C177-38)/1000)*0.032)*2)+(((C177/1000)*0.038)*4),IF(AND(ISERROR(FIND(""do"&amp;"or"",A177))=FALSE,LEFT(KitchenDoorStyle,14)=""In-frame panel""),((((B177-76)/1000)*((C177-38)/1000))*2)+((MID(KitchenDoorMaterial,FIND(""("",KitchenDoorMaterial)+1,2)/1000)*((((B177-76)+(C177-38))/1000)*2))+((((B177-236)/1000)+((C177-198)/1000)*2)*0.013)+"&amp;"(((B177/1000)*0.032)*2)+((((B177-76)/1000)*0.032)*2)+(((B177/1000)*0.019)*4)+(((C177/1000)*0.032)*2)+((((C177-38)/1000)*0.032)*2)+(((C177/1000)*0.038)*4),IF(ISERROR(FIND(""Plinth"",A177))=FALSE,((B177/1000)*(C177/1000))+(((C177/1000)*0.018)*2)+(((B177/100"&amp;"0)*0.018)*2),IF(ISERROR(FIND(""Cornice"",A177))=FALSE,(((C177/1000)*0.1)*2)+(((C177/1000)*0.044)*2)+(((B177/1000)*0.08)*2),IF(ISERROR(FIND(""Base end panel"",A177))=FALSE,((B177/1000)*(C177/1000))+(0.022*((B177/1000)+((C177/1000)*2)))+((B177/1000)*0.05),I"&amp;"F(ISERROR(FIND(""Wall end panel"",A177))=FALSE,((B177/1000)*(C177/1000))+(0.022*((B177/1000)+((C177/1000)*2)))+((B177/1000)*0.05),IF(ISERROR(FIND(""Tower end panel"",A177))=FALSE,((B177/1000)*(C177/1000))+(0.022*((B177/1000)+((C177/1000)*2)))+((B177/1000)"&amp;"*0.05),IF(ISERROR(FIND(""Fillers"",A177))=FALSE,((C177/1000)*0.06)+((C177/1000)*0.069)+((0.06*0.018)*2)+((0.06*0.009)*2)+((C177/1000)*0.009)+((C177/1000)*0.018),IF(ISERROR(FIND(""corner post"",A177))=FALSE,(((B177/1000*0.05)*2)+((B177/1000)*0.022)*2)+((B1"&amp;"77/1000)*0.072)+((B177/1000)*0.05)+((0.072*0.022)*2)+((0.05*0.022)*2),IF(ISERROR(FIND(""Pelmet"",A177))=FALSE,((C177/1000)*0.05)+((C177/1000)*0.068)+((0.05*0.018)*4)+(((C177/1000)*0.018))*2))))))))))))))))))))))))))))"),"")</f>
        <v/>
      </c>
      <c r="N177" s="152" t="str">
        <f>IF(M177="","",IF(AND(ISERROR(FIND("carcass",A177))=TRUE,ISERROR(FIND("unit",A177))=TRUE,ISERROR(FIND("insert",A177))=TRUE,ISERROR(FIND("rack",A177))=TRUE,ISERROR(FIND("box",A177))=TRUE,ISERROR(FIND("shelf",#REF!))=TRUE),VLOOKUP(KitchenDoorFinish,Finishing!$A$2:$K$10,9,0)*M177,VLOOKUP(KitchenCarcassFinish,Finishing!$A$2:$K$40,9,0)*M177))</f>
        <v/>
      </c>
      <c r="O177" s="155"/>
      <c r="P177" s="155"/>
      <c r="Q177" s="152" t="str">
        <f>IF(OR(O177="",P177=""),"",((O177*X177)*(VLOOKUP("Workshop",Labour!$A$3:$E$20,4,0)/8))+((P177*AE177)*(VLOOKUP("Finishing",Labour!$A$3:$E$20,4,0)/8)))</f>
        <v/>
      </c>
      <c r="R177" s="152" t="str">
        <f t="shared" si="4"/>
        <v/>
      </c>
      <c r="S177" s="156" t="str">
        <f>IF(OR(O177="",P177=""),"",IF(OR(ISERROR(FIND("carcass",$A177))=FALSE,ISERROR(FIND("unit",$A177))=FALSE),VLOOKUP(KitchenCarcassMaterial,FixedListsCarcassMaterial,2,0),0))</f>
        <v/>
      </c>
      <c r="T177" s="156" t="str">
        <f>IF(OR(O177="",P177=""),"",IF(ISERROR(FIND("door",$A177))=FALSE,VLOOKUP(KitchenDoorStyle,FixedListsDoorStyle,2,0),0))</f>
        <v/>
      </c>
      <c r="U177" s="156" t="str">
        <f>IF(OR(O177="",P177=""),"",IF(ISERROR(FIND("door",$A177))=FALSE,VLOOKUP(KitchenDoorMaterial,FixedListsDoorMaterial,2,0),0))</f>
        <v/>
      </c>
      <c r="V177" s="156" t="str">
        <f>IF(OR(O177="",P177=""),"",IF(ISERROR(FIND("drawer",$A177))=FALSE,VLOOKUP(KitchenDrawerType,FixedListsDrawerType,2,0),0))</f>
        <v/>
      </c>
      <c r="W177" s="156" t="str">
        <f>IF(OR(O177="",P177=""),"",IF(OR(S177&gt;0, T177&gt;0,V177&gt;0),VLOOKUP(KitchenHandleType,FixedListsHandleType,2,FALSE)*IF(KitchenHandleType="Simple",0,IF(S177&gt;0,VLOOKUP(KitchenHandleType,FixedListsHandleType,4,FALSE),IF(OR(T177&gt;0,V177&gt;0),1-VLOOKUP(KitchenHandleType,FixedListsHandleType,4,FALSE),"Error"))),0))</f>
        <v/>
      </c>
      <c r="X177" s="156" t="str">
        <f t="shared" si="5"/>
        <v/>
      </c>
      <c r="Y177" s="156" t="str">
        <f>IF(OR(O177="",P177=""),"",IF(OR(ISERROR(FIND("carcass",$A177))=FALSE,ISERROR(FIND("unit",$A177))=FALSE),VLOOKUP(KitchenCarcassMaterial,FixedListsCarcassMaterial,3,0),0))</f>
        <v/>
      </c>
      <c r="Z177" s="156" t="str">
        <f>IF(OR(O177="",P177=""),"",IF(ISERROR(FIND("door",$A177))=FALSE,VLOOKUP(KitchenDoorStyle,FixedListsDoorStyle,3,0),0))</f>
        <v/>
      </c>
      <c r="AA177" s="156" t="str">
        <f>IF(OR(O177="",P177=""),"",IF(ISERROR(FIND("door",$A177))=FALSE,VLOOKUP(KitchenDoorMaterial,FixedListsDoorMaterial,3,0),0))</f>
        <v/>
      </c>
      <c r="AB177" s="156" t="str">
        <f>IF(OR(O177="",P177=""),"",IF(ISERROR(FIND("drawer",$A177))=FALSE,VLOOKUP(KitchenDrawerType,FixedListsDrawerType,3,0),0))</f>
        <v/>
      </c>
      <c r="AC177" s="156" t="str">
        <f>IF(OR(O177="",P177=""),"",IF(OR(Y177&gt;0,Z177&gt;0,AB177&gt;0),VLOOKUP(KitchenHandleType,FixedListsHandleType,3,FALSE),0))</f>
        <v/>
      </c>
      <c r="AD177" s="156" t="str">
        <f>IF(OR(O177="",P177=""),"",IF(OR(ISERROR(FIND("carcass",$A177))=FALSE,ISERROR(FIND("unit",$A177))=FALSE),VLOOKUP(KitchenCarcassFinish,FixedListsFinishes,3,0),IF(OR(ISERROR(FIND("door",$A177))=FALSE,ISERROR(FIND("Plinth",$A177))=FALSE,ISERROR(FIND("Cornice",$A177))=FALSE,ISERROR(FIND("Fillers",$A177))=FALSE,ISERROR(FIND("Pelmet",$A177))=FALSE,ISERROR(FIND("panel",$A177))=FALSE,ISERROR(FIND("post",$A177))=FALSE),VLOOKUP(KitchenDoorFinish,FixedListsFinishes,3,0),IF(OR(ISERROR(FIND("drawer",$A177))=FALSE,ISERROR(FIND("insert",$A177))=FALSE,ISERROR(FIND("rck",$A177))=FALSE),VLOOKUP(KitchenCarcassFinish,FixedListsFinishes,3,0),0))))</f>
        <v/>
      </c>
      <c r="AE177" s="156" t="str">
        <f t="shared" si="6"/>
        <v/>
      </c>
      <c r="AF177" s="157" t="str">
        <f>IF(AND(KitchenHandleType="Channel",OR(ISERROR(FIND("arcass",$A177))=FALSE,ISERROR(FIND("unit",$A177))=FALSE)),IF(ISERROR(FIND("Tower",$A177))=TRUE,IF(KitchenHandleFinish="Match carcass",IF(ISERROR(FIND("Walnut",KitchenCarcassMaterial))=FALSE,(0.035*0.075*($C177/1000))*VLOOKUP("Walnut (solid m3)",SolidData,4,FALSE),IF(ISERROR(FIND("Oak",KitchenCarcassMaterial))=FALSE,(0.035*0.075*($C177/1000))*VLOOKUP("Oak (solid m3)",SolidData,4,FALSE),IF(ISERROR(FIND("ply",KitchenCarcassMaterial))=FALSE,(0.1*($C177/1000))*VLOOKUP("Birch ply (24mm)",SheetsData,7,FALSE),IF(ISERROR(FIND("H/F",KitchenCarcassMaterial))=FALSE,(0.1*($C177/1000))*VLOOKUP("H/F (22mm)",SheetsData,7,FALSE),"Carcass - not tower - new material")))),IF(KitchenHandleFinish="Match door",IF(ISERROR(FIND("Walnut",KitchenDoorMaterial))=FALSE,(0.035*0.075*($C177/1000))*VLOOKUP("Walnut (solid m3)",SolidData,4,FALSE),IF(ISERROR(FIND("Oak",KitchenDoorMaterial))=FALSE,(0.035*0.075*($C177/1000))*VLOOKUP("Oak (solid m3)",SolidData,4,FALSE),IF(ISERROR(FIND("ply",KitchenDoorMaterial))=FALSE,(0.1*($C177/1000))*VLOOKUP("Birch ply (24mm)",SheetsData,7,FALSE),IF(ISERROR(FIND("H/F",KitchenCarcassMaterial))=FALSE,(0.1*($C177/1000))*VLOOKUP("H/F (22mm)",SheetsData,7,FALSE),"Door - not tower - new material")))),"Channel - not tower - handle set to other")),IF(ISERROR(FIND("Tower",$A177))=FALSE,IF(KitchenHandleFinish="Match carcass",IF(ISERROR(FIND("Walnut",KitchenCarcassMaterial))=FALSE,(0.035*0.075*($B177/1000))*VLOOKUP("Walnut (solid m3)",SolidData,4,FALSE),IF(ISERROR(FIND("Oak",KitchenCarcassMaterial))=FALSE,(0.035*0.075*($B177/1000))*VLOOKUP("Oak (solid m3)",SolidData,4,FALSE),IF(ISERROR(FIND("ply",KitchenCarcassMaterial))=FALSE,(0.1*($B177/1000))*VLOOKUP("Birch ply (24mm)",SheetsData,7,FALSE),IF(ISERROR(FIND("H/F",KitchenCarcassMaterial))=FALSE,(0.1*($C177/1000))*VLOOKUP("H/F (22mm)",SheetsData,7,FALSE),"Carcass - tower - new material")))),IF(KitchenHandleFinish="Match door",IF(ISERROR(FIND("Walnut",KitchenDoorMaterial))=FALSE,(0.035*0.075*($B177/1000))*VLOOKUP("Walnut (solid m3)",SolidData,4,FALSE),IF(ISERROR(FIND("Oak",KitchenDoorMaterial))=FALSE,(0.035*0.075*($B177/1000))*VLOOKUP("Oak (solid m3)",SolidData,4,FALSE),IF(ISERROR(FIND("ply",KitchenDoorMaterial))=FALSE,(0.1*($B177/1000))*VLOOKUP("Birch ply (24mm)",SheetData,7,FALSE),IF(ISERROR(FIND("H/F",KitchenCarcassMaterial))=FALSE,(0.1*($C177/1000))*VLOOKUP("H/F (22mm)",SheetsData,7,FALSE),"Door - tower - new material")))),"Channel - tower - handle set to other")))),"")</f>
        <v/>
      </c>
    </row>
    <row r="178">
      <c r="A178" s="150"/>
      <c r="B178" s="115" t="str">
        <f t="shared" si="1"/>
        <v/>
      </c>
      <c r="C178" s="115" t="str">
        <f>IFERROR(__xludf.DUMMYFUNCTION("IF(A178="""","""",IF(OR(RIGHT(A178,LEN(A178)-len(regexextract(A178,"".* "")))=""1200"",RIGHT(A178,LEN(A178)-len(regexextract(A178,"".* "")))=""600"",RIGHT(A178,LEN(A178)-len(regexextract(A178,"".* "")))=""400"",RIGHT(A178,LEN(A178)-len(regexextract(A178,"&amp;""".* "")))=""300"",RIGHT(A178,LEN(A178)-len(regexextract(A178,"".* "")))=""700"",RIGHT(A178,LEN(A178)-len(regexextract(A178,"".* "")))=""2400"",RIGHT(A178,LEN(A178)-len(regexextract(A178,"".* "")))=""650"",RIGHT(A178,LEN(A178)-len(regexextract(A178,"".* "&amp;""")))=""350"",RIGHT(A178,LEN(A178)-len(regexextract(A178,"".* "")))=""50""),RIGHT(A178,LEN(A178)-len(regexextract(A178,"".* ""))),IF(OR(ISERROR(FIND(""spacer"",A178))=FALSE,ISERROR(FIND(""filler panel"",A178))=FALSE),""1000"",""Unexpected size in descript"&amp;"ion"")))"),"")</f>
        <v/>
      </c>
      <c r="D178" s="151" t="str">
        <f t="shared" si="2"/>
        <v/>
      </c>
      <c r="E178" s="152" t="str">
        <f>IFERROR(__xludf.DUMMYFUNCTION("IF(OR(A178="""",AND(ISERROR(FIND(""drawer box"",A178))=FALSE,KitchenDrawerType="""")),"""",IF(OR(ISERROR(FIND(""larder"",A178))=FALSE,ISERROR(FIND(""fridge/freezer"",A178))=FALSE,ISERROR(FIND(""double oven"",A178))=FALSE,ISERROR(FIND(""single oven"",A178)"&amp;")=FALSE),VLOOKUP(LEFT(A178,FIND("" "",A178))&amp;""carcass ""&amp;RIGHT(A178,LEN(A178)-(LEN(A178)-3)),KitchensData,5,0),IF(ISERROR(FIND(""sink"",A178))=FALSE,VLOOKUP(LEFT(A178,FIND("" "",A178))&amp;""carcass ""&amp;VALUE(REGEXREPLACE(A178,""[^[:digit:]]"", """")),Kitchen"&amp;"sData,5,0)+(((C178/1000)*(300/1000))*VLOOKUP(KitchenCarcassMaterial,SheetsData,8,0)),IF(ISERROR(FIND(""bins"",A178))=FALSE,IF(ISERROR(FIND(""veneer"",KitchenCarcassMaterial))=FALSE,VLOOKUP(""Base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600"",A178))=FALSE,IF(ISERR"&amp;"OR(FIND(""veneer"",KitchenCarcassMaterial))=FALSE,0.54*(VLOOKUP(LEFT(KitchenCarcassMaterial,FIND(""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1"&amp;"200"",A178))=FALSE,IF(ISERROR(FIND(""veneer"",KitchenCarcassMaterial))=FALSE,0.84*(VLOOKUP(LEFT(KitchenCarcassMaterial,FIND(""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600"",A178))=FALSE,IF(ISERROR(FIND(""veneer"",KitchenCarcassMaterial))=FALSE,1.44*(VLOOKUP(LEFT(KitchenCarcassMaterial,FIND(""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1200"",A178))=FALSE,IF(ISERROR(FIND(""veneer"",KitchenCarcassMaterial))=FALSE,2.7*(VLOOKUP(LEFT(KitchenCarcassMaterial,FIND(""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front"",A178))=FALSE,((B178/1000)*(C178/1000))*VLOOKUP(KitchenDoorMaterial,SheetsData,8,0),IF(AND(KitchenDrawerType=""Match carcass"",ISERROR(FIND(""drawer box"",A178))=FALSE),(((((B178/10"&amp;"00)*(C178/1000))+((B178/1000)*(D178/1000)))*2)*VLOOKUP(KitchenCarcassMaterial,SheetsData,8,0))+(((C178/1000)*(D178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box"",A178))=FALSE),(((((B178/1000)*(C178/1000))+((B178/1000)*(D178/1000)))*2)*(16/1000)*VLOOKUP(L"&amp;"EFT(KitchenCarcassMaterial,FIND("" "",KitchenCarcassMaterial))&amp;""(solid m3)"",SolidData,5,0))+(((C178/1000)*(D178/1000))*VLOOKUP(LEFT(KitchenCarcassMaterial,FIND(""("",KitchenCarcassMaterial)-1)&amp;IF(OR(ISERROR(FIND(""ply"",KitchenCarcassMaterial))=FALSE,IS"&amp;"ERROR(FIND(""H/F"",KitchenCarcassMaterial))=FALSE),""(9mm)"",""(10mm)""),SheetsData,8,0)),IF(ISERROR(FIND(""spacer"",A178))=FALSE,((D178/1000)*(C178/1000))*VLOOKUP(""Poplar ply (18mm)"",SheetsData,8,0),IF(ISERROR(FIND(""filler panel"",A178))=FALSE,((B178/"&amp;"1000)*(C178/1000))*VLOOKUP(KitchenDoorMaterial,SheetsData,8,0),IF(ISERROR(FIND(""shelf"",A178))=FALSE,((D178/1000)*(C178/1000))*VLOOKUP(KitchenCarcassMaterial,SheetsData,8,0),IF(ISERROR(FIND(""lost corner"",A178))=FALSE,VLOOKUP(LEFT(A178,FIND("" "",A178))"&amp;"&amp;""carcass ""&amp;VALUE(REGEXREPLACE(A178,""[^[:digit:]]"", """")),KitchensData,5,0)+((((B178/1000)*(C178/1000))+((B178/1000)*(60/1000)))*VLOOKUP(KitchenCarcassMaterial,SheetsData,8,0)),IF(ISERROR(FIND(""carcass"",A178))=FALSE,(((((B178/1000)*2)*(D178/1000))+"&amp;"(((C178/1000)*2)*(D178/1000)))*VLOOKUP(KitchenCarcassMaterial,SheetsData,8,0))+((B178/1000)*(C178/1000))*VLOOKUP(LEFT(KitchenCarcassMaterial,FIND(""("",KitchenCarcassMaterial)-1)&amp;IF(OR(ISERROR(FIND(""ply"",KitchenCarcassMaterial))=FALSE,ISERROR(FIND(""H/F"&amp;""",KitchenCarcassMaterial))=FALSE),""(9mm)"",""(10mm)""),SheetsData,8,0),IF(OR(ISERROR(FIND(""Plinth"",A178))=FALSE,ISERROR(FIND(""Cornice (flat)"",A178))=FALSE),((B178/1000)*(C178/1000))*VLOOKUP(""H/F (18mm)"",SheetsData,8,0),IF(ISERROR(FIND(""Cornice (s"&amp;"tacked)"",A178))=FALSE,((0.08*(C178/1000))*2)*VLOOKUP(""H/F (22mm)"",SheetsData,8,0),IF(ISERROR(FIND(""Base end panel"",A178))=FALSE,VLOOKUP(KitchenDoorMaterial,SheetsData,5,0)/3,IF(ISERROR(FIND(""Wall end panel"",A178))=FALSE,VLOOKUP(KitchenDoorMaterial,"&amp;"SheetsData,5,0)/9,IF(ISERROR(FIND(""Tower end panel"",A178))=FALSE,VLOOKUP(KitchenDoorMaterial,SheetsData,5,0),IF(ISERROR(FIND(""Fillers"",A178))=FALSE,(((0.06*(C178/1000))*2)*VLOOKUP(""H/F (18mm)"",SheetsData,8,0))+(((0.06*(C178/1000))*2)*VLOOKUP(""H/F ("&amp;"9mm)"",SheetsData,8,0)),IF(ISERROR(FIND(""corner post"",A178))=FALSE,(((B178/1000)*0.05)*2)*VLOOKUP(KitchenDoorMaterial,SheetsData,8,0),IF(ISERROR(FIND(""Pelmet"",A178))=FALSE,((((B178/1000)*(C178/1000))*2)*VLOOKUP(""H/F (18mm)"",SheetsData,8,0)),IF(ISERR"&amp;"OR(FIND(""door"",A178))=TRUE,""Check description"",IF(KitchenDoorStyle=""Flat"",((B178/1000)*(C178/1000))*VLOOKUP(KitchenDoorMaterial,SheetsData,8,0),IF(LEFT(KitchenDoorStyle,5)=""Panel"",(((((B178/1000)*2)*0.08)+((((C178/1000)-0.16)*2)*0.08))*VLOOKUP(""H"&amp;"/F (22mm)"",SheetsData,8,0))+(((B178/1000)-0.14)*((C178/1000)-0.14)*VLOOKUP(""H/F (9mm)"",SheetsData,8,0)),IF(KitchenDoorStyle=""In-frame flat"",((((((B178/1000)*0.019)*0.038)+((((C178-38)/1000)*0.038)*0.038))*2)*VLOOKUP(""Tulip (solid m3)"",SolidData,5,0"&amp;"))+(((B178-76)/1000)*((C178-38)/1000))*VLOOKUP(""H/F (22mm)"",SheetsData,8,0),IF(LEFT(KitchenDoorStyle,14)=""In-frame panel"",(((((((B178/1000)*0.019)*0.038)+((((C178-38)/1000)*0.038)*0.038))*2)*VLOOKUP(""Tulip (solid m3)"",SolidData,5,0))+(((((((B178-76)"&amp;"/1000)*2)*0.08)+(((((C178-198)/1000)*2)*0.08)))*VLOOKUP(""H/F (22mm)"",SheetsData,8,0))+(((B178-216)/1000)*((C178-178)/1000)*VLOOKUP(""H/F (9mm)"",SheetsData,8,0)))))))))))))))))))))))))))))))))"),"")</f>
        <v/>
      </c>
      <c r="F178" s="152" t="str">
        <f>IFERROR(__xludf.DUMMYFUNCTION("IF(OR(A178="""",AND(ISERROR(FIND(""drawer box"",A178))=FALSE,KitchenDrawerType=""Solid dovetail"")),"""",IF(ISERROR(FIND(""bins"",A178))=FALSE,VLOOKUP(""Base carcass 600"",KitchensData,6,0),IF(OR(ISERROR(FIND(""larder"",A178))=FALSE,ISERROR(FIND(""unit"","&amp;"A178))=FALSE),VLOOKUP(LEFT(A178,FIND("" "",A178))&amp;""carcass ""&amp;RIGHT(A178,LEN(A178)-len(regexextract(A178,"".* ""))),KitchensData,6,0),IF(ISERROR(FIND(""drawer front"",A178))=FALSE,IF(ISERROR(FIND(""veneer"",KitchenCarcassMaterial))=TRUE,0,(((B178+C178)/1"&amp;"000)*2)*VLOOKUP(""Edge banding (per M)"",SheetsData,5,0)),IF(ISERROR(FIND(""drawer box"",A178))=FALSE,IF(ISERROR(FIND(""veneer"",KitchenCarcassMaterial))=TRUE,0,(((C178+D178)/1000)*2)*VLOOKUP(""Edge banding (per M)"",SheetsData,5,0)),IF(ISERROR(FIND(""she"&amp;"lf"",A178))=FALSE,IF(ISERROR(FIND(""veneer"",KitchenCarcassMaterial))=TRUE,0,(C178/1000)*VLOOKUP(""Edge banding (per M)"",SheetsData,5,0)),IF(AND(ISERROR(FIND(""carcass"",A178))=FALSE,ISERROR(FIND(""shelf"",A178))=TRUE),IF(ISERROR(FIND(""veneer"",KitchenC"&amp;"arcassMaterial))=TRUE,0,((2*(B178+C178))/1000)*VLOOKUP(""Edge banding (per M)"",SheetsData,5,0)),IF(ISERROR(FIND(""door"",A178))=TRUE,"""",IF(ISERROR(FIND(""veneer"",KitchenDoorMaterial))=TRUE,"""",((2*(B178+C178))/1000)*VLOOKUP(""Edge banding (per M)"",S"&amp;"heetsData,5,0))))))))))"),"")</f>
        <v/>
      </c>
      <c r="G178" s="153" t="str">
        <f>IF(A178="","",IF(ISERROR(FIND("bins",A178))=FALSE,VLOOKUP("Base carcass 600",KitchensData,7,0),IF(OR(ISERROR(FIND("larder",A178))=FALSE,ISERROR(FIND("fridge/freezer",A178))=FALSE,ISERROR(FIND("double oven",A178))=FALSE,ISERROR(FIND("single oven",A178))=FALSE),VLOOKUP(LEFT(A178,FIND(" ",A178))&amp;"carcass "&amp;RIGHT(A178,LEN(A178)-(LEN(A178)-3)),KitchensData,7,0),IF(AND(ISERROR(FIND("carcass",A178))=FALSE,ISERROR(FIND("shelf",A178))=TRUE),IF(OR(ISERROR(FIND("Base",A178))=FALSE,ISERROR(FIND("Tower",A178))=FALSE),IF(OR(ISERROR(FIND("1200",A178))=FALSE, ISERROR(FIND("lost corner",A178))=FALSE),6*VLOOKUP("Plinth foot (2 Parts 80mm)",FurnitureData,5,0),4*VLOOKUP("Plinth foot (2 Parts 80mm)",FurnitureData,5,0)),""),""))))</f>
        <v/>
      </c>
      <c r="H178" s="115" t="str">
        <f>IF(OR(A178="",ISERROR(FIND("door",A178))=TRUE),"",IF(ISERROR(FIND("Wall",A178))=FALSE,VLOOKUP("Hinges &amp; plates (Hettich thick door)",FurnitureData,5,0)*2,IF(ISERROR(FIND("Base",A178))=FALSE,VLOOKUP("Hinges &amp; plates (Hettich thick door)",FurnitureData,5,0)*3,IF(ISERROR(FIND("Boiler",A178))=FALSE,VLOOKUP("Hinges &amp; plates (Hettich thick door)",FurnitureData,5,0)*4,IF(ISERROR(FIND("Tower",A178))=FALSE,VLOOKUP("Hinges &amp; plates (Hettich thick door)",FurnitureData,5,0)*5)))))</f>
        <v/>
      </c>
      <c r="I178" s="115" t="str">
        <f>IF(ISERROR(FIND("shelf",A178))=FALSE,(VLOOKUP("Shelf pegs",FurnitureData,5,0)/100)*4,"")</f>
        <v/>
      </c>
      <c r="J178" s="152" t="str">
        <f>IF(OR(ISERROR(FIND("fridge/freezer",A178))=FALSE,ISERROR(FIND("larder",A178))=FALSE,AND(ISERROR(FIND("Base",A178))=FALSE,ISERROR(FIND("bins",A178))=TRUE,ISERROR(FIND("no shelves",A178))=TRUE,OR(ISERROR(FIND("carcass",A178))=FALSE,ISERROR(FIND("unit",A178))=FALSE))),VLOOKUP("Deep shelf "&amp;C178,KitchensData,18,0),IF(AND(ISERROR(FIND("Wall",A178))=FALSE,ISERROR(FIND("carcass",A178))=FALSE),2*VLOOKUP("Shallow shelf "&amp;C178,KitchensData,18,0),IF(AND(ISERROR(FIND("Tower",A178))=FALSE,ISERROR(FIND("oven",A178))=FALSE),4*VLOOKUP("Deep shelf "&amp;C178,KitchensData,18,0),IF(AND(ISERROR(FIND("Tower",A178))=FALSE,ISERROR(FIND("carcass",A178))=FALSE),5*VLOOKUP("Deep shelf "&amp;C178,KitchensData,18,0),""))))</f>
        <v/>
      </c>
      <c r="K178" s="152" t="str">
        <f>IF(ISERROR(FIND("sink",A178))=FALSE,VLOOKUP("Sink liner - Aluminium "&amp;RIGHT(A178,LEN(A178)-22)&amp;"mm",ExceptionalData,5,0),IF(ISERROR(FIND("bins",A178))=FALSE,VLOOKUP("Drawer runners and clip set for bin unit (500) Dynapro",FurnitureData,5,0)+(2*VLOOKUP("Bin (42L Anthracite)",FurnitureData,5,0)),IF(ISERROR(FIND("larder",A178))=FALSE,VLOOKUP("Pull out larder unit 600mm",FurnitureData,5,0),IF(AND(ISERROR(FIND("drawer box",A178))=FALSE,ISERROR(FIND("internal",A178))=TRUE),VLOOKUP("Drawer runners and clip set (550) Dynapro",FurnitureData,5,0),IF(ISERROR(FIND("internal drawer box",A178))=FALSE,VLOOKUP("Drawer runners and clip set (450) Dynapro",FurnitureData,5,0),"")))))</f>
        <v/>
      </c>
      <c r="L178" s="152" t="str">
        <f t="shared" si="3"/>
        <v/>
      </c>
      <c r="M178" s="154" t="str">
        <f>IFERROR(__xludf.DUMMYFUNCTION("IF(A178="""","""",IF(OR(ISERROR(FIND(""larder"",A178))=FALSE,ISERROR(FIND(""unit"",A178))=FALSE),VLOOKUP(LEFT(A178,FIND("" "",A178))&amp;""carcass ""&amp;RIGHT(A178,LEN(A178)-len(regexextract(A178,"".* ""))),KitchensData,13,0),IF(ISERROR(FIND(""bins"",A178))=FALS"&amp;"E,0.95,IF(ISERROR(FIND(""Cutlery insert 600"",A178))=FALSE,1.3,IF(ISERROR(FIND(""Cutlery insert 1200"",A178))=FALSE,2,IF(ISERROR(FIND(""Pan/tray rack 600"",A178))=FALSE,3.25,IF(ISERROR(FIND(""Pan/tray rack 1200"",A178))=FALSE,5.9,IF(ISERROR(FIND(""split"""&amp;",A178))=FALSE,(((C178/1000)*0.022)*2)+VLOOKUP(SUBSTITUTE(A178,"" split"",""""),KitchensData,13,0),IF(AND(ISERROR(FIND(""drawer front"",A178))=FALSE,KitchenDoorStyle=""Flat""),(((B178/1000)*(C178/1000))*2)+((((B178+C178)/1000)*2)*0.022),IF(AND(ISERROR(FIND"&amp;"(""drawer front"",A178))=FALSE,LEFT(KitchenDoorStyle,5)=""Panel""),(((B178/1000)*(C178/1000))*2)+((((B178+C178)/1000)*2)*0.022)+((((C178/1000)-0.16)*0.013)*2)+((((D178/1000)-0.16)*0.013)*2),IF(AND(ISERROR(FIND(""drawer front"",A178))=FALSE,KitchenDoorStyl"&amp;"e=""In-frame flat""),((((B178-76)/1000)*((C178-38)/1000))*2)+(MID(KitchenDoorMaterial,FIND(""("",KitchenDoorMaterial)+1,2)/1000)*((((B178-76)+(C178-38))/1000)*2)+(((B178/1000)*0.032)*2)+((((B178-76)/1000)*0.032)*2)+(((B178/1000)*0.019)*4)+(((C178/1000)*0."&amp;"032)*2)+((((C178-38)/1000)*0.032)*2)+(((C178/1000)*0.038)*4),IF(AND(ISERROR(FIND(""drawer front"",A178))=FALSE,LEFT(KitchenDoorStyle,14)=""In-frame panel""),((((B178-76)/1000)*((C178-38)/1000))*2)+((MID(KitchenDoorMaterial,FIND(""("",KitchenDoorMaterial)+"&amp;"1,2)/1000)*((((B178-76)+(C178-38))/1000)*2))+((((B178-236)/1000)+((C178-198)/1000)*2)*0.013)+(((B178/1000)*0.032)*2)+((((B178-76)/1000)*0.032)*2)+(((B178/1000)*0.019)*4)+(((C178/1000)*0.032)*2)+((((C178-38)/1000)*0.032)*2)+(((C178/1000)*0.038)*4),IF(ISERR"&amp;"OR(FIND(""drawer box"",A178))=FALSE,((((B178/1000)*(D178/1000))+((B178/1000)*(C178/1000)))*4)+((((D178/1000)+(C178/1000))*0.016)*4)+(((C178/1000)*(D178/1000))*2),IF(OR(ISERROR(FIND(""shelf"",A178))=FALSE,ISERROR(FIND(""spacer"",A178))=FALSE,,ISERROR(FIND("&amp;"""filler panel"",A178))=FALSE),(((C178/1000)*(D178/1000))*2)+((((C178+D178)*2)/1000)*0.022),IF(ISERROR(FIND(""lost corner"",A178))=FALSE,(((B178/1000)*(C178/1000))*2)+((B178/1000)*(C178/1000))+((B178/1000)*((C178/2)/1000))+((((B178/1000)*0.025)+((C178/100"&amp;"0)*0.025))*2),IF(ISERROR(FIND(""carcass"",A178))=FALSE,(((C178/1000)*(D178/1000))*2)+(((B178/1000)*(D178/1000))*2)+((B178/1000)*(C178/1000))+((((B178/1000)*0.025)+((C178/1000)*0.025))*2),IF(AND(ISERROR(FIND(""door"",A178))=FALSE,KitchenDoorStyle=""Flat"")"&amp;",(((B178/1000)*(C178/1000))*2)+(MID(KitchenDoorMaterial,FIND(""("",KitchenDoorMaterial)+1,2)/1000)*(((B178+C178)/1000)*2),IF(AND(ISERROR(FIND(""door"",A178))=FALSE,LEFT(KitchenDoorStyle,5)=""Panel""),(((B178/1000)*(C178/1000))*2)+((MID(KitchenDoorMaterial"&amp;",FIND(""("",KitchenDoorMaterial)+1,2)/1000)*(((B178+C178)/1000)*2))+(((((B178-160)+(C178-160))*2)/1000)*(0.013)),IF(AND(ISERROR(FIND(""door"",A178))=FALSE,KitchenDoorStyle=""In-frame flat""),((((B178-76)/1000)*((C178-38)/1000))*2)+(MID(KitchenDoorMaterial"&amp;",FIND(""("",KitchenDoorMaterial)+1,2)/1000)*((((B178-76)+(C178-38))/1000)*2)+(((B178/1000)*0.032)*2)+((((B178-76)/1000)*0.032)*2)+(((B178/1000)*0.019)*4)+(((C178/1000)*0.032)*2)+((((C178-38)/1000)*0.032)*2)+(((C178/1000)*0.038)*4),IF(AND(ISERROR(FIND(""do"&amp;"or"",A178))=FALSE,LEFT(KitchenDoorStyle,14)=""In-frame panel""),((((B178-76)/1000)*((C178-38)/1000))*2)+((MID(KitchenDoorMaterial,FIND(""("",KitchenDoorMaterial)+1,2)/1000)*((((B178-76)+(C178-38))/1000)*2))+((((B178-236)/1000)+((C178-198)/1000)*2)*0.013)+"&amp;"(((B178/1000)*0.032)*2)+((((B178-76)/1000)*0.032)*2)+(((B178/1000)*0.019)*4)+(((C178/1000)*0.032)*2)+((((C178-38)/1000)*0.032)*2)+(((C178/1000)*0.038)*4),IF(ISERROR(FIND(""Plinth"",A178))=FALSE,((B178/1000)*(C178/1000))+(((C178/1000)*0.018)*2)+(((B178/100"&amp;"0)*0.018)*2),IF(ISERROR(FIND(""Cornice"",A178))=FALSE,(((C178/1000)*0.1)*2)+(((C178/1000)*0.044)*2)+(((B178/1000)*0.08)*2),IF(ISERROR(FIND(""Base end panel"",A178))=FALSE,((B178/1000)*(C178/1000))+(0.022*((B178/1000)+((C178/1000)*2)))+((B178/1000)*0.05),I"&amp;"F(ISERROR(FIND(""Wall end panel"",A178))=FALSE,((B178/1000)*(C178/1000))+(0.022*((B178/1000)+((C178/1000)*2)))+((B178/1000)*0.05),IF(ISERROR(FIND(""Tower end panel"",A178))=FALSE,((B178/1000)*(C178/1000))+(0.022*((B178/1000)+((C178/1000)*2)))+((B178/1000)"&amp;"*0.05),IF(ISERROR(FIND(""Fillers"",A178))=FALSE,((C178/1000)*0.06)+((C178/1000)*0.069)+((0.06*0.018)*2)+((0.06*0.009)*2)+((C178/1000)*0.009)+((C178/1000)*0.018),IF(ISERROR(FIND(""corner post"",A178))=FALSE,(((B178/1000*0.05)*2)+((B178/1000)*0.022)*2)+((B1"&amp;"78/1000)*0.072)+((B178/1000)*0.05)+((0.072*0.022)*2)+((0.05*0.022)*2),IF(ISERROR(FIND(""Pelmet"",A178))=FALSE,((C178/1000)*0.05)+((C178/1000)*0.068)+((0.05*0.018)*4)+(((C178/1000)*0.018))*2))))))))))))))))))))))))))))"),"")</f>
        <v/>
      </c>
      <c r="N178" s="152" t="str">
        <f>IF(M178="","",IF(AND(ISERROR(FIND("carcass",A178))=TRUE,ISERROR(FIND("unit",A178))=TRUE,ISERROR(FIND("insert",A178))=TRUE,ISERROR(FIND("rack",A178))=TRUE,ISERROR(FIND("box",A178))=TRUE,ISERROR(FIND("shelf",#REF!))=TRUE),VLOOKUP(KitchenDoorFinish,Finishing!$A$2:$K$10,9,0)*M178,VLOOKUP(KitchenCarcassFinish,Finishing!$A$2:$K$40,9,0)*M178))</f>
        <v/>
      </c>
      <c r="O178" s="155"/>
      <c r="P178" s="155"/>
      <c r="Q178" s="152" t="str">
        <f>IF(OR(O178="",P178=""),"",((O178*X178)*(VLOOKUP("Workshop",Labour!$A$3:$E$20,4,0)/8))+((P178*AE178)*(VLOOKUP("Finishing",Labour!$A$3:$E$20,4,0)/8)))</f>
        <v/>
      </c>
      <c r="R178" s="152" t="str">
        <f t="shared" si="4"/>
        <v/>
      </c>
      <c r="S178" s="156" t="str">
        <f>IF(OR(O178="",P178=""),"",IF(OR(ISERROR(FIND("carcass",$A178))=FALSE,ISERROR(FIND("unit",$A178))=FALSE),VLOOKUP(KitchenCarcassMaterial,FixedListsCarcassMaterial,2,0),0))</f>
        <v/>
      </c>
      <c r="T178" s="156" t="str">
        <f>IF(OR(O178="",P178=""),"",IF(ISERROR(FIND("door",$A178))=FALSE,VLOOKUP(KitchenDoorStyle,FixedListsDoorStyle,2,0),0))</f>
        <v/>
      </c>
      <c r="U178" s="156" t="str">
        <f>IF(OR(O178="",P178=""),"",IF(ISERROR(FIND("door",$A178))=FALSE,VLOOKUP(KitchenDoorMaterial,FixedListsDoorMaterial,2,0),0))</f>
        <v/>
      </c>
      <c r="V178" s="156" t="str">
        <f>IF(OR(O178="",P178=""),"",IF(ISERROR(FIND("drawer",$A178))=FALSE,VLOOKUP(KitchenDrawerType,FixedListsDrawerType,2,0),0))</f>
        <v/>
      </c>
      <c r="W178" s="156" t="str">
        <f>IF(OR(O178="",P178=""),"",IF(OR(S178&gt;0, T178&gt;0,V178&gt;0),VLOOKUP(KitchenHandleType,FixedListsHandleType,2,FALSE)*IF(KitchenHandleType="Simple",0,IF(S178&gt;0,VLOOKUP(KitchenHandleType,FixedListsHandleType,4,FALSE),IF(OR(T178&gt;0,V178&gt;0),1-VLOOKUP(KitchenHandleType,FixedListsHandleType,4,FALSE),"Error"))),0))</f>
        <v/>
      </c>
      <c r="X178" s="156" t="str">
        <f t="shared" si="5"/>
        <v/>
      </c>
      <c r="Y178" s="156" t="str">
        <f>IF(OR(O178="",P178=""),"",IF(OR(ISERROR(FIND("carcass",$A178))=FALSE,ISERROR(FIND("unit",$A178))=FALSE),VLOOKUP(KitchenCarcassMaterial,FixedListsCarcassMaterial,3,0),0))</f>
        <v/>
      </c>
      <c r="Z178" s="156" t="str">
        <f>IF(OR(O178="",P178=""),"",IF(ISERROR(FIND("door",$A178))=FALSE,VLOOKUP(KitchenDoorStyle,FixedListsDoorStyle,3,0),0))</f>
        <v/>
      </c>
      <c r="AA178" s="156" t="str">
        <f>IF(OR(O178="",P178=""),"",IF(ISERROR(FIND("door",$A178))=FALSE,VLOOKUP(KitchenDoorMaterial,FixedListsDoorMaterial,3,0),0))</f>
        <v/>
      </c>
      <c r="AB178" s="156" t="str">
        <f>IF(OR(O178="",P178=""),"",IF(ISERROR(FIND("drawer",$A178))=FALSE,VLOOKUP(KitchenDrawerType,FixedListsDrawerType,3,0),0))</f>
        <v/>
      </c>
      <c r="AC178" s="156" t="str">
        <f>IF(OR(O178="",P178=""),"",IF(OR(Y178&gt;0,Z178&gt;0,AB178&gt;0),VLOOKUP(KitchenHandleType,FixedListsHandleType,3,FALSE),0))</f>
        <v/>
      </c>
      <c r="AD178" s="156" t="str">
        <f>IF(OR(O178="",P178=""),"",IF(OR(ISERROR(FIND("carcass",$A178))=FALSE,ISERROR(FIND("unit",$A178))=FALSE),VLOOKUP(KitchenCarcassFinish,FixedListsFinishes,3,0),IF(OR(ISERROR(FIND("door",$A178))=FALSE,ISERROR(FIND("Plinth",$A178))=FALSE,ISERROR(FIND("Cornice",$A178))=FALSE,ISERROR(FIND("Fillers",$A178))=FALSE,ISERROR(FIND("Pelmet",$A178))=FALSE,ISERROR(FIND("panel",$A178))=FALSE,ISERROR(FIND("post",$A178))=FALSE),VLOOKUP(KitchenDoorFinish,FixedListsFinishes,3,0),IF(OR(ISERROR(FIND("drawer",$A178))=FALSE,ISERROR(FIND("insert",$A178))=FALSE,ISERROR(FIND("rck",$A178))=FALSE),VLOOKUP(KitchenCarcassFinish,FixedListsFinishes,3,0),0))))</f>
        <v/>
      </c>
      <c r="AE178" s="156" t="str">
        <f t="shared" si="6"/>
        <v/>
      </c>
      <c r="AF178" s="157" t="str">
        <f>IF(AND(KitchenHandleType="Channel",OR(ISERROR(FIND("arcass",$A178))=FALSE,ISERROR(FIND("unit",$A178))=FALSE)),IF(ISERROR(FIND("Tower",$A178))=TRUE,IF(KitchenHandleFinish="Match carcass",IF(ISERROR(FIND("Walnut",KitchenCarcassMaterial))=FALSE,(0.035*0.075*($C178/1000))*VLOOKUP("Walnut (solid m3)",SolidData,4,FALSE),IF(ISERROR(FIND("Oak",KitchenCarcassMaterial))=FALSE,(0.035*0.075*($C178/1000))*VLOOKUP("Oak (solid m3)",SolidData,4,FALSE),IF(ISERROR(FIND("ply",KitchenCarcassMaterial))=FALSE,(0.1*($C178/1000))*VLOOKUP("Birch ply (24mm)",SheetsData,7,FALSE),IF(ISERROR(FIND("H/F",KitchenCarcassMaterial))=FALSE,(0.1*($C178/1000))*VLOOKUP("H/F (22mm)",SheetsData,7,FALSE),"Carcass - not tower - new material")))),IF(KitchenHandleFinish="Match door",IF(ISERROR(FIND("Walnut",KitchenDoorMaterial))=FALSE,(0.035*0.075*($C178/1000))*VLOOKUP("Walnut (solid m3)",SolidData,4,FALSE),IF(ISERROR(FIND("Oak",KitchenDoorMaterial))=FALSE,(0.035*0.075*($C178/1000))*VLOOKUP("Oak (solid m3)",SolidData,4,FALSE),IF(ISERROR(FIND("ply",KitchenDoorMaterial))=FALSE,(0.1*($C178/1000))*VLOOKUP("Birch ply (24mm)",SheetsData,7,FALSE),IF(ISERROR(FIND("H/F",KitchenCarcassMaterial))=FALSE,(0.1*($C178/1000))*VLOOKUP("H/F (22mm)",SheetsData,7,FALSE),"Door - not tower - new material")))),"Channel - not tower - handle set to other")),IF(ISERROR(FIND("Tower",$A178))=FALSE,IF(KitchenHandleFinish="Match carcass",IF(ISERROR(FIND("Walnut",KitchenCarcassMaterial))=FALSE,(0.035*0.075*($B178/1000))*VLOOKUP("Walnut (solid m3)",SolidData,4,FALSE),IF(ISERROR(FIND("Oak",KitchenCarcassMaterial))=FALSE,(0.035*0.075*($B178/1000))*VLOOKUP("Oak (solid m3)",SolidData,4,FALSE),IF(ISERROR(FIND("ply",KitchenCarcassMaterial))=FALSE,(0.1*($B178/1000))*VLOOKUP("Birch ply (24mm)",SheetsData,7,FALSE),IF(ISERROR(FIND("H/F",KitchenCarcassMaterial))=FALSE,(0.1*($C178/1000))*VLOOKUP("H/F (22mm)",SheetsData,7,FALSE),"Carcass - tower - new material")))),IF(KitchenHandleFinish="Match door",IF(ISERROR(FIND("Walnut",KitchenDoorMaterial))=FALSE,(0.035*0.075*($B178/1000))*VLOOKUP("Walnut (solid m3)",SolidData,4,FALSE),IF(ISERROR(FIND("Oak",KitchenDoorMaterial))=FALSE,(0.035*0.075*($B178/1000))*VLOOKUP("Oak (solid m3)",SolidData,4,FALSE),IF(ISERROR(FIND("ply",KitchenDoorMaterial))=FALSE,(0.1*($B178/1000))*VLOOKUP("Birch ply (24mm)",SheetData,7,FALSE),IF(ISERROR(FIND("H/F",KitchenCarcassMaterial))=FALSE,(0.1*($C178/1000))*VLOOKUP("H/F (22mm)",SheetsData,7,FALSE),"Door - tower - new material")))),"Channel - tower - handle set to other")))),"")</f>
        <v/>
      </c>
    </row>
    <row r="179">
      <c r="A179" s="150"/>
      <c r="B179" s="115" t="str">
        <f t="shared" si="1"/>
        <v/>
      </c>
      <c r="C179" s="115" t="str">
        <f>IFERROR(__xludf.DUMMYFUNCTION("IF(A179="""","""",IF(OR(RIGHT(A179,LEN(A179)-len(regexextract(A179,"".* "")))=""1200"",RIGHT(A179,LEN(A179)-len(regexextract(A179,"".* "")))=""600"",RIGHT(A179,LEN(A179)-len(regexextract(A179,"".* "")))=""400"",RIGHT(A179,LEN(A179)-len(regexextract(A179,"&amp;""".* "")))=""300"",RIGHT(A179,LEN(A179)-len(regexextract(A179,"".* "")))=""700"",RIGHT(A179,LEN(A179)-len(regexextract(A179,"".* "")))=""2400"",RIGHT(A179,LEN(A179)-len(regexextract(A179,"".* "")))=""650"",RIGHT(A179,LEN(A179)-len(regexextract(A179,"".* "&amp;""")))=""350"",RIGHT(A179,LEN(A179)-len(regexextract(A179,"".* "")))=""50""),RIGHT(A179,LEN(A179)-len(regexextract(A179,"".* ""))),IF(OR(ISERROR(FIND(""spacer"",A179))=FALSE,ISERROR(FIND(""filler panel"",A179))=FALSE),""1000"",""Unexpected size in descript"&amp;"ion"")))"),"")</f>
        <v/>
      </c>
      <c r="D179" s="151" t="str">
        <f t="shared" si="2"/>
        <v/>
      </c>
      <c r="E179" s="152" t="str">
        <f>IFERROR(__xludf.DUMMYFUNCTION("IF(OR(A179="""",AND(ISERROR(FIND(""drawer box"",A179))=FALSE,KitchenDrawerType="""")),"""",IF(OR(ISERROR(FIND(""larder"",A179))=FALSE,ISERROR(FIND(""fridge/freezer"",A179))=FALSE,ISERROR(FIND(""double oven"",A179))=FALSE,ISERROR(FIND(""single oven"",A179)"&amp;")=FALSE),VLOOKUP(LEFT(A179,FIND("" "",A179))&amp;""carcass ""&amp;RIGHT(A179,LEN(A179)-(LEN(A179)-3)),KitchensData,5,0),IF(ISERROR(FIND(""sink"",A179))=FALSE,VLOOKUP(LEFT(A179,FIND("" "",A179))&amp;""carcass ""&amp;VALUE(REGEXREPLACE(A179,""[^[:digit:]]"", """")),Kitchen"&amp;"sData,5,0)+(((C179/1000)*(300/1000))*VLOOKUP(KitchenCarcassMaterial,SheetsData,8,0)),IF(ISERROR(FIND(""bins"",A179))=FALSE,IF(ISERROR(FIND(""veneer"",KitchenCarcassMaterial))=FALSE,VLOOKUP(""Base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600"",A179))=FALSE,IF(ISERR"&amp;"OR(FIND(""veneer"",KitchenCarcassMaterial))=FALSE,0.54*(VLOOKUP(LEFT(KitchenCarcassMaterial,FIND(""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1"&amp;"200"",A179))=FALSE,IF(ISERROR(FIND(""veneer"",KitchenCarcassMaterial))=FALSE,0.84*(VLOOKUP(LEFT(KitchenCarcassMaterial,FIND(""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600"",A179))=FALSE,IF(ISERROR(FIND(""veneer"",KitchenCarcassMaterial))=FALSE,1.44*(VLOOKUP(LEFT(KitchenCarcassMaterial,FIND(""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1200"",A179))=FALSE,IF(ISERROR(FIND(""veneer"",KitchenCarcassMaterial))=FALSE,2.7*(VLOOKUP(LEFT(KitchenCarcassMaterial,FIND(""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front"",A179))=FALSE,((B179/1000)*(C179/1000))*VLOOKUP(KitchenDoorMaterial,SheetsData,8,0),IF(AND(KitchenDrawerType=""Match carcass"",ISERROR(FIND(""drawer box"",A179))=FALSE),(((((B179/10"&amp;"00)*(C179/1000))+((B179/1000)*(D179/1000)))*2)*VLOOKUP(KitchenCarcassMaterial,SheetsData,8,0))+(((C179/1000)*(D179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box"",A179))=FALSE),(((((B179/1000)*(C179/1000))+((B179/1000)*(D179/1000)))*2)*(16/1000)*VLOOKUP(L"&amp;"EFT(KitchenCarcassMaterial,FIND("" "",KitchenCarcassMaterial))&amp;""(solid m3)"",SolidData,5,0))+(((C179/1000)*(D179/1000))*VLOOKUP(LEFT(KitchenCarcassMaterial,FIND(""("",KitchenCarcassMaterial)-1)&amp;IF(OR(ISERROR(FIND(""ply"",KitchenCarcassMaterial))=FALSE,IS"&amp;"ERROR(FIND(""H/F"",KitchenCarcassMaterial))=FALSE),""(9mm)"",""(10mm)""),SheetsData,8,0)),IF(ISERROR(FIND(""spacer"",A179))=FALSE,((D179/1000)*(C179/1000))*VLOOKUP(""Poplar ply (18mm)"",SheetsData,8,0),IF(ISERROR(FIND(""filler panel"",A179))=FALSE,((B179/"&amp;"1000)*(C179/1000))*VLOOKUP(KitchenDoorMaterial,SheetsData,8,0),IF(ISERROR(FIND(""shelf"",A179))=FALSE,((D179/1000)*(C179/1000))*VLOOKUP(KitchenCarcassMaterial,SheetsData,8,0),IF(ISERROR(FIND(""lost corner"",A179))=FALSE,VLOOKUP(LEFT(A179,FIND("" "",A179))"&amp;"&amp;""carcass ""&amp;VALUE(REGEXREPLACE(A179,""[^[:digit:]]"", """")),KitchensData,5,0)+((((B179/1000)*(C179/1000))+((B179/1000)*(60/1000)))*VLOOKUP(KitchenCarcassMaterial,SheetsData,8,0)),IF(ISERROR(FIND(""carcass"",A179))=FALSE,(((((B179/1000)*2)*(D179/1000))+"&amp;"(((C179/1000)*2)*(D179/1000)))*VLOOKUP(KitchenCarcassMaterial,SheetsData,8,0))+((B179/1000)*(C179/1000))*VLOOKUP(LEFT(KitchenCarcassMaterial,FIND(""("",KitchenCarcassMaterial)-1)&amp;IF(OR(ISERROR(FIND(""ply"",KitchenCarcassMaterial))=FALSE,ISERROR(FIND(""H/F"&amp;""",KitchenCarcassMaterial))=FALSE),""(9mm)"",""(10mm)""),SheetsData,8,0),IF(OR(ISERROR(FIND(""Plinth"",A179))=FALSE,ISERROR(FIND(""Cornice (flat)"",A179))=FALSE),((B179/1000)*(C179/1000))*VLOOKUP(""H/F (18mm)"",SheetsData,8,0),IF(ISERROR(FIND(""Cornice (s"&amp;"tacked)"",A179))=FALSE,((0.08*(C179/1000))*2)*VLOOKUP(""H/F (22mm)"",SheetsData,8,0),IF(ISERROR(FIND(""Base end panel"",A179))=FALSE,VLOOKUP(KitchenDoorMaterial,SheetsData,5,0)/3,IF(ISERROR(FIND(""Wall end panel"",A179))=FALSE,VLOOKUP(KitchenDoorMaterial,"&amp;"SheetsData,5,0)/9,IF(ISERROR(FIND(""Tower end panel"",A179))=FALSE,VLOOKUP(KitchenDoorMaterial,SheetsData,5,0),IF(ISERROR(FIND(""Fillers"",A179))=FALSE,(((0.06*(C179/1000))*2)*VLOOKUP(""H/F (18mm)"",SheetsData,8,0))+(((0.06*(C179/1000))*2)*VLOOKUP(""H/F ("&amp;"9mm)"",SheetsData,8,0)),IF(ISERROR(FIND(""corner post"",A179))=FALSE,(((B179/1000)*0.05)*2)*VLOOKUP(KitchenDoorMaterial,SheetsData,8,0),IF(ISERROR(FIND(""Pelmet"",A179))=FALSE,((((B179/1000)*(C179/1000))*2)*VLOOKUP(""H/F (18mm)"",SheetsData,8,0)),IF(ISERR"&amp;"OR(FIND(""door"",A179))=TRUE,""Check description"",IF(KitchenDoorStyle=""Flat"",((B179/1000)*(C179/1000))*VLOOKUP(KitchenDoorMaterial,SheetsData,8,0),IF(LEFT(KitchenDoorStyle,5)=""Panel"",(((((B179/1000)*2)*0.08)+((((C179/1000)-0.16)*2)*0.08))*VLOOKUP(""H"&amp;"/F (22mm)"",SheetsData,8,0))+(((B179/1000)-0.14)*((C179/1000)-0.14)*VLOOKUP(""H/F (9mm)"",SheetsData,8,0)),IF(KitchenDoorStyle=""In-frame flat"",((((((B179/1000)*0.019)*0.038)+((((C179-38)/1000)*0.038)*0.038))*2)*VLOOKUP(""Tulip (solid m3)"",SolidData,5,0"&amp;"))+(((B179-76)/1000)*((C179-38)/1000))*VLOOKUP(""H/F (22mm)"",SheetsData,8,0),IF(LEFT(KitchenDoorStyle,14)=""In-frame panel"",(((((((B179/1000)*0.019)*0.038)+((((C179-38)/1000)*0.038)*0.038))*2)*VLOOKUP(""Tulip (solid m3)"",SolidData,5,0))+(((((((B179-76)"&amp;"/1000)*2)*0.08)+(((((C179-198)/1000)*2)*0.08)))*VLOOKUP(""H/F (22mm)"",SheetsData,8,0))+(((B179-216)/1000)*((C179-178)/1000)*VLOOKUP(""H/F (9mm)"",SheetsData,8,0)))))))))))))))))))))))))))))))))"),"")</f>
        <v/>
      </c>
      <c r="F179" s="152" t="str">
        <f>IFERROR(__xludf.DUMMYFUNCTION("IF(OR(A179="""",AND(ISERROR(FIND(""drawer box"",A179))=FALSE,KitchenDrawerType=""Solid dovetail"")),"""",IF(ISERROR(FIND(""bins"",A179))=FALSE,VLOOKUP(""Base carcass 600"",KitchensData,6,0),IF(OR(ISERROR(FIND(""larder"",A179))=FALSE,ISERROR(FIND(""unit"","&amp;"A179))=FALSE),VLOOKUP(LEFT(A179,FIND("" "",A179))&amp;""carcass ""&amp;RIGHT(A179,LEN(A179)-len(regexextract(A179,"".* ""))),KitchensData,6,0),IF(ISERROR(FIND(""drawer front"",A179))=FALSE,IF(ISERROR(FIND(""veneer"",KitchenCarcassMaterial))=TRUE,0,(((B179+C179)/1"&amp;"000)*2)*VLOOKUP(""Edge banding (per M)"",SheetsData,5,0)),IF(ISERROR(FIND(""drawer box"",A179))=FALSE,IF(ISERROR(FIND(""veneer"",KitchenCarcassMaterial))=TRUE,0,(((C179+D179)/1000)*2)*VLOOKUP(""Edge banding (per M)"",SheetsData,5,0)),IF(ISERROR(FIND(""she"&amp;"lf"",A179))=FALSE,IF(ISERROR(FIND(""veneer"",KitchenCarcassMaterial))=TRUE,0,(C179/1000)*VLOOKUP(""Edge banding (per M)"",SheetsData,5,0)),IF(AND(ISERROR(FIND(""carcass"",A179))=FALSE,ISERROR(FIND(""shelf"",A179))=TRUE),IF(ISERROR(FIND(""veneer"",KitchenC"&amp;"arcassMaterial))=TRUE,0,((2*(B179+C179))/1000)*VLOOKUP(""Edge banding (per M)"",SheetsData,5,0)),IF(ISERROR(FIND(""door"",A179))=TRUE,"""",IF(ISERROR(FIND(""veneer"",KitchenDoorMaterial))=TRUE,"""",((2*(B179+C179))/1000)*VLOOKUP(""Edge banding (per M)"",S"&amp;"heetsData,5,0))))))))))"),"")</f>
        <v/>
      </c>
      <c r="G179" s="153" t="str">
        <f>IF(A179="","",IF(ISERROR(FIND("bins",A179))=FALSE,VLOOKUP("Base carcass 600",KitchensData,7,0),IF(OR(ISERROR(FIND("larder",A179))=FALSE,ISERROR(FIND("fridge/freezer",A179))=FALSE,ISERROR(FIND("double oven",A179))=FALSE,ISERROR(FIND("single oven",A179))=FALSE),VLOOKUP(LEFT(A179,FIND(" ",A179))&amp;"carcass "&amp;RIGHT(A179,LEN(A179)-(LEN(A179)-3)),KitchensData,7,0),IF(AND(ISERROR(FIND("carcass",A179))=FALSE,ISERROR(FIND("shelf",A179))=TRUE),IF(OR(ISERROR(FIND("Base",A179))=FALSE,ISERROR(FIND("Tower",A179))=FALSE),IF(OR(ISERROR(FIND("1200",A179))=FALSE, ISERROR(FIND("lost corner",A179))=FALSE),6*VLOOKUP("Plinth foot (2 Parts 80mm)",FurnitureData,5,0),4*VLOOKUP("Plinth foot (2 Parts 80mm)",FurnitureData,5,0)),""),""))))</f>
        <v/>
      </c>
      <c r="H179" s="115" t="str">
        <f>IF(OR(A179="",ISERROR(FIND("door",A179))=TRUE),"",IF(ISERROR(FIND("Wall",A179))=FALSE,VLOOKUP("Hinges &amp; plates (Hettich thick door)",FurnitureData,5,0)*2,IF(ISERROR(FIND("Base",A179))=FALSE,VLOOKUP("Hinges &amp; plates (Hettich thick door)",FurnitureData,5,0)*3,IF(ISERROR(FIND("Boiler",A179))=FALSE,VLOOKUP("Hinges &amp; plates (Hettich thick door)",FurnitureData,5,0)*4,IF(ISERROR(FIND("Tower",A179))=FALSE,VLOOKUP("Hinges &amp; plates (Hettich thick door)",FurnitureData,5,0)*5)))))</f>
        <v/>
      </c>
      <c r="I179" s="115" t="str">
        <f>IF(ISERROR(FIND("shelf",A179))=FALSE,(VLOOKUP("Shelf pegs",FurnitureData,5,0)/100)*4,"")</f>
        <v/>
      </c>
      <c r="J179" s="152" t="str">
        <f>IF(OR(ISERROR(FIND("fridge/freezer",A179))=FALSE,ISERROR(FIND("larder",A179))=FALSE,AND(ISERROR(FIND("Base",A179))=FALSE,ISERROR(FIND("bins",A179))=TRUE,ISERROR(FIND("no shelves",A179))=TRUE,OR(ISERROR(FIND("carcass",A179))=FALSE,ISERROR(FIND("unit",A179))=FALSE))),VLOOKUP("Deep shelf "&amp;C179,KitchensData,18,0),IF(AND(ISERROR(FIND("Wall",A179))=FALSE,ISERROR(FIND("carcass",A179))=FALSE),2*VLOOKUP("Shallow shelf "&amp;C179,KitchensData,18,0),IF(AND(ISERROR(FIND("Tower",A179))=FALSE,ISERROR(FIND("oven",A179))=FALSE),4*VLOOKUP("Deep shelf "&amp;C179,KitchensData,18,0),IF(AND(ISERROR(FIND("Tower",A179))=FALSE,ISERROR(FIND("carcass",A179))=FALSE),5*VLOOKUP("Deep shelf "&amp;C179,KitchensData,18,0),""))))</f>
        <v/>
      </c>
      <c r="K179" s="152" t="str">
        <f>IF(ISERROR(FIND("sink",A179))=FALSE,VLOOKUP("Sink liner - Aluminium "&amp;RIGHT(A179,LEN(A179)-22)&amp;"mm",ExceptionalData,5,0),IF(ISERROR(FIND("bins",A179))=FALSE,VLOOKUP("Drawer runners and clip set for bin unit (500) Dynapro",FurnitureData,5,0)+(2*VLOOKUP("Bin (42L Anthracite)",FurnitureData,5,0)),IF(ISERROR(FIND("larder",A179))=FALSE,VLOOKUP("Pull out larder unit 600mm",FurnitureData,5,0),IF(AND(ISERROR(FIND("drawer box",A179))=FALSE,ISERROR(FIND("internal",A179))=TRUE),VLOOKUP("Drawer runners and clip set (550) Dynapro",FurnitureData,5,0),IF(ISERROR(FIND("internal drawer box",A179))=FALSE,VLOOKUP("Drawer runners and clip set (450) Dynapro",FurnitureData,5,0),"")))))</f>
        <v/>
      </c>
      <c r="L179" s="152" t="str">
        <f t="shared" si="3"/>
        <v/>
      </c>
      <c r="M179" s="154" t="str">
        <f>IFERROR(__xludf.DUMMYFUNCTION("IF(A179="""","""",IF(OR(ISERROR(FIND(""larder"",A179))=FALSE,ISERROR(FIND(""unit"",A179))=FALSE),VLOOKUP(LEFT(A179,FIND("" "",A179))&amp;""carcass ""&amp;RIGHT(A179,LEN(A179)-len(regexextract(A179,"".* ""))),KitchensData,13,0),IF(ISERROR(FIND(""bins"",A179))=FALS"&amp;"E,0.95,IF(ISERROR(FIND(""Cutlery insert 600"",A179))=FALSE,1.3,IF(ISERROR(FIND(""Cutlery insert 1200"",A179))=FALSE,2,IF(ISERROR(FIND(""Pan/tray rack 600"",A179))=FALSE,3.25,IF(ISERROR(FIND(""Pan/tray rack 1200"",A179))=FALSE,5.9,IF(ISERROR(FIND(""split"""&amp;",A179))=FALSE,(((C179/1000)*0.022)*2)+VLOOKUP(SUBSTITUTE(A179,"" split"",""""),KitchensData,13,0),IF(AND(ISERROR(FIND(""drawer front"",A179))=FALSE,KitchenDoorStyle=""Flat""),(((B179/1000)*(C179/1000))*2)+((((B179+C179)/1000)*2)*0.022),IF(AND(ISERROR(FIND"&amp;"(""drawer front"",A179))=FALSE,LEFT(KitchenDoorStyle,5)=""Panel""),(((B179/1000)*(C179/1000))*2)+((((B179+C179)/1000)*2)*0.022)+((((C179/1000)-0.16)*0.013)*2)+((((D179/1000)-0.16)*0.013)*2),IF(AND(ISERROR(FIND(""drawer front"",A179))=FALSE,KitchenDoorStyl"&amp;"e=""In-frame flat""),((((B179-76)/1000)*((C179-38)/1000))*2)+(MID(KitchenDoorMaterial,FIND(""("",KitchenDoorMaterial)+1,2)/1000)*((((B179-76)+(C179-38))/1000)*2)+(((B179/1000)*0.032)*2)+((((B179-76)/1000)*0.032)*2)+(((B179/1000)*0.019)*4)+(((C179/1000)*0."&amp;"032)*2)+((((C179-38)/1000)*0.032)*2)+(((C179/1000)*0.038)*4),IF(AND(ISERROR(FIND(""drawer front"",A179))=FALSE,LEFT(KitchenDoorStyle,14)=""In-frame panel""),((((B179-76)/1000)*((C179-38)/1000))*2)+((MID(KitchenDoorMaterial,FIND(""("",KitchenDoorMaterial)+"&amp;"1,2)/1000)*((((B179-76)+(C179-38))/1000)*2))+((((B179-236)/1000)+((C179-198)/1000)*2)*0.013)+(((B179/1000)*0.032)*2)+((((B179-76)/1000)*0.032)*2)+(((B179/1000)*0.019)*4)+(((C179/1000)*0.032)*2)+((((C179-38)/1000)*0.032)*2)+(((C179/1000)*0.038)*4),IF(ISERR"&amp;"OR(FIND(""drawer box"",A179))=FALSE,((((B179/1000)*(D179/1000))+((B179/1000)*(C179/1000)))*4)+((((D179/1000)+(C179/1000))*0.016)*4)+(((C179/1000)*(D179/1000))*2),IF(OR(ISERROR(FIND(""shelf"",A179))=FALSE,ISERROR(FIND(""spacer"",A179))=FALSE,,ISERROR(FIND("&amp;"""filler panel"",A179))=FALSE),(((C179/1000)*(D179/1000))*2)+((((C179+D179)*2)/1000)*0.022),IF(ISERROR(FIND(""lost corner"",A179))=FALSE,(((B179/1000)*(C179/1000))*2)+((B179/1000)*(C179/1000))+((B179/1000)*((C179/2)/1000))+((((B179/1000)*0.025)+((C179/100"&amp;"0)*0.025))*2),IF(ISERROR(FIND(""carcass"",A179))=FALSE,(((C179/1000)*(D179/1000))*2)+(((B179/1000)*(D179/1000))*2)+((B179/1000)*(C179/1000))+((((B179/1000)*0.025)+((C179/1000)*0.025))*2),IF(AND(ISERROR(FIND(""door"",A179))=FALSE,KitchenDoorStyle=""Flat"")"&amp;",(((B179/1000)*(C179/1000))*2)+(MID(KitchenDoorMaterial,FIND(""("",KitchenDoorMaterial)+1,2)/1000)*(((B179+C179)/1000)*2),IF(AND(ISERROR(FIND(""door"",A179))=FALSE,LEFT(KitchenDoorStyle,5)=""Panel""),(((B179/1000)*(C179/1000))*2)+((MID(KitchenDoorMaterial"&amp;",FIND(""("",KitchenDoorMaterial)+1,2)/1000)*(((B179+C179)/1000)*2))+(((((B179-160)+(C179-160))*2)/1000)*(0.013)),IF(AND(ISERROR(FIND(""door"",A179))=FALSE,KitchenDoorStyle=""In-frame flat""),((((B179-76)/1000)*((C179-38)/1000))*2)+(MID(KitchenDoorMaterial"&amp;",FIND(""("",KitchenDoorMaterial)+1,2)/1000)*((((B179-76)+(C179-38))/1000)*2)+(((B179/1000)*0.032)*2)+((((B179-76)/1000)*0.032)*2)+(((B179/1000)*0.019)*4)+(((C179/1000)*0.032)*2)+((((C179-38)/1000)*0.032)*2)+(((C179/1000)*0.038)*4),IF(AND(ISERROR(FIND(""do"&amp;"or"",A179))=FALSE,LEFT(KitchenDoorStyle,14)=""In-frame panel""),((((B179-76)/1000)*((C179-38)/1000))*2)+((MID(KitchenDoorMaterial,FIND(""("",KitchenDoorMaterial)+1,2)/1000)*((((B179-76)+(C179-38))/1000)*2))+((((B179-236)/1000)+((C179-198)/1000)*2)*0.013)+"&amp;"(((B179/1000)*0.032)*2)+((((B179-76)/1000)*0.032)*2)+(((B179/1000)*0.019)*4)+(((C179/1000)*0.032)*2)+((((C179-38)/1000)*0.032)*2)+(((C179/1000)*0.038)*4),IF(ISERROR(FIND(""Plinth"",A179))=FALSE,((B179/1000)*(C179/1000))+(((C179/1000)*0.018)*2)+(((B179/100"&amp;"0)*0.018)*2),IF(ISERROR(FIND(""Cornice"",A179))=FALSE,(((C179/1000)*0.1)*2)+(((C179/1000)*0.044)*2)+(((B179/1000)*0.08)*2),IF(ISERROR(FIND(""Base end panel"",A179))=FALSE,((B179/1000)*(C179/1000))+(0.022*((B179/1000)+((C179/1000)*2)))+((B179/1000)*0.05),I"&amp;"F(ISERROR(FIND(""Wall end panel"",A179))=FALSE,((B179/1000)*(C179/1000))+(0.022*((B179/1000)+((C179/1000)*2)))+((B179/1000)*0.05),IF(ISERROR(FIND(""Tower end panel"",A179))=FALSE,((B179/1000)*(C179/1000))+(0.022*((B179/1000)+((C179/1000)*2)))+((B179/1000)"&amp;"*0.05),IF(ISERROR(FIND(""Fillers"",A179))=FALSE,((C179/1000)*0.06)+((C179/1000)*0.069)+((0.06*0.018)*2)+((0.06*0.009)*2)+((C179/1000)*0.009)+((C179/1000)*0.018),IF(ISERROR(FIND(""corner post"",A179))=FALSE,(((B179/1000*0.05)*2)+((B179/1000)*0.022)*2)+((B1"&amp;"79/1000)*0.072)+((B179/1000)*0.05)+((0.072*0.022)*2)+((0.05*0.022)*2),IF(ISERROR(FIND(""Pelmet"",A179))=FALSE,((C179/1000)*0.05)+((C179/1000)*0.068)+((0.05*0.018)*4)+(((C179/1000)*0.018))*2))))))))))))))))))))))))))))"),"")</f>
        <v/>
      </c>
      <c r="N179" s="152" t="str">
        <f>IF(M179="","",IF(AND(ISERROR(FIND("carcass",A179))=TRUE,ISERROR(FIND("unit",A179))=TRUE,ISERROR(FIND("insert",A179))=TRUE,ISERROR(FIND("rack",A179))=TRUE,ISERROR(FIND("box",A179))=TRUE,ISERROR(FIND("shelf",#REF!))=TRUE),VLOOKUP(KitchenDoorFinish,Finishing!$A$2:$K$10,9,0)*M179,VLOOKUP(KitchenCarcassFinish,Finishing!$A$2:$K$40,9,0)*M179))</f>
        <v/>
      </c>
      <c r="O179" s="155"/>
      <c r="P179" s="155"/>
      <c r="Q179" s="152" t="str">
        <f>IF(OR(O179="",P179=""),"",((O179*X179)*(VLOOKUP("Workshop",Labour!$A$3:$E$20,4,0)/8))+((P179*AE179)*(VLOOKUP("Finishing",Labour!$A$3:$E$20,4,0)/8)))</f>
        <v/>
      </c>
      <c r="R179" s="152" t="str">
        <f t="shared" si="4"/>
        <v/>
      </c>
      <c r="S179" s="156" t="str">
        <f>IF(OR(O179="",P179=""),"",IF(OR(ISERROR(FIND("carcass",$A179))=FALSE,ISERROR(FIND("unit",$A179))=FALSE),VLOOKUP(KitchenCarcassMaterial,FixedListsCarcassMaterial,2,0),0))</f>
        <v/>
      </c>
      <c r="T179" s="156" t="str">
        <f>IF(OR(O179="",P179=""),"",IF(ISERROR(FIND("door",$A179))=FALSE,VLOOKUP(KitchenDoorStyle,FixedListsDoorStyle,2,0),0))</f>
        <v/>
      </c>
      <c r="U179" s="156" t="str">
        <f>IF(OR(O179="",P179=""),"",IF(ISERROR(FIND("door",$A179))=FALSE,VLOOKUP(KitchenDoorMaterial,FixedListsDoorMaterial,2,0),0))</f>
        <v/>
      </c>
      <c r="V179" s="156" t="str">
        <f>IF(OR(O179="",P179=""),"",IF(ISERROR(FIND("drawer",$A179))=FALSE,VLOOKUP(KitchenDrawerType,FixedListsDrawerType,2,0),0))</f>
        <v/>
      </c>
      <c r="W179" s="156" t="str">
        <f>IF(OR(O179="",P179=""),"",IF(OR(S179&gt;0, T179&gt;0,V179&gt;0),VLOOKUP(KitchenHandleType,FixedListsHandleType,2,FALSE)*IF(KitchenHandleType="Simple",0,IF(S179&gt;0,VLOOKUP(KitchenHandleType,FixedListsHandleType,4,FALSE),IF(OR(T179&gt;0,V179&gt;0),1-VLOOKUP(KitchenHandleType,FixedListsHandleType,4,FALSE),"Error"))),0))</f>
        <v/>
      </c>
      <c r="X179" s="156" t="str">
        <f t="shared" si="5"/>
        <v/>
      </c>
      <c r="Y179" s="156" t="str">
        <f>IF(OR(O179="",P179=""),"",IF(OR(ISERROR(FIND("carcass",$A179))=FALSE,ISERROR(FIND("unit",$A179))=FALSE),VLOOKUP(KitchenCarcassMaterial,FixedListsCarcassMaterial,3,0),0))</f>
        <v/>
      </c>
      <c r="Z179" s="156" t="str">
        <f>IF(OR(O179="",P179=""),"",IF(ISERROR(FIND("door",$A179))=FALSE,VLOOKUP(KitchenDoorStyle,FixedListsDoorStyle,3,0),0))</f>
        <v/>
      </c>
      <c r="AA179" s="156" t="str">
        <f>IF(OR(O179="",P179=""),"",IF(ISERROR(FIND("door",$A179))=FALSE,VLOOKUP(KitchenDoorMaterial,FixedListsDoorMaterial,3,0),0))</f>
        <v/>
      </c>
      <c r="AB179" s="156" t="str">
        <f>IF(OR(O179="",P179=""),"",IF(ISERROR(FIND("drawer",$A179))=FALSE,VLOOKUP(KitchenDrawerType,FixedListsDrawerType,3,0),0))</f>
        <v/>
      </c>
      <c r="AC179" s="156" t="str">
        <f>IF(OR(O179="",P179=""),"",IF(OR(Y179&gt;0,Z179&gt;0,AB179&gt;0),VLOOKUP(KitchenHandleType,FixedListsHandleType,3,FALSE),0))</f>
        <v/>
      </c>
      <c r="AD179" s="156" t="str">
        <f>IF(OR(O179="",P179=""),"",IF(OR(ISERROR(FIND("carcass",$A179))=FALSE,ISERROR(FIND("unit",$A179))=FALSE),VLOOKUP(KitchenCarcassFinish,FixedListsFinishes,3,0),IF(OR(ISERROR(FIND("door",$A179))=FALSE,ISERROR(FIND("Plinth",$A179))=FALSE,ISERROR(FIND("Cornice",$A179))=FALSE,ISERROR(FIND("Fillers",$A179))=FALSE,ISERROR(FIND("Pelmet",$A179))=FALSE,ISERROR(FIND("panel",$A179))=FALSE,ISERROR(FIND("post",$A179))=FALSE),VLOOKUP(KitchenDoorFinish,FixedListsFinishes,3,0),IF(OR(ISERROR(FIND("drawer",$A179))=FALSE,ISERROR(FIND("insert",$A179))=FALSE,ISERROR(FIND("rck",$A179))=FALSE),VLOOKUP(KitchenCarcassFinish,FixedListsFinishes,3,0),0))))</f>
        <v/>
      </c>
      <c r="AE179" s="156" t="str">
        <f t="shared" si="6"/>
        <v/>
      </c>
      <c r="AF179" s="157" t="str">
        <f>IF(AND(KitchenHandleType="Channel",OR(ISERROR(FIND("arcass",$A179))=FALSE,ISERROR(FIND("unit",$A179))=FALSE)),IF(ISERROR(FIND("Tower",$A179))=TRUE,IF(KitchenHandleFinish="Match carcass",IF(ISERROR(FIND("Walnut",KitchenCarcassMaterial))=FALSE,(0.035*0.075*($C179/1000))*VLOOKUP("Walnut (solid m3)",SolidData,4,FALSE),IF(ISERROR(FIND("Oak",KitchenCarcassMaterial))=FALSE,(0.035*0.075*($C179/1000))*VLOOKUP("Oak (solid m3)",SolidData,4,FALSE),IF(ISERROR(FIND("ply",KitchenCarcassMaterial))=FALSE,(0.1*($C179/1000))*VLOOKUP("Birch ply (24mm)",SheetsData,7,FALSE),IF(ISERROR(FIND("H/F",KitchenCarcassMaterial))=FALSE,(0.1*($C179/1000))*VLOOKUP("H/F (22mm)",SheetsData,7,FALSE),"Carcass - not tower - new material")))),IF(KitchenHandleFinish="Match door",IF(ISERROR(FIND("Walnut",KitchenDoorMaterial))=FALSE,(0.035*0.075*($C179/1000))*VLOOKUP("Walnut (solid m3)",SolidData,4,FALSE),IF(ISERROR(FIND("Oak",KitchenDoorMaterial))=FALSE,(0.035*0.075*($C179/1000))*VLOOKUP("Oak (solid m3)",SolidData,4,FALSE),IF(ISERROR(FIND("ply",KitchenDoorMaterial))=FALSE,(0.1*($C179/1000))*VLOOKUP("Birch ply (24mm)",SheetsData,7,FALSE),IF(ISERROR(FIND("H/F",KitchenCarcassMaterial))=FALSE,(0.1*($C179/1000))*VLOOKUP("H/F (22mm)",SheetsData,7,FALSE),"Door - not tower - new material")))),"Channel - not tower - handle set to other")),IF(ISERROR(FIND("Tower",$A179))=FALSE,IF(KitchenHandleFinish="Match carcass",IF(ISERROR(FIND("Walnut",KitchenCarcassMaterial))=FALSE,(0.035*0.075*($B179/1000))*VLOOKUP("Walnut (solid m3)",SolidData,4,FALSE),IF(ISERROR(FIND("Oak",KitchenCarcassMaterial))=FALSE,(0.035*0.075*($B179/1000))*VLOOKUP("Oak (solid m3)",SolidData,4,FALSE),IF(ISERROR(FIND("ply",KitchenCarcassMaterial))=FALSE,(0.1*($B179/1000))*VLOOKUP("Birch ply (24mm)",SheetsData,7,FALSE),IF(ISERROR(FIND("H/F",KitchenCarcassMaterial))=FALSE,(0.1*($C179/1000))*VLOOKUP("H/F (22mm)",SheetsData,7,FALSE),"Carcass - tower - new material")))),IF(KitchenHandleFinish="Match door",IF(ISERROR(FIND("Walnut",KitchenDoorMaterial))=FALSE,(0.035*0.075*($B179/1000))*VLOOKUP("Walnut (solid m3)",SolidData,4,FALSE),IF(ISERROR(FIND("Oak",KitchenDoorMaterial))=FALSE,(0.035*0.075*($B179/1000))*VLOOKUP("Oak (solid m3)",SolidData,4,FALSE),IF(ISERROR(FIND("ply",KitchenDoorMaterial))=FALSE,(0.1*($B179/1000))*VLOOKUP("Birch ply (24mm)",SheetData,7,FALSE),IF(ISERROR(FIND("H/F",KitchenCarcassMaterial))=FALSE,(0.1*($C179/1000))*VLOOKUP("H/F (22mm)",SheetsData,7,FALSE),"Door - tower - new material")))),"Channel - tower - handle set to other")))),"")</f>
        <v/>
      </c>
    </row>
    <row r="180">
      <c r="A180" s="150"/>
      <c r="B180" s="115" t="str">
        <f t="shared" si="1"/>
        <v/>
      </c>
      <c r="C180" s="115" t="str">
        <f>IFERROR(__xludf.DUMMYFUNCTION("IF(A180="""","""",IF(OR(RIGHT(A180,LEN(A180)-len(regexextract(A180,"".* "")))=""1200"",RIGHT(A180,LEN(A180)-len(regexextract(A180,"".* "")))=""600"",RIGHT(A180,LEN(A180)-len(regexextract(A180,"".* "")))=""400"",RIGHT(A180,LEN(A180)-len(regexextract(A180,"&amp;""".* "")))=""300"",RIGHT(A180,LEN(A180)-len(regexextract(A180,"".* "")))=""700"",RIGHT(A180,LEN(A180)-len(regexextract(A180,"".* "")))=""2400"",RIGHT(A180,LEN(A180)-len(regexextract(A180,"".* "")))=""650"",RIGHT(A180,LEN(A180)-len(regexextract(A180,"".* "&amp;""")))=""350"",RIGHT(A180,LEN(A180)-len(regexextract(A180,"".* "")))=""50""),RIGHT(A180,LEN(A180)-len(regexextract(A180,"".* ""))),IF(OR(ISERROR(FIND(""spacer"",A180))=FALSE,ISERROR(FIND(""filler panel"",A180))=FALSE),""1000"",""Unexpected size in descript"&amp;"ion"")))"),"")</f>
        <v/>
      </c>
      <c r="D180" s="151" t="str">
        <f t="shared" si="2"/>
        <v/>
      </c>
      <c r="E180" s="152" t="str">
        <f>IFERROR(__xludf.DUMMYFUNCTION("IF(OR(A180="""",AND(ISERROR(FIND(""drawer box"",A180))=FALSE,KitchenDrawerType="""")),"""",IF(OR(ISERROR(FIND(""larder"",A180))=FALSE,ISERROR(FIND(""fridge/freezer"",A180))=FALSE,ISERROR(FIND(""double oven"",A180))=FALSE,ISERROR(FIND(""single oven"",A180)"&amp;")=FALSE),VLOOKUP(LEFT(A180,FIND("" "",A180))&amp;""carcass ""&amp;RIGHT(A180,LEN(A180)-(LEN(A180)-3)),KitchensData,5,0),IF(ISERROR(FIND(""sink"",A180))=FALSE,VLOOKUP(LEFT(A180,FIND("" "",A180))&amp;""carcass ""&amp;VALUE(REGEXREPLACE(A180,""[^[:digit:]]"", """")),Kitchen"&amp;"sData,5,0)+(((C180/1000)*(300/1000))*VLOOKUP(KitchenCarcassMaterial,SheetsData,8,0)),IF(ISERROR(FIND(""bins"",A180))=FALSE,IF(ISERROR(FIND(""veneer"",KitchenCarcassMaterial))=FALSE,VLOOKUP(""Base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600"",A180))=FALSE,IF(ISERR"&amp;"OR(FIND(""veneer"",KitchenCarcassMaterial))=FALSE,0.54*(VLOOKUP(LEFT(KitchenCarcassMaterial,FIND(""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1"&amp;"200"",A180))=FALSE,IF(ISERROR(FIND(""veneer"",KitchenCarcassMaterial))=FALSE,0.84*(VLOOKUP(LEFT(KitchenCarcassMaterial,FIND(""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600"",A180))=FALSE,IF(ISERROR(FIND(""veneer"",KitchenCarcassMaterial))=FALSE,1.44*(VLOOKUP(LEFT(KitchenCarcassMaterial,FIND(""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1200"",A180))=FALSE,IF(ISERROR(FIND(""veneer"",KitchenCarcassMaterial))=FALSE,2.7*(VLOOKUP(LEFT(KitchenCarcassMaterial,FIND(""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front"",A180))=FALSE,((B180/1000)*(C180/1000))*VLOOKUP(KitchenDoorMaterial,SheetsData,8,0),IF(AND(KitchenDrawerType=""Match carcass"",ISERROR(FIND(""drawer box"",A180))=FALSE),(((((B180/10"&amp;"00)*(C180/1000))+((B180/1000)*(D180/1000)))*2)*VLOOKUP(KitchenCarcassMaterial,SheetsData,8,0))+(((C180/1000)*(D180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box"",A180))=FALSE),(((((B180/1000)*(C180/1000))+((B180/1000)*(D180/1000)))*2)*(16/1000)*VLOOKUP(L"&amp;"EFT(KitchenCarcassMaterial,FIND("" "",KitchenCarcassMaterial))&amp;""(solid m3)"",SolidData,5,0))+(((C180/1000)*(D180/1000))*VLOOKUP(LEFT(KitchenCarcassMaterial,FIND(""("",KitchenCarcassMaterial)-1)&amp;IF(OR(ISERROR(FIND(""ply"",KitchenCarcassMaterial))=FALSE,IS"&amp;"ERROR(FIND(""H/F"",KitchenCarcassMaterial))=FALSE),""(9mm)"",""(10mm)""),SheetsData,8,0)),IF(ISERROR(FIND(""spacer"",A180))=FALSE,((D180/1000)*(C180/1000))*VLOOKUP(""Poplar ply (18mm)"",SheetsData,8,0),IF(ISERROR(FIND(""filler panel"",A180))=FALSE,((B180/"&amp;"1000)*(C180/1000))*VLOOKUP(KitchenDoorMaterial,SheetsData,8,0),IF(ISERROR(FIND(""shelf"",A180))=FALSE,((D180/1000)*(C180/1000))*VLOOKUP(KitchenCarcassMaterial,SheetsData,8,0),IF(ISERROR(FIND(""lost corner"",A180))=FALSE,VLOOKUP(LEFT(A180,FIND("" "",A180))"&amp;"&amp;""carcass ""&amp;VALUE(REGEXREPLACE(A180,""[^[:digit:]]"", """")),KitchensData,5,0)+((((B180/1000)*(C180/1000))+((B180/1000)*(60/1000)))*VLOOKUP(KitchenCarcassMaterial,SheetsData,8,0)),IF(ISERROR(FIND(""carcass"",A180))=FALSE,(((((B180/1000)*2)*(D180/1000))+"&amp;"(((C180/1000)*2)*(D180/1000)))*VLOOKUP(KitchenCarcassMaterial,SheetsData,8,0))+((B180/1000)*(C180/1000))*VLOOKUP(LEFT(KitchenCarcassMaterial,FIND(""("",KitchenCarcassMaterial)-1)&amp;IF(OR(ISERROR(FIND(""ply"",KitchenCarcassMaterial))=FALSE,ISERROR(FIND(""H/F"&amp;""",KitchenCarcassMaterial))=FALSE),""(9mm)"",""(10mm)""),SheetsData,8,0),IF(OR(ISERROR(FIND(""Plinth"",A180))=FALSE,ISERROR(FIND(""Cornice (flat)"",A180))=FALSE),((B180/1000)*(C180/1000))*VLOOKUP(""H/F (18mm)"",SheetsData,8,0),IF(ISERROR(FIND(""Cornice (s"&amp;"tacked)"",A180))=FALSE,((0.08*(C180/1000))*2)*VLOOKUP(""H/F (22mm)"",SheetsData,8,0),IF(ISERROR(FIND(""Base end panel"",A180))=FALSE,VLOOKUP(KitchenDoorMaterial,SheetsData,5,0)/3,IF(ISERROR(FIND(""Wall end panel"",A180))=FALSE,VLOOKUP(KitchenDoorMaterial,"&amp;"SheetsData,5,0)/9,IF(ISERROR(FIND(""Tower end panel"",A180))=FALSE,VLOOKUP(KitchenDoorMaterial,SheetsData,5,0),IF(ISERROR(FIND(""Fillers"",A180))=FALSE,(((0.06*(C180/1000))*2)*VLOOKUP(""H/F (18mm)"",SheetsData,8,0))+(((0.06*(C180/1000))*2)*VLOOKUP(""H/F ("&amp;"9mm)"",SheetsData,8,0)),IF(ISERROR(FIND(""corner post"",A180))=FALSE,(((B180/1000)*0.05)*2)*VLOOKUP(KitchenDoorMaterial,SheetsData,8,0),IF(ISERROR(FIND(""Pelmet"",A180))=FALSE,((((B180/1000)*(C180/1000))*2)*VLOOKUP(""H/F (18mm)"",SheetsData,8,0)),IF(ISERR"&amp;"OR(FIND(""door"",A180))=TRUE,""Check description"",IF(KitchenDoorStyle=""Flat"",((B180/1000)*(C180/1000))*VLOOKUP(KitchenDoorMaterial,SheetsData,8,0),IF(LEFT(KitchenDoorStyle,5)=""Panel"",(((((B180/1000)*2)*0.08)+((((C180/1000)-0.16)*2)*0.08))*VLOOKUP(""H"&amp;"/F (22mm)"",SheetsData,8,0))+(((B180/1000)-0.14)*((C180/1000)-0.14)*VLOOKUP(""H/F (9mm)"",SheetsData,8,0)),IF(KitchenDoorStyle=""In-frame flat"",((((((B180/1000)*0.019)*0.038)+((((C180-38)/1000)*0.038)*0.038))*2)*VLOOKUP(""Tulip (solid m3)"",SolidData,5,0"&amp;"))+(((B180-76)/1000)*((C180-38)/1000))*VLOOKUP(""H/F (22mm)"",SheetsData,8,0),IF(LEFT(KitchenDoorStyle,14)=""In-frame panel"",(((((((B180/1000)*0.019)*0.038)+((((C180-38)/1000)*0.038)*0.038))*2)*VLOOKUP(""Tulip (solid m3)"",SolidData,5,0))+(((((((B180-76)"&amp;"/1000)*2)*0.08)+(((((C180-198)/1000)*2)*0.08)))*VLOOKUP(""H/F (22mm)"",SheetsData,8,0))+(((B180-216)/1000)*((C180-178)/1000)*VLOOKUP(""H/F (9mm)"",SheetsData,8,0)))))))))))))))))))))))))))))))))"),"")</f>
        <v/>
      </c>
      <c r="F180" s="152" t="str">
        <f>IFERROR(__xludf.DUMMYFUNCTION("IF(OR(A180="""",AND(ISERROR(FIND(""drawer box"",A180))=FALSE,KitchenDrawerType=""Solid dovetail"")),"""",IF(ISERROR(FIND(""bins"",A180))=FALSE,VLOOKUP(""Base carcass 600"",KitchensData,6,0),IF(OR(ISERROR(FIND(""larder"",A180))=FALSE,ISERROR(FIND(""unit"","&amp;"A180))=FALSE),VLOOKUP(LEFT(A180,FIND("" "",A180))&amp;""carcass ""&amp;RIGHT(A180,LEN(A180)-len(regexextract(A180,"".* ""))),KitchensData,6,0),IF(ISERROR(FIND(""drawer front"",A180))=FALSE,IF(ISERROR(FIND(""veneer"",KitchenCarcassMaterial))=TRUE,0,(((B180+C180)/1"&amp;"000)*2)*VLOOKUP(""Edge banding (per M)"",SheetsData,5,0)),IF(ISERROR(FIND(""drawer box"",A180))=FALSE,IF(ISERROR(FIND(""veneer"",KitchenCarcassMaterial))=TRUE,0,(((C180+D180)/1000)*2)*VLOOKUP(""Edge banding (per M)"",SheetsData,5,0)),IF(ISERROR(FIND(""she"&amp;"lf"",A180))=FALSE,IF(ISERROR(FIND(""veneer"",KitchenCarcassMaterial))=TRUE,0,(C180/1000)*VLOOKUP(""Edge banding (per M)"",SheetsData,5,0)),IF(AND(ISERROR(FIND(""carcass"",A180))=FALSE,ISERROR(FIND(""shelf"",A180))=TRUE),IF(ISERROR(FIND(""veneer"",KitchenC"&amp;"arcassMaterial))=TRUE,0,((2*(B180+C180))/1000)*VLOOKUP(""Edge banding (per M)"",SheetsData,5,0)),IF(ISERROR(FIND(""door"",A180))=TRUE,"""",IF(ISERROR(FIND(""veneer"",KitchenDoorMaterial))=TRUE,"""",((2*(B180+C180))/1000)*VLOOKUP(""Edge banding (per M)"",S"&amp;"heetsData,5,0))))))))))"),"")</f>
        <v/>
      </c>
      <c r="G180" s="153" t="str">
        <f>IF(A180="","",IF(ISERROR(FIND("bins",A180))=FALSE,VLOOKUP("Base carcass 600",KitchensData,7,0),IF(OR(ISERROR(FIND("larder",A180))=FALSE,ISERROR(FIND("fridge/freezer",A180))=FALSE,ISERROR(FIND("double oven",A180))=FALSE,ISERROR(FIND("single oven",A180))=FALSE),VLOOKUP(LEFT(A180,FIND(" ",A180))&amp;"carcass "&amp;RIGHT(A180,LEN(A180)-(LEN(A180)-3)),KitchensData,7,0),IF(AND(ISERROR(FIND("carcass",A180))=FALSE,ISERROR(FIND("shelf",A180))=TRUE),IF(OR(ISERROR(FIND("Base",A180))=FALSE,ISERROR(FIND("Tower",A180))=FALSE),IF(OR(ISERROR(FIND("1200",A180))=FALSE, ISERROR(FIND("lost corner",A180))=FALSE),6*VLOOKUP("Plinth foot (2 Parts 80mm)",FurnitureData,5,0),4*VLOOKUP("Plinth foot (2 Parts 80mm)",FurnitureData,5,0)),""),""))))</f>
        <v/>
      </c>
      <c r="H180" s="115" t="str">
        <f>IF(OR(A180="",ISERROR(FIND("door",A180))=TRUE),"",IF(ISERROR(FIND("Wall",A180))=FALSE,VLOOKUP("Hinges &amp; plates (Hettich thick door)",FurnitureData,5,0)*2,IF(ISERROR(FIND("Base",A180))=FALSE,VLOOKUP("Hinges &amp; plates (Hettich thick door)",FurnitureData,5,0)*3,IF(ISERROR(FIND("Boiler",A180))=FALSE,VLOOKUP("Hinges &amp; plates (Hettich thick door)",FurnitureData,5,0)*4,IF(ISERROR(FIND("Tower",A180))=FALSE,VLOOKUP("Hinges &amp; plates (Hettich thick door)",FurnitureData,5,0)*5)))))</f>
        <v/>
      </c>
      <c r="I180" s="115" t="str">
        <f>IF(ISERROR(FIND("shelf",A180))=FALSE,(VLOOKUP("Shelf pegs",FurnitureData,5,0)/100)*4,"")</f>
        <v/>
      </c>
      <c r="J180" s="152" t="str">
        <f>IF(OR(ISERROR(FIND("fridge/freezer",A180))=FALSE,ISERROR(FIND("larder",A180))=FALSE,AND(ISERROR(FIND("Base",A180))=FALSE,ISERROR(FIND("bins",A180))=TRUE,ISERROR(FIND("no shelves",A180))=TRUE,OR(ISERROR(FIND("carcass",A180))=FALSE,ISERROR(FIND("unit",A180))=FALSE))),VLOOKUP("Deep shelf "&amp;C180,KitchensData,18,0),IF(AND(ISERROR(FIND("Wall",A180))=FALSE,ISERROR(FIND("carcass",A180))=FALSE),2*VLOOKUP("Shallow shelf "&amp;C180,KitchensData,18,0),IF(AND(ISERROR(FIND("Tower",A180))=FALSE,ISERROR(FIND("oven",A180))=FALSE),4*VLOOKUP("Deep shelf "&amp;C180,KitchensData,18,0),IF(AND(ISERROR(FIND("Tower",A180))=FALSE,ISERROR(FIND("carcass",A180))=FALSE),5*VLOOKUP("Deep shelf "&amp;C180,KitchensData,18,0),""))))</f>
        <v/>
      </c>
      <c r="K180" s="152" t="str">
        <f>IF(ISERROR(FIND("sink",A180))=FALSE,VLOOKUP("Sink liner - Aluminium "&amp;RIGHT(A180,LEN(A180)-22)&amp;"mm",ExceptionalData,5,0),IF(ISERROR(FIND("bins",A180))=FALSE,VLOOKUP("Drawer runners and clip set for bin unit (500) Dynapro",FurnitureData,5,0)+(2*VLOOKUP("Bin (42L Anthracite)",FurnitureData,5,0)),IF(ISERROR(FIND("larder",A180))=FALSE,VLOOKUP("Pull out larder unit 600mm",FurnitureData,5,0),IF(AND(ISERROR(FIND("drawer box",A180))=FALSE,ISERROR(FIND("internal",A180))=TRUE),VLOOKUP("Drawer runners and clip set (550) Dynapro",FurnitureData,5,0),IF(ISERROR(FIND("internal drawer box",A180))=FALSE,VLOOKUP("Drawer runners and clip set (450) Dynapro",FurnitureData,5,0),"")))))</f>
        <v/>
      </c>
      <c r="L180" s="152" t="str">
        <f t="shared" si="3"/>
        <v/>
      </c>
      <c r="M180" s="154" t="str">
        <f>IFERROR(__xludf.DUMMYFUNCTION("IF(A180="""","""",IF(OR(ISERROR(FIND(""larder"",A180))=FALSE,ISERROR(FIND(""unit"",A180))=FALSE),VLOOKUP(LEFT(A180,FIND("" "",A180))&amp;""carcass ""&amp;RIGHT(A180,LEN(A180)-len(regexextract(A180,"".* ""))),KitchensData,13,0),IF(ISERROR(FIND(""bins"",A180))=FALS"&amp;"E,0.95,IF(ISERROR(FIND(""Cutlery insert 600"",A180))=FALSE,1.3,IF(ISERROR(FIND(""Cutlery insert 1200"",A180))=FALSE,2,IF(ISERROR(FIND(""Pan/tray rack 600"",A180))=FALSE,3.25,IF(ISERROR(FIND(""Pan/tray rack 1200"",A180))=FALSE,5.9,IF(ISERROR(FIND(""split"""&amp;",A180))=FALSE,(((C180/1000)*0.022)*2)+VLOOKUP(SUBSTITUTE(A180,"" split"",""""),KitchensData,13,0),IF(AND(ISERROR(FIND(""drawer front"",A180))=FALSE,KitchenDoorStyle=""Flat""),(((B180/1000)*(C180/1000))*2)+((((B180+C180)/1000)*2)*0.022),IF(AND(ISERROR(FIND"&amp;"(""drawer front"",A180))=FALSE,LEFT(KitchenDoorStyle,5)=""Panel""),(((B180/1000)*(C180/1000))*2)+((((B180+C180)/1000)*2)*0.022)+((((C180/1000)-0.16)*0.013)*2)+((((D180/1000)-0.16)*0.013)*2),IF(AND(ISERROR(FIND(""drawer front"",A180))=FALSE,KitchenDoorStyl"&amp;"e=""In-frame flat""),((((B180-76)/1000)*((C180-38)/1000))*2)+(MID(KitchenDoorMaterial,FIND(""("",KitchenDoorMaterial)+1,2)/1000)*((((B180-76)+(C180-38))/1000)*2)+(((B180/1000)*0.032)*2)+((((B180-76)/1000)*0.032)*2)+(((B180/1000)*0.019)*4)+(((C180/1000)*0."&amp;"032)*2)+((((C180-38)/1000)*0.032)*2)+(((C180/1000)*0.038)*4),IF(AND(ISERROR(FIND(""drawer front"",A180))=FALSE,LEFT(KitchenDoorStyle,14)=""In-frame panel""),((((B180-76)/1000)*((C180-38)/1000))*2)+((MID(KitchenDoorMaterial,FIND(""("",KitchenDoorMaterial)+"&amp;"1,2)/1000)*((((B180-76)+(C180-38))/1000)*2))+((((B180-236)/1000)+((C180-198)/1000)*2)*0.013)+(((B180/1000)*0.032)*2)+((((B180-76)/1000)*0.032)*2)+(((B180/1000)*0.019)*4)+(((C180/1000)*0.032)*2)+((((C180-38)/1000)*0.032)*2)+(((C180/1000)*0.038)*4),IF(ISERR"&amp;"OR(FIND(""drawer box"",A180))=FALSE,((((B180/1000)*(D180/1000))+((B180/1000)*(C180/1000)))*4)+((((D180/1000)+(C180/1000))*0.016)*4)+(((C180/1000)*(D180/1000))*2),IF(OR(ISERROR(FIND(""shelf"",A180))=FALSE,ISERROR(FIND(""spacer"",A180))=FALSE,,ISERROR(FIND("&amp;"""filler panel"",A180))=FALSE),(((C180/1000)*(D180/1000))*2)+((((C180+D180)*2)/1000)*0.022),IF(ISERROR(FIND(""lost corner"",A180))=FALSE,(((B180/1000)*(C180/1000))*2)+((B180/1000)*(C180/1000))+((B180/1000)*((C180/2)/1000))+((((B180/1000)*0.025)+((C180/100"&amp;"0)*0.025))*2),IF(ISERROR(FIND(""carcass"",A180))=FALSE,(((C180/1000)*(D180/1000))*2)+(((B180/1000)*(D180/1000))*2)+((B180/1000)*(C180/1000))+((((B180/1000)*0.025)+((C180/1000)*0.025))*2),IF(AND(ISERROR(FIND(""door"",A180))=FALSE,KitchenDoorStyle=""Flat"")"&amp;",(((B180/1000)*(C180/1000))*2)+(MID(KitchenDoorMaterial,FIND(""("",KitchenDoorMaterial)+1,2)/1000)*(((B180+C180)/1000)*2),IF(AND(ISERROR(FIND(""door"",A180))=FALSE,LEFT(KitchenDoorStyle,5)=""Panel""),(((B180/1000)*(C180/1000))*2)+((MID(KitchenDoorMaterial"&amp;",FIND(""("",KitchenDoorMaterial)+1,2)/1000)*(((B180+C180)/1000)*2))+(((((B180-160)+(C180-160))*2)/1000)*(0.013)),IF(AND(ISERROR(FIND(""door"",A180))=FALSE,KitchenDoorStyle=""In-frame flat""),((((B180-76)/1000)*((C180-38)/1000))*2)+(MID(KitchenDoorMaterial"&amp;",FIND(""("",KitchenDoorMaterial)+1,2)/1000)*((((B180-76)+(C180-38))/1000)*2)+(((B180/1000)*0.032)*2)+((((B180-76)/1000)*0.032)*2)+(((B180/1000)*0.019)*4)+(((C180/1000)*0.032)*2)+((((C180-38)/1000)*0.032)*2)+(((C180/1000)*0.038)*4),IF(AND(ISERROR(FIND(""do"&amp;"or"",A180))=FALSE,LEFT(KitchenDoorStyle,14)=""In-frame panel""),((((B180-76)/1000)*((C180-38)/1000))*2)+((MID(KitchenDoorMaterial,FIND(""("",KitchenDoorMaterial)+1,2)/1000)*((((B180-76)+(C180-38))/1000)*2))+((((B180-236)/1000)+((C180-198)/1000)*2)*0.013)+"&amp;"(((B180/1000)*0.032)*2)+((((B180-76)/1000)*0.032)*2)+(((B180/1000)*0.019)*4)+(((C180/1000)*0.032)*2)+((((C180-38)/1000)*0.032)*2)+(((C180/1000)*0.038)*4),IF(ISERROR(FIND(""Plinth"",A180))=FALSE,((B180/1000)*(C180/1000))+(((C180/1000)*0.018)*2)+(((B180/100"&amp;"0)*0.018)*2),IF(ISERROR(FIND(""Cornice"",A180))=FALSE,(((C180/1000)*0.1)*2)+(((C180/1000)*0.044)*2)+(((B180/1000)*0.08)*2),IF(ISERROR(FIND(""Base end panel"",A180))=FALSE,((B180/1000)*(C180/1000))+(0.022*((B180/1000)+((C180/1000)*2)))+((B180/1000)*0.05),I"&amp;"F(ISERROR(FIND(""Wall end panel"",A180))=FALSE,((B180/1000)*(C180/1000))+(0.022*((B180/1000)+((C180/1000)*2)))+((B180/1000)*0.05),IF(ISERROR(FIND(""Tower end panel"",A180))=FALSE,((B180/1000)*(C180/1000))+(0.022*((B180/1000)+((C180/1000)*2)))+((B180/1000)"&amp;"*0.05),IF(ISERROR(FIND(""Fillers"",A180))=FALSE,((C180/1000)*0.06)+((C180/1000)*0.069)+((0.06*0.018)*2)+((0.06*0.009)*2)+((C180/1000)*0.009)+((C180/1000)*0.018),IF(ISERROR(FIND(""corner post"",A180))=FALSE,(((B180/1000*0.05)*2)+((B180/1000)*0.022)*2)+((B1"&amp;"80/1000)*0.072)+((B180/1000)*0.05)+((0.072*0.022)*2)+((0.05*0.022)*2),IF(ISERROR(FIND(""Pelmet"",A180))=FALSE,((C180/1000)*0.05)+((C180/1000)*0.068)+((0.05*0.018)*4)+(((C180/1000)*0.018))*2))))))))))))))))))))))))))))"),"")</f>
        <v/>
      </c>
      <c r="N180" s="152" t="str">
        <f>IF(M180="","",IF(AND(ISERROR(FIND("carcass",A180))=TRUE,ISERROR(FIND("unit",A180))=TRUE,ISERROR(FIND("insert",A180))=TRUE,ISERROR(FIND("rack",A180))=TRUE,ISERROR(FIND("box",A180))=TRUE,ISERROR(FIND("shelf",#REF!))=TRUE),VLOOKUP(KitchenDoorFinish,Finishing!$A$2:$K$10,9,0)*M180,VLOOKUP(KitchenCarcassFinish,Finishing!$A$2:$K$40,9,0)*M180))</f>
        <v/>
      </c>
      <c r="O180" s="155"/>
      <c r="P180" s="155"/>
      <c r="Q180" s="152" t="str">
        <f>IF(OR(O180="",P180=""),"",((O180*X180)*(VLOOKUP("Workshop",Labour!$A$3:$E$20,4,0)/8))+((P180*AE180)*(VLOOKUP("Finishing",Labour!$A$3:$E$20,4,0)/8)))</f>
        <v/>
      </c>
      <c r="R180" s="152" t="str">
        <f t="shared" si="4"/>
        <v/>
      </c>
      <c r="S180" s="156" t="str">
        <f>IF(OR(O180="",P180=""),"",IF(OR(ISERROR(FIND("carcass",$A180))=FALSE,ISERROR(FIND("unit",$A180))=FALSE),VLOOKUP(KitchenCarcassMaterial,FixedListsCarcassMaterial,2,0),0))</f>
        <v/>
      </c>
      <c r="T180" s="156" t="str">
        <f>IF(OR(O180="",P180=""),"",IF(ISERROR(FIND("door",$A180))=FALSE,VLOOKUP(KitchenDoorStyle,FixedListsDoorStyle,2,0),0))</f>
        <v/>
      </c>
      <c r="U180" s="156" t="str">
        <f>IF(OR(O180="",P180=""),"",IF(ISERROR(FIND("door",$A180))=FALSE,VLOOKUP(KitchenDoorMaterial,FixedListsDoorMaterial,2,0),0))</f>
        <v/>
      </c>
      <c r="V180" s="156" t="str">
        <f>IF(OR(O180="",P180=""),"",IF(ISERROR(FIND("drawer",$A180))=FALSE,VLOOKUP(KitchenDrawerType,FixedListsDrawerType,2,0),0))</f>
        <v/>
      </c>
      <c r="W180" s="156" t="str">
        <f>IF(OR(O180="",P180=""),"",IF(OR(S180&gt;0, T180&gt;0,V180&gt;0),VLOOKUP(KitchenHandleType,FixedListsHandleType,2,FALSE)*IF(KitchenHandleType="Simple",0,IF(S180&gt;0,VLOOKUP(KitchenHandleType,FixedListsHandleType,4,FALSE),IF(OR(T180&gt;0,V180&gt;0),1-VLOOKUP(KitchenHandleType,FixedListsHandleType,4,FALSE),"Error"))),0))</f>
        <v/>
      </c>
      <c r="X180" s="156" t="str">
        <f t="shared" si="5"/>
        <v/>
      </c>
      <c r="Y180" s="156" t="str">
        <f>IF(OR(O180="",P180=""),"",IF(OR(ISERROR(FIND("carcass",$A180))=FALSE,ISERROR(FIND("unit",$A180))=FALSE),VLOOKUP(KitchenCarcassMaterial,FixedListsCarcassMaterial,3,0),0))</f>
        <v/>
      </c>
      <c r="Z180" s="156" t="str">
        <f>IF(OR(O180="",P180=""),"",IF(ISERROR(FIND("door",$A180))=FALSE,VLOOKUP(KitchenDoorStyle,FixedListsDoorStyle,3,0),0))</f>
        <v/>
      </c>
      <c r="AA180" s="156" t="str">
        <f>IF(OR(O180="",P180=""),"",IF(ISERROR(FIND("door",$A180))=FALSE,VLOOKUP(KitchenDoorMaterial,FixedListsDoorMaterial,3,0),0))</f>
        <v/>
      </c>
      <c r="AB180" s="156" t="str">
        <f>IF(OR(O180="",P180=""),"",IF(ISERROR(FIND("drawer",$A180))=FALSE,VLOOKUP(KitchenDrawerType,FixedListsDrawerType,3,0),0))</f>
        <v/>
      </c>
      <c r="AC180" s="156" t="str">
        <f>IF(OR(O180="",P180=""),"",IF(OR(Y180&gt;0,Z180&gt;0,AB180&gt;0),VLOOKUP(KitchenHandleType,FixedListsHandleType,3,FALSE),0))</f>
        <v/>
      </c>
      <c r="AD180" s="156" t="str">
        <f>IF(OR(O180="",P180=""),"",IF(OR(ISERROR(FIND("carcass",$A180))=FALSE,ISERROR(FIND("unit",$A180))=FALSE),VLOOKUP(KitchenCarcassFinish,FixedListsFinishes,3,0),IF(OR(ISERROR(FIND("door",$A180))=FALSE,ISERROR(FIND("Plinth",$A180))=FALSE,ISERROR(FIND("Cornice",$A180))=FALSE,ISERROR(FIND("Fillers",$A180))=FALSE,ISERROR(FIND("Pelmet",$A180))=FALSE,ISERROR(FIND("panel",$A180))=FALSE,ISERROR(FIND("post",$A180))=FALSE),VLOOKUP(KitchenDoorFinish,FixedListsFinishes,3,0),IF(OR(ISERROR(FIND("drawer",$A180))=FALSE,ISERROR(FIND("insert",$A180))=FALSE,ISERROR(FIND("rck",$A180))=FALSE),VLOOKUP(KitchenCarcassFinish,FixedListsFinishes,3,0),0))))</f>
        <v/>
      </c>
      <c r="AE180" s="156" t="str">
        <f t="shared" si="6"/>
        <v/>
      </c>
      <c r="AF180" s="157" t="str">
        <f>IF(AND(KitchenHandleType="Channel",OR(ISERROR(FIND("arcass",$A180))=FALSE,ISERROR(FIND("unit",$A180))=FALSE)),IF(ISERROR(FIND("Tower",$A180))=TRUE,IF(KitchenHandleFinish="Match carcass",IF(ISERROR(FIND("Walnut",KitchenCarcassMaterial))=FALSE,(0.035*0.075*($C180/1000))*VLOOKUP("Walnut (solid m3)",SolidData,4,FALSE),IF(ISERROR(FIND("Oak",KitchenCarcassMaterial))=FALSE,(0.035*0.075*($C180/1000))*VLOOKUP("Oak (solid m3)",SolidData,4,FALSE),IF(ISERROR(FIND("ply",KitchenCarcassMaterial))=FALSE,(0.1*($C180/1000))*VLOOKUP("Birch ply (24mm)",SheetsData,7,FALSE),IF(ISERROR(FIND("H/F",KitchenCarcassMaterial))=FALSE,(0.1*($C180/1000))*VLOOKUP("H/F (22mm)",SheetsData,7,FALSE),"Carcass - not tower - new material")))),IF(KitchenHandleFinish="Match door",IF(ISERROR(FIND("Walnut",KitchenDoorMaterial))=FALSE,(0.035*0.075*($C180/1000))*VLOOKUP("Walnut (solid m3)",SolidData,4,FALSE),IF(ISERROR(FIND("Oak",KitchenDoorMaterial))=FALSE,(0.035*0.075*($C180/1000))*VLOOKUP("Oak (solid m3)",SolidData,4,FALSE),IF(ISERROR(FIND("ply",KitchenDoorMaterial))=FALSE,(0.1*($C180/1000))*VLOOKUP("Birch ply (24mm)",SheetsData,7,FALSE),IF(ISERROR(FIND("H/F",KitchenCarcassMaterial))=FALSE,(0.1*($C180/1000))*VLOOKUP("H/F (22mm)",SheetsData,7,FALSE),"Door - not tower - new material")))),"Channel - not tower - handle set to other")),IF(ISERROR(FIND("Tower",$A180))=FALSE,IF(KitchenHandleFinish="Match carcass",IF(ISERROR(FIND("Walnut",KitchenCarcassMaterial))=FALSE,(0.035*0.075*($B180/1000))*VLOOKUP("Walnut (solid m3)",SolidData,4,FALSE),IF(ISERROR(FIND("Oak",KitchenCarcassMaterial))=FALSE,(0.035*0.075*($B180/1000))*VLOOKUP("Oak (solid m3)",SolidData,4,FALSE),IF(ISERROR(FIND("ply",KitchenCarcassMaterial))=FALSE,(0.1*($B180/1000))*VLOOKUP("Birch ply (24mm)",SheetsData,7,FALSE),IF(ISERROR(FIND("H/F",KitchenCarcassMaterial))=FALSE,(0.1*($C180/1000))*VLOOKUP("H/F (22mm)",SheetsData,7,FALSE),"Carcass - tower - new material")))),IF(KitchenHandleFinish="Match door",IF(ISERROR(FIND("Walnut",KitchenDoorMaterial))=FALSE,(0.035*0.075*($B180/1000))*VLOOKUP("Walnut (solid m3)",SolidData,4,FALSE),IF(ISERROR(FIND("Oak",KitchenDoorMaterial))=FALSE,(0.035*0.075*($B180/1000))*VLOOKUP("Oak (solid m3)",SolidData,4,FALSE),IF(ISERROR(FIND("ply",KitchenDoorMaterial))=FALSE,(0.1*($B180/1000))*VLOOKUP("Birch ply (24mm)",SheetData,7,FALSE),IF(ISERROR(FIND("H/F",KitchenCarcassMaterial))=FALSE,(0.1*($C180/1000))*VLOOKUP("H/F (22mm)",SheetsData,7,FALSE),"Door - tower - new material")))),"Channel - tower - handle set to other")))),"")</f>
        <v/>
      </c>
    </row>
    <row r="181">
      <c r="A181" s="150"/>
      <c r="B181" s="115" t="str">
        <f t="shared" si="1"/>
        <v/>
      </c>
      <c r="C181" s="115" t="str">
        <f>IFERROR(__xludf.DUMMYFUNCTION("IF(A181="""","""",IF(OR(RIGHT(A181,LEN(A181)-len(regexextract(A181,"".* "")))=""1200"",RIGHT(A181,LEN(A181)-len(regexextract(A181,"".* "")))=""600"",RIGHT(A181,LEN(A181)-len(regexextract(A181,"".* "")))=""400"",RIGHT(A181,LEN(A181)-len(regexextract(A181,"&amp;""".* "")))=""300"",RIGHT(A181,LEN(A181)-len(regexextract(A181,"".* "")))=""700"",RIGHT(A181,LEN(A181)-len(regexextract(A181,"".* "")))=""2400"",RIGHT(A181,LEN(A181)-len(regexextract(A181,"".* "")))=""650"",RIGHT(A181,LEN(A181)-len(regexextract(A181,"".* "&amp;""")))=""350"",RIGHT(A181,LEN(A181)-len(regexextract(A181,"".* "")))=""50""),RIGHT(A181,LEN(A181)-len(regexextract(A181,"".* ""))),IF(OR(ISERROR(FIND(""spacer"",A181))=FALSE,ISERROR(FIND(""filler panel"",A181))=FALSE),""1000"",""Unexpected size in descript"&amp;"ion"")))"),"")</f>
        <v/>
      </c>
      <c r="D181" s="151" t="str">
        <f t="shared" si="2"/>
        <v/>
      </c>
      <c r="E181" s="152" t="str">
        <f>IFERROR(__xludf.DUMMYFUNCTION("IF(OR(A181="""",AND(ISERROR(FIND(""drawer box"",A181))=FALSE,KitchenDrawerType="""")),"""",IF(OR(ISERROR(FIND(""larder"",A181))=FALSE,ISERROR(FIND(""fridge/freezer"",A181))=FALSE,ISERROR(FIND(""double oven"",A181))=FALSE,ISERROR(FIND(""single oven"",A181)"&amp;")=FALSE),VLOOKUP(LEFT(A181,FIND("" "",A181))&amp;""carcass ""&amp;RIGHT(A181,LEN(A181)-(LEN(A181)-3)),KitchensData,5,0),IF(ISERROR(FIND(""sink"",A181))=FALSE,VLOOKUP(LEFT(A181,FIND("" "",A181))&amp;""carcass ""&amp;VALUE(REGEXREPLACE(A181,""[^[:digit:]]"", """")),Kitchen"&amp;"sData,5,0)+(((C181/1000)*(300/1000))*VLOOKUP(KitchenCarcassMaterial,SheetsData,8,0)),IF(ISERROR(FIND(""bins"",A181))=FALSE,IF(ISERROR(FIND(""veneer"",KitchenCarcassMaterial))=FALSE,VLOOKUP(""Base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600"",A181))=FALSE,IF(ISERR"&amp;"OR(FIND(""veneer"",KitchenCarcassMaterial))=FALSE,0.54*(VLOOKUP(LEFT(KitchenCarcassMaterial,FIND(""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1"&amp;"200"",A181))=FALSE,IF(ISERROR(FIND(""veneer"",KitchenCarcassMaterial))=FALSE,0.84*(VLOOKUP(LEFT(KitchenCarcassMaterial,FIND(""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600"",A181))=FALSE,IF(ISERROR(FIND(""veneer"",KitchenCarcassMaterial))=FALSE,1.44*(VLOOKUP(LEFT(KitchenCarcassMaterial,FIND(""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1200"",A181))=FALSE,IF(ISERROR(FIND(""veneer"",KitchenCarcassMaterial))=FALSE,2.7*(VLOOKUP(LEFT(KitchenCarcassMaterial,FIND(""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front"",A181))=FALSE,((B181/1000)*(C181/1000))*VLOOKUP(KitchenDoorMaterial,SheetsData,8,0),IF(AND(KitchenDrawerType=""Match carcass"",ISERROR(FIND(""drawer box"",A181))=FALSE),(((((B181/10"&amp;"00)*(C181/1000))+((B181/1000)*(D181/1000)))*2)*VLOOKUP(KitchenCarcassMaterial,SheetsData,8,0))+(((C181/1000)*(D181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box"",A181))=FALSE),(((((B181/1000)*(C181/1000))+((B181/1000)*(D181/1000)))*2)*(16/1000)*VLOOKUP(L"&amp;"EFT(KitchenCarcassMaterial,FIND("" "",KitchenCarcassMaterial))&amp;""(solid m3)"",SolidData,5,0))+(((C181/1000)*(D181/1000))*VLOOKUP(LEFT(KitchenCarcassMaterial,FIND(""("",KitchenCarcassMaterial)-1)&amp;IF(OR(ISERROR(FIND(""ply"",KitchenCarcassMaterial))=FALSE,IS"&amp;"ERROR(FIND(""H/F"",KitchenCarcassMaterial))=FALSE),""(9mm)"",""(10mm)""),SheetsData,8,0)),IF(ISERROR(FIND(""spacer"",A181))=FALSE,((D181/1000)*(C181/1000))*VLOOKUP(""Poplar ply (18mm)"",SheetsData,8,0),IF(ISERROR(FIND(""filler panel"",A181))=FALSE,((B181/"&amp;"1000)*(C181/1000))*VLOOKUP(KitchenDoorMaterial,SheetsData,8,0),IF(ISERROR(FIND(""shelf"",A181))=FALSE,((D181/1000)*(C181/1000))*VLOOKUP(KitchenCarcassMaterial,SheetsData,8,0),IF(ISERROR(FIND(""lost corner"",A181))=FALSE,VLOOKUP(LEFT(A181,FIND("" "",A181))"&amp;"&amp;""carcass ""&amp;VALUE(REGEXREPLACE(A181,""[^[:digit:]]"", """")),KitchensData,5,0)+((((B181/1000)*(C181/1000))+((B181/1000)*(60/1000)))*VLOOKUP(KitchenCarcassMaterial,SheetsData,8,0)),IF(ISERROR(FIND(""carcass"",A181))=FALSE,(((((B181/1000)*2)*(D181/1000))+"&amp;"(((C181/1000)*2)*(D181/1000)))*VLOOKUP(KitchenCarcassMaterial,SheetsData,8,0))+((B181/1000)*(C181/1000))*VLOOKUP(LEFT(KitchenCarcassMaterial,FIND(""("",KitchenCarcassMaterial)-1)&amp;IF(OR(ISERROR(FIND(""ply"",KitchenCarcassMaterial))=FALSE,ISERROR(FIND(""H/F"&amp;""",KitchenCarcassMaterial))=FALSE),""(9mm)"",""(10mm)""),SheetsData,8,0),IF(OR(ISERROR(FIND(""Plinth"",A181))=FALSE,ISERROR(FIND(""Cornice (flat)"",A181))=FALSE),((B181/1000)*(C181/1000))*VLOOKUP(""H/F (18mm)"",SheetsData,8,0),IF(ISERROR(FIND(""Cornice (s"&amp;"tacked)"",A181))=FALSE,((0.08*(C181/1000))*2)*VLOOKUP(""H/F (22mm)"",SheetsData,8,0),IF(ISERROR(FIND(""Base end panel"",A181))=FALSE,VLOOKUP(KitchenDoorMaterial,SheetsData,5,0)/3,IF(ISERROR(FIND(""Wall end panel"",A181))=FALSE,VLOOKUP(KitchenDoorMaterial,"&amp;"SheetsData,5,0)/9,IF(ISERROR(FIND(""Tower end panel"",A181))=FALSE,VLOOKUP(KitchenDoorMaterial,SheetsData,5,0),IF(ISERROR(FIND(""Fillers"",A181))=FALSE,(((0.06*(C181/1000))*2)*VLOOKUP(""H/F (18mm)"",SheetsData,8,0))+(((0.06*(C181/1000))*2)*VLOOKUP(""H/F ("&amp;"9mm)"",SheetsData,8,0)),IF(ISERROR(FIND(""corner post"",A181))=FALSE,(((B181/1000)*0.05)*2)*VLOOKUP(KitchenDoorMaterial,SheetsData,8,0),IF(ISERROR(FIND(""Pelmet"",A181))=FALSE,((((B181/1000)*(C181/1000))*2)*VLOOKUP(""H/F (18mm)"",SheetsData,8,0)),IF(ISERR"&amp;"OR(FIND(""door"",A181))=TRUE,""Check description"",IF(KitchenDoorStyle=""Flat"",((B181/1000)*(C181/1000))*VLOOKUP(KitchenDoorMaterial,SheetsData,8,0),IF(LEFT(KitchenDoorStyle,5)=""Panel"",(((((B181/1000)*2)*0.08)+((((C181/1000)-0.16)*2)*0.08))*VLOOKUP(""H"&amp;"/F (22mm)"",SheetsData,8,0))+(((B181/1000)-0.14)*((C181/1000)-0.14)*VLOOKUP(""H/F (9mm)"",SheetsData,8,0)),IF(KitchenDoorStyle=""In-frame flat"",((((((B181/1000)*0.019)*0.038)+((((C181-38)/1000)*0.038)*0.038))*2)*VLOOKUP(""Tulip (solid m3)"",SolidData,5,0"&amp;"))+(((B181-76)/1000)*((C181-38)/1000))*VLOOKUP(""H/F (22mm)"",SheetsData,8,0),IF(LEFT(KitchenDoorStyle,14)=""In-frame panel"",(((((((B181/1000)*0.019)*0.038)+((((C181-38)/1000)*0.038)*0.038))*2)*VLOOKUP(""Tulip (solid m3)"",SolidData,5,0))+(((((((B181-76)"&amp;"/1000)*2)*0.08)+(((((C181-198)/1000)*2)*0.08)))*VLOOKUP(""H/F (22mm)"",SheetsData,8,0))+(((B181-216)/1000)*((C181-178)/1000)*VLOOKUP(""H/F (9mm)"",SheetsData,8,0)))))))))))))))))))))))))))))))))"),"")</f>
        <v/>
      </c>
      <c r="F181" s="152" t="str">
        <f>IFERROR(__xludf.DUMMYFUNCTION("IF(OR(A181="""",AND(ISERROR(FIND(""drawer box"",A181))=FALSE,KitchenDrawerType=""Solid dovetail"")),"""",IF(ISERROR(FIND(""bins"",A181))=FALSE,VLOOKUP(""Base carcass 600"",KitchensData,6,0),IF(OR(ISERROR(FIND(""larder"",A181))=FALSE,ISERROR(FIND(""unit"","&amp;"A181))=FALSE),VLOOKUP(LEFT(A181,FIND("" "",A181))&amp;""carcass ""&amp;RIGHT(A181,LEN(A181)-len(regexextract(A181,"".* ""))),KitchensData,6,0),IF(ISERROR(FIND(""drawer front"",A181))=FALSE,IF(ISERROR(FIND(""veneer"",KitchenCarcassMaterial))=TRUE,0,(((B181+C181)/1"&amp;"000)*2)*VLOOKUP(""Edge banding (per M)"",SheetsData,5,0)),IF(ISERROR(FIND(""drawer box"",A181))=FALSE,IF(ISERROR(FIND(""veneer"",KitchenCarcassMaterial))=TRUE,0,(((C181+D181)/1000)*2)*VLOOKUP(""Edge banding (per M)"",SheetsData,5,0)),IF(ISERROR(FIND(""she"&amp;"lf"",A181))=FALSE,IF(ISERROR(FIND(""veneer"",KitchenCarcassMaterial))=TRUE,0,(C181/1000)*VLOOKUP(""Edge banding (per M)"",SheetsData,5,0)),IF(AND(ISERROR(FIND(""carcass"",A181))=FALSE,ISERROR(FIND(""shelf"",A181))=TRUE),IF(ISERROR(FIND(""veneer"",KitchenC"&amp;"arcassMaterial))=TRUE,0,((2*(B181+C181))/1000)*VLOOKUP(""Edge banding (per M)"",SheetsData,5,0)),IF(ISERROR(FIND(""door"",A181))=TRUE,"""",IF(ISERROR(FIND(""veneer"",KitchenDoorMaterial))=TRUE,"""",((2*(B181+C181))/1000)*VLOOKUP(""Edge banding (per M)"",S"&amp;"heetsData,5,0))))))))))"),"")</f>
        <v/>
      </c>
      <c r="G181" s="153" t="str">
        <f>IF(A181="","",IF(ISERROR(FIND("bins",A181))=FALSE,VLOOKUP("Base carcass 600",KitchensData,7,0),IF(OR(ISERROR(FIND("larder",A181))=FALSE,ISERROR(FIND("fridge/freezer",A181))=FALSE,ISERROR(FIND("double oven",A181))=FALSE,ISERROR(FIND("single oven",A181))=FALSE),VLOOKUP(LEFT(A181,FIND(" ",A181))&amp;"carcass "&amp;RIGHT(A181,LEN(A181)-(LEN(A181)-3)),KitchensData,7,0),IF(AND(ISERROR(FIND("carcass",A181))=FALSE,ISERROR(FIND("shelf",A181))=TRUE),IF(OR(ISERROR(FIND("Base",A181))=FALSE,ISERROR(FIND("Tower",A181))=FALSE),IF(OR(ISERROR(FIND("1200",A181))=FALSE, ISERROR(FIND("lost corner",A181))=FALSE),6*VLOOKUP("Plinth foot (2 Parts 80mm)",FurnitureData,5,0),4*VLOOKUP("Plinth foot (2 Parts 80mm)",FurnitureData,5,0)),""),""))))</f>
        <v/>
      </c>
      <c r="H181" s="115" t="str">
        <f>IF(OR(A181="",ISERROR(FIND("door",A181))=TRUE),"",IF(ISERROR(FIND("Wall",A181))=FALSE,VLOOKUP("Hinges &amp; plates (Hettich thick door)",FurnitureData,5,0)*2,IF(ISERROR(FIND("Base",A181))=FALSE,VLOOKUP("Hinges &amp; plates (Hettich thick door)",FurnitureData,5,0)*3,IF(ISERROR(FIND("Boiler",A181))=FALSE,VLOOKUP("Hinges &amp; plates (Hettich thick door)",FurnitureData,5,0)*4,IF(ISERROR(FIND("Tower",A181))=FALSE,VLOOKUP("Hinges &amp; plates (Hettich thick door)",FurnitureData,5,0)*5)))))</f>
        <v/>
      </c>
      <c r="I181" s="115" t="str">
        <f>IF(ISERROR(FIND("shelf",A181))=FALSE,(VLOOKUP("Shelf pegs",FurnitureData,5,0)/100)*4,"")</f>
        <v/>
      </c>
      <c r="J181" s="152" t="str">
        <f>IF(OR(ISERROR(FIND("fridge/freezer",A181))=FALSE,ISERROR(FIND("larder",A181))=FALSE,AND(ISERROR(FIND("Base",A181))=FALSE,ISERROR(FIND("bins",A181))=TRUE,ISERROR(FIND("no shelves",A181))=TRUE,OR(ISERROR(FIND("carcass",A181))=FALSE,ISERROR(FIND("unit",A181))=FALSE))),VLOOKUP("Deep shelf "&amp;C181,KitchensData,18,0),IF(AND(ISERROR(FIND("Wall",A181))=FALSE,ISERROR(FIND("carcass",A181))=FALSE),2*VLOOKUP("Shallow shelf "&amp;C181,KitchensData,18,0),IF(AND(ISERROR(FIND("Tower",A181))=FALSE,ISERROR(FIND("oven",A181))=FALSE),4*VLOOKUP("Deep shelf "&amp;C181,KitchensData,18,0),IF(AND(ISERROR(FIND("Tower",A181))=FALSE,ISERROR(FIND("carcass",A181))=FALSE),5*VLOOKUP("Deep shelf "&amp;C181,KitchensData,18,0),""))))</f>
        <v/>
      </c>
      <c r="K181" s="152" t="str">
        <f>IF(ISERROR(FIND("sink",A181))=FALSE,VLOOKUP("Sink liner - Aluminium "&amp;RIGHT(A181,LEN(A181)-22)&amp;"mm",ExceptionalData,5,0),IF(ISERROR(FIND("bins",A181))=FALSE,VLOOKUP("Drawer runners and clip set for bin unit (500) Dynapro",FurnitureData,5,0)+(2*VLOOKUP("Bin (42L Anthracite)",FurnitureData,5,0)),IF(ISERROR(FIND("larder",A181))=FALSE,VLOOKUP("Pull out larder unit 600mm",FurnitureData,5,0),IF(AND(ISERROR(FIND("drawer box",A181))=FALSE,ISERROR(FIND("internal",A181))=TRUE),VLOOKUP("Drawer runners and clip set (550) Dynapro",FurnitureData,5,0),IF(ISERROR(FIND("internal drawer box",A181))=FALSE,VLOOKUP("Drawer runners and clip set (450) Dynapro",FurnitureData,5,0),"")))))</f>
        <v/>
      </c>
      <c r="L181" s="152" t="str">
        <f t="shared" si="3"/>
        <v/>
      </c>
      <c r="M181" s="154" t="str">
        <f>IFERROR(__xludf.DUMMYFUNCTION("IF(A181="""","""",IF(OR(ISERROR(FIND(""larder"",A181))=FALSE,ISERROR(FIND(""unit"",A181))=FALSE),VLOOKUP(LEFT(A181,FIND("" "",A181))&amp;""carcass ""&amp;RIGHT(A181,LEN(A181)-len(regexextract(A181,"".* ""))),KitchensData,13,0),IF(ISERROR(FIND(""bins"",A181))=FALS"&amp;"E,0.95,IF(ISERROR(FIND(""Cutlery insert 600"",A181))=FALSE,1.3,IF(ISERROR(FIND(""Cutlery insert 1200"",A181))=FALSE,2,IF(ISERROR(FIND(""Pan/tray rack 600"",A181))=FALSE,3.25,IF(ISERROR(FIND(""Pan/tray rack 1200"",A181))=FALSE,5.9,IF(ISERROR(FIND(""split"""&amp;",A181))=FALSE,(((C181/1000)*0.022)*2)+VLOOKUP(SUBSTITUTE(A181,"" split"",""""),KitchensData,13,0),IF(AND(ISERROR(FIND(""drawer front"",A181))=FALSE,KitchenDoorStyle=""Flat""),(((B181/1000)*(C181/1000))*2)+((((B181+C181)/1000)*2)*0.022),IF(AND(ISERROR(FIND"&amp;"(""drawer front"",A181))=FALSE,LEFT(KitchenDoorStyle,5)=""Panel""),(((B181/1000)*(C181/1000))*2)+((((B181+C181)/1000)*2)*0.022)+((((C181/1000)-0.16)*0.013)*2)+((((D181/1000)-0.16)*0.013)*2),IF(AND(ISERROR(FIND(""drawer front"",A181))=FALSE,KitchenDoorStyl"&amp;"e=""In-frame flat""),((((B181-76)/1000)*((C181-38)/1000))*2)+(MID(KitchenDoorMaterial,FIND(""("",KitchenDoorMaterial)+1,2)/1000)*((((B181-76)+(C181-38))/1000)*2)+(((B181/1000)*0.032)*2)+((((B181-76)/1000)*0.032)*2)+(((B181/1000)*0.019)*4)+(((C181/1000)*0."&amp;"032)*2)+((((C181-38)/1000)*0.032)*2)+(((C181/1000)*0.038)*4),IF(AND(ISERROR(FIND(""drawer front"",A181))=FALSE,LEFT(KitchenDoorStyle,14)=""In-frame panel""),((((B181-76)/1000)*((C181-38)/1000))*2)+((MID(KitchenDoorMaterial,FIND(""("",KitchenDoorMaterial)+"&amp;"1,2)/1000)*((((B181-76)+(C181-38))/1000)*2))+((((B181-236)/1000)+((C181-198)/1000)*2)*0.013)+(((B181/1000)*0.032)*2)+((((B181-76)/1000)*0.032)*2)+(((B181/1000)*0.019)*4)+(((C181/1000)*0.032)*2)+((((C181-38)/1000)*0.032)*2)+(((C181/1000)*0.038)*4),IF(ISERR"&amp;"OR(FIND(""drawer box"",A181))=FALSE,((((B181/1000)*(D181/1000))+((B181/1000)*(C181/1000)))*4)+((((D181/1000)+(C181/1000))*0.016)*4)+(((C181/1000)*(D181/1000))*2),IF(OR(ISERROR(FIND(""shelf"",A181))=FALSE,ISERROR(FIND(""spacer"",A181))=FALSE,,ISERROR(FIND("&amp;"""filler panel"",A181))=FALSE),(((C181/1000)*(D181/1000))*2)+((((C181+D181)*2)/1000)*0.022),IF(ISERROR(FIND(""lost corner"",A181))=FALSE,(((B181/1000)*(C181/1000))*2)+((B181/1000)*(C181/1000))+((B181/1000)*((C181/2)/1000))+((((B181/1000)*0.025)+((C181/100"&amp;"0)*0.025))*2),IF(ISERROR(FIND(""carcass"",A181))=FALSE,(((C181/1000)*(D181/1000))*2)+(((B181/1000)*(D181/1000))*2)+((B181/1000)*(C181/1000))+((((B181/1000)*0.025)+((C181/1000)*0.025))*2),IF(AND(ISERROR(FIND(""door"",A181))=FALSE,KitchenDoorStyle=""Flat"")"&amp;",(((B181/1000)*(C181/1000))*2)+(MID(KitchenDoorMaterial,FIND(""("",KitchenDoorMaterial)+1,2)/1000)*(((B181+C181)/1000)*2),IF(AND(ISERROR(FIND(""door"",A181))=FALSE,LEFT(KitchenDoorStyle,5)=""Panel""),(((B181/1000)*(C181/1000))*2)+((MID(KitchenDoorMaterial"&amp;",FIND(""("",KitchenDoorMaterial)+1,2)/1000)*(((B181+C181)/1000)*2))+(((((B181-160)+(C181-160))*2)/1000)*(0.013)),IF(AND(ISERROR(FIND(""door"",A181))=FALSE,KitchenDoorStyle=""In-frame flat""),((((B181-76)/1000)*((C181-38)/1000))*2)+(MID(KitchenDoorMaterial"&amp;",FIND(""("",KitchenDoorMaterial)+1,2)/1000)*((((B181-76)+(C181-38))/1000)*2)+(((B181/1000)*0.032)*2)+((((B181-76)/1000)*0.032)*2)+(((B181/1000)*0.019)*4)+(((C181/1000)*0.032)*2)+((((C181-38)/1000)*0.032)*2)+(((C181/1000)*0.038)*4),IF(AND(ISERROR(FIND(""do"&amp;"or"",A181))=FALSE,LEFT(KitchenDoorStyle,14)=""In-frame panel""),((((B181-76)/1000)*((C181-38)/1000))*2)+((MID(KitchenDoorMaterial,FIND(""("",KitchenDoorMaterial)+1,2)/1000)*((((B181-76)+(C181-38))/1000)*2))+((((B181-236)/1000)+((C181-198)/1000)*2)*0.013)+"&amp;"(((B181/1000)*0.032)*2)+((((B181-76)/1000)*0.032)*2)+(((B181/1000)*0.019)*4)+(((C181/1000)*0.032)*2)+((((C181-38)/1000)*0.032)*2)+(((C181/1000)*0.038)*4),IF(ISERROR(FIND(""Plinth"",A181))=FALSE,((B181/1000)*(C181/1000))+(((C181/1000)*0.018)*2)+(((B181/100"&amp;"0)*0.018)*2),IF(ISERROR(FIND(""Cornice"",A181))=FALSE,(((C181/1000)*0.1)*2)+(((C181/1000)*0.044)*2)+(((B181/1000)*0.08)*2),IF(ISERROR(FIND(""Base end panel"",A181))=FALSE,((B181/1000)*(C181/1000))+(0.022*((B181/1000)+((C181/1000)*2)))+((B181/1000)*0.05),I"&amp;"F(ISERROR(FIND(""Wall end panel"",A181))=FALSE,((B181/1000)*(C181/1000))+(0.022*((B181/1000)+((C181/1000)*2)))+((B181/1000)*0.05),IF(ISERROR(FIND(""Tower end panel"",A181))=FALSE,((B181/1000)*(C181/1000))+(0.022*((B181/1000)+((C181/1000)*2)))+((B181/1000)"&amp;"*0.05),IF(ISERROR(FIND(""Fillers"",A181))=FALSE,((C181/1000)*0.06)+((C181/1000)*0.069)+((0.06*0.018)*2)+((0.06*0.009)*2)+((C181/1000)*0.009)+((C181/1000)*0.018),IF(ISERROR(FIND(""corner post"",A181))=FALSE,(((B181/1000*0.05)*2)+((B181/1000)*0.022)*2)+((B1"&amp;"81/1000)*0.072)+((B181/1000)*0.05)+((0.072*0.022)*2)+((0.05*0.022)*2),IF(ISERROR(FIND(""Pelmet"",A181))=FALSE,((C181/1000)*0.05)+((C181/1000)*0.068)+((0.05*0.018)*4)+(((C181/1000)*0.018))*2))))))))))))))))))))))))))))"),"")</f>
        <v/>
      </c>
      <c r="N181" s="152" t="str">
        <f>IF(M181="","",IF(AND(ISERROR(FIND("carcass",A181))=TRUE,ISERROR(FIND("unit",A181))=TRUE,ISERROR(FIND("insert",A181))=TRUE,ISERROR(FIND("rack",A181))=TRUE,ISERROR(FIND("box",A181))=TRUE,ISERROR(FIND("shelf",#REF!))=TRUE),VLOOKUP(KitchenDoorFinish,Finishing!$A$2:$K$10,9,0)*M181,VLOOKUP(KitchenCarcassFinish,Finishing!$A$2:$K$40,9,0)*M181))</f>
        <v/>
      </c>
      <c r="O181" s="155"/>
      <c r="P181" s="155"/>
      <c r="Q181" s="152" t="str">
        <f>IF(OR(O181="",P181=""),"",((O181*X181)*(VLOOKUP("Workshop",Labour!$A$3:$E$20,4,0)/8))+((P181*AE181)*(VLOOKUP("Finishing",Labour!$A$3:$E$20,4,0)/8)))</f>
        <v/>
      </c>
      <c r="R181" s="152" t="str">
        <f t="shared" si="4"/>
        <v/>
      </c>
      <c r="S181" s="156" t="str">
        <f>IF(OR(O181="",P181=""),"",IF(OR(ISERROR(FIND("carcass",$A181))=FALSE,ISERROR(FIND("unit",$A181))=FALSE),VLOOKUP(KitchenCarcassMaterial,FixedListsCarcassMaterial,2,0),0))</f>
        <v/>
      </c>
      <c r="T181" s="156" t="str">
        <f>IF(OR(O181="",P181=""),"",IF(ISERROR(FIND("door",$A181))=FALSE,VLOOKUP(KitchenDoorStyle,FixedListsDoorStyle,2,0),0))</f>
        <v/>
      </c>
      <c r="U181" s="156" t="str">
        <f>IF(OR(O181="",P181=""),"",IF(ISERROR(FIND("door",$A181))=FALSE,VLOOKUP(KitchenDoorMaterial,FixedListsDoorMaterial,2,0),0))</f>
        <v/>
      </c>
      <c r="V181" s="156" t="str">
        <f>IF(OR(O181="",P181=""),"",IF(ISERROR(FIND("drawer",$A181))=FALSE,VLOOKUP(KitchenDrawerType,FixedListsDrawerType,2,0),0))</f>
        <v/>
      </c>
      <c r="W181" s="156" t="str">
        <f>IF(OR(O181="",P181=""),"",IF(OR(S181&gt;0, T181&gt;0,V181&gt;0),VLOOKUP(KitchenHandleType,FixedListsHandleType,2,FALSE)*IF(KitchenHandleType="Simple",0,IF(S181&gt;0,VLOOKUP(KitchenHandleType,FixedListsHandleType,4,FALSE),IF(OR(T181&gt;0,V181&gt;0),1-VLOOKUP(KitchenHandleType,FixedListsHandleType,4,FALSE),"Error"))),0))</f>
        <v/>
      </c>
      <c r="X181" s="156" t="str">
        <f t="shared" si="5"/>
        <v/>
      </c>
      <c r="Y181" s="156" t="str">
        <f>IF(OR(O181="",P181=""),"",IF(OR(ISERROR(FIND("carcass",$A181))=FALSE,ISERROR(FIND("unit",$A181))=FALSE),VLOOKUP(KitchenCarcassMaterial,FixedListsCarcassMaterial,3,0),0))</f>
        <v/>
      </c>
      <c r="Z181" s="156" t="str">
        <f>IF(OR(O181="",P181=""),"",IF(ISERROR(FIND("door",$A181))=FALSE,VLOOKUP(KitchenDoorStyle,FixedListsDoorStyle,3,0),0))</f>
        <v/>
      </c>
      <c r="AA181" s="156" t="str">
        <f>IF(OR(O181="",P181=""),"",IF(ISERROR(FIND("door",$A181))=FALSE,VLOOKUP(KitchenDoorMaterial,FixedListsDoorMaterial,3,0),0))</f>
        <v/>
      </c>
      <c r="AB181" s="156" t="str">
        <f>IF(OR(O181="",P181=""),"",IF(ISERROR(FIND("drawer",$A181))=FALSE,VLOOKUP(KitchenDrawerType,FixedListsDrawerType,3,0),0))</f>
        <v/>
      </c>
      <c r="AC181" s="156" t="str">
        <f>IF(OR(O181="",P181=""),"",IF(OR(Y181&gt;0,Z181&gt;0,AB181&gt;0),VLOOKUP(KitchenHandleType,FixedListsHandleType,3,FALSE),0))</f>
        <v/>
      </c>
      <c r="AD181" s="156" t="str">
        <f>IF(OR(O181="",P181=""),"",IF(OR(ISERROR(FIND("carcass",$A181))=FALSE,ISERROR(FIND("unit",$A181))=FALSE),VLOOKUP(KitchenCarcassFinish,FixedListsFinishes,3,0),IF(OR(ISERROR(FIND("door",$A181))=FALSE,ISERROR(FIND("Plinth",$A181))=FALSE,ISERROR(FIND("Cornice",$A181))=FALSE,ISERROR(FIND("Fillers",$A181))=FALSE,ISERROR(FIND("Pelmet",$A181))=FALSE,ISERROR(FIND("panel",$A181))=FALSE,ISERROR(FIND("post",$A181))=FALSE),VLOOKUP(KitchenDoorFinish,FixedListsFinishes,3,0),IF(OR(ISERROR(FIND("drawer",$A181))=FALSE,ISERROR(FIND("insert",$A181))=FALSE,ISERROR(FIND("rck",$A181))=FALSE),VLOOKUP(KitchenCarcassFinish,FixedListsFinishes,3,0),0))))</f>
        <v/>
      </c>
      <c r="AE181" s="156" t="str">
        <f t="shared" si="6"/>
        <v/>
      </c>
      <c r="AF181" s="157" t="str">
        <f>IF(AND(KitchenHandleType="Channel",OR(ISERROR(FIND("arcass",$A181))=FALSE,ISERROR(FIND("unit",$A181))=FALSE)),IF(ISERROR(FIND("Tower",$A181))=TRUE,IF(KitchenHandleFinish="Match carcass",IF(ISERROR(FIND("Walnut",KitchenCarcassMaterial))=FALSE,(0.035*0.075*($C181/1000))*VLOOKUP("Walnut (solid m3)",SolidData,4,FALSE),IF(ISERROR(FIND("Oak",KitchenCarcassMaterial))=FALSE,(0.035*0.075*($C181/1000))*VLOOKUP("Oak (solid m3)",SolidData,4,FALSE),IF(ISERROR(FIND("ply",KitchenCarcassMaterial))=FALSE,(0.1*($C181/1000))*VLOOKUP("Birch ply (24mm)",SheetsData,7,FALSE),IF(ISERROR(FIND("H/F",KitchenCarcassMaterial))=FALSE,(0.1*($C181/1000))*VLOOKUP("H/F (22mm)",SheetsData,7,FALSE),"Carcass - not tower - new material")))),IF(KitchenHandleFinish="Match door",IF(ISERROR(FIND("Walnut",KitchenDoorMaterial))=FALSE,(0.035*0.075*($C181/1000))*VLOOKUP("Walnut (solid m3)",SolidData,4,FALSE),IF(ISERROR(FIND("Oak",KitchenDoorMaterial))=FALSE,(0.035*0.075*($C181/1000))*VLOOKUP("Oak (solid m3)",SolidData,4,FALSE),IF(ISERROR(FIND("ply",KitchenDoorMaterial))=FALSE,(0.1*($C181/1000))*VLOOKUP("Birch ply (24mm)",SheetsData,7,FALSE),IF(ISERROR(FIND("H/F",KitchenCarcassMaterial))=FALSE,(0.1*($C181/1000))*VLOOKUP("H/F (22mm)",SheetsData,7,FALSE),"Door - not tower - new material")))),"Channel - not tower - handle set to other")),IF(ISERROR(FIND("Tower",$A181))=FALSE,IF(KitchenHandleFinish="Match carcass",IF(ISERROR(FIND("Walnut",KitchenCarcassMaterial))=FALSE,(0.035*0.075*($B181/1000))*VLOOKUP("Walnut (solid m3)",SolidData,4,FALSE),IF(ISERROR(FIND("Oak",KitchenCarcassMaterial))=FALSE,(0.035*0.075*($B181/1000))*VLOOKUP("Oak (solid m3)",SolidData,4,FALSE),IF(ISERROR(FIND("ply",KitchenCarcassMaterial))=FALSE,(0.1*($B181/1000))*VLOOKUP("Birch ply (24mm)",SheetsData,7,FALSE),IF(ISERROR(FIND("H/F",KitchenCarcassMaterial))=FALSE,(0.1*($C181/1000))*VLOOKUP("H/F (22mm)",SheetsData,7,FALSE),"Carcass - tower - new material")))),IF(KitchenHandleFinish="Match door",IF(ISERROR(FIND("Walnut",KitchenDoorMaterial))=FALSE,(0.035*0.075*($B181/1000))*VLOOKUP("Walnut (solid m3)",SolidData,4,FALSE),IF(ISERROR(FIND("Oak",KitchenDoorMaterial))=FALSE,(0.035*0.075*($B181/1000))*VLOOKUP("Oak (solid m3)",SolidData,4,FALSE),IF(ISERROR(FIND("ply",KitchenDoorMaterial))=FALSE,(0.1*($B181/1000))*VLOOKUP("Birch ply (24mm)",SheetData,7,FALSE),IF(ISERROR(FIND("H/F",KitchenCarcassMaterial))=FALSE,(0.1*($C181/1000))*VLOOKUP("H/F (22mm)",SheetsData,7,FALSE),"Door - tower - new material")))),"Channel - tower - handle set to other")))),"")</f>
        <v/>
      </c>
    </row>
    <row r="182">
      <c r="A182" s="150"/>
      <c r="B182" s="115" t="str">
        <f t="shared" si="1"/>
        <v/>
      </c>
      <c r="C182" s="115" t="str">
        <f>IFERROR(__xludf.DUMMYFUNCTION("IF(A182="""","""",IF(OR(RIGHT(A182,LEN(A182)-len(regexextract(A182,"".* "")))=""1200"",RIGHT(A182,LEN(A182)-len(regexextract(A182,"".* "")))=""600"",RIGHT(A182,LEN(A182)-len(regexextract(A182,"".* "")))=""400"",RIGHT(A182,LEN(A182)-len(regexextract(A182,"&amp;""".* "")))=""300"",RIGHT(A182,LEN(A182)-len(regexextract(A182,"".* "")))=""700"",RIGHT(A182,LEN(A182)-len(regexextract(A182,"".* "")))=""2400"",RIGHT(A182,LEN(A182)-len(regexextract(A182,"".* "")))=""650"",RIGHT(A182,LEN(A182)-len(regexextract(A182,"".* "&amp;""")))=""350"",RIGHT(A182,LEN(A182)-len(regexextract(A182,"".* "")))=""50""),RIGHT(A182,LEN(A182)-len(regexextract(A182,"".* ""))),IF(OR(ISERROR(FIND(""spacer"",A182))=FALSE,ISERROR(FIND(""filler panel"",A182))=FALSE),""1000"",""Unexpected size in descript"&amp;"ion"")))"),"")</f>
        <v/>
      </c>
      <c r="D182" s="151" t="str">
        <f t="shared" si="2"/>
        <v/>
      </c>
      <c r="E182" s="152" t="str">
        <f>IFERROR(__xludf.DUMMYFUNCTION("IF(OR(A182="""",AND(ISERROR(FIND(""drawer box"",A182))=FALSE,KitchenDrawerType="""")),"""",IF(OR(ISERROR(FIND(""larder"",A182))=FALSE,ISERROR(FIND(""fridge/freezer"",A182))=FALSE,ISERROR(FIND(""double oven"",A182))=FALSE,ISERROR(FIND(""single oven"",A182)"&amp;")=FALSE),VLOOKUP(LEFT(A182,FIND("" "",A182))&amp;""carcass ""&amp;RIGHT(A182,LEN(A182)-(LEN(A182)-3)),KitchensData,5,0),IF(ISERROR(FIND(""sink"",A182))=FALSE,VLOOKUP(LEFT(A182,FIND("" "",A182))&amp;""carcass ""&amp;VALUE(REGEXREPLACE(A182,""[^[:digit:]]"", """")),Kitchen"&amp;"sData,5,0)+(((C182/1000)*(300/1000))*VLOOKUP(KitchenCarcassMaterial,SheetsData,8,0)),IF(ISERROR(FIND(""bins"",A182))=FALSE,IF(ISERROR(FIND(""veneer"",KitchenCarcassMaterial))=FALSE,VLOOKUP(""Base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600"",A182))=FALSE,IF(ISERR"&amp;"OR(FIND(""veneer"",KitchenCarcassMaterial))=FALSE,0.54*(VLOOKUP(LEFT(KitchenCarcassMaterial,FIND(""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1"&amp;"200"",A182))=FALSE,IF(ISERROR(FIND(""veneer"",KitchenCarcassMaterial))=FALSE,0.84*(VLOOKUP(LEFT(KitchenCarcassMaterial,FIND(""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600"",A182))=FALSE,IF(ISERROR(FIND(""veneer"",KitchenCarcassMaterial))=FALSE,1.44*(VLOOKUP(LEFT(KitchenCarcassMaterial,FIND(""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1200"",A182))=FALSE,IF(ISERROR(FIND(""veneer"",KitchenCarcassMaterial))=FALSE,2.7*(VLOOKUP(LEFT(KitchenCarcassMaterial,FIND(""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front"",A182))=FALSE,((B182/1000)*(C182/1000))*VLOOKUP(KitchenDoorMaterial,SheetsData,8,0),IF(AND(KitchenDrawerType=""Match carcass"",ISERROR(FIND(""drawer box"",A182))=FALSE),(((((B182/10"&amp;"00)*(C182/1000))+((B182/1000)*(D182/1000)))*2)*VLOOKUP(KitchenCarcassMaterial,SheetsData,8,0))+(((C182/1000)*(D182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box"",A182))=FALSE),(((((B182/1000)*(C182/1000))+((B182/1000)*(D182/1000)))*2)*(16/1000)*VLOOKUP(L"&amp;"EFT(KitchenCarcassMaterial,FIND("" "",KitchenCarcassMaterial))&amp;""(solid m3)"",SolidData,5,0))+(((C182/1000)*(D182/1000))*VLOOKUP(LEFT(KitchenCarcassMaterial,FIND(""("",KitchenCarcassMaterial)-1)&amp;IF(OR(ISERROR(FIND(""ply"",KitchenCarcassMaterial))=FALSE,IS"&amp;"ERROR(FIND(""H/F"",KitchenCarcassMaterial))=FALSE),""(9mm)"",""(10mm)""),SheetsData,8,0)),IF(ISERROR(FIND(""spacer"",A182))=FALSE,((D182/1000)*(C182/1000))*VLOOKUP(""Poplar ply (18mm)"",SheetsData,8,0),IF(ISERROR(FIND(""filler panel"",A182))=FALSE,((B182/"&amp;"1000)*(C182/1000))*VLOOKUP(KitchenDoorMaterial,SheetsData,8,0),IF(ISERROR(FIND(""shelf"",A182))=FALSE,((D182/1000)*(C182/1000))*VLOOKUP(KitchenCarcassMaterial,SheetsData,8,0),IF(ISERROR(FIND(""lost corner"",A182))=FALSE,VLOOKUP(LEFT(A182,FIND("" "",A182))"&amp;"&amp;""carcass ""&amp;VALUE(REGEXREPLACE(A182,""[^[:digit:]]"", """")),KitchensData,5,0)+((((B182/1000)*(C182/1000))+((B182/1000)*(60/1000)))*VLOOKUP(KitchenCarcassMaterial,SheetsData,8,0)),IF(ISERROR(FIND(""carcass"",A182))=FALSE,(((((B182/1000)*2)*(D182/1000))+"&amp;"(((C182/1000)*2)*(D182/1000)))*VLOOKUP(KitchenCarcassMaterial,SheetsData,8,0))+((B182/1000)*(C182/1000))*VLOOKUP(LEFT(KitchenCarcassMaterial,FIND(""("",KitchenCarcassMaterial)-1)&amp;IF(OR(ISERROR(FIND(""ply"",KitchenCarcassMaterial))=FALSE,ISERROR(FIND(""H/F"&amp;""",KitchenCarcassMaterial))=FALSE),""(9mm)"",""(10mm)""),SheetsData,8,0),IF(OR(ISERROR(FIND(""Plinth"",A182))=FALSE,ISERROR(FIND(""Cornice (flat)"",A182))=FALSE),((B182/1000)*(C182/1000))*VLOOKUP(""H/F (18mm)"",SheetsData,8,0),IF(ISERROR(FIND(""Cornice (s"&amp;"tacked)"",A182))=FALSE,((0.08*(C182/1000))*2)*VLOOKUP(""H/F (22mm)"",SheetsData,8,0),IF(ISERROR(FIND(""Base end panel"",A182))=FALSE,VLOOKUP(KitchenDoorMaterial,SheetsData,5,0)/3,IF(ISERROR(FIND(""Wall end panel"",A182))=FALSE,VLOOKUP(KitchenDoorMaterial,"&amp;"SheetsData,5,0)/9,IF(ISERROR(FIND(""Tower end panel"",A182))=FALSE,VLOOKUP(KitchenDoorMaterial,SheetsData,5,0),IF(ISERROR(FIND(""Fillers"",A182))=FALSE,(((0.06*(C182/1000))*2)*VLOOKUP(""H/F (18mm)"",SheetsData,8,0))+(((0.06*(C182/1000))*2)*VLOOKUP(""H/F ("&amp;"9mm)"",SheetsData,8,0)),IF(ISERROR(FIND(""corner post"",A182))=FALSE,(((B182/1000)*0.05)*2)*VLOOKUP(KitchenDoorMaterial,SheetsData,8,0),IF(ISERROR(FIND(""Pelmet"",A182))=FALSE,((((B182/1000)*(C182/1000))*2)*VLOOKUP(""H/F (18mm)"",SheetsData,8,0)),IF(ISERR"&amp;"OR(FIND(""door"",A182))=TRUE,""Check description"",IF(KitchenDoorStyle=""Flat"",((B182/1000)*(C182/1000))*VLOOKUP(KitchenDoorMaterial,SheetsData,8,0),IF(LEFT(KitchenDoorStyle,5)=""Panel"",(((((B182/1000)*2)*0.08)+((((C182/1000)-0.16)*2)*0.08))*VLOOKUP(""H"&amp;"/F (22mm)"",SheetsData,8,0))+(((B182/1000)-0.14)*((C182/1000)-0.14)*VLOOKUP(""H/F (9mm)"",SheetsData,8,0)),IF(KitchenDoorStyle=""In-frame flat"",((((((B182/1000)*0.019)*0.038)+((((C182-38)/1000)*0.038)*0.038))*2)*VLOOKUP(""Tulip (solid m3)"",SolidData,5,0"&amp;"))+(((B182-76)/1000)*((C182-38)/1000))*VLOOKUP(""H/F (22mm)"",SheetsData,8,0),IF(LEFT(KitchenDoorStyle,14)=""In-frame panel"",(((((((B182/1000)*0.019)*0.038)+((((C182-38)/1000)*0.038)*0.038))*2)*VLOOKUP(""Tulip (solid m3)"",SolidData,5,0))+(((((((B182-76)"&amp;"/1000)*2)*0.08)+(((((C182-198)/1000)*2)*0.08)))*VLOOKUP(""H/F (22mm)"",SheetsData,8,0))+(((B182-216)/1000)*((C182-178)/1000)*VLOOKUP(""H/F (9mm)"",SheetsData,8,0)))))))))))))))))))))))))))))))))"),"")</f>
        <v/>
      </c>
      <c r="F182" s="152" t="str">
        <f>IFERROR(__xludf.DUMMYFUNCTION("IF(OR(A182="""",AND(ISERROR(FIND(""drawer box"",A182))=FALSE,KitchenDrawerType=""Solid dovetail"")),"""",IF(ISERROR(FIND(""bins"",A182))=FALSE,VLOOKUP(""Base carcass 600"",KitchensData,6,0),IF(OR(ISERROR(FIND(""larder"",A182))=FALSE,ISERROR(FIND(""unit"","&amp;"A182))=FALSE),VLOOKUP(LEFT(A182,FIND("" "",A182))&amp;""carcass ""&amp;RIGHT(A182,LEN(A182)-len(regexextract(A182,"".* ""))),KitchensData,6,0),IF(ISERROR(FIND(""drawer front"",A182))=FALSE,IF(ISERROR(FIND(""veneer"",KitchenCarcassMaterial))=TRUE,0,(((B182+C182)/1"&amp;"000)*2)*VLOOKUP(""Edge banding (per M)"",SheetsData,5,0)),IF(ISERROR(FIND(""drawer box"",A182))=FALSE,IF(ISERROR(FIND(""veneer"",KitchenCarcassMaterial))=TRUE,0,(((C182+D182)/1000)*2)*VLOOKUP(""Edge banding (per M)"",SheetsData,5,0)),IF(ISERROR(FIND(""she"&amp;"lf"",A182))=FALSE,IF(ISERROR(FIND(""veneer"",KitchenCarcassMaterial))=TRUE,0,(C182/1000)*VLOOKUP(""Edge banding (per M)"",SheetsData,5,0)),IF(AND(ISERROR(FIND(""carcass"",A182))=FALSE,ISERROR(FIND(""shelf"",A182))=TRUE),IF(ISERROR(FIND(""veneer"",KitchenC"&amp;"arcassMaterial))=TRUE,0,((2*(B182+C182))/1000)*VLOOKUP(""Edge banding (per M)"",SheetsData,5,0)),IF(ISERROR(FIND(""door"",A182))=TRUE,"""",IF(ISERROR(FIND(""veneer"",KitchenDoorMaterial))=TRUE,"""",((2*(B182+C182))/1000)*VLOOKUP(""Edge banding (per M)"",S"&amp;"heetsData,5,0))))))))))"),"")</f>
        <v/>
      </c>
      <c r="G182" s="153" t="str">
        <f>IF(A182="","",IF(ISERROR(FIND("bins",A182))=FALSE,VLOOKUP("Base carcass 600",KitchensData,7,0),IF(OR(ISERROR(FIND("larder",A182))=FALSE,ISERROR(FIND("fridge/freezer",A182))=FALSE,ISERROR(FIND("double oven",A182))=FALSE,ISERROR(FIND("single oven",A182))=FALSE),VLOOKUP(LEFT(A182,FIND(" ",A182))&amp;"carcass "&amp;RIGHT(A182,LEN(A182)-(LEN(A182)-3)),KitchensData,7,0),IF(AND(ISERROR(FIND("carcass",A182))=FALSE,ISERROR(FIND("shelf",A182))=TRUE),IF(OR(ISERROR(FIND("Base",A182))=FALSE,ISERROR(FIND("Tower",A182))=FALSE),IF(OR(ISERROR(FIND("1200",A182))=FALSE, ISERROR(FIND("lost corner",A182))=FALSE),6*VLOOKUP("Plinth foot (2 Parts 80mm)",FurnitureData,5,0),4*VLOOKUP("Plinth foot (2 Parts 80mm)",FurnitureData,5,0)),""),""))))</f>
        <v/>
      </c>
      <c r="H182" s="115" t="str">
        <f>IF(OR(A182="",ISERROR(FIND("door",A182))=TRUE),"",IF(ISERROR(FIND("Wall",A182))=FALSE,VLOOKUP("Hinges &amp; plates (Hettich thick door)",FurnitureData,5,0)*2,IF(ISERROR(FIND("Base",A182))=FALSE,VLOOKUP("Hinges &amp; plates (Hettich thick door)",FurnitureData,5,0)*3,IF(ISERROR(FIND("Boiler",A182))=FALSE,VLOOKUP("Hinges &amp; plates (Hettich thick door)",FurnitureData,5,0)*4,IF(ISERROR(FIND("Tower",A182))=FALSE,VLOOKUP("Hinges &amp; plates (Hettich thick door)",FurnitureData,5,0)*5)))))</f>
        <v/>
      </c>
      <c r="I182" s="115" t="str">
        <f>IF(ISERROR(FIND("shelf",A182))=FALSE,(VLOOKUP("Shelf pegs",FurnitureData,5,0)/100)*4,"")</f>
        <v/>
      </c>
      <c r="J182" s="152" t="str">
        <f>IF(OR(ISERROR(FIND("fridge/freezer",A182))=FALSE,ISERROR(FIND("larder",A182))=FALSE,AND(ISERROR(FIND("Base",A182))=FALSE,ISERROR(FIND("bins",A182))=TRUE,ISERROR(FIND("no shelves",A182))=TRUE,OR(ISERROR(FIND("carcass",A182))=FALSE,ISERROR(FIND("unit",A182))=FALSE))),VLOOKUP("Deep shelf "&amp;C182,KitchensData,18,0),IF(AND(ISERROR(FIND("Wall",A182))=FALSE,ISERROR(FIND("carcass",A182))=FALSE),2*VLOOKUP("Shallow shelf "&amp;C182,KitchensData,18,0),IF(AND(ISERROR(FIND("Tower",A182))=FALSE,ISERROR(FIND("oven",A182))=FALSE),4*VLOOKUP("Deep shelf "&amp;C182,KitchensData,18,0),IF(AND(ISERROR(FIND("Tower",A182))=FALSE,ISERROR(FIND("carcass",A182))=FALSE),5*VLOOKUP("Deep shelf "&amp;C182,KitchensData,18,0),""))))</f>
        <v/>
      </c>
      <c r="K182" s="152" t="str">
        <f>IF(ISERROR(FIND("sink",A182))=FALSE,VLOOKUP("Sink liner - Aluminium "&amp;RIGHT(A182,LEN(A182)-22)&amp;"mm",ExceptionalData,5,0),IF(ISERROR(FIND("bins",A182))=FALSE,VLOOKUP("Drawer runners and clip set for bin unit (500) Dynapro",FurnitureData,5,0)+(2*VLOOKUP("Bin (42L Anthracite)",FurnitureData,5,0)),IF(ISERROR(FIND("larder",A182))=FALSE,VLOOKUP("Pull out larder unit 600mm",FurnitureData,5,0),IF(AND(ISERROR(FIND("drawer box",A182))=FALSE,ISERROR(FIND("internal",A182))=TRUE),VLOOKUP("Drawer runners and clip set (550) Dynapro",FurnitureData,5,0),IF(ISERROR(FIND("internal drawer box",A182))=FALSE,VLOOKUP("Drawer runners and clip set (450) Dynapro",FurnitureData,5,0),"")))))</f>
        <v/>
      </c>
      <c r="L182" s="152" t="str">
        <f t="shared" si="3"/>
        <v/>
      </c>
      <c r="M182" s="154" t="str">
        <f>IFERROR(__xludf.DUMMYFUNCTION("IF(A182="""","""",IF(OR(ISERROR(FIND(""larder"",A182))=FALSE,ISERROR(FIND(""unit"",A182))=FALSE),VLOOKUP(LEFT(A182,FIND("" "",A182))&amp;""carcass ""&amp;RIGHT(A182,LEN(A182)-len(regexextract(A182,"".* ""))),KitchensData,13,0),IF(ISERROR(FIND(""bins"",A182))=FALS"&amp;"E,0.95,IF(ISERROR(FIND(""Cutlery insert 600"",A182))=FALSE,1.3,IF(ISERROR(FIND(""Cutlery insert 1200"",A182))=FALSE,2,IF(ISERROR(FIND(""Pan/tray rack 600"",A182))=FALSE,3.25,IF(ISERROR(FIND(""Pan/tray rack 1200"",A182))=FALSE,5.9,IF(ISERROR(FIND(""split"""&amp;",A182))=FALSE,(((C182/1000)*0.022)*2)+VLOOKUP(SUBSTITUTE(A182,"" split"",""""),KitchensData,13,0),IF(AND(ISERROR(FIND(""drawer front"",A182))=FALSE,KitchenDoorStyle=""Flat""),(((B182/1000)*(C182/1000))*2)+((((B182+C182)/1000)*2)*0.022),IF(AND(ISERROR(FIND"&amp;"(""drawer front"",A182))=FALSE,LEFT(KitchenDoorStyle,5)=""Panel""),(((B182/1000)*(C182/1000))*2)+((((B182+C182)/1000)*2)*0.022)+((((C182/1000)-0.16)*0.013)*2)+((((D182/1000)-0.16)*0.013)*2),IF(AND(ISERROR(FIND(""drawer front"",A182))=FALSE,KitchenDoorStyl"&amp;"e=""In-frame flat""),((((B182-76)/1000)*((C182-38)/1000))*2)+(MID(KitchenDoorMaterial,FIND(""("",KitchenDoorMaterial)+1,2)/1000)*((((B182-76)+(C182-38))/1000)*2)+(((B182/1000)*0.032)*2)+((((B182-76)/1000)*0.032)*2)+(((B182/1000)*0.019)*4)+(((C182/1000)*0."&amp;"032)*2)+((((C182-38)/1000)*0.032)*2)+(((C182/1000)*0.038)*4),IF(AND(ISERROR(FIND(""drawer front"",A182))=FALSE,LEFT(KitchenDoorStyle,14)=""In-frame panel""),((((B182-76)/1000)*((C182-38)/1000))*2)+((MID(KitchenDoorMaterial,FIND(""("",KitchenDoorMaterial)+"&amp;"1,2)/1000)*((((B182-76)+(C182-38))/1000)*2))+((((B182-236)/1000)+((C182-198)/1000)*2)*0.013)+(((B182/1000)*0.032)*2)+((((B182-76)/1000)*0.032)*2)+(((B182/1000)*0.019)*4)+(((C182/1000)*0.032)*2)+((((C182-38)/1000)*0.032)*2)+(((C182/1000)*0.038)*4),IF(ISERR"&amp;"OR(FIND(""drawer box"",A182))=FALSE,((((B182/1000)*(D182/1000))+((B182/1000)*(C182/1000)))*4)+((((D182/1000)+(C182/1000))*0.016)*4)+(((C182/1000)*(D182/1000))*2),IF(OR(ISERROR(FIND(""shelf"",A182))=FALSE,ISERROR(FIND(""spacer"",A182))=FALSE,,ISERROR(FIND("&amp;"""filler panel"",A182))=FALSE),(((C182/1000)*(D182/1000))*2)+((((C182+D182)*2)/1000)*0.022),IF(ISERROR(FIND(""lost corner"",A182))=FALSE,(((B182/1000)*(C182/1000))*2)+((B182/1000)*(C182/1000))+((B182/1000)*((C182/2)/1000))+((((B182/1000)*0.025)+((C182/100"&amp;"0)*0.025))*2),IF(ISERROR(FIND(""carcass"",A182))=FALSE,(((C182/1000)*(D182/1000))*2)+(((B182/1000)*(D182/1000))*2)+((B182/1000)*(C182/1000))+((((B182/1000)*0.025)+((C182/1000)*0.025))*2),IF(AND(ISERROR(FIND(""door"",A182))=FALSE,KitchenDoorStyle=""Flat"")"&amp;",(((B182/1000)*(C182/1000))*2)+(MID(KitchenDoorMaterial,FIND(""("",KitchenDoorMaterial)+1,2)/1000)*(((B182+C182)/1000)*2),IF(AND(ISERROR(FIND(""door"",A182))=FALSE,LEFT(KitchenDoorStyle,5)=""Panel""),(((B182/1000)*(C182/1000))*2)+((MID(KitchenDoorMaterial"&amp;",FIND(""("",KitchenDoorMaterial)+1,2)/1000)*(((B182+C182)/1000)*2))+(((((B182-160)+(C182-160))*2)/1000)*(0.013)),IF(AND(ISERROR(FIND(""door"",A182))=FALSE,KitchenDoorStyle=""In-frame flat""),((((B182-76)/1000)*((C182-38)/1000))*2)+(MID(KitchenDoorMaterial"&amp;",FIND(""("",KitchenDoorMaterial)+1,2)/1000)*((((B182-76)+(C182-38))/1000)*2)+(((B182/1000)*0.032)*2)+((((B182-76)/1000)*0.032)*2)+(((B182/1000)*0.019)*4)+(((C182/1000)*0.032)*2)+((((C182-38)/1000)*0.032)*2)+(((C182/1000)*0.038)*4),IF(AND(ISERROR(FIND(""do"&amp;"or"",A182))=FALSE,LEFT(KitchenDoorStyle,14)=""In-frame panel""),((((B182-76)/1000)*((C182-38)/1000))*2)+((MID(KitchenDoorMaterial,FIND(""("",KitchenDoorMaterial)+1,2)/1000)*((((B182-76)+(C182-38))/1000)*2))+((((B182-236)/1000)+((C182-198)/1000)*2)*0.013)+"&amp;"(((B182/1000)*0.032)*2)+((((B182-76)/1000)*0.032)*2)+(((B182/1000)*0.019)*4)+(((C182/1000)*0.032)*2)+((((C182-38)/1000)*0.032)*2)+(((C182/1000)*0.038)*4),IF(ISERROR(FIND(""Plinth"",A182))=FALSE,((B182/1000)*(C182/1000))+(((C182/1000)*0.018)*2)+(((B182/100"&amp;"0)*0.018)*2),IF(ISERROR(FIND(""Cornice"",A182))=FALSE,(((C182/1000)*0.1)*2)+(((C182/1000)*0.044)*2)+(((B182/1000)*0.08)*2),IF(ISERROR(FIND(""Base end panel"",A182))=FALSE,((B182/1000)*(C182/1000))+(0.022*((B182/1000)+((C182/1000)*2)))+((B182/1000)*0.05),I"&amp;"F(ISERROR(FIND(""Wall end panel"",A182))=FALSE,((B182/1000)*(C182/1000))+(0.022*((B182/1000)+((C182/1000)*2)))+((B182/1000)*0.05),IF(ISERROR(FIND(""Tower end panel"",A182))=FALSE,((B182/1000)*(C182/1000))+(0.022*((B182/1000)+((C182/1000)*2)))+((B182/1000)"&amp;"*0.05),IF(ISERROR(FIND(""Fillers"",A182))=FALSE,((C182/1000)*0.06)+((C182/1000)*0.069)+((0.06*0.018)*2)+((0.06*0.009)*2)+((C182/1000)*0.009)+((C182/1000)*0.018),IF(ISERROR(FIND(""corner post"",A182))=FALSE,(((B182/1000*0.05)*2)+((B182/1000)*0.022)*2)+((B1"&amp;"82/1000)*0.072)+((B182/1000)*0.05)+((0.072*0.022)*2)+((0.05*0.022)*2),IF(ISERROR(FIND(""Pelmet"",A182))=FALSE,((C182/1000)*0.05)+((C182/1000)*0.068)+((0.05*0.018)*4)+(((C182/1000)*0.018))*2))))))))))))))))))))))))))))"),"")</f>
        <v/>
      </c>
      <c r="N182" s="152" t="str">
        <f>IF(M182="","",IF(AND(ISERROR(FIND("carcass",A182))=TRUE,ISERROR(FIND("unit",A182))=TRUE,ISERROR(FIND("insert",A182))=TRUE,ISERROR(FIND("rack",A182))=TRUE,ISERROR(FIND("box",A182))=TRUE,ISERROR(FIND("shelf",#REF!))=TRUE),VLOOKUP(KitchenDoorFinish,Finishing!$A$2:$K$10,9,0)*M182,VLOOKUP(KitchenCarcassFinish,Finishing!$A$2:$K$40,9,0)*M182))</f>
        <v/>
      </c>
      <c r="O182" s="155"/>
      <c r="P182" s="155"/>
      <c r="Q182" s="152" t="str">
        <f>IF(OR(O182="",P182=""),"",((O182*X182)*(VLOOKUP("Workshop",Labour!$A$3:$E$20,4,0)/8))+((P182*AE182)*(VLOOKUP("Finishing",Labour!$A$3:$E$20,4,0)/8)))</f>
        <v/>
      </c>
      <c r="R182" s="152" t="str">
        <f t="shared" si="4"/>
        <v/>
      </c>
      <c r="S182" s="156" t="str">
        <f>IF(OR(O182="",P182=""),"",IF(OR(ISERROR(FIND("carcass",$A182))=FALSE,ISERROR(FIND("unit",$A182))=FALSE),VLOOKUP(KitchenCarcassMaterial,FixedListsCarcassMaterial,2,0),0))</f>
        <v/>
      </c>
      <c r="T182" s="156" t="str">
        <f>IF(OR(O182="",P182=""),"",IF(ISERROR(FIND("door",$A182))=FALSE,VLOOKUP(KitchenDoorStyle,FixedListsDoorStyle,2,0),0))</f>
        <v/>
      </c>
      <c r="U182" s="156" t="str">
        <f>IF(OR(O182="",P182=""),"",IF(ISERROR(FIND("door",$A182))=FALSE,VLOOKUP(KitchenDoorMaterial,FixedListsDoorMaterial,2,0),0))</f>
        <v/>
      </c>
      <c r="V182" s="156" t="str">
        <f>IF(OR(O182="",P182=""),"",IF(ISERROR(FIND("drawer",$A182))=FALSE,VLOOKUP(KitchenDrawerType,FixedListsDrawerType,2,0),0))</f>
        <v/>
      </c>
      <c r="W182" s="156" t="str">
        <f>IF(OR(O182="",P182=""),"",IF(OR(S182&gt;0, T182&gt;0,V182&gt;0),VLOOKUP(KitchenHandleType,FixedListsHandleType,2,FALSE)*IF(KitchenHandleType="Simple",0,IF(S182&gt;0,VLOOKUP(KitchenHandleType,FixedListsHandleType,4,FALSE),IF(OR(T182&gt;0,V182&gt;0),1-VLOOKUP(KitchenHandleType,FixedListsHandleType,4,FALSE),"Error"))),0))</f>
        <v/>
      </c>
      <c r="X182" s="156" t="str">
        <f t="shared" si="5"/>
        <v/>
      </c>
      <c r="Y182" s="156" t="str">
        <f>IF(OR(O182="",P182=""),"",IF(OR(ISERROR(FIND("carcass",$A182))=FALSE,ISERROR(FIND("unit",$A182))=FALSE),VLOOKUP(KitchenCarcassMaterial,FixedListsCarcassMaterial,3,0),0))</f>
        <v/>
      </c>
      <c r="Z182" s="156" t="str">
        <f>IF(OR(O182="",P182=""),"",IF(ISERROR(FIND("door",$A182))=FALSE,VLOOKUP(KitchenDoorStyle,FixedListsDoorStyle,3,0),0))</f>
        <v/>
      </c>
      <c r="AA182" s="156" t="str">
        <f>IF(OR(O182="",P182=""),"",IF(ISERROR(FIND("door",$A182))=FALSE,VLOOKUP(KitchenDoorMaterial,FixedListsDoorMaterial,3,0),0))</f>
        <v/>
      </c>
      <c r="AB182" s="156" t="str">
        <f>IF(OR(O182="",P182=""),"",IF(ISERROR(FIND("drawer",$A182))=FALSE,VLOOKUP(KitchenDrawerType,FixedListsDrawerType,3,0),0))</f>
        <v/>
      </c>
      <c r="AC182" s="156" t="str">
        <f>IF(OR(O182="",P182=""),"",IF(OR(Y182&gt;0,Z182&gt;0,AB182&gt;0),VLOOKUP(KitchenHandleType,FixedListsHandleType,3,FALSE),0))</f>
        <v/>
      </c>
      <c r="AD182" s="156" t="str">
        <f>IF(OR(O182="",P182=""),"",IF(OR(ISERROR(FIND("carcass",$A182))=FALSE,ISERROR(FIND("unit",$A182))=FALSE),VLOOKUP(KitchenCarcassFinish,FixedListsFinishes,3,0),IF(OR(ISERROR(FIND("door",$A182))=FALSE,ISERROR(FIND("Plinth",$A182))=FALSE,ISERROR(FIND("Cornice",$A182))=FALSE,ISERROR(FIND("Fillers",$A182))=FALSE,ISERROR(FIND("Pelmet",$A182))=FALSE,ISERROR(FIND("panel",$A182))=FALSE,ISERROR(FIND("post",$A182))=FALSE),VLOOKUP(KitchenDoorFinish,FixedListsFinishes,3,0),IF(OR(ISERROR(FIND("drawer",$A182))=FALSE,ISERROR(FIND("insert",$A182))=FALSE,ISERROR(FIND("rck",$A182))=FALSE),VLOOKUP(KitchenCarcassFinish,FixedListsFinishes,3,0),0))))</f>
        <v/>
      </c>
      <c r="AE182" s="156" t="str">
        <f t="shared" si="6"/>
        <v/>
      </c>
      <c r="AF182" s="157" t="str">
        <f>IF(AND(KitchenHandleType="Channel",OR(ISERROR(FIND("arcass",$A182))=FALSE,ISERROR(FIND("unit",$A182))=FALSE)),IF(ISERROR(FIND("Tower",$A182))=TRUE,IF(KitchenHandleFinish="Match carcass",IF(ISERROR(FIND("Walnut",KitchenCarcassMaterial))=FALSE,(0.035*0.075*($C182/1000))*VLOOKUP("Walnut (solid m3)",SolidData,4,FALSE),IF(ISERROR(FIND("Oak",KitchenCarcassMaterial))=FALSE,(0.035*0.075*($C182/1000))*VLOOKUP("Oak (solid m3)",SolidData,4,FALSE),IF(ISERROR(FIND("ply",KitchenCarcassMaterial))=FALSE,(0.1*($C182/1000))*VLOOKUP("Birch ply (24mm)",SheetsData,7,FALSE),IF(ISERROR(FIND("H/F",KitchenCarcassMaterial))=FALSE,(0.1*($C182/1000))*VLOOKUP("H/F (22mm)",SheetsData,7,FALSE),"Carcass - not tower - new material")))),IF(KitchenHandleFinish="Match door",IF(ISERROR(FIND("Walnut",KitchenDoorMaterial))=FALSE,(0.035*0.075*($C182/1000))*VLOOKUP("Walnut (solid m3)",SolidData,4,FALSE),IF(ISERROR(FIND("Oak",KitchenDoorMaterial))=FALSE,(0.035*0.075*($C182/1000))*VLOOKUP("Oak (solid m3)",SolidData,4,FALSE),IF(ISERROR(FIND("ply",KitchenDoorMaterial))=FALSE,(0.1*($C182/1000))*VLOOKUP("Birch ply (24mm)",SheetsData,7,FALSE),IF(ISERROR(FIND("H/F",KitchenCarcassMaterial))=FALSE,(0.1*($C182/1000))*VLOOKUP("H/F (22mm)",SheetsData,7,FALSE),"Door - not tower - new material")))),"Channel - not tower - handle set to other")),IF(ISERROR(FIND("Tower",$A182))=FALSE,IF(KitchenHandleFinish="Match carcass",IF(ISERROR(FIND("Walnut",KitchenCarcassMaterial))=FALSE,(0.035*0.075*($B182/1000))*VLOOKUP("Walnut (solid m3)",SolidData,4,FALSE),IF(ISERROR(FIND("Oak",KitchenCarcassMaterial))=FALSE,(0.035*0.075*($B182/1000))*VLOOKUP("Oak (solid m3)",SolidData,4,FALSE),IF(ISERROR(FIND("ply",KitchenCarcassMaterial))=FALSE,(0.1*($B182/1000))*VLOOKUP("Birch ply (24mm)",SheetsData,7,FALSE),IF(ISERROR(FIND("H/F",KitchenCarcassMaterial))=FALSE,(0.1*($C182/1000))*VLOOKUP("H/F (22mm)",SheetsData,7,FALSE),"Carcass - tower - new material")))),IF(KitchenHandleFinish="Match door",IF(ISERROR(FIND("Walnut",KitchenDoorMaterial))=FALSE,(0.035*0.075*($B182/1000))*VLOOKUP("Walnut (solid m3)",SolidData,4,FALSE),IF(ISERROR(FIND("Oak",KitchenDoorMaterial))=FALSE,(0.035*0.075*($B182/1000))*VLOOKUP("Oak (solid m3)",SolidData,4,FALSE),IF(ISERROR(FIND("ply",KitchenDoorMaterial))=FALSE,(0.1*($B182/1000))*VLOOKUP("Birch ply (24mm)",SheetData,7,FALSE),IF(ISERROR(FIND("H/F",KitchenCarcassMaterial))=FALSE,(0.1*($C182/1000))*VLOOKUP("H/F (22mm)",SheetsData,7,FALSE),"Door - tower - new material")))),"Channel - tower - handle set to other")))),"")</f>
        <v/>
      </c>
    </row>
    <row r="183">
      <c r="A183" s="150"/>
      <c r="B183" s="115" t="str">
        <f t="shared" si="1"/>
        <v/>
      </c>
      <c r="C183" s="115" t="str">
        <f>IFERROR(__xludf.DUMMYFUNCTION("IF(A183="""","""",IF(OR(RIGHT(A183,LEN(A183)-len(regexextract(A183,"".* "")))=""1200"",RIGHT(A183,LEN(A183)-len(regexextract(A183,"".* "")))=""600"",RIGHT(A183,LEN(A183)-len(regexextract(A183,"".* "")))=""400"",RIGHT(A183,LEN(A183)-len(regexextract(A183,"&amp;""".* "")))=""300"",RIGHT(A183,LEN(A183)-len(regexextract(A183,"".* "")))=""700"",RIGHT(A183,LEN(A183)-len(regexextract(A183,"".* "")))=""2400"",RIGHT(A183,LEN(A183)-len(regexextract(A183,"".* "")))=""650"",RIGHT(A183,LEN(A183)-len(regexextract(A183,"".* "&amp;""")))=""350"",RIGHT(A183,LEN(A183)-len(regexextract(A183,"".* "")))=""50""),RIGHT(A183,LEN(A183)-len(regexextract(A183,"".* ""))),IF(OR(ISERROR(FIND(""spacer"",A183))=FALSE,ISERROR(FIND(""filler panel"",A183))=FALSE),""1000"",""Unexpected size in descript"&amp;"ion"")))"),"")</f>
        <v/>
      </c>
      <c r="D183" s="151" t="str">
        <f t="shared" si="2"/>
        <v/>
      </c>
      <c r="E183" s="152" t="str">
        <f>IFERROR(__xludf.DUMMYFUNCTION("IF(OR(A183="""",AND(ISERROR(FIND(""drawer box"",A183))=FALSE,KitchenDrawerType="""")),"""",IF(OR(ISERROR(FIND(""larder"",A183))=FALSE,ISERROR(FIND(""fridge/freezer"",A183))=FALSE,ISERROR(FIND(""double oven"",A183))=FALSE,ISERROR(FIND(""single oven"",A183)"&amp;")=FALSE),VLOOKUP(LEFT(A183,FIND("" "",A183))&amp;""carcass ""&amp;RIGHT(A183,LEN(A183)-(LEN(A183)-3)),KitchensData,5,0),IF(ISERROR(FIND(""sink"",A183))=FALSE,VLOOKUP(LEFT(A183,FIND("" "",A183))&amp;""carcass ""&amp;VALUE(REGEXREPLACE(A183,""[^[:digit:]]"", """")),Kitchen"&amp;"sData,5,0)+(((C183/1000)*(300/1000))*VLOOKUP(KitchenCarcassMaterial,SheetsData,8,0)),IF(ISERROR(FIND(""bins"",A183))=FALSE,IF(ISERROR(FIND(""veneer"",KitchenCarcassMaterial))=FALSE,VLOOKUP(""Base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600"",A183))=FALSE,IF(ISERR"&amp;"OR(FIND(""veneer"",KitchenCarcassMaterial))=FALSE,0.54*(VLOOKUP(LEFT(KitchenCarcassMaterial,FIND(""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1"&amp;"200"",A183))=FALSE,IF(ISERROR(FIND(""veneer"",KitchenCarcassMaterial))=FALSE,0.84*(VLOOKUP(LEFT(KitchenCarcassMaterial,FIND(""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600"",A183))=FALSE,IF(ISERROR(FIND(""veneer"",KitchenCarcassMaterial))=FALSE,1.44*(VLOOKUP(LEFT(KitchenCarcassMaterial,FIND(""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1200"",A183))=FALSE,IF(ISERROR(FIND(""veneer"",KitchenCarcassMaterial))=FALSE,2.7*(VLOOKUP(LEFT(KitchenCarcassMaterial,FIND(""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front"",A183))=FALSE,((B183/1000)*(C183/1000))*VLOOKUP(KitchenDoorMaterial,SheetsData,8,0),IF(AND(KitchenDrawerType=""Match carcass"",ISERROR(FIND(""drawer box"",A183))=FALSE),(((((B183/10"&amp;"00)*(C183/1000))+((B183/1000)*(D183/1000)))*2)*VLOOKUP(KitchenCarcassMaterial,SheetsData,8,0))+(((C183/1000)*(D183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box"",A183))=FALSE),(((((B183/1000)*(C183/1000))+((B183/1000)*(D183/1000)))*2)*(16/1000)*VLOOKUP(L"&amp;"EFT(KitchenCarcassMaterial,FIND("" "",KitchenCarcassMaterial))&amp;""(solid m3)"",SolidData,5,0))+(((C183/1000)*(D183/1000))*VLOOKUP(LEFT(KitchenCarcassMaterial,FIND(""("",KitchenCarcassMaterial)-1)&amp;IF(OR(ISERROR(FIND(""ply"",KitchenCarcassMaterial))=FALSE,IS"&amp;"ERROR(FIND(""H/F"",KitchenCarcassMaterial))=FALSE),""(9mm)"",""(10mm)""),SheetsData,8,0)),IF(ISERROR(FIND(""spacer"",A183))=FALSE,((D183/1000)*(C183/1000))*VLOOKUP(""Poplar ply (18mm)"",SheetsData,8,0),IF(ISERROR(FIND(""filler panel"",A183))=FALSE,((B183/"&amp;"1000)*(C183/1000))*VLOOKUP(KitchenDoorMaterial,SheetsData,8,0),IF(ISERROR(FIND(""shelf"",A183))=FALSE,((D183/1000)*(C183/1000))*VLOOKUP(KitchenCarcassMaterial,SheetsData,8,0),IF(ISERROR(FIND(""lost corner"",A183))=FALSE,VLOOKUP(LEFT(A183,FIND("" "",A183))"&amp;"&amp;""carcass ""&amp;VALUE(REGEXREPLACE(A183,""[^[:digit:]]"", """")),KitchensData,5,0)+((((B183/1000)*(C183/1000))+((B183/1000)*(60/1000)))*VLOOKUP(KitchenCarcassMaterial,SheetsData,8,0)),IF(ISERROR(FIND(""carcass"",A183))=FALSE,(((((B183/1000)*2)*(D183/1000))+"&amp;"(((C183/1000)*2)*(D183/1000)))*VLOOKUP(KitchenCarcassMaterial,SheetsData,8,0))+((B183/1000)*(C183/1000))*VLOOKUP(LEFT(KitchenCarcassMaterial,FIND(""("",KitchenCarcassMaterial)-1)&amp;IF(OR(ISERROR(FIND(""ply"",KitchenCarcassMaterial))=FALSE,ISERROR(FIND(""H/F"&amp;""",KitchenCarcassMaterial))=FALSE),""(9mm)"",""(10mm)""),SheetsData,8,0),IF(OR(ISERROR(FIND(""Plinth"",A183))=FALSE,ISERROR(FIND(""Cornice (flat)"",A183))=FALSE),((B183/1000)*(C183/1000))*VLOOKUP(""H/F (18mm)"",SheetsData,8,0),IF(ISERROR(FIND(""Cornice (s"&amp;"tacked)"",A183))=FALSE,((0.08*(C183/1000))*2)*VLOOKUP(""H/F (22mm)"",SheetsData,8,0),IF(ISERROR(FIND(""Base end panel"",A183))=FALSE,VLOOKUP(KitchenDoorMaterial,SheetsData,5,0)/3,IF(ISERROR(FIND(""Wall end panel"",A183))=FALSE,VLOOKUP(KitchenDoorMaterial,"&amp;"SheetsData,5,0)/9,IF(ISERROR(FIND(""Tower end panel"",A183))=FALSE,VLOOKUP(KitchenDoorMaterial,SheetsData,5,0),IF(ISERROR(FIND(""Fillers"",A183))=FALSE,(((0.06*(C183/1000))*2)*VLOOKUP(""H/F (18mm)"",SheetsData,8,0))+(((0.06*(C183/1000))*2)*VLOOKUP(""H/F ("&amp;"9mm)"",SheetsData,8,0)),IF(ISERROR(FIND(""corner post"",A183))=FALSE,(((B183/1000)*0.05)*2)*VLOOKUP(KitchenDoorMaterial,SheetsData,8,0),IF(ISERROR(FIND(""Pelmet"",A183))=FALSE,((((B183/1000)*(C183/1000))*2)*VLOOKUP(""H/F (18mm)"",SheetsData,8,0)),IF(ISERR"&amp;"OR(FIND(""door"",A183))=TRUE,""Check description"",IF(KitchenDoorStyle=""Flat"",((B183/1000)*(C183/1000))*VLOOKUP(KitchenDoorMaterial,SheetsData,8,0),IF(LEFT(KitchenDoorStyle,5)=""Panel"",(((((B183/1000)*2)*0.08)+((((C183/1000)-0.16)*2)*0.08))*VLOOKUP(""H"&amp;"/F (22mm)"",SheetsData,8,0))+(((B183/1000)-0.14)*((C183/1000)-0.14)*VLOOKUP(""H/F (9mm)"",SheetsData,8,0)),IF(KitchenDoorStyle=""In-frame flat"",((((((B183/1000)*0.019)*0.038)+((((C183-38)/1000)*0.038)*0.038))*2)*VLOOKUP(""Tulip (solid m3)"",SolidData,5,0"&amp;"))+(((B183-76)/1000)*((C183-38)/1000))*VLOOKUP(""H/F (22mm)"",SheetsData,8,0),IF(LEFT(KitchenDoorStyle,14)=""In-frame panel"",(((((((B183/1000)*0.019)*0.038)+((((C183-38)/1000)*0.038)*0.038))*2)*VLOOKUP(""Tulip (solid m3)"",SolidData,5,0))+(((((((B183-76)"&amp;"/1000)*2)*0.08)+(((((C183-198)/1000)*2)*0.08)))*VLOOKUP(""H/F (22mm)"",SheetsData,8,0))+(((B183-216)/1000)*((C183-178)/1000)*VLOOKUP(""H/F (9mm)"",SheetsData,8,0)))))))))))))))))))))))))))))))))"),"")</f>
        <v/>
      </c>
      <c r="F183" s="152" t="str">
        <f>IFERROR(__xludf.DUMMYFUNCTION("IF(OR(A183="""",AND(ISERROR(FIND(""drawer box"",A183))=FALSE,KitchenDrawerType=""Solid dovetail"")),"""",IF(ISERROR(FIND(""bins"",A183))=FALSE,VLOOKUP(""Base carcass 600"",KitchensData,6,0),IF(OR(ISERROR(FIND(""larder"",A183))=FALSE,ISERROR(FIND(""unit"","&amp;"A183))=FALSE),VLOOKUP(LEFT(A183,FIND("" "",A183))&amp;""carcass ""&amp;RIGHT(A183,LEN(A183)-len(regexextract(A183,"".* ""))),KitchensData,6,0),IF(ISERROR(FIND(""drawer front"",A183))=FALSE,IF(ISERROR(FIND(""veneer"",KitchenCarcassMaterial))=TRUE,0,(((B183+C183)/1"&amp;"000)*2)*VLOOKUP(""Edge banding (per M)"",SheetsData,5,0)),IF(ISERROR(FIND(""drawer box"",A183))=FALSE,IF(ISERROR(FIND(""veneer"",KitchenCarcassMaterial))=TRUE,0,(((C183+D183)/1000)*2)*VLOOKUP(""Edge banding (per M)"",SheetsData,5,0)),IF(ISERROR(FIND(""she"&amp;"lf"",A183))=FALSE,IF(ISERROR(FIND(""veneer"",KitchenCarcassMaterial))=TRUE,0,(C183/1000)*VLOOKUP(""Edge banding (per M)"",SheetsData,5,0)),IF(AND(ISERROR(FIND(""carcass"",A183))=FALSE,ISERROR(FIND(""shelf"",A183))=TRUE),IF(ISERROR(FIND(""veneer"",KitchenC"&amp;"arcassMaterial))=TRUE,0,((2*(B183+C183))/1000)*VLOOKUP(""Edge banding (per M)"",SheetsData,5,0)),IF(ISERROR(FIND(""door"",A183))=TRUE,"""",IF(ISERROR(FIND(""veneer"",KitchenDoorMaterial))=TRUE,"""",((2*(B183+C183))/1000)*VLOOKUP(""Edge banding (per M)"",S"&amp;"heetsData,5,0))))))))))"),"")</f>
        <v/>
      </c>
      <c r="G183" s="153" t="str">
        <f>IF(A183="","",IF(ISERROR(FIND("bins",A183))=FALSE,VLOOKUP("Base carcass 600",KitchensData,7,0),IF(OR(ISERROR(FIND("larder",A183))=FALSE,ISERROR(FIND("fridge/freezer",A183))=FALSE,ISERROR(FIND("double oven",A183))=FALSE,ISERROR(FIND("single oven",A183))=FALSE),VLOOKUP(LEFT(A183,FIND(" ",A183))&amp;"carcass "&amp;RIGHT(A183,LEN(A183)-(LEN(A183)-3)),KitchensData,7,0),IF(AND(ISERROR(FIND("carcass",A183))=FALSE,ISERROR(FIND("shelf",A183))=TRUE),IF(OR(ISERROR(FIND("Base",A183))=FALSE,ISERROR(FIND("Tower",A183))=FALSE),IF(OR(ISERROR(FIND("1200",A183))=FALSE, ISERROR(FIND("lost corner",A183))=FALSE),6*VLOOKUP("Plinth foot (2 Parts 80mm)",FurnitureData,5,0),4*VLOOKUP("Plinth foot (2 Parts 80mm)",FurnitureData,5,0)),""),""))))</f>
        <v/>
      </c>
      <c r="H183" s="115" t="str">
        <f>IF(OR(A183="",ISERROR(FIND("door",A183))=TRUE),"",IF(ISERROR(FIND("Wall",A183))=FALSE,VLOOKUP("Hinges &amp; plates (Hettich thick door)",FurnitureData,5,0)*2,IF(ISERROR(FIND("Base",A183))=FALSE,VLOOKUP("Hinges &amp; plates (Hettich thick door)",FurnitureData,5,0)*3,IF(ISERROR(FIND("Boiler",A183))=FALSE,VLOOKUP("Hinges &amp; plates (Hettich thick door)",FurnitureData,5,0)*4,IF(ISERROR(FIND("Tower",A183))=FALSE,VLOOKUP("Hinges &amp; plates (Hettich thick door)",FurnitureData,5,0)*5)))))</f>
        <v/>
      </c>
      <c r="I183" s="115" t="str">
        <f>IF(ISERROR(FIND("shelf",A183))=FALSE,(VLOOKUP("Shelf pegs",FurnitureData,5,0)/100)*4,"")</f>
        <v/>
      </c>
      <c r="J183" s="152" t="str">
        <f>IF(OR(ISERROR(FIND("fridge/freezer",A183))=FALSE,ISERROR(FIND("larder",A183))=FALSE,AND(ISERROR(FIND("Base",A183))=FALSE,ISERROR(FIND("bins",A183))=TRUE,ISERROR(FIND("no shelves",A183))=TRUE,OR(ISERROR(FIND("carcass",A183))=FALSE,ISERROR(FIND("unit",A183))=FALSE))),VLOOKUP("Deep shelf "&amp;C183,KitchensData,18,0),IF(AND(ISERROR(FIND("Wall",A183))=FALSE,ISERROR(FIND("carcass",A183))=FALSE),2*VLOOKUP("Shallow shelf "&amp;C183,KitchensData,18,0),IF(AND(ISERROR(FIND("Tower",A183))=FALSE,ISERROR(FIND("oven",A183))=FALSE),4*VLOOKUP("Deep shelf "&amp;C183,KitchensData,18,0),IF(AND(ISERROR(FIND("Tower",A183))=FALSE,ISERROR(FIND("carcass",A183))=FALSE),5*VLOOKUP("Deep shelf "&amp;C183,KitchensData,18,0),""))))</f>
        <v/>
      </c>
      <c r="K183" s="152" t="str">
        <f>IF(ISERROR(FIND("sink",A183))=FALSE,VLOOKUP("Sink liner - Aluminium "&amp;RIGHT(A183,LEN(A183)-22)&amp;"mm",ExceptionalData,5,0),IF(ISERROR(FIND("bins",A183))=FALSE,VLOOKUP("Drawer runners and clip set for bin unit (500) Dynapro",FurnitureData,5,0)+(2*VLOOKUP("Bin (42L Anthracite)",FurnitureData,5,0)),IF(ISERROR(FIND("larder",A183))=FALSE,VLOOKUP("Pull out larder unit 600mm",FurnitureData,5,0),IF(AND(ISERROR(FIND("drawer box",A183))=FALSE,ISERROR(FIND("internal",A183))=TRUE),VLOOKUP("Drawer runners and clip set (550) Dynapro",FurnitureData,5,0),IF(ISERROR(FIND("internal drawer box",A183))=FALSE,VLOOKUP("Drawer runners and clip set (450) Dynapro",FurnitureData,5,0),"")))))</f>
        <v/>
      </c>
      <c r="L183" s="152" t="str">
        <f t="shared" si="3"/>
        <v/>
      </c>
      <c r="M183" s="154" t="str">
        <f>IFERROR(__xludf.DUMMYFUNCTION("IF(A183="""","""",IF(OR(ISERROR(FIND(""larder"",A183))=FALSE,ISERROR(FIND(""unit"",A183))=FALSE),VLOOKUP(LEFT(A183,FIND("" "",A183))&amp;""carcass ""&amp;RIGHT(A183,LEN(A183)-len(regexextract(A183,"".* ""))),KitchensData,13,0),IF(ISERROR(FIND(""bins"",A183))=FALS"&amp;"E,0.95,IF(ISERROR(FIND(""Cutlery insert 600"",A183))=FALSE,1.3,IF(ISERROR(FIND(""Cutlery insert 1200"",A183))=FALSE,2,IF(ISERROR(FIND(""Pan/tray rack 600"",A183))=FALSE,3.25,IF(ISERROR(FIND(""Pan/tray rack 1200"",A183))=FALSE,5.9,IF(ISERROR(FIND(""split"""&amp;",A183))=FALSE,(((C183/1000)*0.022)*2)+VLOOKUP(SUBSTITUTE(A183,"" split"",""""),KitchensData,13,0),IF(AND(ISERROR(FIND(""drawer front"",A183))=FALSE,KitchenDoorStyle=""Flat""),(((B183/1000)*(C183/1000))*2)+((((B183+C183)/1000)*2)*0.022),IF(AND(ISERROR(FIND"&amp;"(""drawer front"",A183))=FALSE,LEFT(KitchenDoorStyle,5)=""Panel""),(((B183/1000)*(C183/1000))*2)+((((B183+C183)/1000)*2)*0.022)+((((C183/1000)-0.16)*0.013)*2)+((((D183/1000)-0.16)*0.013)*2),IF(AND(ISERROR(FIND(""drawer front"",A183))=FALSE,KitchenDoorStyl"&amp;"e=""In-frame flat""),((((B183-76)/1000)*((C183-38)/1000))*2)+(MID(KitchenDoorMaterial,FIND(""("",KitchenDoorMaterial)+1,2)/1000)*((((B183-76)+(C183-38))/1000)*2)+(((B183/1000)*0.032)*2)+((((B183-76)/1000)*0.032)*2)+(((B183/1000)*0.019)*4)+(((C183/1000)*0."&amp;"032)*2)+((((C183-38)/1000)*0.032)*2)+(((C183/1000)*0.038)*4),IF(AND(ISERROR(FIND(""drawer front"",A183))=FALSE,LEFT(KitchenDoorStyle,14)=""In-frame panel""),((((B183-76)/1000)*((C183-38)/1000))*2)+((MID(KitchenDoorMaterial,FIND(""("",KitchenDoorMaterial)+"&amp;"1,2)/1000)*((((B183-76)+(C183-38))/1000)*2))+((((B183-236)/1000)+((C183-198)/1000)*2)*0.013)+(((B183/1000)*0.032)*2)+((((B183-76)/1000)*0.032)*2)+(((B183/1000)*0.019)*4)+(((C183/1000)*0.032)*2)+((((C183-38)/1000)*0.032)*2)+(((C183/1000)*0.038)*4),IF(ISERR"&amp;"OR(FIND(""drawer box"",A183))=FALSE,((((B183/1000)*(D183/1000))+((B183/1000)*(C183/1000)))*4)+((((D183/1000)+(C183/1000))*0.016)*4)+(((C183/1000)*(D183/1000))*2),IF(OR(ISERROR(FIND(""shelf"",A183))=FALSE,ISERROR(FIND(""spacer"",A183))=FALSE,,ISERROR(FIND("&amp;"""filler panel"",A183))=FALSE),(((C183/1000)*(D183/1000))*2)+((((C183+D183)*2)/1000)*0.022),IF(ISERROR(FIND(""lost corner"",A183))=FALSE,(((B183/1000)*(C183/1000))*2)+((B183/1000)*(C183/1000))+((B183/1000)*((C183/2)/1000))+((((B183/1000)*0.025)+((C183/100"&amp;"0)*0.025))*2),IF(ISERROR(FIND(""carcass"",A183))=FALSE,(((C183/1000)*(D183/1000))*2)+(((B183/1000)*(D183/1000))*2)+((B183/1000)*(C183/1000))+((((B183/1000)*0.025)+((C183/1000)*0.025))*2),IF(AND(ISERROR(FIND(""door"",A183))=FALSE,KitchenDoorStyle=""Flat"")"&amp;",(((B183/1000)*(C183/1000))*2)+(MID(KitchenDoorMaterial,FIND(""("",KitchenDoorMaterial)+1,2)/1000)*(((B183+C183)/1000)*2),IF(AND(ISERROR(FIND(""door"",A183))=FALSE,LEFT(KitchenDoorStyle,5)=""Panel""),(((B183/1000)*(C183/1000))*2)+((MID(KitchenDoorMaterial"&amp;",FIND(""("",KitchenDoorMaterial)+1,2)/1000)*(((B183+C183)/1000)*2))+(((((B183-160)+(C183-160))*2)/1000)*(0.013)),IF(AND(ISERROR(FIND(""door"",A183))=FALSE,KitchenDoorStyle=""In-frame flat""),((((B183-76)/1000)*((C183-38)/1000))*2)+(MID(KitchenDoorMaterial"&amp;",FIND(""("",KitchenDoorMaterial)+1,2)/1000)*((((B183-76)+(C183-38))/1000)*2)+(((B183/1000)*0.032)*2)+((((B183-76)/1000)*0.032)*2)+(((B183/1000)*0.019)*4)+(((C183/1000)*0.032)*2)+((((C183-38)/1000)*0.032)*2)+(((C183/1000)*0.038)*4),IF(AND(ISERROR(FIND(""do"&amp;"or"",A183))=FALSE,LEFT(KitchenDoorStyle,14)=""In-frame panel""),((((B183-76)/1000)*((C183-38)/1000))*2)+((MID(KitchenDoorMaterial,FIND(""("",KitchenDoorMaterial)+1,2)/1000)*((((B183-76)+(C183-38))/1000)*2))+((((B183-236)/1000)+((C183-198)/1000)*2)*0.013)+"&amp;"(((B183/1000)*0.032)*2)+((((B183-76)/1000)*0.032)*2)+(((B183/1000)*0.019)*4)+(((C183/1000)*0.032)*2)+((((C183-38)/1000)*0.032)*2)+(((C183/1000)*0.038)*4),IF(ISERROR(FIND(""Plinth"",A183))=FALSE,((B183/1000)*(C183/1000))+(((C183/1000)*0.018)*2)+(((B183/100"&amp;"0)*0.018)*2),IF(ISERROR(FIND(""Cornice"",A183))=FALSE,(((C183/1000)*0.1)*2)+(((C183/1000)*0.044)*2)+(((B183/1000)*0.08)*2),IF(ISERROR(FIND(""Base end panel"",A183))=FALSE,((B183/1000)*(C183/1000))+(0.022*((B183/1000)+((C183/1000)*2)))+((B183/1000)*0.05),I"&amp;"F(ISERROR(FIND(""Wall end panel"",A183))=FALSE,((B183/1000)*(C183/1000))+(0.022*((B183/1000)+((C183/1000)*2)))+((B183/1000)*0.05),IF(ISERROR(FIND(""Tower end panel"",A183))=FALSE,((B183/1000)*(C183/1000))+(0.022*((B183/1000)+((C183/1000)*2)))+((B183/1000)"&amp;"*0.05),IF(ISERROR(FIND(""Fillers"",A183))=FALSE,((C183/1000)*0.06)+((C183/1000)*0.069)+((0.06*0.018)*2)+((0.06*0.009)*2)+((C183/1000)*0.009)+((C183/1000)*0.018),IF(ISERROR(FIND(""corner post"",A183))=FALSE,(((B183/1000*0.05)*2)+((B183/1000)*0.022)*2)+((B1"&amp;"83/1000)*0.072)+((B183/1000)*0.05)+((0.072*0.022)*2)+((0.05*0.022)*2),IF(ISERROR(FIND(""Pelmet"",A183))=FALSE,((C183/1000)*0.05)+((C183/1000)*0.068)+((0.05*0.018)*4)+(((C183/1000)*0.018))*2))))))))))))))))))))))))))))"),"")</f>
        <v/>
      </c>
      <c r="N183" s="152" t="str">
        <f>IF(M183="","",IF(AND(ISERROR(FIND("carcass",A183))=TRUE,ISERROR(FIND("unit",A183))=TRUE,ISERROR(FIND("insert",A183))=TRUE,ISERROR(FIND("rack",A183))=TRUE,ISERROR(FIND("box",A183))=TRUE,ISERROR(FIND("shelf",#REF!))=TRUE),VLOOKUP(KitchenDoorFinish,Finishing!$A$2:$K$10,9,0)*M183,VLOOKUP(KitchenCarcassFinish,Finishing!$A$2:$K$40,9,0)*M183))</f>
        <v/>
      </c>
      <c r="O183" s="155"/>
      <c r="P183" s="155"/>
      <c r="Q183" s="152" t="str">
        <f>IF(OR(O183="",P183=""),"",((O183*X183)*(VLOOKUP("Workshop",Labour!$A$3:$E$20,4,0)/8))+((P183*AE183)*(VLOOKUP("Finishing",Labour!$A$3:$E$20,4,0)/8)))</f>
        <v/>
      </c>
      <c r="R183" s="152" t="str">
        <f t="shared" si="4"/>
        <v/>
      </c>
      <c r="S183" s="156" t="str">
        <f>IF(OR(O183="",P183=""),"",IF(OR(ISERROR(FIND("carcass",$A183))=FALSE,ISERROR(FIND("unit",$A183))=FALSE),VLOOKUP(KitchenCarcassMaterial,FixedListsCarcassMaterial,2,0),0))</f>
        <v/>
      </c>
      <c r="T183" s="156" t="str">
        <f>IF(OR(O183="",P183=""),"",IF(ISERROR(FIND("door",$A183))=FALSE,VLOOKUP(KitchenDoorStyle,FixedListsDoorStyle,2,0),0))</f>
        <v/>
      </c>
      <c r="U183" s="156" t="str">
        <f>IF(OR(O183="",P183=""),"",IF(ISERROR(FIND("door",$A183))=FALSE,VLOOKUP(KitchenDoorMaterial,FixedListsDoorMaterial,2,0),0))</f>
        <v/>
      </c>
      <c r="V183" s="156" t="str">
        <f>IF(OR(O183="",P183=""),"",IF(ISERROR(FIND("drawer",$A183))=FALSE,VLOOKUP(KitchenDrawerType,FixedListsDrawerType,2,0),0))</f>
        <v/>
      </c>
      <c r="W183" s="156" t="str">
        <f>IF(OR(O183="",P183=""),"",IF(OR(S183&gt;0, T183&gt;0,V183&gt;0),VLOOKUP(KitchenHandleType,FixedListsHandleType,2,FALSE)*IF(KitchenHandleType="Simple",0,IF(S183&gt;0,VLOOKUP(KitchenHandleType,FixedListsHandleType,4,FALSE),IF(OR(T183&gt;0,V183&gt;0),1-VLOOKUP(KitchenHandleType,FixedListsHandleType,4,FALSE),"Error"))),0))</f>
        <v/>
      </c>
      <c r="X183" s="156" t="str">
        <f t="shared" si="5"/>
        <v/>
      </c>
      <c r="Y183" s="156" t="str">
        <f>IF(OR(O183="",P183=""),"",IF(OR(ISERROR(FIND("carcass",$A183))=FALSE,ISERROR(FIND("unit",$A183))=FALSE),VLOOKUP(KitchenCarcassMaterial,FixedListsCarcassMaterial,3,0),0))</f>
        <v/>
      </c>
      <c r="Z183" s="156" t="str">
        <f>IF(OR(O183="",P183=""),"",IF(ISERROR(FIND("door",$A183))=FALSE,VLOOKUP(KitchenDoorStyle,FixedListsDoorStyle,3,0),0))</f>
        <v/>
      </c>
      <c r="AA183" s="156" t="str">
        <f>IF(OR(O183="",P183=""),"",IF(ISERROR(FIND("door",$A183))=FALSE,VLOOKUP(KitchenDoorMaterial,FixedListsDoorMaterial,3,0),0))</f>
        <v/>
      </c>
      <c r="AB183" s="156" t="str">
        <f>IF(OR(O183="",P183=""),"",IF(ISERROR(FIND("drawer",$A183))=FALSE,VLOOKUP(KitchenDrawerType,FixedListsDrawerType,3,0),0))</f>
        <v/>
      </c>
      <c r="AC183" s="156" t="str">
        <f>IF(OR(O183="",P183=""),"",IF(OR(Y183&gt;0,Z183&gt;0,AB183&gt;0),VLOOKUP(KitchenHandleType,FixedListsHandleType,3,FALSE),0))</f>
        <v/>
      </c>
      <c r="AD183" s="156" t="str">
        <f>IF(OR(O183="",P183=""),"",IF(OR(ISERROR(FIND("carcass",$A183))=FALSE,ISERROR(FIND("unit",$A183))=FALSE),VLOOKUP(KitchenCarcassFinish,FixedListsFinishes,3,0),IF(OR(ISERROR(FIND("door",$A183))=FALSE,ISERROR(FIND("Plinth",$A183))=FALSE,ISERROR(FIND("Cornice",$A183))=FALSE,ISERROR(FIND("Fillers",$A183))=FALSE,ISERROR(FIND("Pelmet",$A183))=FALSE,ISERROR(FIND("panel",$A183))=FALSE,ISERROR(FIND("post",$A183))=FALSE),VLOOKUP(KitchenDoorFinish,FixedListsFinishes,3,0),IF(OR(ISERROR(FIND("drawer",$A183))=FALSE,ISERROR(FIND("insert",$A183))=FALSE,ISERROR(FIND("rck",$A183))=FALSE),VLOOKUP(KitchenCarcassFinish,FixedListsFinishes,3,0),0))))</f>
        <v/>
      </c>
      <c r="AE183" s="156" t="str">
        <f t="shared" si="6"/>
        <v/>
      </c>
      <c r="AF183" s="157" t="str">
        <f>IF(AND(KitchenHandleType="Channel",OR(ISERROR(FIND("arcass",$A183))=FALSE,ISERROR(FIND("unit",$A183))=FALSE)),IF(ISERROR(FIND("Tower",$A183))=TRUE,IF(KitchenHandleFinish="Match carcass",IF(ISERROR(FIND("Walnut",KitchenCarcassMaterial))=FALSE,(0.035*0.075*($C183/1000))*VLOOKUP("Walnut (solid m3)",SolidData,4,FALSE),IF(ISERROR(FIND("Oak",KitchenCarcassMaterial))=FALSE,(0.035*0.075*($C183/1000))*VLOOKUP("Oak (solid m3)",SolidData,4,FALSE),IF(ISERROR(FIND("ply",KitchenCarcassMaterial))=FALSE,(0.1*($C183/1000))*VLOOKUP("Birch ply (24mm)",SheetsData,7,FALSE),IF(ISERROR(FIND("H/F",KitchenCarcassMaterial))=FALSE,(0.1*($C183/1000))*VLOOKUP("H/F (22mm)",SheetsData,7,FALSE),"Carcass - not tower - new material")))),IF(KitchenHandleFinish="Match door",IF(ISERROR(FIND("Walnut",KitchenDoorMaterial))=FALSE,(0.035*0.075*($C183/1000))*VLOOKUP("Walnut (solid m3)",SolidData,4,FALSE),IF(ISERROR(FIND("Oak",KitchenDoorMaterial))=FALSE,(0.035*0.075*($C183/1000))*VLOOKUP("Oak (solid m3)",SolidData,4,FALSE),IF(ISERROR(FIND("ply",KitchenDoorMaterial))=FALSE,(0.1*($C183/1000))*VLOOKUP("Birch ply (24mm)",SheetsData,7,FALSE),IF(ISERROR(FIND("H/F",KitchenCarcassMaterial))=FALSE,(0.1*($C183/1000))*VLOOKUP("H/F (22mm)",SheetsData,7,FALSE),"Door - not tower - new material")))),"Channel - not tower - handle set to other")),IF(ISERROR(FIND("Tower",$A183))=FALSE,IF(KitchenHandleFinish="Match carcass",IF(ISERROR(FIND("Walnut",KitchenCarcassMaterial))=FALSE,(0.035*0.075*($B183/1000))*VLOOKUP("Walnut (solid m3)",SolidData,4,FALSE),IF(ISERROR(FIND("Oak",KitchenCarcassMaterial))=FALSE,(0.035*0.075*($B183/1000))*VLOOKUP("Oak (solid m3)",SolidData,4,FALSE),IF(ISERROR(FIND("ply",KitchenCarcassMaterial))=FALSE,(0.1*($B183/1000))*VLOOKUP("Birch ply (24mm)",SheetsData,7,FALSE),IF(ISERROR(FIND("H/F",KitchenCarcassMaterial))=FALSE,(0.1*($C183/1000))*VLOOKUP("H/F (22mm)",SheetsData,7,FALSE),"Carcass - tower - new material")))),IF(KitchenHandleFinish="Match door",IF(ISERROR(FIND("Walnut",KitchenDoorMaterial))=FALSE,(0.035*0.075*($B183/1000))*VLOOKUP("Walnut (solid m3)",SolidData,4,FALSE),IF(ISERROR(FIND("Oak",KitchenDoorMaterial))=FALSE,(0.035*0.075*($B183/1000))*VLOOKUP("Oak (solid m3)",SolidData,4,FALSE),IF(ISERROR(FIND("ply",KitchenDoorMaterial))=FALSE,(0.1*($B183/1000))*VLOOKUP("Birch ply (24mm)",SheetData,7,FALSE),IF(ISERROR(FIND("H/F",KitchenCarcassMaterial))=FALSE,(0.1*($C183/1000))*VLOOKUP("H/F (22mm)",SheetsData,7,FALSE),"Door - tower - new material")))),"Channel - tower - handle set to other")))),"")</f>
        <v/>
      </c>
    </row>
    <row r="184">
      <c r="A184" s="150"/>
      <c r="B184" s="115" t="str">
        <f t="shared" si="1"/>
        <v/>
      </c>
      <c r="C184" s="115" t="str">
        <f>IFERROR(__xludf.DUMMYFUNCTION("IF(A184="""","""",IF(OR(RIGHT(A184,LEN(A184)-len(regexextract(A184,"".* "")))=""1200"",RIGHT(A184,LEN(A184)-len(regexextract(A184,"".* "")))=""600"",RIGHT(A184,LEN(A184)-len(regexextract(A184,"".* "")))=""400"",RIGHT(A184,LEN(A184)-len(regexextract(A184,"&amp;""".* "")))=""300"",RIGHT(A184,LEN(A184)-len(regexextract(A184,"".* "")))=""700"",RIGHT(A184,LEN(A184)-len(regexextract(A184,"".* "")))=""2400"",RIGHT(A184,LEN(A184)-len(regexextract(A184,"".* "")))=""650"",RIGHT(A184,LEN(A184)-len(regexextract(A184,"".* "&amp;""")))=""350"",RIGHT(A184,LEN(A184)-len(regexextract(A184,"".* "")))=""50""),RIGHT(A184,LEN(A184)-len(regexextract(A184,"".* ""))),IF(OR(ISERROR(FIND(""spacer"",A184))=FALSE,ISERROR(FIND(""filler panel"",A184))=FALSE),""1000"",""Unexpected size in descript"&amp;"ion"")))"),"")</f>
        <v/>
      </c>
      <c r="D184" s="151" t="str">
        <f t="shared" si="2"/>
        <v/>
      </c>
      <c r="E184" s="152" t="str">
        <f>IFERROR(__xludf.DUMMYFUNCTION("IF(OR(A184="""",AND(ISERROR(FIND(""drawer box"",A184))=FALSE,KitchenDrawerType="""")),"""",IF(OR(ISERROR(FIND(""larder"",A184))=FALSE,ISERROR(FIND(""fridge/freezer"",A184))=FALSE,ISERROR(FIND(""double oven"",A184))=FALSE,ISERROR(FIND(""single oven"",A184)"&amp;")=FALSE),VLOOKUP(LEFT(A184,FIND("" "",A184))&amp;""carcass ""&amp;RIGHT(A184,LEN(A184)-(LEN(A184)-3)),KitchensData,5,0),IF(ISERROR(FIND(""sink"",A184))=FALSE,VLOOKUP(LEFT(A184,FIND("" "",A184))&amp;""carcass ""&amp;VALUE(REGEXREPLACE(A184,""[^[:digit:]]"", """")),Kitchen"&amp;"sData,5,0)+(((C184/1000)*(300/1000))*VLOOKUP(KitchenCarcassMaterial,SheetsData,8,0)),IF(ISERROR(FIND(""bins"",A184))=FALSE,IF(ISERROR(FIND(""veneer"",KitchenCarcassMaterial))=FALSE,VLOOKUP(""Base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600"",A184))=FALSE,IF(ISERR"&amp;"OR(FIND(""veneer"",KitchenCarcassMaterial))=FALSE,0.54*(VLOOKUP(LEFT(KitchenCarcassMaterial,FIND(""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1"&amp;"200"",A184))=FALSE,IF(ISERROR(FIND(""veneer"",KitchenCarcassMaterial))=FALSE,0.84*(VLOOKUP(LEFT(KitchenCarcassMaterial,FIND(""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600"",A184))=FALSE,IF(ISERROR(FIND(""veneer"",KitchenCarcassMaterial))=FALSE,1.44*(VLOOKUP(LEFT(KitchenCarcassMaterial,FIND(""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1200"",A184))=FALSE,IF(ISERROR(FIND(""veneer"",KitchenCarcassMaterial))=FALSE,2.7*(VLOOKUP(LEFT(KitchenCarcassMaterial,FIND(""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front"",A184))=FALSE,((B184/1000)*(C184/1000))*VLOOKUP(KitchenDoorMaterial,SheetsData,8,0),IF(AND(KitchenDrawerType=""Match carcass"",ISERROR(FIND(""drawer box"",A184))=FALSE),(((((B184/10"&amp;"00)*(C184/1000))+((B184/1000)*(D184/1000)))*2)*VLOOKUP(KitchenCarcassMaterial,SheetsData,8,0))+(((C184/1000)*(D184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box"",A184))=FALSE),(((((B184/1000)*(C184/1000))+((B184/1000)*(D184/1000)))*2)*(16/1000)*VLOOKUP(L"&amp;"EFT(KitchenCarcassMaterial,FIND("" "",KitchenCarcassMaterial))&amp;""(solid m3)"",SolidData,5,0))+(((C184/1000)*(D184/1000))*VLOOKUP(LEFT(KitchenCarcassMaterial,FIND(""("",KitchenCarcassMaterial)-1)&amp;IF(OR(ISERROR(FIND(""ply"",KitchenCarcassMaterial))=FALSE,IS"&amp;"ERROR(FIND(""H/F"",KitchenCarcassMaterial))=FALSE),""(9mm)"",""(10mm)""),SheetsData,8,0)),IF(ISERROR(FIND(""spacer"",A184))=FALSE,((D184/1000)*(C184/1000))*VLOOKUP(""Poplar ply (18mm)"",SheetsData,8,0),IF(ISERROR(FIND(""filler panel"",A184))=FALSE,((B184/"&amp;"1000)*(C184/1000))*VLOOKUP(KitchenDoorMaterial,SheetsData,8,0),IF(ISERROR(FIND(""shelf"",A184))=FALSE,((D184/1000)*(C184/1000))*VLOOKUP(KitchenCarcassMaterial,SheetsData,8,0),IF(ISERROR(FIND(""lost corner"",A184))=FALSE,VLOOKUP(LEFT(A184,FIND("" "",A184))"&amp;"&amp;""carcass ""&amp;VALUE(REGEXREPLACE(A184,""[^[:digit:]]"", """")),KitchensData,5,0)+((((B184/1000)*(C184/1000))+((B184/1000)*(60/1000)))*VLOOKUP(KitchenCarcassMaterial,SheetsData,8,0)),IF(ISERROR(FIND(""carcass"",A184))=FALSE,(((((B184/1000)*2)*(D184/1000))+"&amp;"(((C184/1000)*2)*(D184/1000)))*VLOOKUP(KitchenCarcassMaterial,SheetsData,8,0))+((B184/1000)*(C184/1000))*VLOOKUP(LEFT(KitchenCarcassMaterial,FIND(""("",KitchenCarcassMaterial)-1)&amp;IF(OR(ISERROR(FIND(""ply"",KitchenCarcassMaterial))=FALSE,ISERROR(FIND(""H/F"&amp;""",KitchenCarcassMaterial))=FALSE),""(9mm)"",""(10mm)""),SheetsData,8,0),IF(OR(ISERROR(FIND(""Plinth"",A184))=FALSE,ISERROR(FIND(""Cornice (flat)"",A184))=FALSE),((B184/1000)*(C184/1000))*VLOOKUP(""H/F (18mm)"",SheetsData,8,0),IF(ISERROR(FIND(""Cornice (s"&amp;"tacked)"",A184))=FALSE,((0.08*(C184/1000))*2)*VLOOKUP(""H/F (22mm)"",SheetsData,8,0),IF(ISERROR(FIND(""Base end panel"",A184))=FALSE,VLOOKUP(KitchenDoorMaterial,SheetsData,5,0)/3,IF(ISERROR(FIND(""Wall end panel"",A184))=FALSE,VLOOKUP(KitchenDoorMaterial,"&amp;"SheetsData,5,0)/9,IF(ISERROR(FIND(""Tower end panel"",A184))=FALSE,VLOOKUP(KitchenDoorMaterial,SheetsData,5,0),IF(ISERROR(FIND(""Fillers"",A184))=FALSE,(((0.06*(C184/1000))*2)*VLOOKUP(""H/F (18mm)"",SheetsData,8,0))+(((0.06*(C184/1000))*2)*VLOOKUP(""H/F ("&amp;"9mm)"",SheetsData,8,0)),IF(ISERROR(FIND(""corner post"",A184))=FALSE,(((B184/1000)*0.05)*2)*VLOOKUP(KitchenDoorMaterial,SheetsData,8,0),IF(ISERROR(FIND(""Pelmet"",A184))=FALSE,((((B184/1000)*(C184/1000))*2)*VLOOKUP(""H/F (18mm)"",SheetsData,8,0)),IF(ISERR"&amp;"OR(FIND(""door"",A184))=TRUE,""Check description"",IF(KitchenDoorStyle=""Flat"",((B184/1000)*(C184/1000))*VLOOKUP(KitchenDoorMaterial,SheetsData,8,0),IF(LEFT(KitchenDoorStyle,5)=""Panel"",(((((B184/1000)*2)*0.08)+((((C184/1000)-0.16)*2)*0.08))*VLOOKUP(""H"&amp;"/F (22mm)"",SheetsData,8,0))+(((B184/1000)-0.14)*((C184/1000)-0.14)*VLOOKUP(""H/F (9mm)"",SheetsData,8,0)),IF(KitchenDoorStyle=""In-frame flat"",((((((B184/1000)*0.019)*0.038)+((((C184-38)/1000)*0.038)*0.038))*2)*VLOOKUP(""Tulip (solid m3)"",SolidData,5,0"&amp;"))+(((B184-76)/1000)*((C184-38)/1000))*VLOOKUP(""H/F (22mm)"",SheetsData,8,0),IF(LEFT(KitchenDoorStyle,14)=""In-frame panel"",(((((((B184/1000)*0.019)*0.038)+((((C184-38)/1000)*0.038)*0.038))*2)*VLOOKUP(""Tulip (solid m3)"",SolidData,5,0))+(((((((B184-76)"&amp;"/1000)*2)*0.08)+(((((C184-198)/1000)*2)*0.08)))*VLOOKUP(""H/F (22mm)"",SheetsData,8,0))+(((B184-216)/1000)*((C184-178)/1000)*VLOOKUP(""H/F (9mm)"",SheetsData,8,0)))))))))))))))))))))))))))))))))"),"")</f>
        <v/>
      </c>
      <c r="F184" s="152" t="str">
        <f>IFERROR(__xludf.DUMMYFUNCTION("IF(OR(A184="""",AND(ISERROR(FIND(""drawer box"",A184))=FALSE,KitchenDrawerType=""Solid dovetail"")),"""",IF(ISERROR(FIND(""bins"",A184))=FALSE,VLOOKUP(""Base carcass 600"",KitchensData,6,0),IF(OR(ISERROR(FIND(""larder"",A184))=FALSE,ISERROR(FIND(""unit"","&amp;"A184))=FALSE),VLOOKUP(LEFT(A184,FIND("" "",A184))&amp;""carcass ""&amp;RIGHT(A184,LEN(A184)-len(regexextract(A184,"".* ""))),KitchensData,6,0),IF(ISERROR(FIND(""drawer front"",A184))=FALSE,IF(ISERROR(FIND(""veneer"",KitchenCarcassMaterial))=TRUE,0,(((B184+C184)/1"&amp;"000)*2)*VLOOKUP(""Edge banding (per M)"",SheetsData,5,0)),IF(ISERROR(FIND(""drawer box"",A184))=FALSE,IF(ISERROR(FIND(""veneer"",KitchenCarcassMaterial))=TRUE,0,(((C184+D184)/1000)*2)*VLOOKUP(""Edge banding (per M)"",SheetsData,5,0)),IF(ISERROR(FIND(""she"&amp;"lf"",A184))=FALSE,IF(ISERROR(FIND(""veneer"",KitchenCarcassMaterial))=TRUE,0,(C184/1000)*VLOOKUP(""Edge banding (per M)"",SheetsData,5,0)),IF(AND(ISERROR(FIND(""carcass"",A184))=FALSE,ISERROR(FIND(""shelf"",A184))=TRUE),IF(ISERROR(FIND(""veneer"",KitchenC"&amp;"arcassMaterial))=TRUE,0,((2*(B184+C184))/1000)*VLOOKUP(""Edge banding (per M)"",SheetsData,5,0)),IF(ISERROR(FIND(""door"",A184))=TRUE,"""",IF(ISERROR(FIND(""veneer"",KitchenDoorMaterial))=TRUE,"""",((2*(B184+C184))/1000)*VLOOKUP(""Edge banding (per M)"",S"&amp;"heetsData,5,0))))))))))"),"")</f>
        <v/>
      </c>
      <c r="G184" s="153" t="str">
        <f>IF(A184="","",IF(ISERROR(FIND("bins",A184))=FALSE,VLOOKUP("Base carcass 600",KitchensData,7,0),IF(OR(ISERROR(FIND("larder",A184))=FALSE,ISERROR(FIND("fridge/freezer",A184))=FALSE,ISERROR(FIND("double oven",A184))=FALSE,ISERROR(FIND("single oven",A184))=FALSE),VLOOKUP(LEFT(A184,FIND(" ",A184))&amp;"carcass "&amp;RIGHT(A184,LEN(A184)-(LEN(A184)-3)),KitchensData,7,0),IF(AND(ISERROR(FIND("carcass",A184))=FALSE,ISERROR(FIND("shelf",A184))=TRUE),IF(OR(ISERROR(FIND("Base",A184))=FALSE,ISERROR(FIND("Tower",A184))=FALSE),IF(OR(ISERROR(FIND("1200",A184))=FALSE, ISERROR(FIND("lost corner",A184))=FALSE),6*VLOOKUP("Plinth foot (2 Parts 80mm)",FurnitureData,5,0),4*VLOOKUP("Plinth foot (2 Parts 80mm)",FurnitureData,5,0)),""),""))))</f>
        <v/>
      </c>
      <c r="H184" s="115" t="str">
        <f>IF(OR(A184="",ISERROR(FIND("door",A184))=TRUE),"",IF(ISERROR(FIND("Wall",A184))=FALSE,VLOOKUP("Hinges &amp; plates (Hettich thick door)",FurnitureData,5,0)*2,IF(ISERROR(FIND("Base",A184))=FALSE,VLOOKUP("Hinges &amp; plates (Hettich thick door)",FurnitureData,5,0)*3,IF(ISERROR(FIND("Boiler",A184))=FALSE,VLOOKUP("Hinges &amp; plates (Hettich thick door)",FurnitureData,5,0)*4,IF(ISERROR(FIND("Tower",A184))=FALSE,VLOOKUP("Hinges &amp; plates (Hettich thick door)",FurnitureData,5,0)*5)))))</f>
        <v/>
      </c>
      <c r="I184" s="115" t="str">
        <f>IF(ISERROR(FIND("shelf",A184))=FALSE,(VLOOKUP("Shelf pegs",FurnitureData,5,0)/100)*4,"")</f>
        <v/>
      </c>
      <c r="J184" s="152" t="str">
        <f>IF(OR(ISERROR(FIND("fridge/freezer",A184))=FALSE,ISERROR(FIND("larder",A184))=FALSE,AND(ISERROR(FIND("Base",A184))=FALSE,ISERROR(FIND("bins",A184))=TRUE,ISERROR(FIND("no shelves",A184))=TRUE,OR(ISERROR(FIND("carcass",A184))=FALSE,ISERROR(FIND("unit",A184))=FALSE))),VLOOKUP("Deep shelf "&amp;C184,KitchensData,18,0),IF(AND(ISERROR(FIND("Wall",A184))=FALSE,ISERROR(FIND("carcass",A184))=FALSE),2*VLOOKUP("Shallow shelf "&amp;C184,KitchensData,18,0),IF(AND(ISERROR(FIND("Tower",A184))=FALSE,ISERROR(FIND("oven",A184))=FALSE),4*VLOOKUP("Deep shelf "&amp;C184,KitchensData,18,0),IF(AND(ISERROR(FIND("Tower",A184))=FALSE,ISERROR(FIND("carcass",A184))=FALSE),5*VLOOKUP("Deep shelf "&amp;C184,KitchensData,18,0),""))))</f>
        <v/>
      </c>
      <c r="K184" s="152" t="str">
        <f>IF(ISERROR(FIND("sink",A184))=FALSE,VLOOKUP("Sink liner - Aluminium "&amp;RIGHT(A184,LEN(A184)-22)&amp;"mm",ExceptionalData,5,0),IF(ISERROR(FIND("bins",A184))=FALSE,VLOOKUP("Drawer runners and clip set for bin unit (500) Dynapro",FurnitureData,5,0)+(2*VLOOKUP("Bin (42L Anthracite)",FurnitureData,5,0)),IF(ISERROR(FIND("larder",A184))=FALSE,VLOOKUP("Pull out larder unit 600mm",FurnitureData,5,0),IF(AND(ISERROR(FIND("drawer box",A184))=FALSE,ISERROR(FIND("internal",A184))=TRUE),VLOOKUP("Drawer runners and clip set (550) Dynapro",FurnitureData,5,0),IF(ISERROR(FIND("internal drawer box",A184))=FALSE,VLOOKUP("Drawer runners and clip set (450) Dynapro",FurnitureData,5,0),"")))))</f>
        <v/>
      </c>
      <c r="L184" s="152" t="str">
        <f t="shared" si="3"/>
        <v/>
      </c>
      <c r="M184" s="154" t="str">
        <f>IFERROR(__xludf.DUMMYFUNCTION("IF(A184="""","""",IF(OR(ISERROR(FIND(""larder"",A184))=FALSE,ISERROR(FIND(""unit"",A184))=FALSE),VLOOKUP(LEFT(A184,FIND("" "",A184))&amp;""carcass ""&amp;RIGHT(A184,LEN(A184)-len(regexextract(A184,"".* ""))),KitchensData,13,0),IF(ISERROR(FIND(""bins"",A184))=FALS"&amp;"E,0.95,IF(ISERROR(FIND(""Cutlery insert 600"",A184))=FALSE,1.3,IF(ISERROR(FIND(""Cutlery insert 1200"",A184))=FALSE,2,IF(ISERROR(FIND(""Pan/tray rack 600"",A184))=FALSE,3.25,IF(ISERROR(FIND(""Pan/tray rack 1200"",A184))=FALSE,5.9,IF(ISERROR(FIND(""split"""&amp;",A184))=FALSE,(((C184/1000)*0.022)*2)+VLOOKUP(SUBSTITUTE(A184,"" split"",""""),KitchensData,13,0),IF(AND(ISERROR(FIND(""drawer front"",A184))=FALSE,KitchenDoorStyle=""Flat""),(((B184/1000)*(C184/1000))*2)+((((B184+C184)/1000)*2)*0.022),IF(AND(ISERROR(FIND"&amp;"(""drawer front"",A184))=FALSE,LEFT(KitchenDoorStyle,5)=""Panel""),(((B184/1000)*(C184/1000))*2)+((((B184+C184)/1000)*2)*0.022)+((((C184/1000)-0.16)*0.013)*2)+((((D184/1000)-0.16)*0.013)*2),IF(AND(ISERROR(FIND(""drawer front"",A184))=FALSE,KitchenDoorStyl"&amp;"e=""In-frame flat""),((((B184-76)/1000)*((C184-38)/1000))*2)+(MID(KitchenDoorMaterial,FIND(""("",KitchenDoorMaterial)+1,2)/1000)*((((B184-76)+(C184-38))/1000)*2)+(((B184/1000)*0.032)*2)+((((B184-76)/1000)*0.032)*2)+(((B184/1000)*0.019)*4)+(((C184/1000)*0."&amp;"032)*2)+((((C184-38)/1000)*0.032)*2)+(((C184/1000)*0.038)*4),IF(AND(ISERROR(FIND(""drawer front"",A184))=FALSE,LEFT(KitchenDoorStyle,14)=""In-frame panel""),((((B184-76)/1000)*((C184-38)/1000))*2)+((MID(KitchenDoorMaterial,FIND(""("",KitchenDoorMaterial)+"&amp;"1,2)/1000)*((((B184-76)+(C184-38))/1000)*2))+((((B184-236)/1000)+((C184-198)/1000)*2)*0.013)+(((B184/1000)*0.032)*2)+((((B184-76)/1000)*0.032)*2)+(((B184/1000)*0.019)*4)+(((C184/1000)*0.032)*2)+((((C184-38)/1000)*0.032)*2)+(((C184/1000)*0.038)*4),IF(ISERR"&amp;"OR(FIND(""drawer box"",A184))=FALSE,((((B184/1000)*(D184/1000))+((B184/1000)*(C184/1000)))*4)+((((D184/1000)+(C184/1000))*0.016)*4)+(((C184/1000)*(D184/1000))*2),IF(OR(ISERROR(FIND(""shelf"",A184))=FALSE,ISERROR(FIND(""spacer"",A184))=FALSE,,ISERROR(FIND("&amp;"""filler panel"",A184))=FALSE),(((C184/1000)*(D184/1000))*2)+((((C184+D184)*2)/1000)*0.022),IF(ISERROR(FIND(""lost corner"",A184))=FALSE,(((B184/1000)*(C184/1000))*2)+((B184/1000)*(C184/1000))+((B184/1000)*((C184/2)/1000))+((((B184/1000)*0.025)+((C184/100"&amp;"0)*0.025))*2),IF(ISERROR(FIND(""carcass"",A184))=FALSE,(((C184/1000)*(D184/1000))*2)+(((B184/1000)*(D184/1000))*2)+((B184/1000)*(C184/1000))+((((B184/1000)*0.025)+((C184/1000)*0.025))*2),IF(AND(ISERROR(FIND(""door"",A184))=FALSE,KitchenDoorStyle=""Flat"")"&amp;",(((B184/1000)*(C184/1000))*2)+(MID(KitchenDoorMaterial,FIND(""("",KitchenDoorMaterial)+1,2)/1000)*(((B184+C184)/1000)*2),IF(AND(ISERROR(FIND(""door"",A184))=FALSE,LEFT(KitchenDoorStyle,5)=""Panel""),(((B184/1000)*(C184/1000))*2)+((MID(KitchenDoorMaterial"&amp;",FIND(""("",KitchenDoorMaterial)+1,2)/1000)*(((B184+C184)/1000)*2))+(((((B184-160)+(C184-160))*2)/1000)*(0.013)),IF(AND(ISERROR(FIND(""door"",A184))=FALSE,KitchenDoorStyle=""In-frame flat""),((((B184-76)/1000)*((C184-38)/1000))*2)+(MID(KitchenDoorMaterial"&amp;",FIND(""("",KitchenDoorMaterial)+1,2)/1000)*((((B184-76)+(C184-38))/1000)*2)+(((B184/1000)*0.032)*2)+((((B184-76)/1000)*0.032)*2)+(((B184/1000)*0.019)*4)+(((C184/1000)*0.032)*2)+((((C184-38)/1000)*0.032)*2)+(((C184/1000)*0.038)*4),IF(AND(ISERROR(FIND(""do"&amp;"or"",A184))=FALSE,LEFT(KitchenDoorStyle,14)=""In-frame panel""),((((B184-76)/1000)*((C184-38)/1000))*2)+((MID(KitchenDoorMaterial,FIND(""("",KitchenDoorMaterial)+1,2)/1000)*((((B184-76)+(C184-38))/1000)*2))+((((B184-236)/1000)+((C184-198)/1000)*2)*0.013)+"&amp;"(((B184/1000)*0.032)*2)+((((B184-76)/1000)*0.032)*2)+(((B184/1000)*0.019)*4)+(((C184/1000)*0.032)*2)+((((C184-38)/1000)*0.032)*2)+(((C184/1000)*0.038)*4),IF(ISERROR(FIND(""Plinth"",A184))=FALSE,((B184/1000)*(C184/1000))+(((C184/1000)*0.018)*2)+(((B184/100"&amp;"0)*0.018)*2),IF(ISERROR(FIND(""Cornice"",A184))=FALSE,(((C184/1000)*0.1)*2)+(((C184/1000)*0.044)*2)+(((B184/1000)*0.08)*2),IF(ISERROR(FIND(""Base end panel"",A184))=FALSE,((B184/1000)*(C184/1000))+(0.022*((B184/1000)+((C184/1000)*2)))+((B184/1000)*0.05),I"&amp;"F(ISERROR(FIND(""Wall end panel"",A184))=FALSE,((B184/1000)*(C184/1000))+(0.022*((B184/1000)+((C184/1000)*2)))+((B184/1000)*0.05),IF(ISERROR(FIND(""Tower end panel"",A184))=FALSE,((B184/1000)*(C184/1000))+(0.022*((B184/1000)+((C184/1000)*2)))+((B184/1000)"&amp;"*0.05),IF(ISERROR(FIND(""Fillers"",A184))=FALSE,((C184/1000)*0.06)+((C184/1000)*0.069)+((0.06*0.018)*2)+((0.06*0.009)*2)+((C184/1000)*0.009)+((C184/1000)*0.018),IF(ISERROR(FIND(""corner post"",A184))=FALSE,(((B184/1000*0.05)*2)+((B184/1000)*0.022)*2)+((B1"&amp;"84/1000)*0.072)+((B184/1000)*0.05)+((0.072*0.022)*2)+((0.05*0.022)*2),IF(ISERROR(FIND(""Pelmet"",A184))=FALSE,((C184/1000)*0.05)+((C184/1000)*0.068)+((0.05*0.018)*4)+(((C184/1000)*0.018))*2))))))))))))))))))))))))))))"),"")</f>
        <v/>
      </c>
      <c r="N184" s="152" t="str">
        <f>IF(M184="","",IF(AND(ISERROR(FIND("carcass",A184))=TRUE,ISERROR(FIND("unit",A184))=TRUE,ISERROR(FIND("insert",A184))=TRUE,ISERROR(FIND("rack",A184))=TRUE,ISERROR(FIND("box",A184))=TRUE,ISERROR(FIND("shelf",#REF!))=TRUE),VLOOKUP(KitchenDoorFinish,Finishing!$A$2:$K$10,9,0)*M184,VLOOKUP(KitchenCarcassFinish,Finishing!$A$2:$K$40,9,0)*M184))</f>
        <v/>
      </c>
      <c r="O184" s="155"/>
      <c r="P184" s="155"/>
      <c r="Q184" s="152" t="str">
        <f>IF(OR(O184="",P184=""),"",((O184*X184)*(VLOOKUP("Workshop",Labour!$A$3:$E$20,4,0)/8))+((P184*AE184)*(VLOOKUP("Finishing",Labour!$A$3:$E$20,4,0)/8)))</f>
        <v/>
      </c>
      <c r="R184" s="152" t="str">
        <f t="shared" si="4"/>
        <v/>
      </c>
      <c r="S184" s="156" t="str">
        <f>IF(OR(O184="",P184=""),"",IF(OR(ISERROR(FIND("carcass",$A184))=FALSE,ISERROR(FIND("unit",$A184))=FALSE),VLOOKUP(KitchenCarcassMaterial,FixedListsCarcassMaterial,2,0),0))</f>
        <v/>
      </c>
      <c r="T184" s="156" t="str">
        <f>IF(OR(O184="",P184=""),"",IF(ISERROR(FIND("door",$A184))=FALSE,VLOOKUP(KitchenDoorStyle,FixedListsDoorStyle,2,0),0))</f>
        <v/>
      </c>
      <c r="U184" s="156" t="str">
        <f>IF(OR(O184="",P184=""),"",IF(ISERROR(FIND("door",$A184))=FALSE,VLOOKUP(KitchenDoorMaterial,FixedListsDoorMaterial,2,0),0))</f>
        <v/>
      </c>
      <c r="V184" s="156" t="str">
        <f>IF(OR(O184="",P184=""),"",IF(ISERROR(FIND("drawer",$A184))=FALSE,VLOOKUP(KitchenDrawerType,FixedListsDrawerType,2,0),0))</f>
        <v/>
      </c>
      <c r="W184" s="156" t="str">
        <f>IF(OR(O184="",P184=""),"",IF(OR(S184&gt;0, T184&gt;0,V184&gt;0),VLOOKUP(KitchenHandleType,FixedListsHandleType,2,FALSE)*IF(KitchenHandleType="Simple",0,IF(S184&gt;0,VLOOKUP(KitchenHandleType,FixedListsHandleType,4,FALSE),IF(OR(T184&gt;0,V184&gt;0),1-VLOOKUP(KitchenHandleType,FixedListsHandleType,4,FALSE),"Error"))),0))</f>
        <v/>
      </c>
      <c r="X184" s="156" t="str">
        <f t="shared" si="5"/>
        <v/>
      </c>
      <c r="Y184" s="156" t="str">
        <f>IF(OR(O184="",P184=""),"",IF(OR(ISERROR(FIND("carcass",$A184))=FALSE,ISERROR(FIND("unit",$A184))=FALSE),VLOOKUP(KitchenCarcassMaterial,FixedListsCarcassMaterial,3,0),0))</f>
        <v/>
      </c>
      <c r="Z184" s="156" t="str">
        <f>IF(OR(O184="",P184=""),"",IF(ISERROR(FIND("door",$A184))=FALSE,VLOOKUP(KitchenDoorStyle,FixedListsDoorStyle,3,0),0))</f>
        <v/>
      </c>
      <c r="AA184" s="156" t="str">
        <f>IF(OR(O184="",P184=""),"",IF(ISERROR(FIND("door",$A184))=FALSE,VLOOKUP(KitchenDoorMaterial,FixedListsDoorMaterial,3,0),0))</f>
        <v/>
      </c>
      <c r="AB184" s="156" t="str">
        <f>IF(OR(O184="",P184=""),"",IF(ISERROR(FIND("drawer",$A184))=FALSE,VLOOKUP(KitchenDrawerType,FixedListsDrawerType,3,0),0))</f>
        <v/>
      </c>
      <c r="AC184" s="156" t="str">
        <f>IF(OR(O184="",P184=""),"",IF(OR(Y184&gt;0,Z184&gt;0,AB184&gt;0),VLOOKUP(KitchenHandleType,FixedListsHandleType,3,FALSE),0))</f>
        <v/>
      </c>
      <c r="AD184" s="156" t="str">
        <f>IF(OR(O184="",P184=""),"",IF(OR(ISERROR(FIND("carcass",$A184))=FALSE,ISERROR(FIND("unit",$A184))=FALSE),VLOOKUP(KitchenCarcassFinish,FixedListsFinishes,3,0),IF(OR(ISERROR(FIND("door",$A184))=FALSE,ISERROR(FIND("Plinth",$A184))=FALSE,ISERROR(FIND("Cornice",$A184))=FALSE,ISERROR(FIND("Fillers",$A184))=FALSE,ISERROR(FIND("Pelmet",$A184))=FALSE,ISERROR(FIND("panel",$A184))=FALSE,ISERROR(FIND("post",$A184))=FALSE),VLOOKUP(KitchenDoorFinish,FixedListsFinishes,3,0),IF(OR(ISERROR(FIND("drawer",$A184))=FALSE,ISERROR(FIND("insert",$A184))=FALSE,ISERROR(FIND("rck",$A184))=FALSE),VLOOKUP(KitchenCarcassFinish,FixedListsFinishes,3,0),0))))</f>
        <v/>
      </c>
      <c r="AE184" s="156" t="str">
        <f t="shared" si="6"/>
        <v/>
      </c>
      <c r="AF184" s="157" t="str">
        <f>IF(AND(KitchenHandleType="Channel",OR(ISERROR(FIND("arcass",$A184))=FALSE,ISERROR(FIND("unit",$A184))=FALSE)),IF(ISERROR(FIND("Tower",$A184))=TRUE,IF(KitchenHandleFinish="Match carcass",IF(ISERROR(FIND("Walnut",KitchenCarcassMaterial))=FALSE,(0.035*0.075*($C184/1000))*VLOOKUP("Walnut (solid m3)",SolidData,4,FALSE),IF(ISERROR(FIND("Oak",KitchenCarcassMaterial))=FALSE,(0.035*0.075*($C184/1000))*VLOOKUP("Oak (solid m3)",SolidData,4,FALSE),IF(ISERROR(FIND("ply",KitchenCarcassMaterial))=FALSE,(0.1*($C184/1000))*VLOOKUP("Birch ply (24mm)",SheetsData,7,FALSE),IF(ISERROR(FIND("H/F",KitchenCarcassMaterial))=FALSE,(0.1*($C184/1000))*VLOOKUP("H/F (22mm)",SheetsData,7,FALSE),"Carcass - not tower - new material")))),IF(KitchenHandleFinish="Match door",IF(ISERROR(FIND("Walnut",KitchenDoorMaterial))=FALSE,(0.035*0.075*($C184/1000))*VLOOKUP("Walnut (solid m3)",SolidData,4,FALSE),IF(ISERROR(FIND("Oak",KitchenDoorMaterial))=FALSE,(0.035*0.075*($C184/1000))*VLOOKUP("Oak (solid m3)",SolidData,4,FALSE),IF(ISERROR(FIND("ply",KitchenDoorMaterial))=FALSE,(0.1*($C184/1000))*VLOOKUP("Birch ply (24mm)",SheetsData,7,FALSE),IF(ISERROR(FIND("H/F",KitchenCarcassMaterial))=FALSE,(0.1*($C184/1000))*VLOOKUP("H/F (22mm)",SheetsData,7,FALSE),"Door - not tower - new material")))),"Channel - not tower - handle set to other")),IF(ISERROR(FIND("Tower",$A184))=FALSE,IF(KitchenHandleFinish="Match carcass",IF(ISERROR(FIND("Walnut",KitchenCarcassMaterial))=FALSE,(0.035*0.075*($B184/1000))*VLOOKUP("Walnut (solid m3)",SolidData,4,FALSE),IF(ISERROR(FIND("Oak",KitchenCarcassMaterial))=FALSE,(0.035*0.075*($B184/1000))*VLOOKUP("Oak (solid m3)",SolidData,4,FALSE),IF(ISERROR(FIND("ply",KitchenCarcassMaterial))=FALSE,(0.1*($B184/1000))*VLOOKUP("Birch ply (24mm)",SheetsData,7,FALSE),IF(ISERROR(FIND("H/F",KitchenCarcassMaterial))=FALSE,(0.1*($C184/1000))*VLOOKUP("H/F (22mm)",SheetsData,7,FALSE),"Carcass - tower - new material")))),IF(KitchenHandleFinish="Match door",IF(ISERROR(FIND("Walnut",KitchenDoorMaterial))=FALSE,(0.035*0.075*($B184/1000))*VLOOKUP("Walnut (solid m3)",SolidData,4,FALSE),IF(ISERROR(FIND("Oak",KitchenDoorMaterial))=FALSE,(0.035*0.075*($B184/1000))*VLOOKUP("Oak (solid m3)",SolidData,4,FALSE),IF(ISERROR(FIND("ply",KitchenDoorMaterial))=FALSE,(0.1*($B184/1000))*VLOOKUP("Birch ply (24mm)",SheetData,7,FALSE),IF(ISERROR(FIND("H/F",KitchenCarcassMaterial))=FALSE,(0.1*($C184/1000))*VLOOKUP("H/F (22mm)",SheetsData,7,FALSE),"Door - tower - new material")))),"Channel - tower - handle set to other")))),"")</f>
        <v/>
      </c>
    </row>
    <row r="185">
      <c r="A185" s="150"/>
      <c r="B185" s="115" t="str">
        <f t="shared" si="1"/>
        <v/>
      </c>
      <c r="C185" s="115" t="str">
        <f>IFERROR(__xludf.DUMMYFUNCTION("IF(A185="""","""",IF(OR(RIGHT(A185,LEN(A185)-len(regexextract(A185,"".* "")))=""1200"",RIGHT(A185,LEN(A185)-len(regexextract(A185,"".* "")))=""600"",RIGHT(A185,LEN(A185)-len(regexextract(A185,"".* "")))=""400"",RIGHT(A185,LEN(A185)-len(regexextract(A185,"&amp;""".* "")))=""300"",RIGHT(A185,LEN(A185)-len(regexextract(A185,"".* "")))=""700"",RIGHT(A185,LEN(A185)-len(regexextract(A185,"".* "")))=""2400"",RIGHT(A185,LEN(A185)-len(regexextract(A185,"".* "")))=""650"",RIGHT(A185,LEN(A185)-len(regexextract(A185,"".* "&amp;""")))=""350"",RIGHT(A185,LEN(A185)-len(regexextract(A185,"".* "")))=""50""),RIGHT(A185,LEN(A185)-len(regexextract(A185,"".* ""))),IF(OR(ISERROR(FIND(""spacer"",A185))=FALSE,ISERROR(FIND(""filler panel"",A185))=FALSE),""1000"",""Unexpected size in descript"&amp;"ion"")))"),"")</f>
        <v/>
      </c>
      <c r="D185" s="151" t="str">
        <f t="shared" si="2"/>
        <v/>
      </c>
      <c r="E185" s="152" t="str">
        <f>IFERROR(__xludf.DUMMYFUNCTION("IF(OR(A185="""",AND(ISERROR(FIND(""drawer box"",A185))=FALSE,KitchenDrawerType="""")),"""",IF(OR(ISERROR(FIND(""larder"",A185))=FALSE,ISERROR(FIND(""fridge/freezer"",A185))=FALSE,ISERROR(FIND(""double oven"",A185))=FALSE,ISERROR(FIND(""single oven"",A185)"&amp;")=FALSE),VLOOKUP(LEFT(A185,FIND("" "",A185))&amp;""carcass ""&amp;RIGHT(A185,LEN(A185)-(LEN(A185)-3)),KitchensData,5,0),IF(ISERROR(FIND(""sink"",A185))=FALSE,VLOOKUP(LEFT(A185,FIND("" "",A185))&amp;""carcass ""&amp;VALUE(REGEXREPLACE(A185,""[^[:digit:]]"", """")),Kitchen"&amp;"sData,5,0)+(((C185/1000)*(300/1000))*VLOOKUP(KitchenCarcassMaterial,SheetsData,8,0)),IF(ISERROR(FIND(""bins"",A185))=FALSE,IF(ISERROR(FIND(""veneer"",KitchenCarcassMaterial))=FALSE,VLOOKUP(""Base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600"",A185))=FALSE,IF(ISERR"&amp;"OR(FIND(""veneer"",KitchenCarcassMaterial))=FALSE,0.54*(VLOOKUP(LEFT(KitchenCarcassMaterial,FIND(""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1"&amp;"200"",A185))=FALSE,IF(ISERROR(FIND(""veneer"",KitchenCarcassMaterial))=FALSE,0.84*(VLOOKUP(LEFT(KitchenCarcassMaterial,FIND(""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600"",A185))=FALSE,IF(ISERROR(FIND(""veneer"",KitchenCarcassMaterial))=FALSE,1.44*(VLOOKUP(LEFT(KitchenCarcassMaterial,FIND(""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1200"",A185))=FALSE,IF(ISERROR(FIND(""veneer"",KitchenCarcassMaterial))=FALSE,2.7*(VLOOKUP(LEFT(KitchenCarcassMaterial,FIND(""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front"",A185))=FALSE,((B185/1000)*(C185/1000))*VLOOKUP(KitchenDoorMaterial,SheetsData,8,0),IF(AND(KitchenDrawerType=""Match carcass"",ISERROR(FIND(""drawer box"",A185))=FALSE),(((((B185/10"&amp;"00)*(C185/1000))+((B185/1000)*(D185/1000)))*2)*VLOOKUP(KitchenCarcassMaterial,SheetsData,8,0))+(((C185/1000)*(D185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box"",A185))=FALSE),(((((B185/1000)*(C185/1000))+((B185/1000)*(D185/1000)))*2)*(16/1000)*VLOOKUP(L"&amp;"EFT(KitchenCarcassMaterial,FIND("" "",KitchenCarcassMaterial))&amp;""(solid m3)"",SolidData,5,0))+(((C185/1000)*(D185/1000))*VLOOKUP(LEFT(KitchenCarcassMaterial,FIND(""("",KitchenCarcassMaterial)-1)&amp;IF(OR(ISERROR(FIND(""ply"",KitchenCarcassMaterial))=FALSE,IS"&amp;"ERROR(FIND(""H/F"",KitchenCarcassMaterial))=FALSE),""(9mm)"",""(10mm)""),SheetsData,8,0)),IF(ISERROR(FIND(""spacer"",A185))=FALSE,((D185/1000)*(C185/1000))*VLOOKUP(""Poplar ply (18mm)"",SheetsData,8,0),IF(ISERROR(FIND(""filler panel"",A185))=FALSE,((B185/"&amp;"1000)*(C185/1000))*VLOOKUP(KitchenDoorMaterial,SheetsData,8,0),IF(ISERROR(FIND(""shelf"",A185))=FALSE,((D185/1000)*(C185/1000))*VLOOKUP(KitchenCarcassMaterial,SheetsData,8,0),IF(ISERROR(FIND(""lost corner"",A185))=FALSE,VLOOKUP(LEFT(A185,FIND("" "",A185))"&amp;"&amp;""carcass ""&amp;VALUE(REGEXREPLACE(A185,""[^[:digit:]]"", """")),KitchensData,5,0)+((((B185/1000)*(C185/1000))+((B185/1000)*(60/1000)))*VLOOKUP(KitchenCarcassMaterial,SheetsData,8,0)),IF(ISERROR(FIND(""carcass"",A185))=FALSE,(((((B185/1000)*2)*(D185/1000))+"&amp;"(((C185/1000)*2)*(D185/1000)))*VLOOKUP(KitchenCarcassMaterial,SheetsData,8,0))+((B185/1000)*(C185/1000))*VLOOKUP(LEFT(KitchenCarcassMaterial,FIND(""("",KitchenCarcassMaterial)-1)&amp;IF(OR(ISERROR(FIND(""ply"",KitchenCarcassMaterial))=FALSE,ISERROR(FIND(""H/F"&amp;""",KitchenCarcassMaterial))=FALSE),""(9mm)"",""(10mm)""),SheetsData,8,0),IF(OR(ISERROR(FIND(""Plinth"",A185))=FALSE,ISERROR(FIND(""Cornice (flat)"",A185))=FALSE),((B185/1000)*(C185/1000))*VLOOKUP(""H/F (18mm)"",SheetsData,8,0),IF(ISERROR(FIND(""Cornice (s"&amp;"tacked)"",A185))=FALSE,((0.08*(C185/1000))*2)*VLOOKUP(""H/F (22mm)"",SheetsData,8,0),IF(ISERROR(FIND(""Base end panel"",A185))=FALSE,VLOOKUP(KitchenDoorMaterial,SheetsData,5,0)/3,IF(ISERROR(FIND(""Wall end panel"",A185))=FALSE,VLOOKUP(KitchenDoorMaterial,"&amp;"SheetsData,5,0)/9,IF(ISERROR(FIND(""Tower end panel"",A185))=FALSE,VLOOKUP(KitchenDoorMaterial,SheetsData,5,0),IF(ISERROR(FIND(""Fillers"",A185))=FALSE,(((0.06*(C185/1000))*2)*VLOOKUP(""H/F (18mm)"",SheetsData,8,0))+(((0.06*(C185/1000))*2)*VLOOKUP(""H/F ("&amp;"9mm)"",SheetsData,8,0)),IF(ISERROR(FIND(""corner post"",A185))=FALSE,(((B185/1000)*0.05)*2)*VLOOKUP(KitchenDoorMaterial,SheetsData,8,0),IF(ISERROR(FIND(""Pelmet"",A185))=FALSE,((((B185/1000)*(C185/1000))*2)*VLOOKUP(""H/F (18mm)"",SheetsData,8,0)),IF(ISERR"&amp;"OR(FIND(""door"",A185))=TRUE,""Check description"",IF(KitchenDoorStyle=""Flat"",((B185/1000)*(C185/1000))*VLOOKUP(KitchenDoorMaterial,SheetsData,8,0),IF(LEFT(KitchenDoorStyle,5)=""Panel"",(((((B185/1000)*2)*0.08)+((((C185/1000)-0.16)*2)*0.08))*VLOOKUP(""H"&amp;"/F (22mm)"",SheetsData,8,0))+(((B185/1000)-0.14)*((C185/1000)-0.14)*VLOOKUP(""H/F (9mm)"",SheetsData,8,0)),IF(KitchenDoorStyle=""In-frame flat"",((((((B185/1000)*0.019)*0.038)+((((C185-38)/1000)*0.038)*0.038))*2)*VLOOKUP(""Tulip (solid m3)"",SolidData,5,0"&amp;"))+(((B185-76)/1000)*((C185-38)/1000))*VLOOKUP(""H/F (22mm)"",SheetsData,8,0),IF(LEFT(KitchenDoorStyle,14)=""In-frame panel"",(((((((B185/1000)*0.019)*0.038)+((((C185-38)/1000)*0.038)*0.038))*2)*VLOOKUP(""Tulip (solid m3)"",SolidData,5,0))+(((((((B185-76)"&amp;"/1000)*2)*0.08)+(((((C185-198)/1000)*2)*0.08)))*VLOOKUP(""H/F (22mm)"",SheetsData,8,0))+(((B185-216)/1000)*((C185-178)/1000)*VLOOKUP(""H/F (9mm)"",SheetsData,8,0)))))))))))))))))))))))))))))))))"),"")</f>
        <v/>
      </c>
      <c r="F185" s="152" t="str">
        <f>IFERROR(__xludf.DUMMYFUNCTION("IF(OR(A185="""",AND(ISERROR(FIND(""drawer box"",A185))=FALSE,KitchenDrawerType=""Solid dovetail"")),"""",IF(ISERROR(FIND(""bins"",A185))=FALSE,VLOOKUP(""Base carcass 600"",KitchensData,6,0),IF(OR(ISERROR(FIND(""larder"",A185))=FALSE,ISERROR(FIND(""unit"","&amp;"A185))=FALSE),VLOOKUP(LEFT(A185,FIND("" "",A185))&amp;""carcass ""&amp;RIGHT(A185,LEN(A185)-len(regexextract(A185,"".* ""))),KitchensData,6,0),IF(ISERROR(FIND(""drawer front"",A185))=FALSE,IF(ISERROR(FIND(""veneer"",KitchenCarcassMaterial))=TRUE,0,(((B185+C185)/1"&amp;"000)*2)*VLOOKUP(""Edge banding (per M)"",SheetsData,5,0)),IF(ISERROR(FIND(""drawer box"",A185))=FALSE,IF(ISERROR(FIND(""veneer"",KitchenCarcassMaterial))=TRUE,0,(((C185+D185)/1000)*2)*VLOOKUP(""Edge banding (per M)"",SheetsData,5,0)),IF(ISERROR(FIND(""she"&amp;"lf"",A185))=FALSE,IF(ISERROR(FIND(""veneer"",KitchenCarcassMaterial))=TRUE,0,(C185/1000)*VLOOKUP(""Edge banding (per M)"",SheetsData,5,0)),IF(AND(ISERROR(FIND(""carcass"",A185))=FALSE,ISERROR(FIND(""shelf"",A185))=TRUE),IF(ISERROR(FIND(""veneer"",KitchenC"&amp;"arcassMaterial))=TRUE,0,((2*(B185+C185))/1000)*VLOOKUP(""Edge banding (per M)"",SheetsData,5,0)),IF(ISERROR(FIND(""door"",A185))=TRUE,"""",IF(ISERROR(FIND(""veneer"",KitchenDoorMaterial))=TRUE,"""",((2*(B185+C185))/1000)*VLOOKUP(""Edge banding (per M)"",S"&amp;"heetsData,5,0))))))))))"),"")</f>
        <v/>
      </c>
      <c r="G185" s="153" t="str">
        <f>IF(A185="","",IF(ISERROR(FIND("bins",A185))=FALSE,VLOOKUP("Base carcass 600",KitchensData,7,0),IF(OR(ISERROR(FIND("larder",A185))=FALSE,ISERROR(FIND("fridge/freezer",A185))=FALSE,ISERROR(FIND("double oven",A185))=FALSE,ISERROR(FIND("single oven",A185))=FALSE),VLOOKUP(LEFT(A185,FIND(" ",A185))&amp;"carcass "&amp;RIGHT(A185,LEN(A185)-(LEN(A185)-3)),KitchensData,7,0),IF(AND(ISERROR(FIND("carcass",A185))=FALSE,ISERROR(FIND("shelf",A185))=TRUE),IF(OR(ISERROR(FIND("Base",A185))=FALSE,ISERROR(FIND("Tower",A185))=FALSE),IF(OR(ISERROR(FIND("1200",A185))=FALSE, ISERROR(FIND("lost corner",A185))=FALSE),6*VLOOKUP("Plinth foot (2 Parts 80mm)",FurnitureData,5,0),4*VLOOKUP("Plinth foot (2 Parts 80mm)",FurnitureData,5,0)),""),""))))</f>
        <v/>
      </c>
      <c r="H185" s="115" t="str">
        <f>IF(OR(A185="",ISERROR(FIND("door",A185))=TRUE),"",IF(ISERROR(FIND("Wall",A185))=FALSE,VLOOKUP("Hinges &amp; plates (Hettich thick door)",FurnitureData,5,0)*2,IF(ISERROR(FIND("Base",A185))=FALSE,VLOOKUP("Hinges &amp; plates (Hettich thick door)",FurnitureData,5,0)*3,IF(ISERROR(FIND("Boiler",A185))=FALSE,VLOOKUP("Hinges &amp; plates (Hettich thick door)",FurnitureData,5,0)*4,IF(ISERROR(FIND("Tower",A185))=FALSE,VLOOKUP("Hinges &amp; plates (Hettich thick door)",FurnitureData,5,0)*5)))))</f>
        <v/>
      </c>
      <c r="I185" s="115" t="str">
        <f>IF(ISERROR(FIND("shelf",A185))=FALSE,(VLOOKUP("Shelf pegs",FurnitureData,5,0)/100)*4,"")</f>
        <v/>
      </c>
      <c r="J185" s="152" t="str">
        <f>IF(OR(ISERROR(FIND("fridge/freezer",A185))=FALSE,ISERROR(FIND("larder",A185))=FALSE,AND(ISERROR(FIND("Base",A185))=FALSE,ISERROR(FIND("bins",A185))=TRUE,ISERROR(FIND("no shelves",A185))=TRUE,OR(ISERROR(FIND("carcass",A185))=FALSE,ISERROR(FIND("unit",A185))=FALSE))),VLOOKUP("Deep shelf "&amp;C185,KitchensData,18,0),IF(AND(ISERROR(FIND("Wall",A185))=FALSE,ISERROR(FIND("carcass",A185))=FALSE),2*VLOOKUP("Shallow shelf "&amp;C185,KitchensData,18,0),IF(AND(ISERROR(FIND("Tower",A185))=FALSE,ISERROR(FIND("oven",A185))=FALSE),4*VLOOKUP("Deep shelf "&amp;C185,KitchensData,18,0),IF(AND(ISERROR(FIND("Tower",A185))=FALSE,ISERROR(FIND("carcass",A185))=FALSE),5*VLOOKUP("Deep shelf "&amp;C185,KitchensData,18,0),""))))</f>
        <v/>
      </c>
      <c r="K185" s="152" t="str">
        <f>IF(ISERROR(FIND("sink",A185))=FALSE,VLOOKUP("Sink liner - Aluminium "&amp;RIGHT(A185,LEN(A185)-22)&amp;"mm",ExceptionalData,5,0),IF(ISERROR(FIND("bins",A185))=FALSE,VLOOKUP("Drawer runners and clip set for bin unit (500) Dynapro",FurnitureData,5,0)+(2*VLOOKUP("Bin (42L Anthracite)",FurnitureData,5,0)),IF(ISERROR(FIND("larder",A185))=FALSE,VLOOKUP("Pull out larder unit 600mm",FurnitureData,5,0),IF(AND(ISERROR(FIND("drawer box",A185))=FALSE,ISERROR(FIND("internal",A185))=TRUE),VLOOKUP("Drawer runners and clip set (550) Dynapro",FurnitureData,5,0),IF(ISERROR(FIND("internal drawer box",A185))=FALSE,VLOOKUP("Drawer runners and clip set (450) Dynapro",FurnitureData,5,0),"")))))</f>
        <v/>
      </c>
      <c r="L185" s="152" t="str">
        <f t="shared" si="3"/>
        <v/>
      </c>
      <c r="M185" s="154" t="str">
        <f>IFERROR(__xludf.DUMMYFUNCTION("IF(A185="""","""",IF(OR(ISERROR(FIND(""larder"",A185))=FALSE,ISERROR(FIND(""unit"",A185))=FALSE),VLOOKUP(LEFT(A185,FIND("" "",A185))&amp;""carcass ""&amp;RIGHT(A185,LEN(A185)-len(regexextract(A185,"".* ""))),KitchensData,13,0),IF(ISERROR(FIND(""bins"",A185))=FALS"&amp;"E,0.95,IF(ISERROR(FIND(""Cutlery insert 600"",A185))=FALSE,1.3,IF(ISERROR(FIND(""Cutlery insert 1200"",A185))=FALSE,2,IF(ISERROR(FIND(""Pan/tray rack 600"",A185))=FALSE,3.25,IF(ISERROR(FIND(""Pan/tray rack 1200"",A185))=FALSE,5.9,IF(ISERROR(FIND(""split"""&amp;",A185))=FALSE,(((C185/1000)*0.022)*2)+VLOOKUP(SUBSTITUTE(A185,"" split"",""""),KitchensData,13,0),IF(AND(ISERROR(FIND(""drawer front"",A185))=FALSE,KitchenDoorStyle=""Flat""),(((B185/1000)*(C185/1000))*2)+((((B185+C185)/1000)*2)*0.022),IF(AND(ISERROR(FIND"&amp;"(""drawer front"",A185))=FALSE,LEFT(KitchenDoorStyle,5)=""Panel""),(((B185/1000)*(C185/1000))*2)+((((B185+C185)/1000)*2)*0.022)+((((C185/1000)-0.16)*0.013)*2)+((((D185/1000)-0.16)*0.013)*2),IF(AND(ISERROR(FIND(""drawer front"",A185))=FALSE,KitchenDoorStyl"&amp;"e=""In-frame flat""),((((B185-76)/1000)*((C185-38)/1000))*2)+(MID(KitchenDoorMaterial,FIND(""("",KitchenDoorMaterial)+1,2)/1000)*((((B185-76)+(C185-38))/1000)*2)+(((B185/1000)*0.032)*2)+((((B185-76)/1000)*0.032)*2)+(((B185/1000)*0.019)*4)+(((C185/1000)*0."&amp;"032)*2)+((((C185-38)/1000)*0.032)*2)+(((C185/1000)*0.038)*4),IF(AND(ISERROR(FIND(""drawer front"",A185))=FALSE,LEFT(KitchenDoorStyle,14)=""In-frame panel""),((((B185-76)/1000)*((C185-38)/1000))*2)+((MID(KitchenDoorMaterial,FIND(""("",KitchenDoorMaterial)+"&amp;"1,2)/1000)*((((B185-76)+(C185-38))/1000)*2))+((((B185-236)/1000)+((C185-198)/1000)*2)*0.013)+(((B185/1000)*0.032)*2)+((((B185-76)/1000)*0.032)*2)+(((B185/1000)*0.019)*4)+(((C185/1000)*0.032)*2)+((((C185-38)/1000)*0.032)*2)+(((C185/1000)*0.038)*4),IF(ISERR"&amp;"OR(FIND(""drawer box"",A185))=FALSE,((((B185/1000)*(D185/1000))+((B185/1000)*(C185/1000)))*4)+((((D185/1000)+(C185/1000))*0.016)*4)+(((C185/1000)*(D185/1000))*2),IF(OR(ISERROR(FIND(""shelf"",A185))=FALSE,ISERROR(FIND(""spacer"",A185))=FALSE,,ISERROR(FIND("&amp;"""filler panel"",A185))=FALSE),(((C185/1000)*(D185/1000))*2)+((((C185+D185)*2)/1000)*0.022),IF(ISERROR(FIND(""lost corner"",A185))=FALSE,(((B185/1000)*(C185/1000))*2)+((B185/1000)*(C185/1000))+((B185/1000)*((C185/2)/1000))+((((B185/1000)*0.025)+((C185/100"&amp;"0)*0.025))*2),IF(ISERROR(FIND(""carcass"",A185))=FALSE,(((C185/1000)*(D185/1000))*2)+(((B185/1000)*(D185/1000))*2)+((B185/1000)*(C185/1000))+((((B185/1000)*0.025)+((C185/1000)*0.025))*2),IF(AND(ISERROR(FIND(""door"",A185))=FALSE,KitchenDoorStyle=""Flat"")"&amp;",(((B185/1000)*(C185/1000))*2)+(MID(KitchenDoorMaterial,FIND(""("",KitchenDoorMaterial)+1,2)/1000)*(((B185+C185)/1000)*2),IF(AND(ISERROR(FIND(""door"",A185))=FALSE,LEFT(KitchenDoorStyle,5)=""Panel""),(((B185/1000)*(C185/1000))*2)+((MID(KitchenDoorMaterial"&amp;",FIND(""("",KitchenDoorMaterial)+1,2)/1000)*(((B185+C185)/1000)*2))+(((((B185-160)+(C185-160))*2)/1000)*(0.013)),IF(AND(ISERROR(FIND(""door"",A185))=FALSE,KitchenDoorStyle=""In-frame flat""),((((B185-76)/1000)*((C185-38)/1000))*2)+(MID(KitchenDoorMaterial"&amp;",FIND(""("",KitchenDoorMaterial)+1,2)/1000)*((((B185-76)+(C185-38))/1000)*2)+(((B185/1000)*0.032)*2)+((((B185-76)/1000)*0.032)*2)+(((B185/1000)*0.019)*4)+(((C185/1000)*0.032)*2)+((((C185-38)/1000)*0.032)*2)+(((C185/1000)*0.038)*4),IF(AND(ISERROR(FIND(""do"&amp;"or"",A185))=FALSE,LEFT(KitchenDoorStyle,14)=""In-frame panel""),((((B185-76)/1000)*((C185-38)/1000))*2)+((MID(KitchenDoorMaterial,FIND(""("",KitchenDoorMaterial)+1,2)/1000)*((((B185-76)+(C185-38))/1000)*2))+((((B185-236)/1000)+((C185-198)/1000)*2)*0.013)+"&amp;"(((B185/1000)*0.032)*2)+((((B185-76)/1000)*0.032)*2)+(((B185/1000)*0.019)*4)+(((C185/1000)*0.032)*2)+((((C185-38)/1000)*0.032)*2)+(((C185/1000)*0.038)*4),IF(ISERROR(FIND(""Plinth"",A185))=FALSE,((B185/1000)*(C185/1000))+(((C185/1000)*0.018)*2)+(((B185/100"&amp;"0)*0.018)*2),IF(ISERROR(FIND(""Cornice"",A185))=FALSE,(((C185/1000)*0.1)*2)+(((C185/1000)*0.044)*2)+(((B185/1000)*0.08)*2),IF(ISERROR(FIND(""Base end panel"",A185))=FALSE,((B185/1000)*(C185/1000))+(0.022*((B185/1000)+((C185/1000)*2)))+((B185/1000)*0.05),I"&amp;"F(ISERROR(FIND(""Wall end panel"",A185))=FALSE,((B185/1000)*(C185/1000))+(0.022*((B185/1000)+((C185/1000)*2)))+((B185/1000)*0.05),IF(ISERROR(FIND(""Tower end panel"",A185))=FALSE,((B185/1000)*(C185/1000))+(0.022*((B185/1000)+((C185/1000)*2)))+((B185/1000)"&amp;"*0.05),IF(ISERROR(FIND(""Fillers"",A185))=FALSE,((C185/1000)*0.06)+((C185/1000)*0.069)+((0.06*0.018)*2)+((0.06*0.009)*2)+((C185/1000)*0.009)+((C185/1000)*0.018),IF(ISERROR(FIND(""corner post"",A185))=FALSE,(((B185/1000*0.05)*2)+((B185/1000)*0.022)*2)+((B1"&amp;"85/1000)*0.072)+((B185/1000)*0.05)+((0.072*0.022)*2)+((0.05*0.022)*2),IF(ISERROR(FIND(""Pelmet"",A185))=FALSE,((C185/1000)*0.05)+((C185/1000)*0.068)+((0.05*0.018)*4)+(((C185/1000)*0.018))*2))))))))))))))))))))))))))))"),"")</f>
        <v/>
      </c>
      <c r="N185" s="152" t="str">
        <f>IF(M185="","",IF(AND(ISERROR(FIND("carcass",A185))=TRUE,ISERROR(FIND("unit",A185))=TRUE,ISERROR(FIND("insert",A185))=TRUE,ISERROR(FIND("rack",A185))=TRUE,ISERROR(FIND("box",A185))=TRUE,ISERROR(FIND("shelf",#REF!))=TRUE),VLOOKUP(KitchenDoorFinish,Finishing!$A$2:$K$10,9,0)*M185,VLOOKUP(KitchenCarcassFinish,Finishing!$A$2:$K$40,9,0)*M185))</f>
        <v/>
      </c>
      <c r="O185" s="155"/>
      <c r="P185" s="155"/>
      <c r="Q185" s="152" t="str">
        <f>IF(OR(O185="",P185=""),"",((O185*X185)*(VLOOKUP("Workshop",Labour!$A$3:$E$20,4,0)/8))+((P185*AE185)*(VLOOKUP("Finishing",Labour!$A$3:$E$20,4,0)/8)))</f>
        <v/>
      </c>
      <c r="R185" s="152" t="str">
        <f t="shared" si="4"/>
        <v/>
      </c>
      <c r="S185" s="156" t="str">
        <f>IF(OR(O185="",P185=""),"",IF(OR(ISERROR(FIND("carcass",$A185))=FALSE,ISERROR(FIND("unit",$A185))=FALSE),VLOOKUP(KitchenCarcassMaterial,FixedListsCarcassMaterial,2,0),0))</f>
        <v/>
      </c>
      <c r="T185" s="156" t="str">
        <f>IF(OR(O185="",P185=""),"",IF(ISERROR(FIND("door",$A185))=FALSE,VLOOKUP(KitchenDoorStyle,FixedListsDoorStyle,2,0),0))</f>
        <v/>
      </c>
      <c r="U185" s="156" t="str">
        <f>IF(OR(O185="",P185=""),"",IF(ISERROR(FIND("door",$A185))=FALSE,VLOOKUP(KitchenDoorMaterial,FixedListsDoorMaterial,2,0),0))</f>
        <v/>
      </c>
      <c r="V185" s="156" t="str">
        <f>IF(OR(O185="",P185=""),"",IF(ISERROR(FIND("drawer",$A185))=FALSE,VLOOKUP(KitchenDrawerType,FixedListsDrawerType,2,0),0))</f>
        <v/>
      </c>
      <c r="W185" s="156" t="str">
        <f>IF(OR(O185="",P185=""),"",IF(OR(S185&gt;0, T185&gt;0,V185&gt;0),VLOOKUP(KitchenHandleType,FixedListsHandleType,2,FALSE)*IF(KitchenHandleType="Simple",0,IF(S185&gt;0,VLOOKUP(KitchenHandleType,FixedListsHandleType,4,FALSE),IF(OR(T185&gt;0,V185&gt;0),1-VLOOKUP(KitchenHandleType,FixedListsHandleType,4,FALSE),"Error"))),0))</f>
        <v/>
      </c>
      <c r="X185" s="156" t="str">
        <f t="shared" si="5"/>
        <v/>
      </c>
      <c r="Y185" s="156" t="str">
        <f>IF(OR(O185="",P185=""),"",IF(OR(ISERROR(FIND("carcass",$A185))=FALSE,ISERROR(FIND("unit",$A185))=FALSE),VLOOKUP(KitchenCarcassMaterial,FixedListsCarcassMaterial,3,0),0))</f>
        <v/>
      </c>
      <c r="Z185" s="156" t="str">
        <f>IF(OR(O185="",P185=""),"",IF(ISERROR(FIND("door",$A185))=FALSE,VLOOKUP(KitchenDoorStyle,FixedListsDoorStyle,3,0),0))</f>
        <v/>
      </c>
      <c r="AA185" s="156" t="str">
        <f>IF(OR(O185="",P185=""),"",IF(ISERROR(FIND("door",$A185))=FALSE,VLOOKUP(KitchenDoorMaterial,FixedListsDoorMaterial,3,0),0))</f>
        <v/>
      </c>
      <c r="AB185" s="156" t="str">
        <f>IF(OR(O185="",P185=""),"",IF(ISERROR(FIND("drawer",$A185))=FALSE,VLOOKUP(KitchenDrawerType,FixedListsDrawerType,3,0),0))</f>
        <v/>
      </c>
      <c r="AC185" s="156" t="str">
        <f>IF(OR(O185="",P185=""),"",IF(OR(Y185&gt;0,Z185&gt;0,AB185&gt;0),VLOOKUP(KitchenHandleType,FixedListsHandleType,3,FALSE),0))</f>
        <v/>
      </c>
      <c r="AD185" s="156" t="str">
        <f>IF(OR(O185="",P185=""),"",IF(OR(ISERROR(FIND("carcass",$A185))=FALSE,ISERROR(FIND("unit",$A185))=FALSE),VLOOKUP(KitchenCarcassFinish,FixedListsFinishes,3,0),IF(OR(ISERROR(FIND("door",$A185))=FALSE,ISERROR(FIND("Plinth",$A185))=FALSE,ISERROR(FIND("Cornice",$A185))=FALSE,ISERROR(FIND("Fillers",$A185))=FALSE,ISERROR(FIND("Pelmet",$A185))=FALSE,ISERROR(FIND("panel",$A185))=FALSE,ISERROR(FIND("post",$A185))=FALSE),VLOOKUP(KitchenDoorFinish,FixedListsFinishes,3,0),IF(OR(ISERROR(FIND("drawer",$A185))=FALSE,ISERROR(FIND("insert",$A185))=FALSE,ISERROR(FIND("rck",$A185))=FALSE),VLOOKUP(KitchenCarcassFinish,FixedListsFinishes,3,0),0))))</f>
        <v/>
      </c>
      <c r="AE185" s="156" t="str">
        <f t="shared" si="6"/>
        <v/>
      </c>
      <c r="AF185" s="157" t="str">
        <f>IF(AND(KitchenHandleType="Channel",OR(ISERROR(FIND("arcass",$A185))=FALSE,ISERROR(FIND("unit",$A185))=FALSE)),IF(ISERROR(FIND("Tower",$A185))=TRUE,IF(KitchenHandleFinish="Match carcass",IF(ISERROR(FIND("Walnut",KitchenCarcassMaterial))=FALSE,(0.035*0.075*($C185/1000))*VLOOKUP("Walnut (solid m3)",SolidData,4,FALSE),IF(ISERROR(FIND("Oak",KitchenCarcassMaterial))=FALSE,(0.035*0.075*($C185/1000))*VLOOKUP("Oak (solid m3)",SolidData,4,FALSE),IF(ISERROR(FIND("ply",KitchenCarcassMaterial))=FALSE,(0.1*($C185/1000))*VLOOKUP("Birch ply (24mm)",SheetsData,7,FALSE),IF(ISERROR(FIND("H/F",KitchenCarcassMaterial))=FALSE,(0.1*($C185/1000))*VLOOKUP("H/F (22mm)",SheetsData,7,FALSE),"Carcass - not tower - new material")))),IF(KitchenHandleFinish="Match door",IF(ISERROR(FIND("Walnut",KitchenDoorMaterial))=FALSE,(0.035*0.075*($C185/1000))*VLOOKUP("Walnut (solid m3)",SolidData,4,FALSE),IF(ISERROR(FIND("Oak",KitchenDoorMaterial))=FALSE,(0.035*0.075*($C185/1000))*VLOOKUP("Oak (solid m3)",SolidData,4,FALSE),IF(ISERROR(FIND("ply",KitchenDoorMaterial))=FALSE,(0.1*($C185/1000))*VLOOKUP("Birch ply (24mm)",SheetsData,7,FALSE),IF(ISERROR(FIND("H/F",KitchenCarcassMaterial))=FALSE,(0.1*($C185/1000))*VLOOKUP("H/F (22mm)",SheetsData,7,FALSE),"Door - not tower - new material")))),"Channel - not tower - handle set to other")),IF(ISERROR(FIND("Tower",$A185))=FALSE,IF(KitchenHandleFinish="Match carcass",IF(ISERROR(FIND("Walnut",KitchenCarcassMaterial))=FALSE,(0.035*0.075*($B185/1000))*VLOOKUP("Walnut (solid m3)",SolidData,4,FALSE),IF(ISERROR(FIND("Oak",KitchenCarcassMaterial))=FALSE,(0.035*0.075*($B185/1000))*VLOOKUP("Oak (solid m3)",SolidData,4,FALSE),IF(ISERROR(FIND("ply",KitchenCarcassMaterial))=FALSE,(0.1*($B185/1000))*VLOOKUP("Birch ply (24mm)",SheetsData,7,FALSE),IF(ISERROR(FIND("H/F",KitchenCarcassMaterial))=FALSE,(0.1*($C185/1000))*VLOOKUP("H/F (22mm)",SheetsData,7,FALSE),"Carcass - tower - new material")))),IF(KitchenHandleFinish="Match door",IF(ISERROR(FIND("Walnut",KitchenDoorMaterial))=FALSE,(0.035*0.075*($B185/1000))*VLOOKUP("Walnut (solid m3)",SolidData,4,FALSE),IF(ISERROR(FIND("Oak",KitchenDoorMaterial))=FALSE,(0.035*0.075*($B185/1000))*VLOOKUP("Oak (solid m3)",SolidData,4,FALSE),IF(ISERROR(FIND("ply",KitchenDoorMaterial))=FALSE,(0.1*($B185/1000))*VLOOKUP("Birch ply (24mm)",SheetData,7,FALSE),IF(ISERROR(FIND("H/F",KitchenCarcassMaterial))=FALSE,(0.1*($C185/1000))*VLOOKUP("H/F (22mm)",SheetsData,7,FALSE),"Door - tower - new material")))),"Channel - tower - handle set to other")))),"")</f>
        <v/>
      </c>
    </row>
    <row r="186">
      <c r="A186" s="150"/>
      <c r="B186" s="115" t="str">
        <f t="shared" si="1"/>
        <v/>
      </c>
      <c r="C186" s="115" t="str">
        <f>IFERROR(__xludf.DUMMYFUNCTION("IF(A186="""","""",IF(OR(RIGHT(A186,LEN(A186)-len(regexextract(A186,"".* "")))=""1200"",RIGHT(A186,LEN(A186)-len(regexextract(A186,"".* "")))=""600"",RIGHT(A186,LEN(A186)-len(regexextract(A186,"".* "")))=""400"",RIGHT(A186,LEN(A186)-len(regexextract(A186,"&amp;""".* "")))=""300"",RIGHT(A186,LEN(A186)-len(regexextract(A186,"".* "")))=""700"",RIGHT(A186,LEN(A186)-len(regexextract(A186,"".* "")))=""2400"",RIGHT(A186,LEN(A186)-len(regexextract(A186,"".* "")))=""650"",RIGHT(A186,LEN(A186)-len(regexextract(A186,"".* "&amp;""")))=""350"",RIGHT(A186,LEN(A186)-len(regexextract(A186,"".* "")))=""50""),RIGHT(A186,LEN(A186)-len(regexextract(A186,"".* ""))),IF(OR(ISERROR(FIND(""spacer"",A186))=FALSE,ISERROR(FIND(""filler panel"",A186))=FALSE),""1000"",""Unexpected size in descript"&amp;"ion"")))"),"")</f>
        <v/>
      </c>
      <c r="D186" s="151" t="str">
        <f t="shared" si="2"/>
        <v/>
      </c>
      <c r="E186" s="152" t="str">
        <f>IFERROR(__xludf.DUMMYFUNCTION("IF(OR(A186="""",AND(ISERROR(FIND(""drawer box"",A186))=FALSE,KitchenDrawerType="""")),"""",IF(OR(ISERROR(FIND(""larder"",A186))=FALSE,ISERROR(FIND(""fridge/freezer"",A186))=FALSE,ISERROR(FIND(""double oven"",A186))=FALSE,ISERROR(FIND(""single oven"",A186)"&amp;")=FALSE),VLOOKUP(LEFT(A186,FIND("" "",A186))&amp;""carcass ""&amp;RIGHT(A186,LEN(A186)-(LEN(A186)-3)),KitchensData,5,0),IF(ISERROR(FIND(""sink"",A186))=FALSE,VLOOKUP(LEFT(A186,FIND("" "",A186))&amp;""carcass ""&amp;VALUE(REGEXREPLACE(A186,""[^[:digit:]]"", """")),Kitchen"&amp;"sData,5,0)+(((C186/1000)*(300/1000))*VLOOKUP(KitchenCarcassMaterial,SheetsData,8,0)),IF(ISERROR(FIND(""bins"",A186))=FALSE,IF(ISERROR(FIND(""veneer"",KitchenCarcassMaterial))=FALSE,VLOOKUP(""Base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600"",A186))=FALSE,IF(ISERR"&amp;"OR(FIND(""veneer"",KitchenCarcassMaterial))=FALSE,0.54*(VLOOKUP(LEFT(KitchenCarcassMaterial,FIND(""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1"&amp;"200"",A186))=FALSE,IF(ISERROR(FIND(""veneer"",KitchenCarcassMaterial))=FALSE,0.84*(VLOOKUP(LEFT(KitchenCarcassMaterial,FIND(""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600"",A186))=FALSE,IF(ISERROR(FIND(""veneer"",KitchenCarcassMaterial))=FALSE,1.44*(VLOOKUP(LEFT(KitchenCarcassMaterial,FIND(""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1200"",A186))=FALSE,IF(ISERROR(FIND(""veneer"",KitchenCarcassMaterial))=FALSE,2.7*(VLOOKUP(LEFT(KitchenCarcassMaterial,FIND(""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front"",A186))=FALSE,((B186/1000)*(C186/1000))*VLOOKUP(KitchenDoorMaterial,SheetsData,8,0),IF(AND(KitchenDrawerType=""Match carcass"",ISERROR(FIND(""drawer box"",A186))=FALSE),(((((B186/10"&amp;"00)*(C186/1000))+((B186/1000)*(D186/1000)))*2)*VLOOKUP(KitchenCarcassMaterial,SheetsData,8,0))+(((C186/1000)*(D186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box"",A186))=FALSE),(((((B186/1000)*(C186/1000))+((B186/1000)*(D186/1000)))*2)*(16/1000)*VLOOKUP(L"&amp;"EFT(KitchenCarcassMaterial,FIND("" "",KitchenCarcassMaterial))&amp;""(solid m3)"",SolidData,5,0))+(((C186/1000)*(D186/1000))*VLOOKUP(LEFT(KitchenCarcassMaterial,FIND(""("",KitchenCarcassMaterial)-1)&amp;IF(OR(ISERROR(FIND(""ply"",KitchenCarcassMaterial))=FALSE,IS"&amp;"ERROR(FIND(""H/F"",KitchenCarcassMaterial))=FALSE),""(9mm)"",""(10mm)""),SheetsData,8,0)),IF(ISERROR(FIND(""spacer"",A186))=FALSE,((D186/1000)*(C186/1000))*VLOOKUP(""Poplar ply (18mm)"",SheetsData,8,0),IF(ISERROR(FIND(""filler panel"",A186))=FALSE,((B186/"&amp;"1000)*(C186/1000))*VLOOKUP(KitchenDoorMaterial,SheetsData,8,0),IF(ISERROR(FIND(""shelf"",A186))=FALSE,((D186/1000)*(C186/1000))*VLOOKUP(KitchenCarcassMaterial,SheetsData,8,0),IF(ISERROR(FIND(""lost corner"",A186))=FALSE,VLOOKUP(LEFT(A186,FIND("" "",A186))"&amp;"&amp;""carcass ""&amp;VALUE(REGEXREPLACE(A186,""[^[:digit:]]"", """")),KitchensData,5,0)+((((B186/1000)*(C186/1000))+((B186/1000)*(60/1000)))*VLOOKUP(KitchenCarcassMaterial,SheetsData,8,0)),IF(ISERROR(FIND(""carcass"",A186))=FALSE,(((((B186/1000)*2)*(D186/1000))+"&amp;"(((C186/1000)*2)*(D186/1000)))*VLOOKUP(KitchenCarcassMaterial,SheetsData,8,0))+((B186/1000)*(C186/1000))*VLOOKUP(LEFT(KitchenCarcassMaterial,FIND(""("",KitchenCarcassMaterial)-1)&amp;IF(OR(ISERROR(FIND(""ply"",KitchenCarcassMaterial))=FALSE,ISERROR(FIND(""H/F"&amp;""",KitchenCarcassMaterial))=FALSE),""(9mm)"",""(10mm)""),SheetsData,8,0),IF(OR(ISERROR(FIND(""Plinth"",A186))=FALSE,ISERROR(FIND(""Cornice (flat)"",A186))=FALSE),((B186/1000)*(C186/1000))*VLOOKUP(""H/F (18mm)"",SheetsData,8,0),IF(ISERROR(FIND(""Cornice (s"&amp;"tacked)"",A186))=FALSE,((0.08*(C186/1000))*2)*VLOOKUP(""H/F (22mm)"",SheetsData,8,0),IF(ISERROR(FIND(""Base end panel"",A186))=FALSE,VLOOKUP(KitchenDoorMaterial,SheetsData,5,0)/3,IF(ISERROR(FIND(""Wall end panel"",A186))=FALSE,VLOOKUP(KitchenDoorMaterial,"&amp;"SheetsData,5,0)/9,IF(ISERROR(FIND(""Tower end panel"",A186))=FALSE,VLOOKUP(KitchenDoorMaterial,SheetsData,5,0),IF(ISERROR(FIND(""Fillers"",A186))=FALSE,(((0.06*(C186/1000))*2)*VLOOKUP(""H/F (18mm)"",SheetsData,8,0))+(((0.06*(C186/1000))*2)*VLOOKUP(""H/F ("&amp;"9mm)"",SheetsData,8,0)),IF(ISERROR(FIND(""corner post"",A186))=FALSE,(((B186/1000)*0.05)*2)*VLOOKUP(KitchenDoorMaterial,SheetsData,8,0),IF(ISERROR(FIND(""Pelmet"",A186))=FALSE,((((B186/1000)*(C186/1000))*2)*VLOOKUP(""H/F (18mm)"",SheetsData,8,0)),IF(ISERR"&amp;"OR(FIND(""door"",A186))=TRUE,""Check description"",IF(KitchenDoorStyle=""Flat"",((B186/1000)*(C186/1000))*VLOOKUP(KitchenDoorMaterial,SheetsData,8,0),IF(LEFT(KitchenDoorStyle,5)=""Panel"",(((((B186/1000)*2)*0.08)+((((C186/1000)-0.16)*2)*0.08))*VLOOKUP(""H"&amp;"/F (22mm)"",SheetsData,8,0))+(((B186/1000)-0.14)*((C186/1000)-0.14)*VLOOKUP(""H/F (9mm)"",SheetsData,8,0)),IF(KitchenDoorStyle=""In-frame flat"",((((((B186/1000)*0.019)*0.038)+((((C186-38)/1000)*0.038)*0.038))*2)*VLOOKUP(""Tulip (solid m3)"",SolidData,5,0"&amp;"))+(((B186-76)/1000)*((C186-38)/1000))*VLOOKUP(""H/F (22mm)"",SheetsData,8,0),IF(LEFT(KitchenDoorStyle,14)=""In-frame panel"",(((((((B186/1000)*0.019)*0.038)+((((C186-38)/1000)*0.038)*0.038))*2)*VLOOKUP(""Tulip (solid m3)"",SolidData,5,0))+(((((((B186-76)"&amp;"/1000)*2)*0.08)+(((((C186-198)/1000)*2)*0.08)))*VLOOKUP(""H/F (22mm)"",SheetsData,8,0))+(((B186-216)/1000)*((C186-178)/1000)*VLOOKUP(""H/F (9mm)"",SheetsData,8,0)))))))))))))))))))))))))))))))))"),"")</f>
        <v/>
      </c>
      <c r="F186" s="152" t="str">
        <f>IFERROR(__xludf.DUMMYFUNCTION("IF(OR(A186="""",AND(ISERROR(FIND(""drawer box"",A186))=FALSE,KitchenDrawerType=""Solid dovetail"")),"""",IF(ISERROR(FIND(""bins"",A186))=FALSE,VLOOKUP(""Base carcass 600"",KitchensData,6,0),IF(OR(ISERROR(FIND(""larder"",A186))=FALSE,ISERROR(FIND(""unit"","&amp;"A186))=FALSE),VLOOKUP(LEFT(A186,FIND("" "",A186))&amp;""carcass ""&amp;RIGHT(A186,LEN(A186)-len(regexextract(A186,"".* ""))),KitchensData,6,0),IF(ISERROR(FIND(""drawer front"",A186))=FALSE,IF(ISERROR(FIND(""veneer"",KitchenCarcassMaterial))=TRUE,0,(((B186+C186)/1"&amp;"000)*2)*VLOOKUP(""Edge banding (per M)"",SheetsData,5,0)),IF(ISERROR(FIND(""drawer box"",A186))=FALSE,IF(ISERROR(FIND(""veneer"",KitchenCarcassMaterial))=TRUE,0,(((C186+D186)/1000)*2)*VLOOKUP(""Edge banding (per M)"",SheetsData,5,0)),IF(ISERROR(FIND(""she"&amp;"lf"",A186))=FALSE,IF(ISERROR(FIND(""veneer"",KitchenCarcassMaterial))=TRUE,0,(C186/1000)*VLOOKUP(""Edge banding (per M)"",SheetsData,5,0)),IF(AND(ISERROR(FIND(""carcass"",A186))=FALSE,ISERROR(FIND(""shelf"",A186))=TRUE),IF(ISERROR(FIND(""veneer"",KitchenC"&amp;"arcassMaterial))=TRUE,0,((2*(B186+C186))/1000)*VLOOKUP(""Edge banding (per M)"",SheetsData,5,0)),IF(ISERROR(FIND(""door"",A186))=TRUE,"""",IF(ISERROR(FIND(""veneer"",KitchenDoorMaterial))=TRUE,"""",((2*(B186+C186))/1000)*VLOOKUP(""Edge banding (per M)"",S"&amp;"heetsData,5,0))))))))))"),"")</f>
        <v/>
      </c>
      <c r="G186" s="153" t="str">
        <f>IF(A186="","",IF(ISERROR(FIND("bins",A186))=FALSE,VLOOKUP("Base carcass 600",KitchensData,7,0),IF(OR(ISERROR(FIND("larder",A186))=FALSE,ISERROR(FIND("fridge/freezer",A186))=FALSE,ISERROR(FIND("double oven",A186))=FALSE,ISERROR(FIND("single oven",A186))=FALSE),VLOOKUP(LEFT(A186,FIND(" ",A186))&amp;"carcass "&amp;RIGHT(A186,LEN(A186)-(LEN(A186)-3)),KitchensData,7,0),IF(AND(ISERROR(FIND("carcass",A186))=FALSE,ISERROR(FIND("shelf",A186))=TRUE),IF(OR(ISERROR(FIND("Base",A186))=FALSE,ISERROR(FIND("Tower",A186))=FALSE),IF(OR(ISERROR(FIND("1200",A186))=FALSE, ISERROR(FIND("lost corner",A186))=FALSE),6*VLOOKUP("Plinth foot (2 Parts 80mm)",FurnitureData,5,0),4*VLOOKUP("Plinth foot (2 Parts 80mm)",FurnitureData,5,0)),""),""))))</f>
        <v/>
      </c>
      <c r="H186" s="115" t="str">
        <f>IF(OR(A186="",ISERROR(FIND("door",A186))=TRUE),"",IF(ISERROR(FIND("Wall",A186))=FALSE,VLOOKUP("Hinges &amp; plates (Hettich thick door)",FurnitureData,5,0)*2,IF(ISERROR(FIND("Base",A186))=FALSE,VLOOKUP("Hinges &amp; plates (Hettich thick door)",FurnitureData,5,0)*3,IF(ISERROR(FIND("Boiler",A186))=FALSE,VLOOKUP("Hinges &amp; plates (Hettich thick door)",FurnitureData,5,0)*4,IF(ISERROR(FIND("Tower",A186))=FALSE,VLOOKUP("Hinges &amp; plates (Hettich thick door)",FurnitureData,5,0)*5)))))</f>
        <v/>
      </c>
      <c r="I186" s="115" t="str">
        <f>IF(ISERROR(FIND("shelf",A186))=FALSE,(VLOOKUP("Shelf pegs",FurnitureData,5,0)/100)*4,"")</f>
        <v/>
      </c>
      <c r="J186" s="152" t="str">
        <f>IF(OR(ISERROR(FIND("fridge/freezer",A186))=FALSE,ISERROR(FIND("larder",A186))=FALSE,AND(ISERROR(FIND("Base",A186))=FALSE,ISERROR(FIND("bins",A186))=TRUE,ISERROR(FIND("no shelves",A186))=TRUE,OR(ISERROR(FIND("carcass",A186))=FALSE,ISERROR(FIND("unit",A186))=FALSE))),VLOOKUP("Deep shelf "&amp;C186,KitchensData,18,0),IF(AND(ISERROR(FIND("Wall",A186))=FALSE,ISERROR(FIND("carcass",A186))=FALSE),2*VLOOKUP("Shallow shelf "&amp;C186,KitchensData,18,0),IF(AND(ISERROR(FIND("Tower",A186))=FALSE,ISERROR(FIND("oven",A186))=FALSE),4*VLOOKUP("Deep shelf "&amp;C186,KitchensData,18,0),IF(AND(ISERROR(FIND("Tower",A186))=FALSE,ISERROR(FIND("carcass",A186))=FALSE),5*VLOOKUP("Deep shelf "&amp;C186,KitchensData,18,0),""))))</f>
        <v/>
      </c>
      <c r="K186" s="152" t="str">
        <f>IF(ISERROR(FIND("sink",A186))=FALSE,VLOOKUP("Sink liner - Aluminium "&amp;RIGHT(A186,LEN(A186)-22)&amp;"mm",ExceptionalData,5,0),IF(ISERROR(FIND("bins",A186))=FALSE,VLOOKUP("Drawer runners and clip set for bin unit (500) Dynapro",FurnitureData,5,0)+(2*VLOOKUP("Bin (42L Anthracite)",FurnitureData,5,0)),IF(ISERROR(FIND("larder",A186))=FALSE,VLOOKUP("Pull out larder unit 600mm",FurnitureData,5,0),IF(AND(ISERROR(FIND("drawer box",A186))=FALSE,ISERROR(FIND("internal",A186))=TRUE),VLOOKUP("Drawer runners and clip set (550) Dynapro",FurnitureData,5,0),IF(ISERROR(FIND("internal drawer box",A186))=FALSE,VLOOKUP("Drawer runners and clip set (450) Dynapro",FurnitureData,5,0),"")))))</f>
        <v/>
      </c>
      <c r="L186" s="152" t="str">
        <f t="shared" si="3"/>
        <v/>
      </c>
      <c r="M186" s="154" t="str">
        <f>IFERROR(__xludf.DUMMYFUNCTION("IF(A186="""","""",IF(OR(ISERROR(FIND(""larder"",A186))=FALSE,ISERROR(FIND(""unit"",A186))=FALSE),VLOOKUP(LEFT(A186,FIND("" "",A186))&amp;""carcass ""&amp;RIGHT(A186,LEN(A186)-len(regexextract(A186,"".* ""))),KitchensData,13,0),IF(ISERROR(FIND(""bins"",A186))=FALS"&amp;"E,0.95,IF(ISERROR(FIND(""Cutlery insert 600"",A186))=FALSE,1.3,IF(ISERROR(FIND(""Cutlery insert 1200"",A186))=FALSE,2,IF(ISERROR(FIND(""Pan/tray rack 600"",A186))=FALSE,3.25,IF(ISERROR(FIND(""Pan/tray rack 1200"",A186))=FALSE,5.9,IF(ISERROR(FIND(""split"""&amp;",A186))=FALSE,(((C186/1000)*0.022)*2)+VLOOKUP(SUBSTITUTE(A186,"" split"",""""),KitchensData,13,0),IF(AND(ISERROR(FIND(""drawer front"",A186))=FALSE,KitchenDoorStyle=""Flat""),(((B186/1000)*(C186/1000))*2)+((((B186+C186)/1000)*2)*0.022),IF(AND(ISERROR(FIND"&amp;"(""drawer front"",A186))=FALSE,LEFT(KitchenDoorStyle,5)=""Panel""),(((B186/1000)*(C186/1000))*2)+((((B186+C186)/1000)*2)*0.022)+((((C186/1000)-0.16)*0.013)*2)+((((D186/1000)-0.16)*0.013)*2),IF(AND(ISERROR(FIND(""drawer front"",A186))=FALSE,KitchenDoorStyl"&amp;"e=""In-frame flat""),((((B186-76)/1000)*((C186-38)/1000))*2)+(MID(KitchenDoorMaterial,FIND(""("",KitchenDoorMaterial)+1,2)/1000)*((((B186-76)+(C186-38))/1000)*2)+(((B186/1000)*0.032)*2)+((((B186-76)/1000)*0.032)*2)+(((B186/1000)*0.019)*4)+(((C186/1000)*0."&amp;"032)*2)+((((C186-38)/1000)*0.032)*2)+(((C186/1000)*0.038)*4),IF(AND(ISERROR(FIND(""drawer front"",A186))=FALSE,LEFT(KitchenDoorStyle,14)=""In-frame panel""),((((B186-76)/1000)*((C186-38)/1000))*2)+((MID(KitchenDoorMaterial,FIND(""("",KitchenDoorMaterial)+"&amp;"1,2)/1000)*((((B186-76)+(C186-38))/1000)*2))+((((B186-236)/1000)+((C186-198)/1000)*2)*0.013)+(((B186/1000)*0.032)*2)+((((B186-76)/1000)*0.032)*2)+(((B186/1000)*0.019)*4)+(((C186/1000)*0.032)*2)+((((C186-38)/1000)*0.032)*2)+(((C186/1000)*0.038)*4),IF(ISERR"&amp;"OR(FIND(""drawer box"",A186))=FALSE,((((B186/1000)*(D186/1000))+((B186/1000)*(C186/1000)))*4)+((((D186/1000)+(C186/1000))*0.016)*4)+(((C186/1000)*(D186/1000))*2),IF(OR(ISERROR(FIND(""shelf"",A186))=FALSE,ISERROR(FIND(""spacer"",A186))=FALSE,,ISERROR(FIND("&amp;"""filler panel"",A186))=FALSE),(((C186/1000)*(D186/1000))*2)+((((C186+D186)*2)/1000)*0.022),IF(ISERROR(FIND(""lost corner"",A186))=FALSE,(((B186/1000)*(C186/1000))*2)+((B186/1000)*(C186/1000))+((B186/1000)*((C186/2)/1000))+((((B186/1000)*0.025)+((C186/100"&amp;"0)*0.025))*2),IF(ISERROR(FIND(""carcass"",A186))=FALSE,(((C186/1000)*(D186/1000))*2)+(((B186/1000)*(D186/1000))*2)+((B186/1000)*(C186/1000))+((((B186/1000)*0.025)+((C186/1000)*0.025))*2),IF(AND(ISERROR(FIND(""door"",A186))=FALSE,KitchenDoorStyle=""Flat"")"&amp;",(((B186/1000)*(C186/1000))*2)+(MID(KitchenDoorMaterial,FIND(""("",KitchenDoorMaterial)+1,2)/1000)*(((B186+C186)/1000)*2),IF(AND(ISERROR(FIND(""door"",A186))=FALSE,LEFT(KitchenDoorStyle,5)=""Panel""),(((B186/1000)*(C186/1000))*2)+((MID(KitchenDoorMaterial"&amp;",FIND(""("",KitchenDoorMaterial)+1,2)/1000)*(((B186+C186)/1000)*2))+(((((B186-160)+(C186-160))*2)/1000)*(0.013)),IF(AND(ISERROR(FIND(""door"",A186))=FALSE,KitchenDoorStyle=""In-frame flat""),((((B186-76)/1000)*((C186-38)/1000))*2)+(MID(KitchenDoorMaterial"&amp;",FIND(""("",KitchenDoorMaterial)+1,2)/1000)*((((B186-76)+(C186-38))/1000)*2)+(((B186/1000)*0.032)*2)+((((B186-76)/1000)*0.032)*2)+(((B186/1000)*0.019)*4)+(((C186/1000)*0.032)*2)+((((C186-38)/1000)*0.032)*2)+(((C186/1000)*0.038)*4),IF(AND(ISERROR(FIND(""do"&amp;"or"",A186))=FALSE,LEFT(KitchenDoorStyle,14)=""In-frame panel""),((((B186-76)/1000)*((C186-38)/1000))*2)+((MID(KitchenDoorMaterial,FIND(""("",KitchenDoorMaterial)+1,2)/1000)*((((B186-76)+(C186-38))/1000)*2))+((((B186-236)/1000)+((C186-198)/1000)*2)*0.013)+"&amp;"(((B186/1000)*0.032)*2)+((((B186-76)/1000)*0.032)*2)+(((B186/1000)*0.019)*4)+(((C186/1000)*0.032)*2)+((((C186-38)/1000)*0.032)*2)+(((C186/1000)*0.038)*4),IF(ISERROR(FIND(""Plinth"",A186))=FALSE,((B186/1000)*(C186/1000))+(((C186/1000)*0.018)*2)+(((B186/100"&amp;"0)*0.018)*2),IF(ISERROR(FIND(""Cornice"",A186))=FALSE,(((C186/1000)*0.1)*2)+(((C186/1000)*0.044)*2)+(((B186/1000)*0.08)*2),IF(ISERROR(FIND(""Base end panel"",A186))=FALSE,((B186/1000)*(C186/1000))+(0.022*((B186/1000)+((C186/1000)*2)))+((B186/1000)*0.05),I"&amp;"F(ISERROR(FIND(""Wall end panel"",A186))=FALSE,((B186/1000)*(C186/1000))+(0.022*((B186/1000)+((C186/1000)*2)))+((B186/1000)*0.05),IF(ISERROR(FIND(""Tower end panel"",A186))=FALSE,((B186/1000)*(C186/1000))+(0.022*((B186/1000)+((C186/1000)*2)))+((B186/1000)"&amp;"*0.05),IF(ISERROR(FIND(""Fillers"",A186))=FALSE,((C186/1000)*0.06)+((C186/1000)*0.069)+((0.06*0.018)*2)+((0.06*0.009)*2)+((C186/1000)*0.009)+((C186/1000)*0.018),IF(ISERROR(FIND(""corner post"",A186))=FALSE,(((B186/1000*0.05)*2)+((B186/1000)*0.022)*2)+((B1"&amp;"86/1000)*0.072)+((B186/1000)*0.05)+((0.072*0.022)*2)+((0.05*0.022)*2),IF(ISERROR(FIND(""Pelmet"",A186))=FALSE,((C186/1000)*0.05)+((C186/1000)*0.068)+((0.05*0.018)*4)+(((C186/1000)*0.018))*2))))))))))))))))))))))))))))"),"")</f>
        <v/>
      </c>
      <c r="N186" s="152" t="str">
        <f>IF(M186="","",IF(AND(ISERROR(FIND("carcass",A186))=TRUE,ISERROR(FIND("unit",A186))=TRUE,ISERROR(FIND("insert",A186))=TRUE,ISERROR(FIND("rack",A186))=TRUE,ISERROR(FIND("box",A186))=TRUE,ISERROR(FIND("shelf",#REF!))=TRUE),VLOOKUP(KitchenDoorFinish,Finishing!$A$2:$K$10,9,0)*M186,VLOOKUP(KitchenCarcassFinish,Finishing!$A$2:$K$40,9,0)*M186))</f>
        <v/>
      </c>
      <c r="O186" s="155"/>
      <c r="P186" s="155"/>
      <c r="Q186" s="152" t="str">
        <f>IF(OR(O186="",P186=""),"",((O186*X186)*(VLOOKUP("Workshop",Labour!$A$3:$E$20,4,0)/8))+((P186*AE186)*(VLOOKUP("Finishing",Labour!$A$3:$E$20,4,0)/8)))</f>
        <v/>
      </c>
      <c r="R186" s="152" t="str">
        <f t="shared" si="4"/>
        <v/>
      </c>
      <c r="S186" s="156" t="str">
        <f>IF(OR(O186="",P186=""),"",IF(OR(ISERROR(FIND("carcass",$A186))=FALSE,ISERROR(FIND("unit",$A186))=FALSE),VLOOKUP(KitchenCarcassMaterial,FixedListsCarcassMaterial,2,0),0))</f>
        <v/>
      </c>
      <c r="T186" s="156" t="str">
        <f>IF(OR(O186="",P186=""),"",IF(ISERROR(FIND("door",$A186))=FALSE,VLOOKUP(KitchenDoorStyle,FixedListsDoorStyle,2,0),0))</f>
        <v/>
      </c>
      <c r="U186" s="156" t="str">
        <f>IF(OR(O186="",P186=""),"",IF(ISERROR(FIND("door",$A186))=FALSE,VLOOKUP(KitchenDoorMaterial,FixedListsDoorMaterial,2,0),0))</f>
        <v/>
      </c>
      <c r="V186" s="156" t="str">
        <f>IF(OR(O186="",P186=""),"",IF(ISERROR(FIND("drawer",$A186))=FALSE,VLOOKUP(KitchenDrawerType,FixedListsDrawerType,2,0),0))</f>
        <v/>
      </c>
      <c r="W186" s="156" t="str">
        <f>IF(OR(O186="",P186=""),"",IF(OR(S186&gt;0, T186&gt;0,V186&gt;0),VLOOKUP(KitchenHandleType,FixedListsHandleType,2,FALSE)*IF(KitchenHandleType="Simple",0,IF(S186&gt;0,VLOOKUP(KitchenHandleType,FixedListsHandleType,4,FALSE),IF(OR(T186&gt;0,V186&gt;0),1-VLOOKUP(KitchenHandleType,FixedListsHandleType,4,FALSE),"Error"))),0))</f>
        <v/>
      </c>
      <c r="X186" s="156" t="str">
        <f t="shared" si="5"/>
        <v/>
      </c>
      <c r="Y186" s="156" t="str">
        <f>IF(OR(O186="",P186=""),"",IF(OR(ISERROR(FIND("carcass",$A186))=FALSE,ISERROR(FIND("unit",$A186))=FALSE),VLOOKUP(KitchenCarcassMaterial,FixedListsCarcassMaterial,3,0),0))</f>
        <v/>
      </c>
      <c r="Z186" s="156" t="str">
        <f>IF(OR(O186="",P186=""),"",IF(ISERROR(FIND("door",$A186))=FALSE,VLOOKUP(KitchenDoorStyle,FixedListsDoorStyle,3,0),0))</f>
        <v/>
      </c>
      <c r="AA186" s="156" t="str">
        <f>IF(OR(O186="",P186=""),"",IF(ISERROR(FIND("door",$A186))=FALSE,VLOOKUP(KitchenDoorMaterial,FixedListsDoorMaterial,3,0),0))</f>
        <v/>
      </c>
      <c r="AB186" s="156" t="str">
        <f>IF(OR(O186="",P186=""),"",IF(ISERROR(FIND("drawer",$A186))=FALSE,VLOOKUP(KitchenDrawerType,FixedListsDrawerType,3,0),0))</f>
        <v/>
      </c>
      <c r="AC186" s="156" t="str">
        <f>IF(OR(O186="",P186=""),"",IF(OR(Y186&gt;0,Z186&gt;0,AB186&gt;0),VLOOKUP(KitchenHandleType,FixedListsHandleType,3,FALSE),0))</f>
        <v/>
      </c>
      <c r="AD186" s="156" t="str">
        <f>IF(OR(O186="",P186=""),"",IF(OR(ISERROR(FIND("carcass",$A186))=FALSE,ISERROR(FIND("unit",$A186))=FALSE),VLOOKUP(KitchenCarcassFinish,FixedListsFinishes,3,0),IF(OR(ISERROR(FIND("door",$A186))=FALSE,ISERROR(FIND("Plinth",$A186))=FALSE,ISERROR(FIND("Cornice",$A186))=FALSE,ISERROR(FIND("Fillers",$A186))=FALSE,ISERROR(FIND("Pelmet",$A186))=FALSE,ISERROR(FIND("panel",$A186))=FALSE,ISERROR(FIND("post",$A186))=FALSE),VLOOKUP(KitchenDoorFinish,FixedListsFinishes,3,0),IF(OR(ISERROR(FIND("drawer",$A186))=FALSE,ISERROR(FIND("insert",$A186))=FALSE,ISERROR(FIND("rck",$A186))=FALSE),VLOOKUP(KitchenCarcassFinish,FixedListsFinishes,3,0),0))))</f>
        <v/>
      </c>
      <c r="AE186" s="156" t="str">
        <f t="shared" si="6"/>
        <v/>
      </c>
      <c r="AF186" s="157" t="str">
        <f>IF(AND(KitchenHandleType="Channel",OR(ISERROR(FIND("arcass",$A186))=FALSE,ISERROR(FIND("unit",$A186))=FALSE)),IF(ISERROR(FIND("Tower",$A186))=TRUE,IF(KitchenHandleFinish="Match carcass",IF(ISERROR(FIND("Walnut",KitchenCarcassMaterial))=FALSE,(0.035*0.075*($C186/1000))*VLOOKUP("Walnut (solid m3)",SolidData,4,FALSE),IF(ISERROR(FIND("Oak",KitchenCarcassMaterial))=FALSE,(0.035*0.075*($C186/1000))*VLOOKUP("Oak (solid m3)",SolidData,4,FALSE),IF(ISERROR(FIND("ply",KitchenCarcassMaterial))=FALSE,(0.1*($C186/1000))*VLOOKUP("Birch ply (24mm)",SheetsData,7,FALSE),IF(ISERROR(FIND("H/F",KitchenCarcassMaterial))=FALSE,(0.1*($C186/1000))*VLOOKUP("H/F (22mm)",SheetsData,7,FALSE),"Carcass - not tower - new material")))),IF(KitchenHandleFinish="Match door",IF(ISERROR(FIND("Walnut",KitchenDoorMaterial))=FALSE,(0.035*0.075*($C186/1000))*VLOOKUP("Walnut (solid m3)",SolidData,4,FALSE),IF(ISERROR(FIND("Oak",KitchenDoorMaterial))=FALSE,(0.035*0.075*($C186/1000))*VLOOKUP("Oak (solid m3)",SolidData,4,FALSE),IF(ISERROR(FIND("ply",KitchenDoorMaterial))=FALSE,(0.1*($C186/1000))*VLOOKUP("Birch ply (24mm)",SheetsData,7,FALSE),IF(ISERROR(FIND("H/F",KitchenCarcassMaterial))=FALSE,(0.1*($C186/1000))*VLOOKUP("H/F (22mm)",SheetsData,7,FALSE),"Door - not tower - new material")))),"Channel - not tower - handle set to other")),IF(ISERROR(FIND("Tower",$A186))=FALSE,IF(KitchenHandleFinish="Match carcass",IF(ISERROR(FIND("Walnut",KitchenCarcassMaterial))=FALSE,(0.035*0.075*($B186/1000))*VLOOKUP("Walnut (solid m3)",SolidData,4,FALSE),IF(ISERROR(FIND("Oak",KitchenCarcassMaterial))=FALSE,(0.035*0.075*($B186/1000))*VLOOKUP("Oak (solid m3)",SolidData,4,FALSE),IF(ISERROR(FIND("ply",KitchenCarcassMaterial))=FALSE,(0.1*($B186/1000))*VLOOKUP("Birch ply (24mm)",SheetsData,7,FALSE),IF(ISERROR(FIND("H/F",KitchenCarcassMaterial))=FALSE,(0.1*($C186/1000))*VLOOKUP("H/F (22mm)",SheetsData,7,FALSE),"Carcass - tower - new material")))),IF(KitchenHandleFinish="Match door",IF(ISERROR(FIND("Walnut",KitchenDoorMaterial))=FALSE,(0.035*0.075*($B186/1000))*VLOOKUP("Walnut (solid m3)",SolidData,4,FALSE),IF(ISERROR(FIND("Oak",KitchenDoorMaterial))=FALSE,(0.035*0.075*($B186/1000))*VLOOKUP("Oak (solid m3)",SolidData,4,FALSE),IF(ISERROR(FIND("ply",KitchenDoorMaterial))=FALSE,(0.1*($B186/1000))*VLOOKUP("Birch ply (24mm)",SheetData,7,FALSE),IF(ISERROR(FIND("H/F",KitchenCarcassMaterial))=FALSE,(0.1*($C186/1000))*VLOOKUP("H/F (22mm)",SheetsData,7,FALSE),"Door - tower - new material")))),"Channel - tower - handle set to other")))),"")</f>
        <v/>
      </c>
    </row>
    <row r="187">
      <c r="A187" s="150"/>
      <c r="B187" s="115" t="str">
        <f t="shared" si="1"/>
        <v/>
      </c>
      <c r="C187" s="115" t="str">
        <f>IFERROR(__xludf.DUMMYFUNCTION("IF(A187="""","""",IF(OR(RIGHT(A187,LEN(A187)-len(regexextract(A187,"".* "")))=""1200"",RIGHT(A187,LEN(A187)-len(regexextract(A187,"".* "")))=""600"",RIGHT(A187,LEN(A187)-len(regexextract(A187,"".* "")))=""400"",RIGHT(A187,LEN(A187)-len(regexextract(A187,"&amp;""".* "")))=""300"",RIGHT(A187,LEN(A187)-len(regexextract(A187,"".* "")))=""700"",RIGHT(A187,LEN(A187)-len(regexextract(A187,"".* "")))=""2400"",RIGHT(A187,LEN(A187)-len(regexextract(A187,"".* "")))=""650"",RIGHT(A187,LEN(A187)-len(regexextract(A187,"".* "&amp;""")))=""350"",RIGHT(A187,LEN(A187)-len(regexextract(A187,"".* "")))=""50""),RIGHT(A187,LEN(A187)-len(regexextract(A187,"".* ""))),IF(OR(ISERROR(FIND(""spacer"",A187))=FALSE,ISERROR(FIND(""filler panel"",A187))=FALSE),""1000"",""Unexpected size in descript"&amp;"ion"")))"),"")</f>
        <v/>
      </c>
      <c r="D187" s="151" t="str">
        <f t="shared" si="2"/>
        <v/>
      </c>
      <c r="E187" s="152" t="str">
        <f>IFERROR(__xludf.DUMMYFUNCTION("IF(OR(A187="""",AND(ISERROR(FIND(""drawer box"",A187))=FALSE,KitchenDrawerType="""")),"""",IF(OR(ISERROR(FIND(""larder"",A187))=FALSE,ISERROR(FIND(""fridge/freezer"",A187))=FALSE,ISERROR(FIND(""double oven"",A187))=FALSE,ISERROR(FIND(""single oven"",A187)"&amp;")=FALSE),VLOOKUP(LEFT(A187,FIND("" "",A187))&amp;""carcass ""&amp;RIGHT(A187,LEN(A187)-(LEN(A187)-3)),KitchensData,5,0),IF(ISERROR(FIND(""sink"",A187))=FALSE,VLOOKUP(LEFT(A187,FIND("" "",A187))&amp;""carcass ""&amp;VALUE(REGEXREPLACE(A187,""[^[:digit:]]"", """")),Kitchen"&amp;"sData,5,0)+(((C187/1000)*(300/1000))*VLOOKUP(KitchenCarcassMaterial,SheetsData,8,0)),IF(ISERROR(FIND(""bins"",A187))=FALSE,IF(ISERROR(FIND(""veneer"",KitchenCarcassMaterial))=FALSE,VLOOKUP(""Base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600"",A187))=FALSE,IF(ISERR"&amp;"OR(FIND(""veneer"",KitchenCarcassMaterial))=FALSE,0.54*(VLOOKUP(LEFT(KitchenCarcassMaterial,FIND(""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1"&amp;"200"",A187))=FALSE,IF(ISERROR(FIND(""veneer"",KitchenCarcassMaterial))=FALSE,0.84*(VLOOKUP(LEFT(KitchenCarcassMaterial,FIND(""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600"",A187))=FALSE,IF(ISERROR(FIND(""veneer"",KitchenCarcassMaterial))=FALSE,1.44*(VLOOKUP(LEFT(KitchenCarcassMaterial,FIND(""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1200"",A187))=FALSE,IF(ISERROR(FIND(""veneer"",KitchenCarcassMaterial))=FALSE,2.7*(VLOOKUP(LEFT(KitchenCarcassMaterial,FIND(""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front"",A187))=FALSE,((B187/1000)*(C187/1000))*VLOOKUP(KitchenDoorMaterial,SheetsData,8,0),IF(AND(KitchenDrawerType=""Match carcass"",ISERROR(FIND(""drawer box"",A187))=FALSE),(((((B187/10"&amp;"00)*(C187/1000))+((B187/1000)*(D187/1000)))*2)*VLOOKUP(KitchenCarcassMaterial,SheetsData,8,0))+(((C187/1000)*(D187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box"",A187))=FALSE),(((((B187/1000)*(C187/1000))+((B187/1000)*(D187/1000)))*2)*(16/1000)*VLOOKUP(L"&amp;"EFT(KitchenCarcassMaterial,FIND("" "",KitchenCarcassMaterial))&amp;""(solid m3)"",SolidData,5,0))+(((C187/1000)*(D187/1000))*VLOOKUP(LEFT(KitchenCarcassMaterial,FIND(""("",KitchenCarcassMaterial)-1)&amp;IF(OR(ISERROR(FIND(""ply"",KitchenCarcassMaterial))=FALSE,IS"&amp;"ERROR(FIND(""H/F"",KitchenCarcassMaterial))=FALSE),""(9mm)"",""(10mm)""),SheetsData,8,0)),IF(ISERROR(FIND(""spacer"",A187))=FALSE,((D187/1000)*(C187/1000))*VLOOKUP(""Poplar ply (18mm)"",SheetsData,8,0),IF(ISERROR(FIND(""filler panel"",A187))=FALSE,((B187/"&amp;"1000)*(C187/1000))*VLOOKUP(KitchenDoorMaterial,SheetsData,8,0),IF(ISERROR(FIND(""shelf"",A187))=FALSE,((D187/1000)*(C187/1000))*VLOOKUP(KitchenCarcassMaterial,SheetsData,8,0),IF(ISERROR(FIND(""lost corner"",A187))=FALSE,VLOOKUP(LEFT(A187,FIND("" "",A187))"&amp;"&amp;""carcass ""&amp;VALUE(REGEXREPLACE(A187,""[^[:digit:]]"", """")),KitchensData,5,0)+((((B187/1000)*(C187/1000))+((B187/1000)*(60/1000)))*VLOOKUP(KitchenCarcassMaterial,SheetsData,8,0)),IF(ISERROR(FIND(""carcass"",A187))=FALSE,(((((B187/1000)*2)*(D187/1000))+"&amp;"(((C187/1000)*2)*(D187/1000)))*VLOOKUP(KitchenCarcassMaterial,SheetsData,8,0))+((B187/1000)*(C187/1000))*VLOOKUP(LEFT(KitchenCarcassMaterial,FIND(""("",KitchenCarcassMaterial)-1)&amp;IF(OR(ISERROR(FIND(""ply"",KitchenCarcassMaterial))=FALSE,ISERROR(FIND(""H/F"&amp;""",KitchenCarcassMaterial))=FALSE),""(9mm)"",""(10mm)""),SheetsData,8,0),IF(OR(ISERROR(FIND(""Plinth"",A187))=FALSE,ISERROR(FIND(""Cornice (flat)"",A187))=FALSE),((B187/1000)*(C187/1000))*VLOOKUP(""H/F (18mm)"",SheetsData,8,0),IF(ISERROR(FIND(""Cornice (s"&amp;"tacked)"",A187))=FALSE,((0.08*(C187/1000))*2)*VLOOKUP(""H/F (22mm)"",SheetsData,8,0),IF(ISERROR(FIND(""Base end panel"",A187))=FALSE,VLOOKUP(KitchenDoorMaterial,SheetsData,5,0)/3,IF(ISERROR(FIND(""Wall end panel"",A187))=FALSE,VLOOKUP(KitchenDoorMaterial,"&amp;"SheetsData,5,0)/9,IF(ISERROR(FIND(""Tower end panel"",A187))=FALSE,VLOOKUP(KitchenDoorMaterial,SheetsData,5,0),IF(ISERROR(FIND(""Fillers"",A187))=FALSE,(((0.06*(C187/1000))*2)*VLOOKUP(""H/F (18mm)"",SheetsData,8,0))+(((0.06*(C187/1000))*2)*VLOOKUP(""H/F ("&amp;"9mm)"",SheetsData,8,0)),IF(ISERROR(FIND(""corner post"",A187))=FALSE,(((B187/1000)*0.05)*2)*VLOOKUP(KitchenDoorMaterial,SheetsData,8,0),IF(ISERROR(FIND(""Pelmet"",A187))=FALSE,((((B187/1000)*(C187/1000))*2)*VLOOKUP(""H/F (18mm)"",SheetsData,8,0)),IF(ISERR"&amp;"OR(FIND(""door"",A187))=TRUE,""Check description"",IF(KitchenDoorStyle=""Flat"",((B187/1000)*(C187/1000))*VLOOKUP(KitchenDoorMaterial,SheetsData,8,0),IF(LEFT(KitchenDoorStyle,5)=""Panel"",(((((B187/1000)*2)*0.08)+((((C187/1000)-0.16)*2)*0.08))*VLOOKUP(""H"&amp;"/F (22mm)"",SheetsData,8,0))+(((B187/1000)-0.14)*((C187/1000)-0.14)*VLOOKUP(""H/F (9mm)"",SheetsData,8,0)),IF(KitchenDoorStyle=""In-frame flat"",((((((B187/1000)*0.019)*0.038)+((((C187-38)/1000)*0.038)*0.038))*2)*VLOOKUP(""Tulip (solid m3)"",SolidData,5,0"&amp;"))+(((B187-76)/1000)*((C187-38)/1000))*VLOOKUP(""H/F (22mm)"",SheetsData,8,0),IF(LEFT(KitchenDoorStyle,14)=""In-frame panel"",(((((((B187/1000)*0.019)*0.038)+((((C187-38)/1000)*0.038)*0.038))*2)*VLOOKUP(""Tulip (solid m3)"",SolidData,5,0))+(((((((B187-76)"&amp;"/1000)*2)*0.08)+(((((C187-198)/1000)*2)*0.08)))*VLOOKUP(""H/F (22mm)"",SheetsData,8,0))+(((B187-216)/1000)*((C187-178)/1000)*VLOOKUP(""H/F (9mm)"",SheetsData,8,0)))))))))))))))))))))))))))))))))"),"")</f>
        <v/>
      </c>
      <c r="F187" s="152" t="str">
        <f>IFERROR(__xludf.DUMMYFUNCTION("IF(OR(A187="""",AND(ISERROR(FIND(""drawer box"",A187))=FALSE,KitchenDrawerType=""Solid dovetail"")),"""",IF(ISERROR(FIND(""bins"",A187))=FALSE,VLOOKUP(""Base carcass 600"",KitchensData,6,0),IF(OR(ISERROR(FIND(""larder"",A187))=FALSE,ISERROR(FIND(""unit"","&amp;"A187))=FALSE),VLOOKUP(LEFT(A187,FIND("" "",A187))&amp;""carcass ""&amp;RIGHT(A187,LEN(A187)-len(regexextract(A187,"".* ""))),KitchensData,6,0),IF(ISERROR(FIND(""drawer front"",A187))=FALSE,IF(ISERROR(FIND(""veneer"",KitchenCarcassMaterial))=TRUE,0,(((B187+C187)/1"&amp;"000)*2)*VLOOKUP(""Edge banding (per M)"",SheetsData,5,0)),IF(ISERROR(FIND(""drawer box"",A187))=FALSE,IF(ISERROR(FIND(""veneer"",KitchenCarcassMaterial))=TRUE,0,(((C187+D187)/1000)*2)*VLOOKUP(""Edge banding (per M)"",SheetsData,5,0)),IF(ISERROR(FIND(""she"&amp;"lf"",A187))=FALSE,IF(ISERROR(FIND(""veneer"",KitchenCarcassMaterial))=TRUE,0,(C187/1000)*VLOOKUP(""Edge banding (per M)"",SheetsData,5,0)),IF(AND(ISERROR(FIND(""carcass"",A187))=FALSE,ISERROR(FIND(""shelf"",A187))=TRUE),IF(ISERROR(FIND(""veneer"",KitchenC"&amp;"arcassMaterial))=TRUE,0,((2*(B187+C187))/1000)*VLOOKUP(""Edge banding (per M)"",SheetsData,5,0)),IF(ISERROR(FIND(""door"",A187))=TRUE,"""",IF(ISERROR(FIND(""veneer"",KitchenDoorMaterial))=TRUE,"""",((2*(B187+C187))/1000)*VLOOKUP(""Edge banding (per M)"",S"&amp;"heetsData,5,0))))))))))"),"")</f>
        <v/>
      </c>
      <c r="G187" s="153" t="str">
        <f>IF(A187="","",IF(ISERROR(FIND("bins",A187))=FALSE,VLOOKUP("Base carcass 600",KitchensData,7,0),IF(OR(ISERROR(FIND("larder",A187))=FALSE,ISERROR(FIND("fridge/freezer",A187))=FALSE,ISERROR(FIND("double oven",A187))=FALSE,ISERROR(FIND("single oven",A187))=FALSE),VLOOKUP(LEFT(A187,FIND(" ",A187))&amp;"carcass "&amp;RIGHT(A187,LEN(A187)-(LEN(A187)-3)),KitchensData,7,0),IF(AND(ISERROR(FIND("carcass",A187))=FALSE,ISERROR(FIND("shelf",A187))=TRUE),IF(OR(ISERROR(FIND("Base",A187))=FALSE,ISERROR(FIND("Tower",A187))=FALSE),IF(OR(ISERROR(FIND("1200",A187))=FALSE, ISERROR(FIND("lost corner",A187))=FALSE),6*VLOOKUP("Plinth foot (2 Parts 80mm)",FurnitureData,5,0),4*VLOOKUP("Plinth foot (2 Parts 80mm)",FurnitureData,5,0)),""),""))))</f>
        <v/>
      </c>
      <c r="H187" s="115" t="str">
        <f>IF(OR(A187="",ISERROR(FIND("door",A187))=TRUE),"",IF(ISERROR(FIND("Wall",A187))=FALSE,VLOOKUP("Hinges &amp; plates (Hettich thick door)",FurnitureData,5,0)*2,IF(ISERROR(FIND("Base",A187))=FALSE,VLOOKUP("Hinges &amp; plates (Hettich thick door)",FurnitureData,5,0)*3,IF(ISERROR(FIND("Boiler",A187))=FALSE,VLOOKUP("Hinges &amp; plates (Hettich thick door)",FurnitureData,5,0)*4,IF(ISERROR(FIND("Tower",A187))=FALSE,VLOOKUP("Hinges &amp; plates (Hettich thick door)",FurnitureData,5,0)*5)))))</f>
        <v/>
      </c>
      <c r="I187" s="115" t="str">
        <f>IF(ISERROR(FIND("shelf",A187))=FALSE,(VLOOKUP("Shelf pegs",FurnitureData,5,0)/100)*4,"")</f>
        <v/>
      </c>
      <c r="J187" s="152" t="str">
        <f>IF(OR(ISERROR(FIND("fridge/freezer",A187))=FALSE,ISERROR(FIND("larder",A187))=FALSE,AND(ISERROR(FIND("Base",A187))=FALSE,ISERROR(FIND("bins",A187))=TRUE,ISERROR(FIND("no shelves",A187))=TRUE,OR(ISERROR(FIND("carcass",A187))=FALSE,ISERROR(FIND("unit",A187))=FALSE))),VLOOKUP("Deep shelf "&amp;C187,KitchensData,18,0),IF(AND(ISERROR(FIND("Wall",A187))=FALSE,ISERROR(FIND("carcass",A187))=FALSE),2*VLOOKUP("Shallow shelf "&amp;C187,KitchensData,18,0),IF(AND(ISERROR(FIND("Tower",A187))=FALSE,ISERROR(FIND("oven",A187))=FALSE),4*VLOOKUP("Deep shelf "&amp;C187,KitchensData,18,0),IF(AND(ISERROR(FIND("Tower",A187))=FALSE,ISERROR(FIND("carcass",A187))=FALSE),5*VLOOKUP("Deep shelf "&amp;C187,KitchensData,18,0),""))))</f>
        <v/>
      </c>
      <c r="K187" s="152" t="str">
        <f>IF(ISERROR(FIND("sink",A187))=FALSE,VLOOKUP("Sink liner - Aluminium "&amp;RIGHT(A187,LEN(A187)-22)&amp;"mm",ExceptionalData,5,0),IF(ISERROR(FIND("bins",A187))=FALSE,VLOOKUP("Drawer runners and clip set for bin unit (500) Dynapro",FurnitureData,5,0)+(2*VLOOKUP("Bin (42L Anthracite)",FurnitureData,5,0)),IF(ISERROR(FIND("larder",A187))=FALSE,VLOOKUP("Pull out larder unit 600mm",FurnitureData,5,0),IF(AND(ISERROR(FIND("drawer box",A187))=FALSE,ISERROR(FIND("internal",A187))=TRUE),VLOOKUP("Drawer runners and clip set (550) Dynapro",FurnitureData,5,0),IF(ISERROR(FIND("internal drawer box",A187))=FALSE,VLOOKUP("Drawer runners and clip set (450) Dynapro",FurnitureData,5,0),"")))))</f>
        <v/>
      </c>
      <c r="L187" s="152" t="str">
        <f t="shared" si="3"/>
        <v/>
      </c>
      <c r="M187" s="154" t="str">
        <f>IFERROR(__xludf.DUMMYFUNCTION("IF(A187="""","""",IF(OR(ISERROR(FIND(""larder"",A187))=FALSE,ISERROR(FIND(""unit"",A187))=FALSE),VLOOKUP(LEFT(A187,FIND("" "",A187))&amp;""carcass ""&amp;RIGHT(A187,LEN(A187)-len(regexextract(A187,"".* ""))),KitchensData,13,0),IF(ISERROR(FIND(""bins"",A187))=FALS"&amp;"E,0.95,IF(ISERROR(FIND(""Cutlery insert 600"",A187))=FALSE,1.3,IF(ISERROR(FIND(""Cutlery insert 1200"",A187))=FALSE,2,IF(ISERROR(FIND(""Pan/tray rack 600"",A187))=FALSE,3.25,IF(ISERROR(FIND(""Pan/tray rack 1200"",A187))=FALSE,5.9,IF(ISERROR(FIND(""split"""&amp;",A187))=FALSE,(((C187/1000)*0.022)*2)+VLOOKUP(SUBSTITUTE(A187,"" split"",""""),KitchensData,13,0),IF(AND(ISERROR(FIND(""drawer front"",A187))=FALSE,KitchenDoorStyle=""Flat""),(((B187/1000)*(C187/1000))*2)+((((B187+C187)/1000)*2)*0.022),IF(AND(ISERROR(FIND"&amp;"(""drawer front"",A187))=FALSE,LEFT(KitchenDoorStyle,5)=""Panel""),(((B187/1000)*(C187/1000))*2)+((((B187+C187)/1000)*2)*0.022)+((((C187/1000)-0.16)*0.013)*2)+((((D187/1000)-0.16)*0.013)*2),IF(AND(ISERROR(FIND(""drawer front"",A187))=FALSE,KitchenDoorStyl"&amp;"e=""In-frame flat""),((((B187-76)/1000)*((C187-38)/1000))*2)+(MID(KitchenDoorMaterial,FIND(""("",KitchenDoorMaterial)+1,2)/1000)*((((B187-76)+(C187-38))/1000)*2)+(((B187/1000)*0.032)*2)+((((B187-76)/1000)*0.032)*2)+(((B187/1000)*0.019)*4)+(((C187/1000)*0."&amp;"032)*2)+((((C187-38)/1000)*0.032)*2)+(((C187/1000)*0.038)*4),IF(AND(ISERROR(FIND(""drawer front"",A187))=FALSE,LEFT(KitchenDoorStyle,14)=""In-frame panel""),((((B187-76)/1000)*((C187-38)/1000))*2)+((MID(KitchenDoorMaterial,FIND(""("",KitchenDoorMaterial)+"&amp;"1,2)/1000)*((((B187-76)+(C187-38))/1000)*2))+((((B187-236)/1000)+((C187-198)/1000)*2)*0.013)+(((B187/1000)*0.032)*2)+((((B187-76)/1000)*0.032)*2)+(((B187/1000)*0.019)*4)+(((C187/1000)*0.032)*2)+((((C187-38)/1000)*0.032)*2)+(((C187/1000)*0.038)*4),IF(ISERR"&amp;"OR(FIND(""drawer box"",A187))=FALSE,((((B187/1000)*(D187/1000))+((B187/1000)*(C187/1000)))*4)+((((D187/1000)+(C187/1000))*0.016)*4)+(((C187/1000)*(D187/1000))*2),IF(OR(ISERROR(FIND(""shelf"",A187))=FALSE,ISERROR(FIND(""spacer"",A187))=FALSE,,ISERROR(FIND("&amp;"""filler panel"",A187))=FALSE),(((C187/1000)*(D187/1000))*2)+((((C187+D187)*2)/1000)*0.022),IF(ISERROR(FIND(""lost corner"",A187))=FALSE,(((B187/1000)*(C187/1000))*2)+((B187/1000)*(C187/1000))+((B187/1000)*((C187/2)/1000))+((((B187/1000)*0.025)+((C187/100"&amp;"0)*0.025))*2),IF(ISERROR(FIND(""carcass"",A187))=FALSE,(((C187/1000)*(D187/1000))*2)+(((B187/1000)*(D187/1000))*2)+((B187/1000)*(C187/1000))+((((B187/1000)*0.025)+((C187/1000)*0.025))*2),IF(AND(ISERROR(FIND(""door"",A187))=FALSE,KitchenDoorStyle=""Flat"")"&amp;",(((B187/1000)*(C187/1000))*2)+(MID(KitchenDoorMaterial,FIND(""("",KitchenDoorMaterial)+1,2)/1000)*(((B187+C187)/1000)*2),IF(AND(ISERROR(FIND(""door"",A187))=FALSE,LEFT(KitchenDoorStyle,5)=""Panel""),(((B187/1000)*(C187/1000))*2)+((MID(KitchenDoorMaterial"&amp;",FIND(""("",KitchenDoorMaterial)+1,2)/1000)*(((B187+C187)/1000)*2))+(((((B187-160)+(C187-160))*2)/1000)*(0.013)),IF(AND(ISERROR(FIND(""door"",A187))=FALSE,KitchenDoorStyle=""In-frame flat""),((((B187-76)/1000)*((C187-38)/1000))*2)+(MID(KitchenDoorMaterial"&amp;",FIND(""("",KitchenDoorMaterial)+1,2)/1000)*((((B187-76)+(C187-38))/1000)*2)+(((B187/1000)*0.032)*2)+((((B187-76)/1000)*0.032)*2)+(((B187/1000)*0.019)*4)+(((C187/1000)*0.032)*2)+((((C187-38)/1000)*0.032)*2)+(((C187/1000)*0.038)*4),IF(AND(ISERROR(FIND(""do"&amp;"or"",A187))=FALSE,LEFT(KitchenDoorStyle,14)=""In-frame panel""),((((B187-76)/1000)*((C187-38)/1000))*2)+((MID(KitchenDoorMaterial,FIND(""("",KitchenDoorMaterial)+1,2)/1000)*((((B187-76)+(C187-38))/1000)*2))+((((B187-236)/1000)+((C187-198)/1000)*2)*0.013)+"&amp;"(((B187/1000)*0.032)*2)+((((B187-76)/1000)*0.032)*2)+(((B187/1000)*0.019)*4)+(((C187/1000)*0.032)*2)+((((C187-38)/1000)*0.032)*2)+(((C187/1000)*0.038)*4),IF(ISERROR(FIND(""Plinth"",A187))=FALSE,((B187/1000)*(C187/1000))+(((C187/1000)*0.018)*2)+(((B187/100"&amp;"0)*0.018)*2),IF(ISERROR(FIND(""Cornice"",A187))=FALSE,(((C187/1000)*0.1)*2)+(((C187/1000)*0.044)*2)+(((B187/1000)*0.08)*2),IF(ISERROR(FIND(""Base end panel"",A187))=FALSE,((B187/1000)*(C187/1000))+(0.022*((B187/1000)+((C187/1000)*2)))+((B187/1000)*0.05),I"&amp;"F(ISERROR(FIND(""Wall end panel"",A187))=FALSE,((B187/1000)*(C187/1000))+(0.022*((B187/1000)+((C187/1000)*2)))+((B187/1000)*0.05),IF(ISERROR(FIND(""Tower end panel"",A187))=FALSE,((B187/1000)*(C187/1000))+(0.022*((B187/1000)+((C187/1000)*2)))+((B187/1000)"&amp;"*0.05),IF(ISERROR(FIND(""Fillers"",A187))=FALSE,((C187/1000)*0.06)+((C187/1000)*0.069)+((0.06*0.018)*2)+((0.06*0.009)*2)+((C187/1000)*0.009)+((C187/1000)*0.018),IF(ISERROR(FIND(""corner post"",A187))=FALSE,(((B187/1000*0.05)*2)+((B187/1000)*0.022)*2)+((B1"&amp;"87/1000)*0.072)+((B187/1000)*0.05)+((0.072*0.022)*2)+((0.05*0.022)*2),IF(ISERROR(FIND(""Pelmet"",A187))=FALSE,((C187/1000)*0.05)+((C187/1000)*0.068)+((0.05*0.018)*4)+(((C187/1000)*0.018))*2))))))))))))))))))))))))))))"),"")</f>
        <v/>
      </c>
      <c r="N187" s="152" t="str">
        <f>IF(M187="","",IF(AND(ISERROR(FIND("carcass",A187))=TRUE,ISERROR(FIND("unit",A187))=TRUE,ISERROR(FIND("insert",A187))=TRUE,ISERROR(FIND("rack",A187))=TRUE,ISERROR(FIND("box",A187))=TRUE,ISERROR(FIND("shelf",#REF!))=TRUE),VLOOKUP(KitchenDoorFinish,Finishing!$A$2:$K$10,9,0)*M187,VLOOKUP(KitchenCarcassFinish,Finishing!$A$2:$K$40,9,0)*M187))</f>
        <v/>
      </c>
      <c r="O187" s="155"/>
      <c r="P187" s="155"/>
      <c r="Q187" s="152" t="str">
        <f>IF(OR(O187="",P187=""),"",((O187*X187)*(VLOOKUP("Workshop",Labour!$A$3:$E$20,4,0)/8))+((P187*AE187)*(VLOOKUP("Finishing",Labour!$A$3:$E$20,4,0)/8)))</f>
        <v/>
      </c>
      <c r="R187" s="152" t="str">
        <f t="shared" si="4"/>
        <v/>
      </c>
      <c r="S187" s="156" t="str">
        <f>IF(OR(O187="",P187=""),"",IF(OR(ISERROR(FIND("carcass",$A187))=FALSE,ISERROR(FIND("unit",$A187))=FALSE),VLOOKUP(KitchenCarcassMaterial,FixedListsCarcassMaterial,2,0),0))</f>
        <v/>
      </c>
      <c r="T187" s="156" t="str">
        <f>IF(OR(O187="",P187=""),"",IF(ISERROR(FIND("door",$A187))=FALSE,VLOOKUP(KitchenDoorStyle,FixedListsDoorStyle,2,0),0))</f>
        <v/>
      </c>
      <c r="U187" s="156" t="str">
        <f>IF(OR(O187="",P187=""),"",IF(ISERROR(FIND("door",$A187))=FALSE,VLOOKUP(KitchenDoorMaterial,FixedListsDoorMaterial,2,0),0))</f>
        <v/>
      </c>
      <c r="V187" s="156" t="str">
        <f>IF(OR(O187="",P187=""),"",IF(ISERROR(FIND("drawer",$A187))=FALSE,VLOOKUP(KitchenDrawerType,FixedListsDrawerType,2,0),0))</f>
        <v/>
      </c>
      <c r="W187" s="156" t="str">
        <f>IF(OR(O187="",P187=""),"",IF(OR(S187&gt;0, T187&gt;0,V187&gt;0),VLOOKUP(KitchenHandleType,FixedListsHandleType,2,FALSE)*IF(KitchenHandleType="Simple",0,IF(S187&gt;0,VLOOKUP(KitchenHandleType,FixedListsHandleType,4,FALSE),IF(OR(T187&gt;0,V187&gt;0),1-VLOOKUP(KitchenHandleType,FixedListsHandleType,4,FALSE),"Error"))),0))</f>
        <v/>
      </c>
      <c r="X187" s="156" t="str">
        <f t="shared" si="5"/>
        <v/>
      </c>
      <c r="Y187" s="156" t="str">
        <f>IF(OR(O187="",P187=""),"",IF(OR(ISERROR(FIND("carcass",$A187))=FALSE,ISERROR(FIND("unit",$A187))=FALSE),VLOOKUP(KitchenCarcassMaterial,FixedListsCarcassMaterial,3,0),0))</f>
        <v/>
      </c>
      <c r="Z187" s="156" t="str">
        <f>IF(OR(O187="",P187=""),"",IF(ISERROR(FIND("door",$A187))=FALSE,VLOOKUP(KitchenDoorStyle,FixedListsDoorStyle,3,0),0))</f>
        <v/>
      </c>
      <c r="AA187" s="156" t="str">
        <f>IF(OR(O187="",P187=""),"",IF(ISERROR(FIND("door",$A187))=FALSE,VLOOKUP(KitchenDoorMaterial,FixedListsDoorMaterial,3,0),0))</f>
        <v/>
      </c>
      <c r="AB187" s="156" t="str">
        <f>IF(OR(O187="",P187=""),"",IF(ISERROR(FIND("drawer",$A187))=FALSE,VLOOKUP(KitchenDrawerType,FixedListsDrawerType,3,0),0))</f>
        <v/>
      </c>
      <c r="AC187" s="156" t="str">
        <f>IF(OR(O187="",P187=""),"",IF(OR(Y187&gt;0,Z187&gt;0,AB187&gt;0),VLOOKUP(KitchenHandleType,FixedListsHandleType,3,FALSE),0))</f>
        <v/>
      </c>
      <c r="AD187" s="156" t="str">
        <f>IF(OR(O187="",P187=""),"",IF(OR(ISERROR(FIND("carcass",$A187))=FALSE,ISERROR(FIND("unit",$A187))=FALSE),VLOOKUP(KitchenCarcassFinish,FixedListsFinishes,3,0),IF(OR(ISERROR(FIND("door",$A187))=FALSE,ISERROR(FIND("Plinth",$A187))=FALSE,ISERROR(FIND("Cornice",$A187))=FALSE,ISERROR(FIND("Fillers",$A187))=FALSE,ISERROR(FIND("Pelmet",$A187))=FALSE,ISERROR(FIND("panel",$A187))=FALSE,ISERROR(FIND("post",$A187))=FALSE),VLOOKUP(KitchenDoorFinish,FixedListsFinishes,3,0),IF(OR(ISERROR(FIND("drawer",$A187))=FALSE,ISERROR(FIND("insert",$A187))=FALSE,ISERROR(FIND("rck",$A187))=FALSE),VLOOKUP(KitchenCarcassFinish,FixedListsFinishes,3,0),0))))</f>
        <v/>
      </c>
      <c r="AE187" s="156" t="str">
        <f t="shared" si="6"/>
        <v/>
      </c>
      <c r="AF187" s="157" t="str">
        <f>IF(AND(KitchenHandleType="Channel",OR(ISERROR(FIND("arcass",$A187))=FALSE,ISERROR(FIND("unit",$A187))=FALSE)),IF(ISERROR(FIND("Tower",$A187))=TRUE,IF(KitchenHandleFinish="Match carcass",IF(ISERROR(FIND("Walnut",KitchenCarcassMaterial))=FALSE,(0.035*0.075*($C187/1000))*VLOOKUP("Walnut (solid m3)",SolidData,4,FALSE),IF(ISERROR(FIND("Oak",KitchenCarcassMaterial))=FALSE,(0.035*0.075*($C187/1000))*VLOOKUP("Oak (solid m3)",SolidData,4,FALSE),IF(ISERROR(FIND("ply",KitchenCarcassMaterial))=FALSE,(0.1*($C187/1000))*VLOOKUP("Birch ply (24mm)",SheetsData,7,FALSE),IF(ISERROR(FIND("H/F",KitchenCarcassMaterial))=FALSE,(0.1*($C187/1000))*VLOOKUP("H/F (22mm)",SheetsData,7,FALSE),"Carcass - not tower - new material")))),IF(KitchenHandleFinish="Match door",IF(ISERROR(FIND("Walnut",KitchenDoorMaterial))=FALSE,(0.035*0.075*($C187/1000))*VLOOKUP("Walnut (solid m3)",SolidData,4,FALSE),IF(ISERROR(FIND("Oak",KitchenDoorMaterial))=FALSE,(0.035*0.075*($C187/1000))*VLOOKUP("Oak (solid m3)",SolidData,4,FALSE),IF(ISERROR(FIND("ply",KitchenDoorMaterial))=FALSE,(0.1*($C187/1000))*VLOOKUP("Birch ply (24mm)",SheetsData,7,FALSE),IF(ISERROR(FIND("H/F",KitchenCarcassMaterial))=FALSE,(0.1*($C187/1000))*VLOOKUP("H/F (22mm)",SheetsData,7,FALSE),"Door - not tower - new material")))),"Channel - not tower - handle set to other")),IF(ISERROR(FIND("Tower",$A187))=FALSE,IF(KitchenHandleFinish="Match carcass",IF(ISERROR(FIND("Walnut",KitchenCarcassMaterial))=FALSE,(0.035*0.075*($B187/1000))*VLOOKUP("Walnut (solid m3)",SolidData,4,FALSE),IF(ISERROR(FIND("Oak",KitchenCarcassMaterial))=FALSE,(0.035*0.075*($B187/1000))*VLOOKUP("Oak (solid m3)",SolidData,4,FALSE),IF(ISERROR(FIND("ply",KitchenCarcassMaterial))=FALSE,(0.1*($B187/1000))*VLOOKUP("Birch ply (24mm)",SheetsData,7,FALSE),IF(ISERROR(FIND("H/F",KitchenCarcassMaterial))=FALSE,(0.1*($C187/1000))*VLOOKUP("H/F (22mm)",SheetsData,7,FALSE),"Carcass - tower - new material")))),IF(KitchenHandleFinish="Match door",IF(ISERROR(FIND("Walnut",KitchenDoorMaterial))=FALSE,(0.035*0.075*($B187/1000))*VLOOKUP("Walnut (solid m3)",SolidData,4,FALSE),IF(ISERROR(FIND("Oak",KitchenDoorMaterial))=FALSE,(0.035*0.075*($B187/1000))*VLOOKUP("Oak (solid m3)",SolidData,4,FALSE),IF(ISERROR(FIND("ply",KitchenDoorMaterial))=FALSE,(0.1*($B187/1000))*VLOOKUP("Birch ply (24mm)",SheetData,7,FALSE),IF(ISERROR(FIND("H/F",KitchenCarcassMaterial))=FALSE,(0.1*($C187/1000))*VLOOKUP("H/F (22mm)",SheetsData,7,FALSE),"Door - tower - new material")))),"Channel - tower - handle set to other")))),"")</f>
        <v/>
      </c>
    </row>
    <row r="188">
      <c r="A188" s="150"/>
      <c r="B188" s="115" t="str">
        <f t="shared" si="1"/>
        <v/>
      </c>
      <c r="C188" s="115" t="str">
        <f>IFERROR(__xludf.DUMMYFUNCTION("IF(A188="""","""",IF(OR(RIGHT(A188,LEN(A188)-len(regexextract(A188,"".* "")))=""1200"",RIGHT(A188,LEN(A188)-len(regexextract(A188,"".* "")))=""600"",RIGHT(A188,LEN(A188)-len(regexextract(A188,"".* "")))=""400"",RIGHT(A188,LEN(A188)-len(regexextract(A188,"&amp;""".* "")))=""300"",RIGHT(A188,LEN(A188)-len(regexextract(A188,"".* "")))=""700"",RIGHT(A188,LEN(A188)-len(regexextract(A188,"".* "")))=""2400"",RIGHT(A188,LEN(A188)-len(regexextract(A188,"".* "")))=""650"",RIGHT(A188,LEN(A188)-len(regexextract(A188,"".* "&amp;""")))=""350"",RIGHT(A188,LEN(A188)-len(regexextract(A188,"".* "")))=""50""),RIGHT(A188,LEN(A188)-len(regexextract(A188,"".* ""))),IF(OR(ISERROR(FIND(""spacer"",A188))=FALSE,ISERROR(FIND(""filler panel"",A188))=FALSE),""1000"",""Unexpected size in descript"&amp;"ion"")))"),"")</f>
        <v/>
      </c>
      <c r="D188" s="151" t="str">
        <f t="shared" si="2"/>
        <v/>
      </c>
      <c r="E188" s="152" t="str">
        <f>IFERROR(__xludf.DUMMYFUNCTION("IF(OR(A188="""",AND(ISERROR(FIND(""drawer box"",A188))=FALSE,KitchenDrawerType="""")),"""",IF(OR(ISERROR(FIND(""larder"",A188))=FALSE,ISERROR(FIND(""fridge/freezer"",A188))=FALSE,ISERROR(FIND(""double oven"",A188))=FALSE,ISERROR(FIND(""single oven"",A188)"&amp;")=FALSE),VLOOKUP(LEFT(A188,FIND("" "",A188))&amp;""carcass ""&amp;RIGHT(A188,LEN(A188)-(LEN(A188)-3)),KitchensData,5,0),IF(ISERROR(FIND(""sink"",A188))=FALSE,VLOOKUP(LEFT(A188,FIND("" "",A188))&amp;""carcass ""&amp;VALUE(REGEXREPLACE(A188,""[^[:digit:]]"", """")),Kitchen"&amp;"sData,5,0)+(((C188/1000)*(300/1000))*VLOOKUP(KitchenCarcassMaterial,SheetsData,8,0)),IF(ISERROR(FIND(""bins"",A188))=FALSE,IF(ISERROR(FIND(""veneer"",KitchenCarcassMaterial))=FALSE,VLOOKUP(""Base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600"",A188))=FALSE,IF(ISERR"&amp;"OR(FIND(""veneer"",KitchenCarcassMaterial))=FALSE,0.54*(VLOOKUP(LEFT(KitchenCarcassMaterial,FIND(""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1"&amp;"200"",A188))=FALSE,IF(ISERROR(FIND(""veneer"",KitchenCarcassMaterial))=FALSE,0.84*(VLOOKUP(LEFT(KitchenCarcassMaterial,FIND(""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600"",A188))=FALSE,IF(ISERROR(FIND(""veneer"",KitchenCarcassMaterial))=FALSE,1.44*(VLOOKUP(LEFT(KitchenCarcassMaterial,FIND(""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1200"",A188))=FALSE,IF(ISERROR(FIND(""veneer"",KitchenCarcassMaterial))=FALSE,2.7*(VLOOKUP(LEFT(KitchenCarcassMaterial,FIND(""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front"",A188))=FALSE,((B188/1000)*(C188/1000))*VLOOKUP(KitchenDoorMaterial,SheetsData,8,0),IF(AND(KitchenDrawerType=""Match carcass"",ISERROR(FIND(""drawer box"",A188))=FALSE),(((((B188/10"&amp;"00)*(C188/1000))+((B188/1000)*(D188/1000)))*2)*VLOOKUP(KitchenCarcassMaterial,SheetsData,8,0))+(((C188/1000)*(D188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box"",A188))=FALSE),(((((B188/1000)*(C188/1000))+((B188/1000)*(D188/1000)))*2)*(16/1000)*VLOOKUP(L"&amp;"EFT(KitchenCarcassMaterial,FIND("" "",KitchenCarcassMaterial))&amp;""(solid m3)"",SolidData,5,0))+(((C188/1000)*(D188/1000))*VLOOKUP(LEFT(KitchenCarcassMaterial,FIND(""("",KitchenCarcassMaterial)-1)&amp;IF(OR(ISERROR(FIND(""ply"",KitchenCarcassMaterial))=FALSE,IS"&amp;"ERROR(FIND(""H/F"",KitchenCarcassMaterial))=FALSE),""(9mm)"",""(10mm)""),SheetsData,8,0)),IF(ISERROR(FIND(""spacer"",A188))=FALSE,((D188/1000)*(C188/1000))*VLOOKUP(""Poplar ply (18mm)"",SheetsData,8,0),IF(ISERROR(FIND(""filler panel"",A188))=FALSE,((B188/"&amp;"1000)*(C188/1000))*VLOOKUP(KitchenDoorMaterial,SheetsData,8,0),IF(ISERROR(FIND(""shelf"",A188))=FALSE,((D188/1000)*(C188/1000))*VLOOKUP(KitchenCarcassMaterial,SheetsData,8,0),IF(ISERROR(FIND(""lost corner"",A188))=FALSE,VLOOKUP(LEFT(A188,FIND("" "",A188))"&amp;"&amp;""carcass ""&amp;VALUE(REGEXREPLACE(A188,""[^[:digit:]]"", """")),KitchensData,5,0)+((((B188/1000)*(C188/1000))+((B188/1000)*(60/1000)))*VLOOKUP(KitchenCarcassMaterial,SheetsData,8,0)),IF(ISERROR(FIND(""carcass"",A188))=FALSE,(((((B188/1000)*2)*(D188/1000))+"&amp;"(((C188/1000)*2)*(D188/1000)))*VLOOKUP(KitchenCarcassMaterial,SheetsData,8,0))+((B188/1000)*(C188/1000))*VLOOKUP(LEFT(KitchenCarcassMaterial,FIND(""("",KitchenCarcassMaterial)-1)&amp;IF(OR(ISERROR(FIND(""ply"",KitchenCarcassMaterial))=FALSE,ISERROR(FIND(""H/F"&amp;""",KitchenCarcassMaterial))=FALSE),""(9mm)"",""(10mm)""),SheetsData,8,0),IF(OR(ISERROR(FIND(""Plinth"",A188))=FALSE,ISERROR(FIND(""Cornice (flat)"",A188))=FALSE),((B188/1000)*(C188/1000))*VLOOKUP(""H/F (18mm)"",SheetsData,8,0),IF(ISERROR(FIND(""Cornice (s"&amp;"tacked)"",A188))=FALSE,((0.08*(C188/1000))*2)*VLOOKUP(""H/F (22mm)"",SheetsData,8,0),IF(ISERROR(FIND(""Base end panel"",A188))=FALSE,VLOOKUP(KitchenDoorMaterial,SheetsData,5,0)/3,IF(ISERROR(FIND(""Wall end panel"",A188))=FALSE,VLOOKUP(KitchenDoorMaterial,"&amp;"SheetsData,5,0)/9,IF(ISERROR(FIND(""Tower end panel"",A188))=FALSE,VLOOKUP(KitchenDoorMaterial,SheetsData,5,0),IF(ISERROR(FIND(""Fillers"",A188))=FALSE,(((0.06*(C188/1000))*2)*VLOOKUP(""H/F (18mm)"",SheetsData,8,0))+(((0.06*(C188/1000))*2)*VLOOKUP(""H/F ("&amp;"9mm)"",SheetsData,8,0)),IF(ISERROR(FIND(""corner post"",A188))=FALSE,(((B188/1000)*0.05)*2)*VLOOKUP(KitchenDoorMaterial,SheetsData,8,0),IF(ISERROR(FIND(""Pelmet"",A188))=FALSE,((((B188/1000)*(C188/1000))*2)*VLOOKUP(""H/F (18mm)"",SheetsData,8,0)),IF(ISERR"&amp;"OR(FIND(""door"",A188))=TRUE,""Check description"",IF(KitchenDoorStyle=""Flat"",((B188/1000)*(C188/1000))*VLOOKUP(KitchenDoorMaterial,SheetsData,8,0),IF(LEFT(KitchenDoorStyle,5)=""Panel"",(((((B188/1000)*2)*0.08)+((((C188/1000)-0.16)*2)*0.08))*VLOOKUP(""H"&amp;"/F (22mm)"",SheetsData,8,0))+(((B188/1000)-0.14)*((C188/1000)-0.14)*VLOOKUP(""H/F (9mm)"",SheetsData,8,0)),IF(KitchenDoorStyle=""In-frame flat"",((((((B188/1000)*0.019)*0.038)+((((C188-38)/1000)*0.038)*0.038))*2)*VLOOKUP(""Tulip (solid m3)"",SolidData,5,0"&amp;"))+(((B188-76)/1000)*((C188-38)/1000))*VLOOKUP(""H/F (22mm)"",SheetsData,8,0),IF(LEFT(KitchenDoorStyle,14)=""In-frame panel"",(((((((B188/1000)*0.019)*0.038)+((((C188-38)/1000)*0.038)*0.038))*2)*VLOOKUP(""Tulip (solid m3)"",SolidData,5,0))+(((((((B188-76)"&amp;"/1000)*2)*0.08)+(((((C188-198)/1000)*2)*0.08)))*VLOOKUP(""H/F (22mm)"",SheetsData,8,0))+(((B188-216)/1000)*((C188-178)/1000)*VLOOKUP(""H/F (9mm)"",SheetsData,8,0)))))))))))))))))))))))))))))))))"),"")</f>
        <v/>
      </c>
      <c r="F188" s="152" t="str">
        <f>IFERROR(__xludf.DUMMYFUNCTION("IF(OR(A188="""",AND(ISERROR(FIND(""drawer box"",A188))=FALSE,KitchenDrawerType=""Solid dovetail"")),"""",IF(ISERROR(FIND(""bins"",A188))=FALSE,VLOOKUP(""Base carcass 600"",KitchensData,6,0),IF(OR(ISERROR(FIND(""larder"",A188))=FALSE,ISERROR(FIND(""unit"","&amp;"A188))=FALSE),VLOOKUP(LEFT(A188,FIND("" "",A188))&amp;""carcass ""&amp;RIGHT(A188,LEN(A188)-len(regexextract(A188,"".* ""))),KitchensData,6,0),IF(ISERROR(FIND(""drawer front"",A188))=FALSE,IF(ISERROR(FIND(""veneer"",KitchenCarcassMaterial))=TRUE,0,(((B188+C188)/1"&amp;"000)*2)*VLOOKUP(""Edge banding (per M)"",SheetsData,5,0)),IF(ISERROR(FIND(""drawer box"",A188))=FALSE,IF(ISERROR(FIND(""veneer"",KitchenCarcassMaterial))=TRUE,0,(((C188+D188)/1000)*2)*VLOOKUP(""Edge banding (per M)"",SheetsData,5,0)),IF(ISERROR(FIND(""she"&amp;"lf"",A188))=FALSE,IF(ISERROR(FIND(""veneer"",KitchenCarcassMaterial))=TRUE,0,(C188/1000)*VLOOKUP(""Edge banding (per M)"",SheetsData,5,0)),IF(AND(ISERROR(FIND(""carcass"",A188))=FALSE,ISERROR(FIND(""shelf"",A188))=TRUE),IF(ISERROR(FIND(""veneer"",KitchenC"&amp;"arcassMaterial))=TRUE,0,((2*(B188+C188))/1000)*VLOOKUP(""Edge banding (per M)"",SheetsData,5,0)),IF(ISERROR(FIND(""door"",A188))=TRUE,"""",IF(ISERROR(FIND(""veneer"",KitchenDoorMaterial))=TRUE,"""",((2*(B188+C188))/1000)*VLOOKUP(""Edge banding (per M)"",S"&amp;"heetsData,5,0))))))))))"),"")</f>
        <v/>
      </c>
      <c r="G188" s="153" t="str">
        <f>IF(A188="","",IF(ISERROR(FIND("bins",A188))=FALSE,VLOOKUP("Base carcass 600",KitchensData,7,0),IF(OR(ISERROR(FIND("larder",A188))=FALSE,ISERROR(FIND("fridge/freezer",A188))=FALSE,ISERROR(FIND("double oven",A188))=FALSE,ISERROR(FIND("single oven",A188))=FALSE),VLOOKUP(LEFT(A188,FIND(" ",A188))&amp;"carcass "&amp;RIGHT(A188,LEN(A188)-(LEN(A188)-3)),KitchensData,7,0),IF(AND(ISERROR(FIND("carcass",A188))=FALSE,ISERROR(FIND("shelf",A188))=TRUE),IF(OR(ISERROR(FIND("Base",A188))=FALSE,ISERROR(FIND("Tower",A188))=FALSE),IF(OR(ISERROR(FIND("1200",A188))=FALSE, ISERROR(FIND("lost corner",A188))=FALSE),6*VLOOKUP("Plinth foot (2 Parts 80mm)",FurnitureData,5,0),4*VLOOKUP("Plinth foot (2 Parts 80mm)",FurnitureData,5,0)),""),""))))</f>
        <v/>
      </c>
      <c r="H188" s="115" t="str">
        <f>IF(OR(A188="",ISERROR(FIND("door",A188))=TRUE),"",IF(ISERROR(FIND("Wall",A188))=FALSE,VLOOKUP("Hinges &amp; plates (Hettich thick door)",FurnitureData,5,0)*2,IF(ISERROR(FIND("Base",A188))=FALSE,VLOOKUP("Hinges &amp; plates (Hettich thick door)",FurnitureData,5,0)*3,IF(ISERROR(FIND("Boiler",A188))=FALSE,VLOOKUP("Hinges &amp; plates (Hettich thick door)",FurnitureData,5,0)*4,IF(ISERROR(FIND("Tower",A188))=FALSE,VLOOKUP("Hinges &amp; plates (Hettich thick door)",FurnitureData,5,0)*5)))))</f>
        <v/>
      </c>
      <c r="I188" s="115" t="str">
        <f>IF(ISERROR(FIND("shelf",A188))=FALSE,(VLOOKUP("Shelf pegs",FurnitureData,5,0)/100)*4,"")</f>
        <v/>
      </c>
      <c r="J188" s="152" t="str">
        <f>IF(OR(ISERROR(FIND("fridge/freezer",A188))=FALSE,ISERROR(FIND("larder",A188))=FALSE,AND(ISERROR(FIND("Base",A188))=FALSE,ISERROR(FIND("bins",A188))=TRUE,ISERROR(FIND("no shelves",A188))=TRUE,OR(ISERROR(FIND("carcass",A188))=FALSE,ISERROR(FIND("unit",A188))=FALSE))),VLOOKUP("Deep shelf "&amp;C188,KitchensData,18,0),IF(AND(ISERROR(FIND("Wall",A188))=FALSE,ISERROR(FIND("carcass",A188))=FALSE),2*VLOOKUP("Shallow shelf "&amp;C188,KitchensData,18,0),IF(AND(ISERROR(FIND("Tower",A188))=FALSE,ISERROR(FIND("oven",A188))=FALSE),4*VLOOKUP("Deep shelf "&amp;C188,KitchensData,18,0),IF(AND(ISERROR(FIND("Tower",A188))=FALSE,ISERROR(FIND("carcass",A188))=FALSE),5*VLOOKUP("Deep shelf "&amp;C188,KitchensData,18,0),""))))</f>
        <v/>
      </c>
      <c r="K188" s="152" t="str">
        <f>IF(ISERROR(FIND("sink",A188))=FALSE,VLOOKUP("Sink liner - Aluminium "&amp;RIGHT(A188,LEN(A188)-22)&amp;"mm",ExceptionalData,5,0),IF(ISERROR(FIND("bins",A188))=FALSE,VLOOKUP("Drawer runners and clip set for bin unit (500) Dynapro",FurnitureData,5,0)+(2*VLOOKUP("Bin (42L Anthracite)",FurnitureData,5,0)),IF(ISERROR(FIND("larder",A188))=FALSE,VLOOKUP("Pull out larder unit 600mm",FurnitureData,5,0),IF(AND(ISERROR(FIND("drawer box",A188))=FALSE,ISERROR(FIND("internal",A188))=TRUE),VLOOKUP("Drawer runners and clip set (550) Dynapro",FurnitureData,5,0),IF(ISERROR(FIND("internal drawer box",A188))=FALSE,VLOOKUP("Drawer runners and clip set (450) Dynapro",FurnitureData,5,0),"")))))</f>
        <v/>
      </c>
      <c r="L188" s="152" t="str">
        <f t="shared" si="3"/>
        <v/>
      </c>
      <c r="M188" s="154" t="str">
        <f>IFERROR(__xludf.DUMMYFUNCTION("IF(A188="""","""",IF(OR(ISERROR(FIND(""larder"",A188))=FALSE,ISERROR(FIND(""unit"",A188))=FALSE),VLOOKUP(LEFT(A188,FIND("" "",A188))&amp;""carcass ""&amp;RIGHT(A188,LEN(A188)-len(regexextract(A188,"".* ""))),KitchensData,13,0),IF(ISERROR(FIND(""bins"",A188))=FALS"&amp;"E,0.95,IF(ISERROR(FIND(""Cutlery insert 600"",A188))=FALSE,1.3,IF(ISERROR(FIND(""Cutlery insert 1200"",A188))=FALSE,2,IF(ISERROR(FIND(""Pan/tray rack 600"",A188))=FALSE,3.25,IF(ISERROR(FIND(""Pan/tray rack 1200"",A188))=FALSE,5.9,IF(ISERROR(FIND(""split"""&amp;",A188))=FALSE,(((C188/1000)*0.022)*2)+VLOOKUP(SUBSTITUTE(A188,"" split"",""""),KitchensData,13,0),IF(AND(ISERROR(FIND(""drawer front"",A188))=FALSE,KitchenDoorStyle=""Flat""),(((B188/1000)*(C188/1000))*2)+((((B188+C188)/1000)*2)*0.022),IF(AND(ISERROR(FIND"&amp;"(""drawer front"",A188))=FALSE,LEFT(KitchenDoorStyle,5)=""Panel""),(((B188/1000)*(C188/1000))*2)+((((B188+C188)/1000)*2)*0.022)+((((C188/1000)-0.16)*0.013)*2)+((((D188/1000)-0.16)*0.013)*2),IF(AND(ISERROR(FIND(""drawer front"",A188))=FALSE,KitchenDoorStyl"&amp;"e=""In-frame flat""),((((B188-76)/1000)*((C188-38)/1000))*2)+(MID(KitchenDoorMaterial,FIND(""("",KitchenDoorMaterial)+1,2)/1000)*((((B188-76)+(C188-38))/1000)*2)+(((B188/1000)*0.032)*2)+((((B188-76)/1000)*0.032)*2)+(((B188/1000)*0.019)*4)+(((C188/1000)*0."&amp;"032)*2)+((((C188-38)/1000)*0.032)*2)+(((C188/1000)*0.038)*4),IF(AND(ISERROR(FIND(""drawer front"",A188))=FALSE,LEFT(KitchenDoorStyle,14)=""In-frame panel""),((((B188-76)/1000)*((C188-38)/1000))*2)+((MID(KitchenDoorMaterial,FIND(""("",KitchenDoorMaterial)+"&amp;"1,2)/1000)*((((B188-76)+(C188-38))/1000)*2))+((((B188-236)/1000)+((C188-198)/1000)*2)*0.013)+(((B188/1000)*0.032)*2)+((((B188-76)/1000)*0.032)*2)+(((B188/1000)*0.019)*4)+(((C188/1000)*0.032)*2)+((((C188-38)/1000)*0.032)*2)+(((C188/1000)*0.038)*4),IF(ISERR"&amp;"OR(FIND(""drawer box"",A188))=FALSE,((((B188/1000)*(D188/1000))+((B188/1000)*(C188/1000)))*4)+((((D188/1000)+(C188/1000))*0.016)*4)+(((C188/1000)*(D188/1000))*2),IF(OR(ISERROR(FIND(""shelf"",A188))=FALSE,ISERROR(FIND(""spacer"",A188))=FALSE,,ISERROR(FIND("&amp;"""filler panel"",A188))=FALSE),(((C188/1000)*(D188/1000))*2)+((((C188+D188)*2)/1000)*0.022),IF(ISERROR(FIND(""lost corner"",A188))=FALSE,(((B188/1000)*(C188/1000))*2)+((B188/1000)*(C188/1000))+((B188/1000)*((C188/2)/1000))+((((B188/1000)*0.025)+((C188/100"&amp;"0)*0.025))*2),IF(ISERROR(FIND(""carcass"",A188))=FALSE,(((C188/1000)*(D188/1000))*2)+(((B188/1000)*(D188/1000))*2)+((B188/1000)*(C188/1000))+((((B188/1000)*0.025)+((C188/1000)*0.025))*2),IF(AND(ISERROR(FIND(""door"",A188))=FALSE,KitchenDoorStyle=""Flat"")"&amp;",(((B188/1000)*(C188/1000))*2)+(MID(KitchenDoorMaterial,FIND(""("",KitchenDoorMaterial)+1,2)/1000)*(((B188+C188)/1000)*2),IF(AND(ISERROR(FIND(""door"",A188))=FALSE,LEFT(KitchenDoorStyle,5)=""Panel""),(((B188/1000)*(C188/1000))*2)+((MID(KitchenDoorMaterial"&amp;",FIND(""("",KitchenDoorMaterial)+1,2)/1000)*(((B188+C188)/1000)*2))+(((((B188-160)+(C188-160))*2)/1000)*(0.013)),IF(AND(ISERROR(FIND(""door"",A188))=FALSE,KitchenDoorStyle=""In-frame flat""),((((B188-76)/1000)*((C188-38)/1000))*2)+(MID(KitchenDoorMaterial"&amp;",FIND(""("",KitchenDoorMaterial)+1,2)/1000)*((((B188-76)+(C188-38))/1000)*2)+(((B188/1000)*0.032)*2)+((((B188-76)/1000)*0.032)*2)+(((B188/1000)*0.019)*4)+(((C188/1000)*0.032)*2)+((((C188-38)/1000)*0.032)*2)+(((C188/1000)*0.038)*4),IF(AND(ISERROR(FIND(""do"&amp;"or"",A188))=FALSE,LEFT(KitchenDoorStyle,14)=""In-frame panel""),((((B188-76)/1000)*((C188-38)/1000))*2)+((MID(KitchenDoorMaterial,FIND(""("",KitchenDoorMaterial)+1,2)/1000)*((((B188-76)+(C188-38))/1000)*2))+((((B188-236)/1000)+((C188-198)/1000)*2)*0.013)+"&amp;"(((B188/1000)*0.032)*2)+((((B188-76)/1000)*0.032)*2)+(((B188/1000)*0.019)*4)+(((C188/1000)*0.032)*2)+((((C188-38)/1000)*0.032)*2)+(((C188/1000)*0.038)*4),IF(ISERROR(FIND(""Plinth"",A188))=FALSE,((B188/1000)*(C188/1000))+(((C188/1000)*0.018)*2)+(((B188/100"&amp;"0)*0.018)*2),IF(ISERROR(FIND(""Cornice"",A188))=FALSE,(((C188/1000)*0.1)*2)+(((C188/1000)*0.044)*2)+(((B188/1000)*0.08)*2),IF(ISERROR(FIND(""Base end panel"",A188))=FALSE,((B188/1000)*(C188/1000))+(0.022*((B188/1000)+((C188/1000)*2)))+((B188/1000)*0.05),I"&amp;"F(ISERROR(FIND(""Wall end panel"",A188))=FALSE,((B188/1000)*(C188/1000))+(0.022*((B188/1000)+((C188/1000)*2)))+((B188/1000)*0.05),IF(ISERROR(FIND(""Tower end panel"",A188))=FALSE,((B188/1000)*(C188/1000))+(0.022*((B188/1000)+((C188/1000)*2)))+((B188/1000)"&amp;"*0.05),IF(ISERROR(FIND(""Fillers"",A188))=FALSE,((C188/1000)*0.06)+((C188/1000)*0.069)+((0.06*0.018)*2)+((0.06*0.009)*2)+((C188/1000)*0.009)+((C188/1000)*0.018),IF(ISERROR(FIND(""corner post"",A188))=FALSE,(((B188/1000*0.05)*2)+((B188/1000)*0.022)*2)+((B1"&amp;"88/1000)*0.072)+((B188/1000)*0.05)+((0.072*0.022)*2)+((0.05*0.022)*2),IF(ISERROR(FIND(""Pelmet"",A188))=FALSE,((C188/1000)*0.05)+((C188/1000)*0.068)+((0.05*0.018)*4)+(((C188/1000)*0.018))*2))))))))))))))))))))))))))))"),"")</f>
        <v/>
      </c>
      <c r="N188" s="152" t="str">
        <f>IF(M188="","",IF(AND(ISERROR(FIND("carcass",A188))=TRUE,ISERROR(FIND("unit",A188))=TRUE,ISERROR(FIND("insert",A188))=TRUE,ISERROR(FIND("rack",A188))=TRUE,ISERROR(FIND("box",A188))=TRUE,ISERROR(FIND("shelf",#REF!))=TRUE),VLOOKUP(KitchenDoorFinish,Finishing!$A$2:$K$10,9,0)*M188,VLOOKUP(KitchenCarcassFinish,Finishing!$A$2:$K$40,9,0)*M188))</f>
        <v/>
      </c>
      <c r="O188" s="155"/>
      <c r="P188" s="155"/>
      <c r="Q188" s="152" t="str">
        <f>IF(OR(O188="",P188=""),"",((O188*X188)*(VLOOKUP("Workshop",Labour!$A$3:$E$20,4,0)/8))+((P188*AE188)*(VLOOKUP("Finishing",Labour!$A$3:$E$20,4,0)/8)))</f>
        <v/>
      </c>
      <c r="R188" s="152" t="str">
        <f t="shared" si="4"/>
        <v/>
      </c>
      <c r="S188" s="156" t="str">
        <f>IF(OR(O188="",P188=""),"",IF(OR(ISERROR(FIND("carcass",$A188))=FALSE,ISERROR(FIND("unit",$A188))=FALSE),VLOOKUP(KitchenCarcassMaterial,FixedListsCarcassMaterial,2,0),0))</f>
        <v/>
      </c>
      <c r="T188" s="156" t="str">
        <f>IF(OR(O188="",P188=""),"",IF(ISERROR(FIND("door",$A188))=FALSE,VLOOKUP(KitchenDoorStyle,FixedListsDoorStyle,2,0),0))</f>
        <v/>
      </c>
      <c r="U188" s="156" t="str">
        <f>IF(OR(O188="",P188=""),"",IF(ISERROR(FIND("door",$A188))=FALSE,VLOOKUP(KitchenDoorMaterial,FixedListsDoorMaterial,2,0),0))</f>
        <v/>
      </c>
      <c r="V188" s="156" t="str">
        <f>IF(OR(O188="",P188=""),"",IF(ISERROR(FIND("drawer",$A188))=FALSE,VLOOKUP(KitchenDrawerType,FixedListsDrawerType,2,0),0))</f>
        <v/>
      </c>
      <c r="W188" s="156" t="str">
        <f>IF(OR(O188="",P188=""),"",IF(OR(S188&gt;0, T188&gt;0,V188&gt;0),VLOOKUP(KitchenHandleType,FixedListsHandleType,2,FALSE)*IF(KitchenHandleType="Simple",0,IF(S188&gt;0,VLOOKUP(KitchenHandleType,FixedListsHandleType,4,FALSE),IF(OR(T188&gt;0,V188&gt;0),1-VLOOKUP(KitchenHandleType,FixedListsHandleType,4,FALSE),"Error"))),0))</f>
        <v/>
      </c>
      <c r="X188" s="156" t="str">
        <f t="shared" si="5"/>
        <v/>
      </c>
      <c r="Y188" s="156" t="str">
        <f>IF(OR(O188="",P188=""),"",IF(OR(ISERROR(FIND("carcass",$A188))=FALSE,ISERROR(FIND("unit",$A188))=FALSE),VLOOKUP(KitchenCarcassMaterial,FixedListsCarcassMaterial,3,0),0))</f>
        <v/>
      </c>
      <c r="Z188" s="156" t="str">
        <f>IF(OR(O188="",P188=""),"",IF(ISERROR(FIND("door",$A188))=FALSE,VLOOKUP(KitchenDoorStyle,FixedListsDoorStyle,3,0),0))</f>
        <v/>
      </c>
      <c r="AA188" s="156" t="str">
        <f>IF(OR(O188="",P188=""),"",IF(ISERROR(FIND("door",$A188))=FALSE,VLOOKUP(KitchenDoorMaterial,FixedListsDoorMaterial,3,0),0))</f>
        <v/>
      </c>
      <c r="AB188" s="156" t="str">
        <f>IF(OR(O188="",P188=""),"",IF(ISERROR(FIND("drawer",$A188))=FALSE,VLOOKUP(KitchenDrawerType,FixedListsDrawerType,3,0),0))</f>
        <v/>
      </c>
      <c r="AC188" s="156" t="str">
        <f>IF(OR(O188="",P188=""),"",IF(OR(Y188&gt;0,Z188&gt;0,AB188&gt;0),VLOOKUP(KitchenHandleType,FixedListsHandleType,3,FALSE),0))</f>
        <v/>
      </c>
      <c r="AD188" s="156" t="str">
        <f>IF(OR(O188="",P188=""),"",IF(OR(ISERROR(FIND("carcass",$A188))=FALSE,ISERROR(FIND("unit",$A188))=FALSE),VLOOKUP(KitchenCarcassFinish,FixedListsFinishes,3,0),IF(OR(ISERROR(FIND("door",$A188))=FALSE,ISERROR(FIND("Plinth",$A188))=FALSE,ISERROR(FIND("Cornice",$A188))=FALSE,ISERROR(FIND("Fillers",$A188))=FALSE,ISERROR(FIND("Pelmet",$A188))=FALSE,ISERROR(FIND("panel",$A188))=FALSE,ISERROR(FIND("post",$A188))=FALSE),VLOOKUP(KitchenDoorFinish,FixedListsFinishes,3,0),IF(OR(ISERROR(FIND("drawer",$A188))=FALSE,ISERROR(FIND("insert",$A188))=FALSE,ISERROR(FIND("rck",$A188))=FALSE),VLOOKUP(KitchenCarcassFinish,FixedListsFinishes,3,0),0))))</f>
        <v/>
      </c>
      <c r="AE188" s="156" t="str">
        <f t="shared" si="6"/>
        <v/>
      </c>
      <c r="AF188" s="157" t="str">
        <f>IF(AND(KitchenHandleType="Channel",OR(ISERROR(FIND("arcass",$A188))=FALSE,ISERROR(FIND("unit",$A188))=FALSE)),IF(ISERROR(FIND("Tower",$A188))=TRUE,IF(KitchenHandleFinish="Match carcass",IF(ISERROR(FIND("Walnut",KitchenCarcassMaterial))=FALSE,(0.035*0.075*($C188/1000))*VLOOKUP("Walnut (solid m3)",SolidData,4,FALSE),IF(ISERROR(FIND("Oak",KitchenCarcassMaterial))=FALSE,(0.035*0.075*($C188/1000))*VLOOKUP("Oak (solid m3)",SolidData,4,FALSE),IF(ISERROR(FIND("ply",KitchenCarcassMaterial))=FALSE,(0.1*($C188/1000))*VLOOKUP("Birch ply (24mm)",SheetsData,7,FALSE),IF(ISERROR(FIND("H/F",KitchenCarcassMaterial))=FALSE,(0.1*($C188/1000))*VLOOKUP("H/F (22mm)",SheetsData,7,FALSE),"Carcass - not tower - new material")))),IF(KitchenHandleFinish="Match door",IF(ISERROR(FIND("Walnut",KitchenDoorMaterial))=FALSE,(0.035*0.075*($C188/1000))*VLOOKUP("Walnut (solid m3)",SolidData,4,FALSE),IF(ISERROR(FIND("Oak",KitchenDoorMaterial))=FALSE,(0.035*0.075*($C188/1000))*VLOOKUP("Oak (solid m3)",SolidData,4,FALSE),IF(ISERROR(FIND("ply",KitchenDoorMaterial))=FALSE,(0.1*($C188/1000))*VLOOKUP("Birch ply (24mm)",SheetsData,7,FALSE),IF(ISERROR(FIND("H/F",KitchenCarcassMaterial))=FALSE,(0.1*($C188/1000))*VLOOKUP("H/F (22mm)",SheetsData,7,FALSE),"Door - not tower - new material")))),"Channel - not tower - handle set to other")),IF(ISERROR(FIND("Tower",$A188))=FALSE,IF(KitchenHandleFinish="Match carcass",IF(ISERROR(FIND("Walnut",KitchenCarcassMaterial))=FALSE,(0.035*0.075*($B188/1000))*VLOOKUP("Walnut (solid m3)",SolidData,4,FALSE),IF(ISERROR(FIND("Oak",KitchenCarcassMaterial))=FALSE,(0.035*0.075*($B188/1000))*VLOOKUP("Oak (solid m3)",SolidData,4,FALSE),IF(ISERROR(FIND("ply",KitchenCarcassMaterial))=FALSE,(0.1*($B188/1000))*VLOOKUP("Birch ply (24mm)",SheetsData,7,FALSE),IF(ISERROR(FIND("H/F",KitchenCarcassMaterial))=FALSE,(0.1*($C188/1000))*VLOOKUP("H/F (22mm)",SheetsData,7,FALSE),"Carcass - tower - new material")))),IF(KitchenHandleFinish="Match door",IF(ISERROR(FIND("Walnut",KitchenDoorMaterial))=FALSE,(0.035*0.075*($B188/1000))*VLOOKUP("Walnut (solid m3)",SolidData,4,FALSE),IF(ISERROR(FIND("Oak",KitchenDoorMaterial))=FALSE,(0.035*0.075*($B188/1000))*VLOOKUP("Oak (solid m3)",SolidData,4,FALSE),IF(ISERROR(FIND("ply",KitchenDoorMaterial))=FALSE,(0.1*($B188/1000))*VLOOKUP("Birch ply (24mm)",SheetData,7,FALSE),IF(ISERROR(FIND("H/F",KitchenCarcassMaterial))=FALSE,(0.1*($C188/1000))*VLOOKUP("H/F (22mm)",SheetsData,7,FALSE),"Door - tower - new material")))),"Channel - tower - handle set to other")))),"")</f>
        <v/>
      </c>
    </row>
    <row r="189">
      <c r="A189" s="150"/>
      <c r="B189" s="115" t="str">
        <f t="shared" si="1"/>
        <v/>
      </c>
      <c r="C189" s="115" t="str">
        <f>IFERROR(__xludf.DUMMYFUNCTION("IF(A189="""","""",IF(OR(RIGHT(A189,LEN(A189)-len(regexextract(A189,"".* "")))=""1200"",RIGHT(A189,LEN(A189)-len(regexextract(A189,"".* "")))=""600"",RIGHT(A189,LEN(A189)-len(regexextract(A189,"".* "")))=""400"",RIGHT(A189,LEN(A189)-len(regexextract(A189,"&amp;""".* "")))=""300"",RIGHT(A189,LEN(A189)-len(regexextract(A189,"".* "")))=""700"",RIGHT(A189,LEN(A189)-len(regexextract(A189,"".* "")))=""2400"",RIGHT(A189,LEN(A189)-len(regexextract(A189,"".* "")))=""650"",RIGHT(A189,LEN(A189)-len(regexextract(A189,"".* "&amp;""")))=""350"",RIGHT(A189,LEN(A189)-len(regexextract(A189,"".* "")))=""50""),RIGHT(A189,LEN(A189)-len(regexextract(A189,"".* ""))),IF(OR(ISERROR(FIND(""spacer"",A189))=FALSE,ISERROR(FIND(""filler panel"",A189))=FALSE),""1000"",""Unexpected size in descript"&amp;"ion"")))"),"")</f>
        <v/>
      </c>
      <c r="D189" s="151" t="str">
        <f t="shared" si="2"/>
        <v/>
      </c>
      <c r="E189" s="152" t="str">
        <f>IFERROR(__xludf.DUMMYFUNCTION("IF(OR(A189="""",AND(ISERROR(FIND(""drawer box"",A189))=FALSE,KitchenDrawerType="""")),"""",IF(OR(ISERROR(FIND(""larder"",A189))=FALSE,ISERROR(FIND(""fridge/freezer"",A189))=FALSE,ISERROR(FIND(""double oven"",A189))=FALSE,ISERROR(FIND(""single oven"",A189)"&amp;")=FALSE),VLOOKUP(LEFT(A189,FIND("" "",A189))&amp;""carcass ""&amp;RIGHT(A189,LEN(A189)-(LEN(A189)-3)),KitchensData,5,0),IF(ISERROR(FIND(""sink"",A189))=FALSE,VLOOKUP(LEFT(A189,FIND("" "",A189))&amp;""carcass ""&amp;VALUE(REGEXREPLACE(A189,""[^[:digit:]]"", """")),Kitchen"&amp;"sData,5,0)+(((C189/1000)*(300/1000))*VLOOKUP(KitchenCarcassMaterial,SheetsData,8,0)),IF(ISERROR(FIND(""bins"",A189))=FALSE,IF(ISERROR(FIND(""veneer"",KitchenCarcassMaterial))=FALSE,VLOOKUP(""Base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600"",A189))=FALSE,IF(ISERR"&amp;"OR(FIND(""veneer"",KitchenCarcassMaterial))=FALSE,0.54*(VLOOKUP(LEFT(KitchenCarcassMaterial,FIND(""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1"&amp;"200"",A189))=FALSE,IF(ISERROR(FIND(""veneer"",KitchenCarcassMaterial))=FALSE,0.84*(VLOOKUP(LEFT(KitchenCarcassMaterial,FIND(""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600"",A189))=FALSE,IF(ISERROR(FIND(""veneer"",KitchenCarcassMaterial))=FALSE,1.44*(VLOOKUP(LEFT(KitchenCarcassMaterial,FIND(""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1200"",A189))=FALSE,IF(ISERROR(FIND(""veneer"",KitchenCarcassMaterial))=FALSE,2.7*(VLOOKUP(LEFT(KitchenCarcassMaterial,FIND(""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front"",A189))=FALSE,((B189/1000)*(C189/1000))*VLOOKUP(KitchenDoorMaterial,SheetsData,8,0),IF(AND(KitchenDrawerType=""Match carcass"",ISERROR(FIND(""drawer box"",A189))=FALSE),(((((B189/10"&amp;"00)*(C189/1000))+((B189/1000)*(D189/1000)))*2)*VLOOKUP(KitchenCarcassMaterial,SheetsData,8,0))+(((C189/1000)*(D189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box"",A189))=FALSE),(((((B189/1000)*(C189/1000))+((B189/1000)*(D189/1000)))*2)*(16/1000)*VLOOKUP(L"&amp;"EFT(KitchenCarcassMaterial,FIND("" "",KitchenCarcassMaterial))&amp;""(solid m3)"",SolidData,5,0))+(((C189/1000)*(D189/1000))*VLOOKUP(LEFT(KitchenCarcassMaterial,FIND(""("",KitchenCarcassMaterial)-1)&amp;IF(OR(ISERROR(FIND(""ply"",KitchenCarcassMaterial))=FALSE,IS"&amp;"ERROR(FIND(""H/F"",KitchenCarcassMaterial))=FALSE),""(9mm)"",""(10mm)""),SheetsData,8,0)),IF(ISERROR(FIND(""spacer"",A189))=FALSE,((D189/1000)*(C189/1000))*VLOOKUP(""Poplar ply (18mm)"",SheetsData,8,0),IF(ISERROR(FIND(""filler panel"",A189))=FALSE,((B189/"&amp;"1000)*(C189/1000))*VLOOKUP(KitchenDoorMaterial,SheetsData,8,0),IF(ISERROR(FIND(""shelf"",A189))=FALSE,((D189/1000)*(C189/1000))*VLOOKUP(KitchenCarcassMaterial,SheetsData,8,0),IF(ISERROR(FIND(""lost corner"",A189))=FALSE,VLOOKUP(LEFT(A189,FIND("" "",A189))"&amp;"&amp;""carcass ""&amp;VALUE(REGEXREPLACE(A189,""[^[:digit:]]"", """")),KitchensData,5,0)+((((B189/1000)*(C189/1000))+((B189/1000)*(60/1000)))*VLOOKUP(KitchenCarcassMaterial,SheetsData,8,0)),IF(ISERROR(FIND(""carcass"",A189))=FALSE,(((((B189/1000)*2)*(D189/1000))+"&amp;"(((C189/1000)*2)*(D189/1000)))*VLOOKUP(KitchenCarcassMaterial,SheetsData,8,0))+((B189/1000)*(C189/1000))*VLOOKUP(LEFT(KitchenCarcassMaterial,FIND(""("",KitchenCarcassMaterial)-1)&amp;IF(OR(ISERROR(FIND(""ply"",KitchenCarcassMaterial))=FALSE,ISERROR(FIND(""H/F"&amp;""",KitchenCarcassMaterial))=FALSE),""(9mm)"",""(10mm)""),SheetsData,8,0),IF(OR(ISERROR(FIND(""Plinth"",A189))=FALSE,ISERROR(FIND(""Cornice (flat)"",A189))=FALSE),((B189/1000)*(C189/1000))*VLOOKUP(""H/F (18mm)"",SheetsData,8,0),IF(ISERROR(FIND(""Cornice (s"&amp;"tacked)"",A189))=FALSE,((0.08*(C189/1000))*2)*VLOOKUP(""H/F (22mm)"",SheetsData,8,0),IF(ISERROR(FIND(""Base end panel"",A189))=FALSE,VLOOKUP(KitchenDoorMaterial,SheetsData,5,0)/3,IF(ISERROR(FIND(""Wall end panel"",A189))=FALSE,VLOOKUP(KitchenDoorMaterial,"&amp;"SheetsData,5,0)/9,IF(ISERROR(FIND(""Tower end panel"",A189))=FALSE,VLOOKUP(KitchenDoorMaterial,SheetsData,5,0),IF(ISERROR(FIND(""Fillers"",A189))=FALSE,(((0.06*(C189/1000))*2)*VLOOKUP(""H/F (18mm)"",SheetsData,8,0))+(((0.06*(C189/1000))*2)*VLOOKUP(""H/F ("&amp;"9mm)"",SheetsData,8,0)),IF(ISERROR(FIND(""corner post"",A189))=FALSE,(((B189/1000)*0.05)*2)*VLOOKUP(KitchenDoorMaterial,SheetsData,8,0),IF(ISERROR(FIND(""Pelmet"",A189))=FALSE,((((B189/1000)*(C189/1000))*2)*VLOOKUP(""H/F (18mm)"",SheetsData,8,0)),IF(ISERR"&amp;"OR(FIND(""door"",A189))=TRUE,""Check description"",IF(KitchenDoorStyle=""Flat"",((B189/1000)*(C189/1000))*VLOOKUP(KitchenDoorMaterial,SheetsData,8,0),IF(LEFT(KitchenDoorStyle,5)=""Panel"",(((((B189/1000)*2)*0.08)+((((C189/1000)-0.16)*2)*0.08))*VLOOKUP(""H"&amp;"/F (22mm)"",SheetsData,8,0))+(((B189/1000)-0.14)*((C189/1000)-0.14)*VLOOKUP(""H/F (9mm)"",SheetsData,8,0)),IF(KitchenDoorStyle=""In-frame flat"",((((((B189/1000)*0.019)*0.038)+((((C189-38)/1000)*0.038)*0.038))*2)*VLOOKUP(""Tulip (solid m3)"",SolidData,5,0"&amp;"))+(((B189-76)/1000)*((C189-38)/1000))*VLOOKUP(""H/F (22mm)"",SheetsData,8,0),IF(LEFT(KitchenDoorStyle,14)=""In-frame panel"",(((((((B189/1000)*0.019)*0.038)+((((C189-38)/1000)*0.038)*0.038))*2)*VLOOKUP(""Tulip (solid m3)"",SolidData,5,0))+(((((((B189-76)"&amp;"/1000)*2)*0.08)+(((((C189-198)/1000)*2)*0.08)))*VLOOKUP(""H/F (22mm)"",SheetsData,8,0))+(((B189-216)/1000)*((C189-178)/1000)*VLOOKUP(""H/F (9mm)"",SheetsData,8,0)))))))))))))))))))))))))))))))))"),"")</f>
        <v/>
      </c>
      <c r="F189" s="152" t="str">
        <f>IFERROR(__xludf.DUMMYFUNCTION("IF(OR(A189="""",AND(ISERROR(FIND(""drawer box"",A189))=FALSE,KitchenDrawerType=""Solid dovetail"")),"""",IF(ISERROR(FIND(""bins"",A189))=FALSE,VLOOKUP(""Base carcass 600"",KitchensData,6,0),IF(OR(ISERROR(FIND(""larder"",A189))=FALSE,ISERROR(FIND(""unit"","&amp;"A189))=FALSE),VLOOKUP(LEFT(A189,FIND("" "",A189))&amp;""carcass ""&amp;RIGHT(A189,LEN(A189)-len(regexextract(A189,"".* ""))),KitchensData,6,0),IF(ISERROR(FIND(""drawer front"",A189))=FALSE,IF(ISERROR(FIND(""veneer"",KitchenCarcassMaterial))=TRUE,0,(((B189+C189)/1"&amp;"000)*2)*VLOOKUP(""Edge banding (per M)"",SheetsData,5,0)),IF(ISERROR(FIND(""drawer box"",A189))=FALSE,IF(ISERROR(FIND(""veneer"",KitchenCarcassMaterial))=TRUE,0,(((C189+D189)/1000)*2)*VLOOKUP(""Edge banding (per M)"",SheetsData,5,0)),IF(ISERROR(FIND(""she"&amp;"lf"",A189))=FALSE,IF(ISERROR(FIND(""veneer"",KitchenCarcassMaterial))=TRUE,0,(C189/1000)*VLOOKUP(""Edge banding (per M)"",SheetsData,5,0)),IF(AND(ISERROR(FIND(""carcass"",A189))=FALSE,ISERROR(FIND(""shelf"",A189))=TRUE),IF(ISERROR(FIND(""veneer"",KitchenC"&amp;"arcassMaterial))=TRUE,0,((2*(B189+C189))/1000)*VLOOKUP(""Edge banding (per M)"",SheetsData,5,0)),IF(ISERROR(FIND(""door"",A189))=TRUE,"""",IF(ISERROR(FIND(""veneer"",KitchenDoorMaterial))=TRUE,"""",((2*(B189+C189))/1000)*VLOOKUP(""Edge banding (per M)"",S"&amp;"heetsData,5,0))))))))))"),"")</f>
        <v/>
      </c>
      <c r="G189" s="153" t="str">
        <f>IF(A189="","",IF(ISERROR(FIND("bins",A189))=FALSE,VLOOKUP("Base carcass 600",KitchensData,7,0),IF(OR(ISERROR(FIND("larder",A189))=FALSE,ISERROR(FIND("fridge/freezer",A189))=FALSE,ISERROR(FIND("double oven",A189))=FALSE,ISERROR(FIND("single oven",A189))=FALSE),VLOOKUP(LEFT(A189,FIND(" ",A189))&amp;"carcass "&amp;RIGHT(A189,LEN(A189)-(LEN(A189)-3)),KitchensData,7,0),IF(AND(ISERROR(FIND("carcass",A189))=FALSE,ISERROR(FIND("shelf",A189))=TRUE),IF(OR(ISERROR(FIND("Base",A189))=FALSE,ISERROR(FIND("Tower",A189))=FALSE),IF(OR(ISERROR(FIND("1200",A189))=FALSE, ISERROR(FIND("lost corner",A189))=FALSE),6*VLOOKUP("Plinth foot (2 Parts 80mm)",FurnitureData,5,0),4*VLOOKUP("Plinth foot (2 Parts 80mm)",FurnitureData,5,0)),""),""))))</f>
        <v/>
      </c>
      <c r="H189" s="115" t="str">
        <f>IF(OR(A189="",ISERROR(FIND("door",A189))=TRUE),"",IF(ISERROR(FIND("Wall",A189))=FALSE,VLOOKUP("Hinges &amp; plates (Hettich thick door)",FurnitureData,5,0)*2,IF(ISERROR(FIND("Base",A189))=FALSE,VLOOKUP("Hinges &amp; plates (Hettich thick door)",FurnitureData,5,0)*3,IF(ISERROR(FIND("Boiler",A189))=FALSE,VLOOKUP("Hinges &amp; plates (Hettich thick door)",FurnitureData,5,0)*4,IF(ISERROR(FIND("Tower",A189))=FALSE,VLOOKUP("Hinges &amp; plates (Hettich thick door)",FurnitureData,5,0)*5)))))</f>
        <v/>
      </c>
      <c r="I189" s="115" t="str">
        <f>IF(ISERROR(FIND("shelf",A189))=FALSE,(VLOOKUP("Shelf pegs",FurnitureData,5,0)/100)*4,"")</f>
        <v/>
      </c>
      <c r="J189" s="152" t="str">
        <f>IF(OR(ISERROR(FIND("fridge/freezer",A189))=FALSE,ISERROR(FIND("larder",A189))=FALSE,AND(ISERROR(FIND("Base",A189))=FALSE,ISERROR(FIND("bins",A189))=TRUE,ISERROR(FIND("no shelves",A189))=TRUE,OR(ISERROR(FIND("carcass",A189))=FALSE,ISERROR(FIND("unit",A189))=FALSE))),VLOOKUP("Deep shelf "&amp;C189,KitchensData,18,0),IF(AND(ISERROR(FIND("Wall",A189))=FALSE,ISERROR(FIND("carcass",A189))=FALSE),2*VLOOKUP("Shallow shelf "&amp;C189,KitchensData,18,0),IF(AND(ISERROR(FIND("Tower",A189))=FALSE,ISERROR(FIND("oven",A189))=FALSE),4*VLOOKUP("Deep shelf "&amp;C189,KitchensData,18,0),IF(AND(ISERROR(FIND("Tower",A189))=FALSE,ISERROR(FIND("carcass",A189))=FALSE),5*VLOOKUP("Deep shelf "&amp;C189,KitchensData,18,0),""))))</f>
        <v/>
      </c>
      <c r="K189" s="152" t="str">
        <f>IF(ISERROR(FIND("sink",A189))=FALSE,VLOOKUP("Sink liner - Aluminium "&amp;RIGHT(A189,LEN(A189)-22)&amp;"mm",ExceptionalData,5,0),IF(ISERROR(FIND("bins",A189))=FALSE,VLOOKUP("Drawer runners and clip set for bin unit (500) Dynapro",FurnitureData,5,0)+(2*VLOOKUP("Bin (42L Anthracite)",FurnitureData,5,0)),IF(ISERROR(FIND("larder",A189))=FALSE,VLOOKUP("Pull out larder unit 600mm",FurnitureData,5,0),IF(AND(ISERROR(FIND("drawer box",A189))=FALSE,ISERROR(FIND("internal",A189))=TRUE),VLOOKUP("Drawer runners and clip set (550) Dynapro",FurnitureData,5,0),IF(ISERROR(FIND("internal drawer box",A189))=FALSE,VLOOKUP("Drawer runners and clip set (450) Dynapro",FurnitureData,5,0),"")))))</f>
        <v/>
      </c>
      <c r="L189" s="152" t="str">
        <f t="shared" si="3"/>
        <v/>
      </c>
      <c r="M189" s="154" t="str">
        <f>IFERROR(__xludf.DUMMYFUNCTION("IF(A189="""","""",IF(OR(ISERROR(FIND(""larder"",A189))=FALSE,ISERROR(FIND(""unit"",A189))=FALSE),VLOOKUP(LEFT(A189,FIND("" "",A189))&amp;""carcass ""&amp;RIGHT(A189,LEN(A189)-len(regexextract(A189,"".* ""))),KitchensData,13,0),IF(ISERROR(FIND(""bins"",A189))=FALS"&amp;"E,0.95,IF(ISERROR(FIND(""Cutlery insert 600"",A189))=FALSE,1.3,IF(ISERROR(FIND(""Cutlery insert 1200"",A189))=FALSE,2,IF(ISERROR(FIND(""Pan/tray rack 600"",A189))=FALSE,3.25,IF(ISERROR(FIND(""Pan/tray rack 1200"",A189))=FALSE,5.9,IF(ISERROR(FIND(""split"""&amp;",A189))=FALSE,(((C189/1000)*0.022)*2)+VLOOKUP(SUBSTITUTE(A189,"" split"",""""),KitchensData,13,0),IF(AND(ISERROR(FIND(""drawer front"",A189))=FALSE,KitchenDoorStyle=""Flat""),(((B189/1000)*(C189/1000))*2)+((((B189+C189)/1000)*2)*0.022),IF(AND(ISERROR(FIND"&amp;"(""drawer front"",A189))=FALSE,LEFT(KitchenDoorStyle,5)=""Panel""),(((B189/1000)*(C189/1000))*2)+((((B189+C189)/1000)*2)*0.022)+((((C189/1000)-0.16)*0.013)*2)+((((D189/1000)-0.16)*0.013)*2),IF(AND(ISERROR(FIND(""drawer front"",A189))=FALSE,KitchenDoorStyl"&amp;"e=""In-frame flat""),((((B189-76)/1000)*((C189-38)/1000))*2)+(MID(KitchenDoorMaterial,FIND(""("",KitchenDoorMaterial)+1,2)/1000)*((((B189-76)+(C189-38))/1000)*2)+(((B189/1000)*0.032)*2)+((((B189-76)/1000)*0.032)*2)+(((B189/1000)*0.019)*4)+(((C189/1000)*0."&amp;"032)*2)+((((C189-38)/1000)*0.032)*2)+(((C189/1000)*0.038)*4),IF(AND(ISERROR(FIND(""drawer front"",A189))=FALSE,LEFT(KitchenDoorStyle,14)=""In-frame panel""),((((B189-76)/1000)*((C189-38)/1000))*2)+((MID(KitchenDoorMaterial,FIND(""("",KitchenDoorMaterial)+"&amp;"1,2)/1000)*((((B189-76)+(C189-38))/1000)*2))+((((B189-236)/1000)+((C189-198)/1000)*2)*0.013)+(((B189/1000)*0.032)*2)+((((B189-76)/1000)*0.032)*2)+(((B189/1000)*0.019)*4)+(((C189/1000)*0.032)*2)+((((C189-38)/1000)*0.032)*2)+(((C189/1000)*0.038)*4),IF(ISERR"&amp;"OR(FIND(""drawer box"",A189))=FALSE,((((B189/1000)*(D189/1000))+((B189/1000)*(C189/1000)))*4)+((((D189/1000)+(C189/1000))*0.016)*4)+(((C189/1000)*(D189/1000))*2),IF(OR(ISERROR(FIND(""shelf"",A189))=FALSE,ISERROR(FIND(""spacer"",A189))=FALSE,,ISERROR(FIND("&amp;"""filler panel"",A189))=FALSE),(((C189/1000)*(D189/1000))*2)+((((C189+D189)*2)/1000)*0.022),IF(ISERROR(FIND(""lost corner"",A189))=FALSE,(((B189/1000)*(C189/1000))*2)+((B189/1000)*(C189/1000))+((B189/1000)*((C189/2)/1000))+((((B189/1000)*0.025)+((C189/100"&amp;"0)*0.025))*2),IF(ISERROR(FIND(""carcass"",A189))=FALSE,(((C189/1000)*(D189/1000))*2)+(((B189/1000)*(D189/1000))*2)+((B189/1000)*(C189/1000))+((((B189/1000)*0.025)+((C189/1000)*0.025))*2),IF(AND(ISERROR(FIND(""door"",A189))=FALSE,KitchenDoorStyle=""Flat"")"&amp;",(((B189/1000)*(C189/1000))*2)+(MID(KitchenDoorMaterial,FIND(""("",KitchenDoorMaterial)+1,2)/1000)*(((B189+C189)/1000)*2),IF(AND(ISERROR(FIND(""door"",A189))=FALSE,LEFT(KitchenDoorStyle,5)=""Panel""),(((B189/1000)*(C189/1000))*2)+((MID(KitchenDoorMaterial"&amp;",FIND(""("",KitchenDoorMaterial)+1,2)/1000)*(((B189+C189)/1000)*2))+(((((B189-160)+(C189-160))*2)/1000)*(0.013)),IF(AND(ISERROR(FIND(""door"",A189))=FALSE,KitchenDoorStyle=""In-frame flat""),((((B189-76)/1000)*((C189-38)/1000))*2)+(MID(KitchenDoorMaterial"&amp;",FIND(""("",KitchenDoorMaterial)+1,2)/1000)*((((B189-76)+(C189-38))/1000)*2)+(((B189/1000)*0.032)*2)+((((B189-76)/1000)*0.032)*2)+(((B189/1000)*0.019)*4)+(((C189/1000)*0.032)*2)+((((C189-38)/1000)*0.032)*2)+(((C189/1000)*0.038)*4),IF(AND(ISERROR(FIND(""do"&amp;"or"",A189))=FALSE,LEFT(KitchenDoorStyle,14)=""In-frame panel""),((((B189-76)/1000)*((C189-38)/1000))*2)+((MID(KitchenDoorMaterial,FIND(""("",KitchenDoorMaterial)+1,2)/1000)*((((B189-76)+(C189-38))/1000)*2))+((((B189-236)/1000)+((C189-198)/1000)*2)*0.013)+"&amp;"(((B189/1000)*0.032)*2)+((((B189-76)/1000)*0.032)*2)+(((B189/1000)*0.019)*4)+(((C189/1000)*0.032)*2)+((((C189-38)/1000)*0.032)*2)+(((C189/1000)*0.038)*4),IF(ISERROR(FIND(""Plinth"",A189))=FALSE,((B189/1000)*(C189/1000))+(((C189/1000)*0.018)*2)+(((B189/100"&amp;"0)*0.018)*2),IF(ISERROR(FIND(""Cornice"",A189))=FALSE,(((C189/1000)*0.1)*2)+(((C189/1000)*0.044)*2)+(((B189/1000)*0.08)*2),IF(ISERROR(FIND(""Base end panel"",A189))=FALSE,((B189/1000)*(C189/1000))+(0.022*((B189/1000)+((C189/1000)*2)))+((B189/1000)*0.05),I"&amp;"F(ISERROR(FIND(""Wall end panel"",A189))=FALSE,((B189/1000)*(C189/1000))+(0.022*((B189/1000)+((C189/1000)*2)))+((B189/1000)*0.05),IF(ISERROR(FIND(""Tower end panel"",A189))=FALSE,((B189/1000)*(C189/1000))+(0.022*((B189/1000)+((C189/1000)*2)))+((B189/1000)"&amp;"*0.05),IF(ISERROR(FIND(""Fillers"",A189))=FALSE,((C189/1000)*0.06)+((C189/1000)*0.069)+((0.06*0.018)*2)+((0.06*0.009)*2)+((C189/1000)*0.009)+((C189/1000)*0.018),IF(ISERROR(FIND(""corner post"",A189))=FALSE,(((B189/1000*0.05)*2)+((B189/1000)*0.022)*2)+((B1"&amp;"89/1000)*0.072)+((B189/1000)*0.05)+((0.072*0.022)*2)+((0.05*0.022)*2),IF(ISERROR(FIND(""Pelmet"",A189))=FALSE,((C189/1000)*0.05)+((C189/1000)*0.068)+((0.05*0.018)*4)+(((C189/1000)*0.018))*2))))))))))))))))))))))))))))"),"")</f>
        <v/>
      </c>
      <c r="N189" s="152" t="str">
        <f>IF(M189="","",IF(AND(ISERROR(FIND("carcass",A189))=TRUE,ISERROR(FIND("unit",A189))=TRUE,ISERROR(FIND("insert",A189))=TRUE,ISERROR(FIND("rack",A189))=TRUE,ISERROR(FIND("box",A189))=TRUE,ISERROR(FIND("shelf",#REF!))=TRUE),VLOOKUP(KitchenDoorFinish,Finishing!$A$2:$K$10,9,0)*M189,VLOOKUP(KitchenCarcassFinish,Finishing!$A$2:$K$40,9,0)*M189))</f>
        <v/>
      </c>
      <c r="O189" s="155"/>
      <c r="P189" s="155"/>
      <c r="Q189" s="152" t="str">
        <f>IF(OR(O189="",P189=""),"",((O189*X189)*(VLOOKUP("Workshop",Labour!$A$3:$E$20,4,0)/8))+((P189*AE189)*(VLOOKUP("Finishing",Labour!$A$3:$E$20,4,0)/8)))</f>
        <v/>
      </c>
      <c r="R189" s="152" t="str">
        <f t="shared" si="4"/>
        <v/>
      </c>
      <c r="S189" s="156" t="str">
        <f>IF(OR(O189="",P189=""),"",IF(OR(ISERROR(FIND("carcass",$A189))=FALSE,ISERROR(FIND("unit",$A189))=FALSE),VLOOKUP(KitchenCarcassMaterial,FixedListsCarcassMaterial,2,0),0))</f>
        <v/>
      </c>
      <c r="T189" s="156" t="str">
        <f>IF(OR(O189="",P189=""),"",IF(ISERROR(FIND("door",$A189))=FALSE,VLOOKUP(KitchenDoorStyle,FixedListsDoorStyle,2,0),0))</f>
        <v/>
      </c>
      <c r="U189" s="156" t="str">
        <f>IF(OR(O189="",P189=""),"",IF(ISERROR(FIND("door",$A189))=FALSE,VLOOKUP(KitchenDoorMaterial,FixedListsDoorMaterial,2,0),0))</f>
        <v/>
      </c>
      <c r="V189" s="156" t="str">
        <f>IF(OR(O189="",P189=""),"",IF(ISERROR(FIND("drawer",$A189))=FALSE,VLOOKUP(KitchenDrawerType,FixedListsDrawerType,2,0),0))</f>
        <v/>
      </c>
      <c r="W189" s="156" t="str">
        <f>IF(OR(O189="",P189=""),"",IF(OR(S189&gt;0, T189&gt;0,V189&gt;0),VLOOKUP(KitchenHandleType,FixedListsHandleType,2,FALSE)*IF(KitchenHandleType="Simple",0,IF(S189&gt;0,VLOOKUP(KitchenHandleType,FixedListsHandleType,4,FALSE),IF(OR(T189&gt;0,V189&gt;0),1-VLOOKUP(KitchenHandleType,FixedListsHandleType,4,FALSE),"Error"))),0))</f>
        <v/>
      </c>
      <c r="X189" s="156" t="str">
        <f t="shared" si="5"/>
        <v/>
      </c>
      <c r="Y189" s="156" t="str">
        <f>IF(OR(O189="",P189=""),"",IF(OR(ISERROR(FIND("carcass",$A189))=FALSE,ISERROR(FIND("unit",$A189))=FALSE),VLOOKUP(KitchenCarcassMaterial,FixedListsCarcassMaterial,3,0),0))</f>
        <v/>
      </c>
      <c r="Z189" s="156" t="str">
        <f>IF(OR(O189="",P189=""),"",IF(ISERROR(FIND("door",$A189))=FALSE,VLOOKUP(KitchenDoorStyle,FixedListsDoorStyle,3,0),0))</f>
        <v/>
      </c>
      <c r="AA189" s="156" t="str">
        <f>IF(OR(O189="",P189=""),"",IF(ISERROR(FIND("door",$A189))=FALSE,VLOOKUP(KitchenDoorMaterial,FixedListsDoorMaterial,3,0),0))</f>
        <v/>
      </c>
      <c r="AB189" s="156" t="str">
        <f>IF(OR(O189="",P189=""),"",IF(ISERROR(FIND("drawer",$A189))=FALSE,VLOOKUP(KitchenDrawerType,FixedListsDrawerType,3,0),0))</f>
        <v/>
      </c>
      <c r="AC189" s="156" t="str">
        <f>IF(OR(O189="",P189=""),"",IF(OR(Y189&gt;0,Z189&gt;0,AB189&gt;0),VLOOKUP(KitchenHandleType,FixedListsHandleType,3,FALSE),0))</f>
        <v/>
      </c>
      <c r="AD189" s="156" t="str">
        <f>IF(OR(O189="",P189=""),"",IF(OR(ISERROR(FIND("carcass",$A189))=FALSE,ISERROR(FIND("unit",$A189))=FALSE),VLOOKUP(KitchenCarcassFinish,FixedListsFinishes,3,0),IF(OR(ISERROR(FIND("door",$A189))=FALSE,ISERROR(FIND("Plinth",$A189))=FALSE,ISERROR(FIND("Cornice",$A189))=FALSE,ISERROR(FIND("Fillers",$A189))=FALSE,ISERROR(FIND("Pelmet",$A189))=FALSE,ISERROR(FIND("panel",$A189))=FALSE,ISERROR(FIND("post",$A189))=FALSE),VLOOKUP(KitchenDoorFinish,FixedListsFinishes,3,0),IF(OR(ISERROR(FIND("drawer",$A189))=FALSE,ISERROR(FIND("insert",$A189))=FALSE,ISERROR(FIND("rck",$A189))=FALSE),VLOOKUP(KitchenCarcassFinish,FixedListsFinishes,3,0),0))))</f>
        <v/>
      </c>
      <c r="AE189" s="156" t="str">
        <f t="shared" si="6"/>
        <v/>
      </c>
      <c r="AF189" s="157" t="str">
        <f>IF(AND(KitchenHandleType="Channel",OR(ISERROR(FIND("arcass",$A189))=FALSE,ISERROR(FIND("unit",$A189))=FALSE)),IF(ISERROR(FIND("Tower",$A189))=TRUE,IF(KitchenHandleFinish="Match carcass",IF(ISERROR(FIND("Walnut",KitchenCarcassMaterial))=FALSE,(0.035*0.075*($C189/1000))*VLOOKUP("Walnut (solid m3)",SolidData,4,FALSE),IF(ISERROR(FIND("Oak",KitchenCarcassMaterial))=FALSE,(0.035*0.075*($C189/1000))*VLOOKUP("Oak (solid m3)",SolidData,4,FALSE),IF(ISERROR(FIND("ply",KitchenCarcassMaterial))=FALSE,(0.1*($C189/1000))*VLOOKUP("Birch ply (24mm)",SheetsData,7,FALSE),IF(ISERROR(FIND("H/F",KitchenCarcassMaterial))=FALSE,(0.1*($C189/1000))*VLOOKUP("H/F (22mm)",SheetsData,7,FALSE),"Carcass - not tower - new material")))),IF(KitchenHandleFinish="Match door",IF(ISERROR(FIND("Walnut",KitchenDoorMaterial))=FALSE,(0.035*0.075*($C189/1000))*VLOOKUP("Walnut (solid m3)",SolidData,4,FALSE),IF(ISERROR(FIND("Oak",KitchenDoorMaterial))=FALSE,(0.035*0.075*($C189/1000))*VLOOKUP("Oak (solid m3)",SolidData,4,FALSE),IF(ISERROR(FIND("ply",KitchenDoorMaterial))=FALSE,(0.1*($C189/1000))*VLOOKUP("Birch ply (24mm)",SheetsData,7,FALSE),IF(ISERROR(FIND("H/F",KitchenCarcassMaterial))=FALSE,(0.1*($C189/1000))*VLOOKUP("H/F (22mm)",SheetsData,7,FALSE),"Door - not tower - new material")))),"Channel - not tower - handle set to other")),IF(ISERROR(FIND("Tower",$A189))=FALSE,IF(KitchenHandleFinish="Match carcass",IF(ISERROR(FIND("Walnut",KitchenCarcassMaterial))=FALSE,(0.035*0.075*($B189/1000))*VLOOKUP("Walnut (solid m3)",SolidData,4,FALSE),IF(ISERROR(FIND("Oak",KitchenCarcassMaterial))=FALSE,(0.035*0.075*($B189/1000))*VLOOKUP("Oak (solid m3)",SolidData,4,FALSE),IF(ISERROR(FIND("ply",KitchenCarcassMaterial))=FALSE,(0.1*($B189/1000))*VLOOKUP("Birch ply (24mm)",SheetsData,7,FALSE),IF(ISERROR(FIND("H/F",KitchenCarcassMaterial))=FALSE,(0.1*($C189/1000))*VLOOKUP("H/F (22mm)",SheetsData,7,FALSE),"Carcass - tower - new material")))),IF(KitchenHandleFinish="Match door",IF(ISERROR(FIND("Walnut",KitchenDoorMaterial))=FALSE,(0.035*0.075*($B189/1000))*VLOOKUP("Walnut (solid m3)",SolidData,4,FALSE),IF(ISERROR(FIND("Oak",KitchenDoorMaterial))=FALSE,(0.035*0.075*($B189/1000))*VLOOKUP("Oak (solid m3)",SolidData,4,FALSE),IF(ISERROR(FIND("ply",KitchenDoorMaterial))=FALSE,(0.1*($B189/1000))*VLOOKUP("Birch ply (24mm)",SheetData,7,FALSE),IF(ISERROR(FIND("H/F",KitchenCarcassMaterial))=FALSE,(0.1*($C189/1000))*VLOOKUP("H/F (22mm)",SheetsData,7,FALSE),"Door - tower - new material")))),"Channel - tower - handle set to other")))),"")</f>
        <v/>
      </c>
    </row>
    <row r="190">
      <c r="A190" s="150"/>
      <c r="B190" s="115" t="str">
        <f t="shared" si="1"/>
        <v/>
      </c>
      <c r="C190" s="115" t="str">
        <f>IFERROR(__xludf.DUMMYFUNCTION("IF(A190="""","""",IF(OR(RIGHT(A190,LEN(A190)-len(regexextract(A190,"".* "")))=""1200"",RIGHT(A190,LEN(A190)-len(regexextract(A190,"".* "")))=""600"",RIGHT(A190,LEN(A190)-len(regexextract(A190,"".* "")))=""400"",RIGHT(A190,LEN(A190)-len(regexextract(A190,"&amp;""".* "")))=""300"",RIGHT(A190,LEN(A190)-len(regexextract(A190,"".* "")))=""700"",RIGHT(A190,LEN(A190)-len(regexextract(A190,"".* "")))=""2400"",RIGHT(A190,LEN(A190)-len(regexextract(A190,"".* "")))=""650"",RIGHT(A190,LEN(A190)-len(regexextract(A190,"".* "&amp;""")))=""350"",RIGHT(A190,LEN(A190)-len(regexextract(A190,"".* "")))=""50""),RIGHT(A190,LEN(A190)-len(regexextract(A190,"".* ""))),IF(OR(ISERROR(FIND(""spacer"",A190))=FALSE,ISERROR(FIND(""filler panel"",A190))=FALSE),""1000"",""Unexpected size in descript"&amp;"ion"")))"),"")</f>
        <v/>
      </c>
      <c r="D190" s="151" t="str">
        <f t="shared" si="2"/>
        <v/>
      </c>
      <c r="E190" s="152" t="str">
        <f>IFERROR(__xludf.DUMMYFUNCTION("IF(OR(A190="""",AND(ISERROR(FIND(""drawer box"",A190))=FALSE,KitchenDrawerType="""")),"""",IF(OR(ISERROR(FIND(""larder"",A190))=FALSE,ISERROR(FIND(""fridge/freezer"",A190))=FALSE,ISERROR(FIND(""double oven"",A190))=FALSE,ISERROR(FIND(""single oven"",A190)"&amp;")=FALSE),VLOOKUP(LEFT(A190,FIND("" "",A190))&amp;""carcass ""&amp;RIGHT(A190,LEN(A190)-(LEN(A190)-3)),KitchensData,5,0),IF(ISERROR(FIND(""sink"",A190))=FALSE,VLOOKUP(LEFT(A190,FIND("" "",A190))&amp;""carcass ""&amp;VALUE(REGEXREPLACE(A190,""[^[:digit:]]"", """")),Kitchen"&amp;"sData,5,0)+(((C190/1000)*(300/1000))*VLOOKUP(KitchenCarcassMaterial,SheetsData,8,0)),IF(ISERROR(FIND(""bins"",A190))=FALSE,IF(ISERROR(FIND(""veneer"",KitchenCarcassMaterial))=FALSE,VLOOKUP(""Base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600"",A190))=FALSE,IF(ISERR"&amp;"OR(FIND(""veneer"",KitchenCarcassMaterial))=FALSE,0.54*(VLOOKUP(LEFT(KitchenCarcassMaterial,FIND(""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1"&amp;"200"",A190))=FALSE,IF(ISERROR(FIND(""veneer"",KitchenCarcassMaterial))=FALSE,0.84*(VLOOKUP(LEFT(KitchenCarcassMaterial,FIND(""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600"",A190))=FALSE,IF(ISERROR(FIND(""veneer"",KitchenCarcassMaterial))=FALSE,1.44*(VLOOKUP(LEFT(KitchenCarcassMaterial,FIND(""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1200"",A190))=FALSE,IF(ISERROR(FIND(""veneer"",KitchenCarcassMaterial))=FALSE,2.7*(VLOOKUP(LEFT(KitchenCarcassMaterial,FIND(""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front"",A190))=FALSE,((B190/1000)*(C190/1000))*VLOOKUP(KitchenDoorMaterial,SheetsData,8,0),IF(AND(KitchenDrawerType=""Match carcass"",ISERROR(FIND(""drawer box"",A190))=FALSE),(((((B190/10"&amp;"00)*(C190/1000))+((B190/1000)*(D190/1000)))*2)*VLOOKUP(KitchenCarcassMaterial,SheetsData,8,0))+(((C190/1000)*(D190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box"",A190))=FALSE),(((((B190/1000)*(C190/1000))+((B190/1000)*(D190/1000)))*2)*(16/1000)*VLOOKUP(L"&amp;"EFT(KitchenCarcassMaterial,FIND("" "",KitchenCarcassMaterial))&amp;""(solid m3)"",SolidData,5,0))+(((C190/1000)*(D190/1000))*VLOOKUP(LEFT(KitchenCarcassMaterial,FIND(""("",KitchenCarcassMaterial)-1)&amp;IF(OR(ISERROR(FIND(""ply"",KitchenCarcassMaterial))=FALSE,IS"&amp;"ERROR(FIND(""H/F"",KitchenCarcassMaterial))=FALSE),""(9mm)"",""(10mm)""),SheetsData,8,0)),IF(ISERROR(FIND(""spacer"",A190))=FALSE,((D190/1000)*(C190/1000))*VLOOKUP(""Poplar ply (18mm)"",SheetsData,8,0),IF(ISERROR(FIND(""filler panel"",A190))=FALSE,((B190/"&amp;"1000)*(C190/1000))*VLOOKUP(KitchenDoorMaterial,SheetsData,8,0),IF(ISERROR(FIND(""shelf"",A190))=FALSE,((D190/1000)*(C190/1000))*VLOOKUP(KitchenCarcassMaterial,SheetsData,8,0),IF(ISERROR(FIND(""lost corner"",A190))=FALSE,VLOOKUP(LEFT(A190,FIND("" "",A190))"&amp;"&amp;""carcass ""&amp;VALUE(REGEXREPLACE(A190,""[^[:digit:]]"", """")),KitchensData,5,0)+((((B190/1000)*(C190/1000))+((B190/1000)*(60/1000)))*VLOOKUP(KitchenCarcassMaterial,SheetsData,8,0)),IF(ISERROR(FIND(""carcass"",A190))=FALSE,(((((B190/1000)*2)*(D190/1000))+"&amp;"(((C190/1000)*2)*(D190/1000)))*VLOOKUP(KitchenCarcassMaterial,SheetsData,8,0))+((B190/1000)*(C190/1000))*VLOOKUP(LEFT(KitchenCarcassMaterial,FIND(""("",KitchenCarcassMaterial)-1)&amp;IF(OR(ISERROR(FIND(""ply"",KitchenCarcassMaterial))=FALSE,ISERROR(FIND(""H/F"&amp;""",KitchenCarcassMaterial))=FALSE),""(9mm)"",""(10mm)""),SheetsData,8,0),IF(OR(ISERROR(FIND(""Plinth"",A190))=FALSE,ISERROR(FIND(""Cornice (flat)"",A190))=FALSE),((B190/1000)*(C190/1000))*VLOOKUP(""H/F (18mm)"",SheetsData,8,0),IF(ISERROR(FIND(""Cornice (s"&amp;"tacked)"",A190))=FALSE,((0.08*(C190/1000))*2)*VLOOKUP(""H/F (22mm)"",SheetsData,8,0),IF(ISERROR(FIND(""Base end panel"",A190))=FALSE,VLOOKUP(KitchenDoorMaterial,SheetsData,5,0)/3,IF(ISERROR(FIND(""Wall end panel"",A190))=FALSE,VLOOKUP(KitchenDoorMaterial,"&amp;"SheetsData,5,0)/9,IF(ISERROR(FIND(""Tower end panel"",A190))=FALSE,VLOOKUP(KitchenDoorMaterial,SheetsData,5,0),IF(ISERROR(FIND(""Fillers"",A190))=FALSE,(((0.06*(C190/1000))*2)*VLOOKUP(""H/F (18mm)"",SheetsData,8,0))+(((0.06*(C190/1000))*2)*VLOOKUP(""H/F ("&amp;"9mm)"",SheetsData,8,0)),IF(ISERROR(FIND(""corner post"",A190))=FALSE,(((B190/1000)*0.05)*2)*VLOOKUP(KitchenDoorMaterial,SheetsData,8,0),IF(ISERROR(FIND(""Pelmet"",A190))=FALSE,((((B190/1000)*(C190/1000))*2)*VLOOKUP(""H/F (18mm)"",SheetsData,8,0)),IF(ISERR"&amp;"OR(FIND(""door"",A190))=TRUE,""Check description"",IF(KitchenDoorStyle=""Flat"",((B190/1000)*(C190/1000))*VLOOKUP(KitchenDoorMaterial,SheetsData,8,0),IF(LEFT(KitchenDoorStyle,5)=""Panel"",(((((B190/1000)*2)*0.08)+((((C190/1000)-0.16)*2)*0.08))*VLOOKUP(""H"&amp;"/F (22mm)"",SheetsData,8,0))+(((B190/1000)-0.14)*((C190/1000)-0.14)*VLOOKUP(""H/F (9mm)"",SheetsData,8,0)),IF(KitchenDoorStyle=""In-frame flat"",((((((B190/1000)*0.019)*0.038)+((((C190-38)/1000)*0.038)*0.038))*2)*VLOOKUP(""Tulip (solid m3)"",SolidData,5,0"&amp;"))+(((B190-76)/1000)*((C190-38)/1000))*VLOOKUP(""H/F (22mm)"",SheetsData,8,0),IF(LEFT(KitchenDoorStyle,14)=""In-frame panel"",(((((((B190/1000)*0.019)*0.038)+((((C190-38)/1000)*0.038)*0.038))*2)*VLOOKUP(""Tulip (solid m3)"",SolidData,5,0))+(((((((B190-76)"&amp;"/1000)*2)*0.08)+(((((C190-198)/1000)*2)*0.08)))*VLOOKUP(""H/F (22mm)"",SheetsData,8,0))+(((B190-216)/1000)*((C190-178)/1000)*VLOOKUP(""H/F (9mm)"",SheetsData,8,0)))))))))))))))))))))))))))))))))"),"")</f>
        <v/>
      </c>
      <c r="F190" s="152" t="str">
        <f>IFERROR(__xludf.DUMMYFUNCTION("IF(OR(A190="""",AND(ISERROR(FIND(""drawer box"",A190))=FALSE,KitchenDrawerType=""Solid dovetail"")),"""",IF(ISERROR(FIND(""bins"",A190))=FALSE,VLOOKUP(""Base carcass 600"",KitchensData,6,0),IF(OR(ISERROR(FIND(""larder"",A190))=FALSE,ISERROR(FIND(""unit"","&amp;"A190))=FALSE),VLOOKUP(LEFT(A190,FIND("" "",A190))&amp;""carcass ""&amp;RIGHT(A190,LEN(A190)-len(regexextract(A190,"".* ""))),KitchensData,6,0),IF(ISERROR(FIND(""drawer front"",A190))=FALSE,IF(ISERROR(FIND(""veneer"",KitchenCarcassMaterial))=TRUE,0,(((B190+C190)/1"&amp;"000)*2)*VLOOKUP(""Edge banding (per M)"",SheetsData,5,0)),IF(ISERROR(FIND(""drawer box"",A190))=FALSE,IF(ISERROR(FIND(""veneer"",KitchenCarcassMaterial))=TRUE,0,(((C190+D190)/1000)*2)*VLOOKUP(""Edge banding (per M)"",SheetsData,5,0)),IF(ISERROR(FIND(""she"&amp;"lf"",A190))=FALSE,IF(ISERROR(FIND(""veneer"",KitchenCarcassMaterial))=TRUE,0,(C190/1000)*VLOOKUP(""Edge banding (per M)"",SheetsData,5,0)),IF(AND(ISERROR(FIND(""carcass"",A190))=FALSE,ISERROR(FIND(""shelf"",A190))=TRUE),IF(ISERROR(FIND(""veneer"",KitchenC"&amp;"arcassMaterial))=TRUE,0,((2*(B190+C190))/1000)*VLOOKUP(""Edge banding (per M)"",SheetsData,5,0)),IF(ISERROR(FIND(""door"",A190))=TRUE,"""",IF(ISERROR(FIND(""veneer"",KitchenDoorMaterial))=TRUE,"""",((2*(B190+C190))/1000)*VLOOKUP(""Edge banding (per M)"",S"&amp;"heetsData,5,0))))))))))"),"")</f>
        <v/>
      </c>
      <c r="G190" s="153" t="str">
        <f>IF(A190="","",IF(ISERROR(FIND("bins",A190))=FALSE,VLOOKUP("Base carcass 600",KitchensData,7,0),IF(OR(ISERROR(FIND("larder",A190))=FALSE,ISERROR(FIND("fridge/freezer",A190))=FALSE,ISERROR(FIND("double oven",A190))=FALSE,ISERROR(FIND("single oven",A190))=FALSE),VLOOKUP(LEFT(A190,FIND(" ",A190))&amp;"carcass "&amp;RIGHT(A190,LEN(A190)-(LEN(A190)-3)),KitchensData,7,0),IF(AND(ISERROR(FIND("carcass",A190))=FALSE,ISERROR(FIND("shelf",A190))=TRUE),IF(OR(ISERROR(FIND("Base",A190))=FALSE,ISERROR(FIND("Tower",A190))=FALSE),IF(OR(ISERROR(FIND("1200",A190))=FALSE, ISERROR(FIND("lost corner",A190))=FALSE),6*VLOOKUP("Plinth foot (2 Parts 80mm)",FurnitureData,5,0),4*VLOOKUP("Plinth foot (2 Parts 80mm)",FurnitureData,5,0)),""),""))))</f>
        <v/>
      </c>
      <c r="H190" s="115" t="str">
        <f>IF(OR(A190="",ISERROR(FIND("door",A190))=TRUE),"",IF(ISERROR(FIND("Wall",A190))=FALSE,VLOOKUP("Hinges &amp; plates (Hettich thick door)",FurnitureData,5,0)*2,IF(ISERROR(FIND("Base",A190))=FALSE,VLOOKUP("Hinges &amp; plates (Hettich thick door)",FurnitureData,5,0)*3,IF(ISERROR(FIND("Boiler",A190))=FALSE,VLOOKUP("Hinges &amp; plates (Hettich thick door)",FurnitureData,5,0)*4,IF(ISERROR(FIND("Tower",A190))=FALSE,VLOOKUP("Hinges &amp; plates (Hettich thick door)",FurnitureData,5,0)*5)))))</f>
        <v/>
      </c>
      <c r="I190" s="115" t="str">
        <f>IF(ISERROR(FIND("shelf",A190))=FALSE,(VLOOKUP("Shelf pegs",FurnitureData,5,0)/100)*4,"")</f>
        <v/>
      </c>
      <c r="J190" s="152" t="str">
        <f>IF(OR(ISERROR(FIND("fridge/freezer",A190))=FALSE,ISERROR(FIND("larder",A190))=FALSE,AND(ISERROR(FIND("Base",A190))=FALSE,ISERROR(FIND("bins",A190))=TRUE,ISERROR(FIND("no shelves",A190))=TRUE,OR(ISERROR(FIND("carcass",A190))=FALSE,ISERROR(FIND("unit",A190))=FALSE))),VLOOKUP("Deep shelf "&amp;C190,KitchensData,18,0),IF(AND(ISERROR(FIND("Wall",A190))=FALSE,ISERROR(FIND("carcass",A190))=FALSE),2*VLOOKUP("Shallow shelf "&amp;C190,KitchensData,18,0),IF(AND(ISERROR(FIND("Tower",A190))=FALSE,ISERROR(FIND("oven",A190))=FALSE),4*VLOOKUP("Deep shelf "&amp;C190,KitchensData,18,0),IF(AND(ISERROR(FIND("Tower",A190))=FALSE,ISERROR(FIND("carcass",A190))=FALSE),5*VLOOKUP("Deep shelf "&amp;C190,KitchensData,18,0),""))))</f>
        <v/>
      </c>
      <c r="K190" s="152" t="str">
        <f>IF(ISERROR(FIND("sink",A190))=FALSE,VLOOKUP("Sink liner - Aluminium "&amp;RIGHT(A190,LEN(A190)-22)&amp;"mm",ExceptionalData,5,0),IF(ISERROR(FIND("bins",A190))=FALSE,VLOOKUP("Drawer runners and clip set for bin unit (500) Dynapro",FurnitureData,5,0)+(2*VLOOKUP("Bin (42L Anthracite)",FurnitureData,5,0)),IF(ISERROR(FIND("larder",A190))=FALSE,VLOOKUP("Pull out larder unit 600mm",FurnitureData,5,0),IF(AND(ISERROR(FIND("drawer box",A190))=FALSE,ISERROR(FIND("internal",A190))=TRUE),VLOOKUP("Drawer runners and clip set (550) Dynapro",FurnitureData,5,0),IF(ISERROR(FIND("internal drawer box",A190))=FALSE,VLOOKUP("Drawer runners and clip set (450) Dynapro",FurnitureData,5,0),"")))))</f>
        <v/>
      </c>
      <c r="L190" s="152" t="str">
        <f t="shared" si="3"/>
        <v/>
      </c>
      <c r="M190" s="154" t="str">
        <f>IFERROR(__xludf.DUMMYFUNCTION("IF(A190="""","""",IF(OR(ISERROR(FIND(""larder"",A190))=FALSE,ISERROR(FIND(""unit"",A190))=FALSE),VLOOKUP(LEFT(A190,FIND("" "",A190))&amp;""carcass ""&amp;RIGHT(A190,LEN(A190)-len(regexextract(A190,"".* ""))),KitchensData,13,0),IF(ISERROR(FIND(""bins"",A190))=FALS"&amp;"E,0.95,IF(ISERROR(FIND(""Cutlery insert 600"",A190))=FALSE,1.3,IF(ISERROR(FIND(""Cutlery insert 1200"",A190))=FALSE,2,IF(ISERROR(FIND(""Pan/tray rack 600"",A190))=FALSE,3.25,IF(ISERROR(FIND(""Pan/tray rack 1200"",A190))=FALSE,5.9,IF(ISERROR(FIND(""split"""&amp;",A190))=FALSE,(((C190/1000)*0.022)*2)+VLOOKUP(SUBSTITUTE(A190,"" split"",""""),KitchensData,13,0),IF(AND(ISERROR(FIND(""drawer front"",A190))=FALSE,KitchenDoorStyle=""Flat""),(((B190/1000)*(C190/1000))*2)+((((B190+C190)/1000)*2)*0.022),IF(AND(ISERROR(FIND"&amp;"(""drawer front"",A190))=FALSE,LEFT(KitchenDoorStyle,5)=""Panel""),(((B190/1000)*(C190/1000))*2)+((((B190+C190)/1000)*2)*0.022)+((((C190/1000)-0.16)*0.013)*2)+((((D190/1000)-0.16)*0.013)*2),IF(AND(ISERROR(FIND(""drawer front"",A190))=FALSE,KitchenDoorStyl"&amp;"e=""In-frame flat""),((((B190-76)/1000)*((C190-38)/1000))*2)+(MID(KitchenDoorMaterial,FIND(""("",KitchenDoorMaterial)+1,2)/1000)*((((B190-76)+(C190-38))/1000)*2)+(((B190/1000)*0.032)*2)+((((B190-76)/1000)*0.032)*2)+(((B190/1000)*0.019)*4)+(((C190/1000)*0."&amp;"032)*2)+((((C190-38)/1000)*0.032)*2)+(((C190/1000)*0.038)*4),IF(AND(ISERROR(FIND(""drawer front"",A190))=FALSE,LEFT(KitchenDoorStyle,14)=""In-frame panel""),((((B190-76)/1000)*((C190-38)/1000))*2)+((MID(KitchenDoorMaterial,FIND(""("",KitchenDoorMaterial)+"&amp;"1,2)/1000)*((((B190-76)+(C190-38))/1000)*2))+((((B190-236)/1000)+((C190-198)/1000)*2)*0.013)+(((B190/1000)*0.032)*2)+((((B190-76)/1000)*0.032)*2)+(((B190/1000)*0.019)*4)+(((C190/1000)*0.032)*2)+((((C190-38)/1000)*0.032)*2)+(((C190/1000)*0.038)*4),IF(ISERR"&amp;"OR(FIND(""drawer box"",A190))=FALSE,((((B190/1000)*(D190/1000))+((B190/1000)*(C190/1000)))*4)+((((D190/1000)+(C190/1000))*0.016)*4)+(((C190/1000)*(D190/1000))*2),IF(OR(ISERROR(FIND(""shelf"",A190))=FALSE,ISERROR(FIND(""spacer"",A190))=FALSE,,ISERROR(FIND("&amp;"""filler panel"",A190))=FALSE),(((C190/1000)*(D190/1000))*2)+((((C190+D190)*2)/1000)*0.022),IF(ISERROR(FIND(""lost corner"",A190))=FALSE,(((B190/1000)*(C190/1000))*2)+((B190/1000)*(C190/1000))+((B190/1000)*((C190/2)/1000))+((((B190/1000)*0.025)+((C190/100"&amp;"0)*0.025))*2),IF(ISERROR(FIND(""carcass"",A190))=FALSE,(((C190/1000)*(D190/1000))*2)+(((B190/1000)*(D190/1000))*2)+((B190/1000)*(C190/1000))+((((B190/1000)*0.025)+((C190/1000)*0.025))*2),IF(AND(ISERROR(FIND(""door"",A190))=FALSE,KitchenDoorStyle=""Flat"")"&amp;",(((B190/1000)*(C190/1000))*2)+(MID(KitchenDoorMaterial,FIND(""("",KitchenDoorMaterial)+1,2)/1000)*(((B190+C190)/1000)*2),IF(AND(ISERROR(FIND(""door"",A190))=FALSE,LEFT(KitchenDoorStyle,5)=""Panel""),(((B190/1000)*(C190/1000))*2)+((MID(KitchenDoorMaterial"&amp;",FIND(""("",KitchenDoorMaterial)+1,2)/1000)*(((B190+C190)/1000)*2))+(((((B190-160)+(C190-160))*2)/1000)*(0.013)),IF(AND(ISERROR(FIND(""door"",A190))=FALSE,KitchenDoorStyle=""In-frame flat""),((((B190-76)/1000)*((C190-38)/1000))*2)+(MID(KitchenDoorMaterial"&amp;",FIND(""("",KitchenDoorMaterial)+1,2)/1000)*((((B190-76)+(C190-38))/1000)*2)+(((B190/1000)*0.032)*2)+((((B190-76)/1000)*0.032)*2)+(((B190/1000)*0.019)*4)+(((C190/1000)*0.032)*2)+((((C190-38)/1000)*0.032)*2)+(((C190/1000)*0.038)*4),IF(AND(ISERROR(FIND(""do"&amp;"or"",A190))=FALSE,LEFT(KitchenDoorStyle,14)=""In-frame panel""),((((B190-76)/1000)*((C190-38)/1000))*2)+((MID(KitchenDoorMaterial,FIND(""("",KitchenDoorMaterial)+1,2)/1000)*((((B190-76)+(C190-38))/1000)*2))+((((B190-236)/1000)+((C190-198)/1000)*2)*0.013)+"&amp;"(((B190/1000)*0.032)*2)+((((B190-76)/1000)*0.032)*2)+(((B190/1000)*0.019)*4)+(((C190/1000)*0.032)*2)+((((C190-38)/1000)*0.032)*2)+(((C190/1000)*0.038)*4),IF(ISERROR(FIND(""Plinth"",A190))=FALSE,((B190/1000)*(C190/1000))+(((C190/1000)*0.018)*2)+(((B190/100"&amp;"0)*0.018)*2),IF(ISERROR(FIND(""Cornice"",A190))=FALSE,(((C190/1000)*0.1)*2)+(((C190/1000)*0.044)*2)+(((B190/1000)*0.08)*2),IF(ISERROR(FIND(""Base end panel"",A190))=FALSE,((B190/1000)*(C190/1000))+(0.022*((B190/1000)+((C190/1000)*2)))+((B190/1000)*0.05),I"&amp;"F(ISERROR(FIND(""Wall end panel"",A190))=FALSE,((B190/1000)*(C190/1000))+(0.022*((B190/1000)+((C190/1000)*2)))+((B190/1000)*0.05),IF(ISERROR(FIND(""Tower end panel"",A190))=FALSE,((B190/1000)*(C190/1000))+(0.022*((B190/1000)+((C190/1000)*2)))+((B190/1000)"&amp;"*0.05),IF(ISERROR(FIND(""Fillers"",A190))=FALSE,((C190/1000)*0.06)+((C190/1000)*0.069)+((0.06*0.018)*2)+((0.06*0.009)*2)+((C190/1000)*0.009)+((C190/1000)*0.018),IF(ISERROR(FIND(""corner post"",A190))=FALSE,(((B190/1000*0.05)*2)+((B190/1000)*0.022)*2)+((B1"&amp;"90/1000)*0.072)+((B190/1000)*0.05)+((0.072*0.022)*2)+((0.05*0.022)*2),IF(ISERROR(FIND(""Pelmet"",A190))=FALSE,((C190/1000)*0.05)+((C190/1000)*0.068)+((0.05*0.018)*4)+(((C190/1000)*0.018))*2))))))))))))))))))))))))))))"),"")</f>
        <v/>
      </c>
      <c r="N190" s="152" t="str">
        <f>IF(M190="","",IF(AND(ISERROR(FIND("carcass",A190))=TRUE,ISERROR(FIND("unit",A190))=TRUE,ISERROR(FIND("insert",A190))=TRUE,ISERROR(FIND("rack",A190))=TRUE,ISERROR(FIND("box",A190))=TRUE,ISERROR(FIND("shelf",#REF!))=TRUE),VLOOKUP(KitchenDoorFinish,Finishing!$A$2:$K$10,9,0)*M190,VLOOKUP(KitchenCarcassFinish,Finishing!$A$2:$K$40,9,0)*M190))</f>
        <v/>
      </c>
      <c r="O190" s="155"/>
      <c r="P190" s="155"/>
      <c r="Q190" s="152" t="str">
        <f>IF(OR(O190="",P190=""),"",((O190*X190)*(VLOOKUP("Workshop",Labour!$A$3:$E$20,4,0)/8))+((P190*AE190)*(VLOOKUP("Finishing",Labour!$A$3:$E$20,4,0)/8)))</f>
        <v/>
      </c>
      <c r="R190" s="152" t="str">
        <f t="shared" si="4"/>
        <v/>
      </c>
      <c r="S190" s="156" t="str">
        <f>IF(OR(O190="",P190=""),"",IF(OR(ISERROR(FIND("carcass",$A190))=FALSE,ISERROR(FIND("unit",$A190))=FALSE),VLOOKUP(KitchenCarcassMaterial,FixedListsCarcassMaterial,2,0),0))</f>
        <v/>
      </c>
      <c r="T190" s="156" t="str">
        <f>IF(OR(O190="",P190=""),"",IF(ISERROR(FIND("door",$A190))=FALSE,VLOOKUP(KitchenDoorStyle,FixedListsDoorStyle,2,0),0))</f>
        <v/>
      </c>
      <c r="U190" s="156" t="str">
        <f>IF(OR(O190="",P190=""),"",IF(ISERROR(FIND("door",$A190))=FALSE,VLOOKUP(KitchenDoorMaterial,FixedListsDoorMaterial,2,0),0))</f>
        <v/>
      </c>
      <c r="V190" s="156" t="str">
        <f>IF(OR(O190="",P190=""),"",IF(ISERROR(FIND("drawer",$A190))=FALSE,VLOOKUP(KitchenDrawerType,FixedListsDrawerType,2,0),0))</f>
        <v/>
      </c>
      <c r="W190" s="156" t="str">
        <f>IF(OR(O190="",P190=""),"",IF(OR(S190&gt;0, T190&gt;0,V190&gt;0),VLOOKUP(KitchenHandleType,FixedListsHandleType,2,FALSE)*IF(KitchenHandleType="Simple",0,IF(S190&gt;0,VLOOKUP(KitchenHandleType,FixedListsHandleType,4,FALSE),IF(OR(T190&gt;0,V190&gt;0),1-VLOOKUP(KitchenHandleType,FixedListsHandleType,4,FALSE),"Error"))),0))</f>
        <v/>
      </c>
      <c r="X190" s="156" t="str">
        <f t="shared" si="5"/>
        <v/>
      </c>
      <c r="Y190" s="156" t="str">
        <f>IF(OR(O190="",P190=""),"",IF(OR(ISERROR(FIND("carcass",$A190))=FALSE,ISERROR(FIND("unit",$A190))=FALSE),VLOOKUP(KitchenCarcassMaterial,FixedListsCarcassMaterial,3,0),0))</f>
        <v/>
      </c>
      <c r="Z190" s="156" t="str">
        <f>IF(OR(O190="",P190=""),"",IF(ISERROR(FIND("door",$A190))=FALSE,VLOOKUP(KitchenDoorStyle,FixedListsDoorStyle,3,0),0))</f>
        <v/>
      </c>
      <c r="AA190" s="156" t="str">
        <f>IF(OR(O190="",P190=""),"",IF(ISERROR(FIND("door",$A190))=FALSE,VLOOKUP(KitchenDoorMaterial,FixedListsDoorMaterial,3,0),0))</f>
        <v/>
      </c>
      <c r="AB190" s="156" t="str">
        <f>IF(OR(O190="",P190=""),"",IF(ISERROR(FIND("drawer",$A190))=FALSE,VLOOKUP(KitchenDrawerType,FixedListsDrawerType,3,0),0))</f>
        <v/>
      </c>
      <c r="AC190" s="156" t="str">
        <f>IF(OR(O190="",P190=""),"",IF(OR(Y190&gt;0,Z190&gt;0,AB190&gt;0),VLOOKUP(KitchenHandleType,FixedListsHandleType,3,FALSE),0))</f>
        <v/>
      </c>
      <c r="AD190" s="156" t="str">
        <f>IF(OR(O190="",P190=""),"",IF(OR(ISERROR(FIND("carcass",$A190))=FALSE,ISERROR(FIND("unit",$A190))=FALSE),VLOOKUP(KitchenCarcassFinish,FixedListsFinishes,3,0),IF(OR(ISERROR(FIND("door",$A190))=FALSE,ISERROR(FIND("Plinth",$A190))=FALSE,ISERROR(FIND("Cornice",$A190))=FALSE,ISERROR(FIND("Fillers",$A190))=FALSE,ISERROR(FIND("Pelmet",$A190))=FALSE,ISERROR(FIND("panel",$A190))=FALSE,ISERROR(FIND("post",$A190))=FALSE),VLOOKUP(KitchenDoorFinish,FixedListsFinishes,3,0),IF(OR(ISERROR(FIND("drawer",$A190))=FALSE,ISERROR(FIND("insert",$A190))=FALSE,ISERROR(FIND("rck",$A190))=FALSE),VLOOKUP(KitchenCarcassFinish,FixedListsFinishes,3,0),0))))</f>
        <v/>
      </c>
      <c r="AE190" s="156" t="str">
        <f t="shared" si="6"/>
        <v/>
      </c>
      <c r="AF190" s="157" t="str">
        <f>IF(AND(KitchenHandleType="Channel",OR(ISERROR(FIND("arcass",$A190))=FALSE,ISERROR(FIND("unit",$A190))=FALSE)),IF(ISERROR(FIND("Tower",$A190))=TRUE,IF(KitchenHandleFinish="Match carcass",IF(ISERROR(FIND("Walnut",KitchenCarcassMaterial))=FALSE,(0.035*0.075*($C190/1000))*VLOOKUP("Walnut (solid m3)",SolidData,4,FALSE),IF(ISERROR(FIND("Oak",KitchenCarcassMaterial))=FALSE,(0.035*0.075*($C190/1000))*VLOOKUP("Oak (solid m3)",SolidData,4,FALSE),IF(ISERROR(FIND("ply",KitchenCarcassMaterial))=FALSE,(0.1*($C190/1000))*VLOOKUP("Birch ply (24mm)",SheetsData,7,FALSE),IF(ISERROR(FIND("H/F",KitchenCarcassMaterial))=FALSE,(0.1*($C190/1000))*VLOOKUP("H/F (22mm)",SheetsData,7,FALSE),"Carcass - not tower - new material")))),IF(KitchenHandleFinish="Match door",IF(ISERROR(FIND("Walnut",KitchenDoorMaterial))=FALSE,(0.035*0.075*($C190/1000))*VLOOKUP("Walnut (solid m3)",SolidData,4,FALSE),IF(ISERROR(FIND("Oak",KitchenDoorMaterial))=FALSE,(0.035*0.075*($C190/1000))*VLOOKUP("Oak (solid m3)",SolidData,4,FALSE),IF(ISERROR(FIND("ply",KitchenDoorMaterial))=FALSE,(0.1*($C190/1000))*VLOOKUP("Birch ply (24mm)",SheetsData,7,FALSE),IF(ISERROR(FIND("H/F",KitchenCarcassMaterial))=FALSE,(0.1*($C190/1000))*VLOOKUP("H/F (22mm)",SheetsData,7,FALSE),"Door - not tower - new material")))),"Channel - not tower - handle set to other")),IF(ISERROR(FIND("Tower",$A190))=FALSE,IF(KitchenHandleFinish="Match carcass",IF(ISERROR(FIND("Walnut",KitchenCarcassMaterial))=FALSE,(0.035*0.075*($B190/1000))*VLOOKUP("Walnut (solid m3)",SolidData,4,FALSE),IF(ISERROR(FIND("Oak",KitchenCarcassMaterial))=FALSE,(0.035*0.075*($B190/1000))*VLOOKUP("Oak (solid m3)",SolidData,4,FALSE),IF(ISERROR(FIND("ply",KitchenCarcassMaterial))=FALSE,(0.1*($B190/1000))*VLOOKUP("Birch ply (24mm)",SheetsData,7,FALSE),IF(ISERROR(FIND("H/F",KitchenCarcassMaterial))=FALSE,(0.1*($C190/1000))*VLOOKUP("H/F (22mm)",SheetsData,7,FALSE),"Carcass - tower - new material")))),IF(KitchenHandleFinish="Match door",IF(ISERROR(FIND("Walnut",KitchenDoorMaterial))=FALSE,(0.035*0.075*($B190/1000))*VLOOKUP("Walnut (solid m3)",SolidData,4,FALSE),IF(ISERROR(FIND("Oak",KitchenDoorMaterial))=FALSE,(0.035*0.075*($B190/1000))*VLOOKUP("Oak (solid m3)",SolidData,4,FALSE),IF(ISERROR(FIND("ply",KitchenDoorMaterial))=FALSE,(0.1*($B190/1000))*VLOOKUP("Birch ply (24mm)",SheetData,7,FALSE),IF(ISERROR(FIND("H/F",KitchenCarcassMaterial))=FALSE,(0.1*($C190/1000))*VLOOKUP("H/F (22mm)",SheetsData,7,FALSE),"Door - tower - new material")))),"Channel - tower - handle set to other")))),"")</f>
        <v/>
      </c>
    </row>
    <row r="191">
      <c r="A191" s="150"/>
      <c r="B191" s="115" t="str">
        <f t="shared" si="1"/>
        <v/>
      </c>
      <c r="C191" s="115" t="str">
        <f>IFERROR(__xludf.DUMMYFUNCTION("IF(A191="""","""",IF(OR(RIGHT(A191,LEN(A191)-len(regexextract(A191,"".* "")))=""1200"",RIGHT(A191,LEN(A191)-len(regexextract(A191,"".* "")))=""600"",RIGHT(A191,LEN(A191)-len(regexextract(A191,"".* "")))=""400"",RIGHT(A191,LEN(A191)-len(regexextract(A191,"&amp;""".* "")))=""300"",RIGHT(A191,LEN(A191)-len(regexextract(A191,"".* "")))=""700"",RIGHT(A191,LEN(A191)-len(regexextract(A191,"".* "")))=""2400"",RIGHT(A191,LEN(A191)-len(regexextract(A191,"".* "")))=""650"",RIGHT(A191,LEN(A191)-len(regexextract(A191,"".* "&amp;""")))=""350"",RIGHT(A191,LEN(A191)-len(regexextract(A191,"".* "")))=""50""),RIGHT(A191,LEN(A191)-len(regexextract(A191,"".* ""))),IF(OR(ISERROR(FIND(""spacer"",A191))=FALSE,ISERROR(FIND(""filler panel"",A191))=FALSE),""1000"",""Unexpected size in descript"&amp;"ion"")))"),"")</f>
        <v/>
      </c>
      <c r="D191" s="151" t="str">
        <f t="shared" si="2"/>
        <v/>
      </c>
      <c r="E191" s="152" t="str">
        <f>IFERROR(__xludf.DUMMYFUNCTION("IF(OR(A191="""",AND(ISERROR(FIND(""drawer box"",A191))=FALSE,KitchenDrawerType="""")),"""",IF(OR(ISERROR(FIND(""larder"",A191))=FALSE,ISERROR(FIND(""fridge/freezer"",A191))=FALSE,ISERROR(FIND(""double oven"",A191))=FALSE,ISERROR(FIND(""single oven"",A191)"&amp;")=FALSE),VLOOKUP(LEFT(A191,FIND("" "",A191))&amp;""carcass ""&amp;RIGHT(A191,LEN(A191)-(LEN(A191)-3)),KitchensData,5,0),IF(ISERROR(FIND(""sink"",A191))=FALSE,VLOOKUP(LEFT(A191,FIND("" "",A191))&amp;""carcass ""&amp;VALUE(REGEXREPLACE(A191,""[^[:digit:]]"", """")),Kitchen"&amp;"sData,5,0)+(((C191/1000)*(300/1000))*VLOOKUP(KitchenCarcassMaterial,SheetsData,8,0)),IF(ISERROR(FIND(""bins"",A191))=FALSE,IF(ISERROR(FIND(""veneer"",KitchenCarcassMaterial))=FALSE,VLOOKUP(""Base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600"",A191))=FALSE,IF(ISERR"&amp;"OR(FIND(""veneer"",KitchenCarcassMaterial))=FALSE,0.54*(VLOOKUP(LEFT(KitchenCarcassMaterial,FIND(""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1"&amp;"200"",A191))=FALSE,IF(ISERROR(FIND(""veneer"",KitchenCarcassMaterial))=FALSE,0.84*(VLOOKUP(LEFT(KitchenCarcassMaterial,FIND(""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600"",A191))=FALSE,IF(ISERROR(FIND(""veneer"",KitchenCarcassMaterial))=FALSE,1.44*(VLOOKUP(LEFT(KitchenCarcassMaterial,FIND(""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1200"",A191))=FALSE,IF(ISERROR(FIND(""veneer"",KitchenCarcassMaterial))=FALSE,2.7*(VLOOKUP(LEFT(KitchenCarcassMaterial,FIND(""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front"",A191))=FALSE,((B191/1000)*(C191/1000))*VLOOKUP(KitchenDoorMaterial,SheetsData,8,0),IF(AND(KitchenDrawerType=""Match carcass"",ISERROR(FIND(""drawer box"",A191))=FALSE),(((((B191/10"&amp;"00)*(C191/1000))+((B191/1000)*(D191/1000)))*2)*VLOOKUP(KitchenCarcassMaterial,SheetsData,8,0))+(((C191/1000)*(D191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box"",A191))=FALSE),(((((B191/1000)*(C191/1000))+((B191/1000)*(D191/1000)))*2)*(16/1000)*VLOOKUP(L"&amp;"EFT(KitchenCarcassMaterial,FIND("" "",KitchenCarcassMaterial))&amp;""(solid m3)"",SolidData,5,0))+(((C191/1000)*(D191/1000))*VLOOKUP(LEFT(KitchenCarcassMaterial,FIND(""("",KitchenCarcassMaterial)-1)&amp;IF(OR(ISERROR(FIND(""ply"",KitchenCarcassMaterial))=FALSE,IS"&amp;"ERROR(FIND(""H/F"",KitchenCarcassMaterial))=FALSE),""(9mm)"",""(10mm)""),SheetsData,8,0)),IF(ISERROR(FIND(""spacer"",A191))=FALSE,((D191/1000)*(C191/1000))*VLOOKUP(""Poplar ply (18mm)"",SheetsData,8,0),IF(ISERROR(FIND(""filler panel"",A191))=FALSE,((B191/"&amp;"1000)*(C191/1000))*VLOOKUP(KitchenDoorMaterial,SheetsData,8,0),IF(ISERROR(FIND(""shelf"",A191))=FALSE,((D191/1000)*(C191/1000))*VLOOKUP(KitchenCarcassMaterial,SheetsData,8,0),IF(ISERROR(FIND(""lost corner"",A191))=FALSE,VLOOKUP(LEFT(A191,FIND("" "",A191))"&amp;"&amp;""carcass ""&amp;VALUE(REGEXREPLACE(A191,""[^[:digit:]]"", """")),KitchensData,5,0)+((((B191/1000)*(C191/1000))+((B191/1000)*(60/1000)))*VLOOKUP(KitchenCarcassMaterial,SheetsData,8,0)),IF(ISERROR(FIND(""carcass"",A191))=FALSE,(((((B191/1000)*2)*(D191/1000))+"&amp;"(((C191/1000)*2)*(D191/1000)))*VLOOKUP(KitchenCarcassMaterial,SheetsData,8,0))+((B191/1000)*(C191/1000))*VLOOKUP(LEFT(KitchenCarcassMaterial,FIND(""("",KitchenCarcassMaterial)-1)&amp;IF(OR(ISERROR(FIND(""ply"",KitchenCarcassMaterial))=FALSE,ISERROR(FIND(""H/F"&amp;""",KitchenCarcassMaterial))=FALSE),""(9mm)"",""(10mm)""),SheetsData,8,0),IF(OR(ISERROR(FIND(""Plinth"",A191))=FALSE,ISERROR(FIND(""Cornice (flat)"",A191))=FALSE),((B191/1000)*(C191/1000))*VLOOKUP(""H/F (18mm)"",SheetsData,8,0),IF(ISERROR(FIND(""Cornice (s"&amp;"tacked)"",A191))=FALSE,((0.08*(C191/1000))*2)*VLOOKUP(""H/F (22mm)"",SheetsData,8,0),IF(ISERROR(FIND(""Base end panel"",A191))=FALSE,VLOOKUP(KitchenDoorMaterial,SheetsData,5,0)/3,IF(ISERROR(FIND(""Wall end panel"",A191))=FALSE,VLOOKUP(KitchenDoorMaterial,"&amp;"SheetsData,5,0)/9,IF(ISERROR(FIND(""Tower end panel"",A191))=FALSE,VLOOKUP(KitchenDoorMaterial,SheetsData,5,0),IF(ISERROR(FIND(""Fillers"",A191))=FALSE,(((0.06*(C191/1000))*2)*VLOOKUP(""H/F (18mm)"",SheetsData,8,0))+(((0.06*(C191/1000))*2)*VLOOKUP(""H/F ("&amp;"9mm)"",SheetsData,8,0)),IF(ISERROR(FIND(""corner post"",A191))=FALSE,(((B191/1000)*0.05)*2)*VLOOKUP(KitchenDoorMaterial,SheetsData,8,0),IF(ISERROR(FIND(""Pelmet"",A191))=FALSE,((((B191/1000)*(C191/1000))*2)*VLOOKUP(""H/F (18mm)"",SheetsData,8,0)),IF(ISERR"&amp;"OR(FIND(""door"",A191))=TRUE,""Check description"",IF(KitchenDoorStyle=""Flat"",((B191/1000)*(C191/1000))*VLOOKUP(KitchenDoorMaterial,SheetsData,8,0),IF(LEFT(KitchenDoorStyle,5)=""Panel"",(((((B191/1000)*2)*0.08)+((((C191/1000)-0.16)*2)*0.08))*VLOOKUP(""H"&amp;"/F (22mm)"",SheetsData,8,0))+(((B191/1000)-0.14)*((C191/1000)-0.14)*VLOOKUP(""H/F (9mm)"",SheetsData,8,0)),IF(KitchenDoorStyle=""In-frame flat"",((((((B191/1000)*0.019)*0.038)+((((C191-38)/1000)*0.038)*0.038))*2)*VLOOKUP(""Tulip (solid m3)"",SolidData,5,0"&amp;"))+(((B191-76)/1000)*((C191-38)/1000))*VLOOKUP(""H/F (22mm)"",SheetsData,8,0),IF(LEFT(KitchenDoorStyle,14)=""In-frame panel"",(((((((B191/1000)*0.019)*0.038)+((((C191-38)/1000)*0.038)*0.038))*2)*VLOOKUP(""Tulip (solid m3)"",SolidData,5,0))+(((((((B191-76)"&amp;"/1000)*2)*0.08)+(((((C191-198)/1000)*2)*0.08)))*VLOOKUP(""H/F (22mm)"",SheetsData,8,0))+(((B191-216)/1000)*((C191-178)/1000)*VLOOKUP(""H/F (9mm)"",SheetsData,8,0)))))))))))))))))))))))))))))))))"),"")</f>
        <v/>
      </c>
      <c r="F191" s="152" t="str">
        <f>IFERROR(__xludf.DUMMYFUNCTION("IF(OR(A191="""",AND(ISERROR(FIND(""drawer box"",A191))=FALSE,KitchenDrawerType=""Solid dovetail"")),"""",IF(ISERROR(FIND(""bins"",A191))=FALSE,VLOOKUP(""Base carcass 600"",KitchensData,6,0),IF(OR(ISERROR(FIND(""larder"",A191))=FALSE,ISERROR(FIND(""unit"","&amp;"A191))=FALSE),VLOOKUP(LEFT(A191,FIND("" "",A191))&amp;""carcass ""&amp;RIGHT(A191,LEN(A191)-len(regexextract(A191,"".* ""))),KitchensData,6,0),IF(ISERROR(FIND(""drawer front"",A191))=FALSE,IF(ISERROR(FIND(""veneer"",KitchenCarcassMaterial))=TRUE,0,(((B191+C191)/1"&amp;"000)*2)*VLOOKUP(""Edge banding (per M)"",SheetsData,5,0)),IF(ISERROR(FIND(""drawer box"",A191))=FALSE,IF(ISERROR(FIND(""veneer"",KitchenCarcassMaterial))=TRUE,0,(((C191+D191)/1000)*2)*VLOOKUP(""Edge banding (per M)"",SheetsData,5,0)),IF(ISERROR(FIND(""she"&amp;"lf"",A191))=FALSE,IF(ISERROR(FIND(""veneer"",KitchenCarcassMaterial))=TRUE,0,(C191/1000)*VLOOKUP(""Edge banding (per M)"",SheetsData,5,0)),IF(AND(ISERROR(FIND(""carcass"",A191))=FALSE,ISERROR(FIND(""shelf"",A191))=TRUE),IF(ISERROR(FIND(""veneer"",KitchenC"&amp;"arcassMaterial))=TRUE,0,((2*(B191+C191))/1000)*VLOOKUP(""Edge banding (per M)"",SheetsData,5,0)),IF(ISERROR(FIND(""door"",A191))=TRUE,"""",IF(ISERROR(FIND(""veneer"",KitchenDoorMaterial))=TRUE,"""",((2*(B191+C191))/1000)*VLOOKUP(""Edge banding (per M)"",S"&amp;"heetsData,5,0))))))))))"),"")</f>
        <v/>
      </c>
      <c r="G191" s="153" t="str">
        <f>IF(A191="","",IF(ISERROR(FIND("bins",A191))=FALSE,VLOOKUP("Base carcass 600",KitchensData,7,0),IF(OR(ISERROR(FIND("larder",A191))=FALSE,ISERROR(FIND("fridge/freezer",A191))=FALSE,ISERROR(FIND("double oven",A191))=FALSE,ISERROR(FIND("single oven",A191))=FALSE),VLOOKUP(LEFT(A191,FIND(" ",A191))&amp;"carcass "&amp;RIGHT(A191,LEN(A191)-(LEN(A191)-3)),KitchensData,7,0),IF(AND(ISERROR(FIND("carcass",A191))=FALSE,ISERROR(FIND("shelf",A191))=TRUE),IF(OR(ISERROR(FIND("Base",A191))=FALSE,ISERROR(FIND("Tower",A191))=FALSE),IF(OR(ISERROR(FIND("1200",A191))=FALSE, ISERROR(FIND("lost corner",A191))=FALSE),6*VLOOKUP("Plinth foot (2 Parts 80mm)",FurnitureData,5,0),4*VLOOKUP("Plinth foot (2 Parts 80mm)",FurnitureData,5,0)),""),""))))</f>
        <v/>
      </c>
      <c r="H191" s="115" t="str">
        <f>IF(OR(A191="",ISERROR(FIND("door",A191))=TRUE),"",IF(ISERROR(FIND("Wall",A191))=FALSE,VLOOKUP("Hinges &amp; plates (Hettich thick door)",FurnitureData,5,0)*2,IF(ISERROR(FIND("Base",A191))=FALSE,VLOOKUP("Hinges &amp; plates (Hettich thick door)",FurnitureData,5,0)*3,IF(ISERROR(FIND("Boiler",A191))=FALSE,VLOOKUP("Hinges &amp; plates (Hettich thick door)",FurnitureData,5,0)*4,IF(ISERROR(FIND("Tower",A191))=FALSE,VLOOKUP("Hinges &amp; plates (Hettich thick door)",FurnitureData,5,0)*5)))))</f>
        <v/>
      </c>
      <c r="I191" s="115" t="str">
        <f>IF(ISERROR(FIND("shelf",A191))=FALSE,(VLOOKUP("Shelf pegs",FurnitureData,5,0)/100)*4,"")</f>
        <v/>
      </c>
      <c r="J191" s="152" t="str">
        <f>IF(OR(ISERROR(FIND("fridge/freezer",A191))=FALSE,ISERROR(FIND("larder",A191))=FALSE,AND(ISERROR(FIND("Base",A191))=FALSE,ISERROR(FIND("bins",A191))=TRUE,ISERROR(FIND("no shelves",A191))=TRUE,OR(ISERROR(FIND("carcass",A191))=FALSE,ISERROR(FIND("unit",A191))=FALSE))),VLOOKUP("Deep shelf "&amp;C191,KitchensData,18,0),IF(AND(ISERROR(FIND("Wall",A191))=FALSE,ISERROR(FIND("carcass",A191))=FALSE),2*VLOOKUP("Shallow shelf "&amp;C191,KitchensData,18,0),IF(AND(ISERROR(FIND("Tower",A191))=FALSE,ISERROR(FIND("oven",A191))=FALSE),4*VLOOKUP("Deep shelf "&amp;C191,KitchensData,18,0),IF(AND(ISERROR(FIND("Tower",A191))=FALSE,ISERROR(FIND("carcass",A191))=FALSE),5*VLOOKUP("Deep shelf "&amp;C191,KitchensData,18,0),""))))</f>
        <v/>
      </c>
      <c r="K191" s="152" t="str">
        <f>IF(ISERROR(FIND("sink",A191))=FALSE,VLOOKUP("Sink liner - Aluminium "&amp;RIGHT(A191,LEN(A191)-22)&amp;"mm",ExceptionalData,5,0),IF(ISERROR(FIND("bins",A191))=FALSE,VLOOKUP("Drawer runners and clip set for bin unit (500) Dynapro",FurnitureData,5,0)+(2*VLOOKUP("Bin (42L Anthracite)",FurnitureData,5,0)),IF(ISERROR(FIND("larder",A191))=FALSE,VLOOKUP("Pull out larder unit 600mm",FurnitureData,5,0),IF(AND(ISERROR(FIND("drawer box",A191))=FALSE,ISERROR(FIND("internal",A191))=TRUE),VLOOKUP("Drawer runners and clip set (550) Dynapro",FurnitureData,5,0),IF(ISERROR(FIND("internal drawer box",A191))=FALSE,VLOOKUP("Drawer runners and clip set (450) Dynapro",FurnitureData,5,0),"")))))</f>
        <v/>
      </c>
      <c r="L191" s="152" t="str">
        <f t="shared" si="3"/>
        <v/>
      </c>
      <c r="M191" s="154" t="str">
        <f>IFERROR(__xludf.DUMMYFUNCTION("IF(A191="""","""",IF(OR(ISERROR(FIND(""larder"",A191))=FALSE,ISERROR(FIND(""unit"",A191))=FALSE),VLOOKUP(LEFT(A191,FIND("" "",A191))&amp;""carcass ""&amp;RIGHT(A191,LEN(A191)-len(regexextract(A191,"".* ""))),KitchensData,13,0),IF(ISERROR(FIND(""bins"",A191))=FALS"&amp;"E,0.95,IF(ISERROR(FIND(""Cutlery insert 600"",A191))=FALSE,1.3,IF(ISERROR(FIND(""Cutlery insert 1200"",A191))=FALSE,2,IF(ISERROR(FIND(""Pan/tray rack 600"",A191))=FALSE,3.25,IF(ISERROR(FIND(""Pan/tray rack 1200"",A191))=FALSE,5.9,IF(ISERROR(FIND(""split"""&amp;",A191))=FALSE,(((C191/1000)*0.022)*2)+VLOOKUP(SUBSTITUTE(A191,"" split"",""""),KitchensData,13,0),IF(AND(ISERROR(FIND(""drawer front"",A191))=FALSE,KitchenDoorStyle=""Flat""),(((B191/1000)*(C191/1000))*2)+((((B191+C191)/1000)*2)*0.022),IF(AND(ISERROR(FIND"&amp;"(""drawer front"",A191))=FALSE,LEFT(KitchenDoorStyle,5)=""Panel""),(((B191/1000)*(C191/1000))*2)+((((B191+C191)/1000)*2)*0.022)+((((C191/1000)-0.16)*0.013)*2)+((((D191/1000)-0.16)*0.013)*2),IF(AND(ISERROR(FIND(""drawer front"",A191))=FALSE,KitchenDoorStyl"&amp;"e=""In-frame flat""),((((B191-76)/1000)*((C191-38)/1000))*2)+(MID(KitchenDoorMaterial,FIND(""("",KitchenDoorMaterial)+1,2)/1000)*((((B191-76)+(C191-38))/1000)*2)+(((B191/1000)*0.032)*2)+((((B191-76)/1000)*0.032)*2)+(((B191/1000)*0.019)*4)+(((C191/1000)*0."&amp;"032)*2)+((((C191-38)/1000)*0.032)*2)+(((C191/1000)*0.038)*4),IF(AND(ISERROR(FIND(""drawer front"",A191))=FALSE,LEFT(KitchenDoorStyle,14)=""In-frame panel""),((((B191-76)/1000)*((C191-38)/1000))*2)+((MID(KitchenDoorMaterial,FIND(""("",KitchenDoorMaterial)+"&amp;"1,2)/1000)*((((B191-76)+(C191-38))/1000)*2))+((((B191-236)/1000)+((C191-198)/1000)*2)*0.013)+(((B191/1000)*0.032)*2)+((((B191-76)/1000)*0.032)*2)+(((B191/1000)*0.019)*4)+(((C191/1000)*0.032)*2)+((((C191-38)/1000)*0.032)*2)+(((C191/1000)*0.038)*4),IF(ISERR"&amp;"OR(FIND(""drawer box"",A191))=FALSE,((((B191/1000)*(D191/1000))+((B191/1000)*(C191/1000)))*4)+((((D191/1000)+(C191/1000))*0.016)*4)+(((C191/1000)*(D191/1000))*2),IF(OR(ISERROR(FIND(""shelf"",A191))=FALSE,ISERROR(FIND(""spacer"",A191))=FALSE,,ISERROR(FIND("&amp;"""filler panel"",A191))=FALSE),(((C191/1000)*(D191/1000))*2)+((((C191+D191)*2)/1000)*0.022),IF(ISERROR(FIND(""lost corner"",A191))=FALSE,(((B191/1000)*(C191/1000))*2)+((B191/1000)*(C191/1000))+((B191/1000)*((C191/2)/1000))+((((B191/1000)*0.025)+((C191/100"&amp;"0)*0.025))*2),IF(ISERROR(FIND(""carcass"",A191))=FALSE,(((C191/1000)*(D191/1000))*2)+(((B191/1000)*(D191/1000))*2)+((B191/1000)*(C191/1000))+((((B191/1000)*0.025)+((C191/1000)*0.025))*2),IF(AND(ISERROR(FIND(""door"",A191))=FALSE,KitchenDoorStyle=""Flat"")"&amp;",(((B191/1000)*(C191/1000))*2)+(MID(KitchenDoorMaterial,FIND(""("",KitchenDoorMaterial)+1,2)/1000)*(((B191+C191)/1000)*2),IF(AND(ISERROR(FIND(""door"",A191))=FALSE,LEFT(KitchenDoorStyle,5)=""Panel""),(((B191/1000)*(C191/1000))*2)+((MID(KitchenDoorMaterial"&amp;",FIND(""("",KitchenDoorMaterial)+1,2)/1000)*(((B191+C191)/1000)*2))+(((((B191-160)+(C191-160))*2)/1000)*(0.013)),IF(AND(ISERROR(FIND(""door"",A191))=FALSE,KitchenDoorStyle=""In-frame flat""),((((B191-76)/1000)*((C191-38)/1000))*2)+(MID(KitchenDoorMaterial"&amp;",FIND(""("",KitchenDoorMaterial)+1,2)/1000)*((((B191-76)+(C191-38))/1000)*2)+(((B191/1000)*0.032)*2)+((((B191-76)/1000)*0.032)*2)+(((B191/1000)*0.019)*4)+(((C191/1000)*0.032)*2)+((((C191-38)/1000)*0.032)*2)+(((C191/1000)*0.038)*4),IF(AND(ISERROR(FIND(""do"&amp;"or"",A191))=FALSE,LEFT(KitchenDoorStyle,14)=""In-frame panel""),((((B191-76)/1000)*((C191-38)/1000))*2)+((MID(KitchenDoorMaterial,FIND(""("",KitchenDoorMaterial)+1,2)/1000)*((((B191-76)+(C191-38))/1000)*2))+((((B191-236)/1000)+((C191-198)/1000)*2)*0.013)+"&amp;"(((B191/1000)*0.032)*2)+((((B191-76)/1000)*0.032)*2)+(((B191/1000)*0.019)*4)+(((C191/1000)*0.032)*2)+((((C191-38)/1000)*0.032)*2)+(((C191/1000)*0.038)*4),IF(ISERROR(FIND(""Plinth"",A191))=FALSE,((B191/1000)*(C191/1000))+(((C191/1000)*0.018)*2)+(((B191/100"&amp;"0)*0.018)*2),IF(ISERROR(FIND(""Cornice"",A191))=FALSE,(((C191/1000)*0.1)*2)+(((C191/1000)*0.044)*2)+(((B191/1000)*0.08)*2),IF(ISERROR(FIND(""Base end panel"",A191))=FALSE,((B191/1000)*(C191/1000))+(0.022*((B191/1000)+((C191/1000)*2)))+((B191/1000)*0.05),I"&amp;"F(ISERROR(FIND(""Wall end panel"",A191))=FALSE,((B191/1000)*(C191/1000))+(0.022*((B191/1000)+((C191/1000)*2)))+((B191/1000)*0.05),IF(ISERROR(FIND(""Tower end panel"",A191))=FALSE,((B191/1000)*(C191/1000))+(0.022*((B191/1000)+((C191/1000)*2)))+((B191/1000)"&amp;"*0.05),IF(ISERROR(FIND(""Fillers"",A191))=FALSE,((C191/1000)*0.06)+((C191/1000)*0.069)+((0.06*0.018)*2)+((0.06*0.009)*2)+((C191/1000)*0.009)+((C191/1000)*0.018),IF(ISERROR(FIND(""corner post"",A191))=FALSE,(((B191/1000*0.05)*2)+((B191/1000)*0.022)*2)+((B1"&amp;"91/1000)*0.072)+((B191/1000)*0.05)+((0.072*0.022)*2)+((0.05*0.022)*2),IF(ISERROR(FIND(""Pelmet"",A191))=FALSE,((C191/1000)*0.05)+((C191/1000)*0.068)+((0.05*0.018)*4)+(((C191/1000)*0.018))*2))))))))))))))))))))))))))))"),"")</f>
        <v/>
      </c>
      <c r="N191" s="152" t="str">
        <f>IF(M191="","",IF(AND(ISERROR(FIND("carcass",A191))=TRUE,ISERROR(FIND("unit",A191))=TRUE,ISERROR(FIND("insert",A191))=TRUE,ISERROR(FIND("rack",A191))=TRUE,ISERROR(FIND("box",A191))=TRUE,ISERROR(FIND("shelf",#REF!))=TRUE),VLOOKUP(KitchenDoorFinish,Finishing!$A$2:$K$10,9,0)*M191,VLOOKUP(KitchenCarcassFinish,Finishing!$A$2:$K$40,9,0)*M191))</f>
        <v/>
      </c>
      <c r="O191" s="155"/>
      <c r="P191" s="155"/>
      <c r="Q191" s="152" t="str">
        <f>IF(OR(O191="",P191=""),"",((O191*X191)*(VLOOKUP("Workshop",Labour!$A$3:$E$20,4,0)/8))+((P191*AE191)*(VLOOKUP("Finishing",Labour!$A$3:$E$20,4,0)/8)))</f>
        <v/>
      </c>
      <c r="R191" s="152" t="str">
        <f t="shared" si="4"/>
        <v/>
      </c>
      <c r="S191" s="156" t="str">
        <f>IF(OR(O191="",P191=""),"",IF(OR(ISERROR(FIND("carcass",$A191))=FALSE,ISERROR(FIND("unit",$A191))=FALSE),VLOOKUP(KitchenCarcassMaterial,FixedListsCarcassMaterial,2,0),0))</f>
        <v/>
      </c>
      <c r="T191" s="156" t="str">
        <f>IF(OR(O191="",P191=""),"",IF(ISERROR(FIND("door",$A191))=FALSE,VLOOKUP(KitchenDoorStyle,FixedListsDoorStyle,2,0),0))</f>
        <v/>
      </c>
      <c r="U191" s="156" t="str">
        <f>IF(OR(O191="",P191=""),"",IF(ISERROR(FIND("door",$A191))=FALSE,VLOOKUP(KitchenDoorMaterial,FixedListsDoorMaterial,2,0),0))</f>
        <v/>
      </c>
      <c r="V191" s="156" t="str">
        <f>IF(OR(O191="",P191=""),"",IF(ISERROR(FIND("drawer",$A191))=FALSE,VLOOKUP(KitchenDrawerType,FixedListsDrawerType,2,0),0))</f>
        <v/>
      </c>
      <c r="W191" s="156" t="str">
        <f>IF(OR(O191="",P191=""),"",IF(OR(S191&gt;0, T191&gt;0,V191&gt;0),VLOOKUP(KitchenHandleType,FixedListsHandleType,2,FALSE)*IF(KitchenHandleType="Simple",0,IF(S191&gt;0,VLOOKUP(KitchenHandleType,FixedListsHandleType,4,FALSE),IF(OR(T191&gt;0,V191&gt;0),1-VLOOKUP(KitchenHandleType,FixedListsHandleType,4,FALSE),"Error"))),0))</f>
        <v/>
      </c>
      <c r="X191" s="156" t="str">
        <f t="shared" si="5"/>
        <v/>
      </c>
      <c r="Y191" s="156" t="str">
        <f>IF(OR(O191="",P191=""),"",IF(OR(ISERROR(FIND("carcass",$A191))=FALSE,ISERROR(FIND("unit",$A191))=FALSE),VLOOKUP(KitchenCarcassMaterial,FixedListsCarcassMaterial,3,0),0))</f>
        <v/>
      </c>
      <c r="Z191" s="156" t="str">
        <f>IF(OR(O191="",P191=""),"",IF(ISERROR(FIND("door",$A191))=FALSE,VLOOKUP(KitchenDoorStyle,FixedListsDoorStyle,3,0),0))</f>
        <v/>
      </c>
      <c r="AA191" s="156" t="str">
        <f>IF(OR(O191="",P191=""),"",IF(ISERROR(FIND("door",$A191))=FALSE,VLOOKUP(KitchenDoorMaterial,FixedListsDoorMaterial,3,0),0))</f>
        <v/>
      </c>
      <c r="AB191" s="156" t="str">
        <f>IF(OR(O191="",P191=""),"",IF(ISERROR(FIND("drawer",$A191))=FALSE,VLOOKUP(KitchenDrawerType,FixedListsDrawerType,3,0),0))</f>
        <v/>
      </c>
      <c r="AC191" s="156" t="str">
        <f>IF(OR(O191="",P191=""),"",IF(OR(Y191&gt;0,Z191&gt;0,AB191&gt;0),VLOOKUP(KitchenHandleType,FixedListsHandleType,3,FALSE),0))</f>
        <v/>
      </c>
      <c r="AD191" s="156" t="str">
        <f>IF(OR(O191="",P191=""),"",IF(OR(ISERROR(FIND("carcass",$A191))=FALSE,ISERROR(FIND("unit",$A191))=FALSE),VLOOKUP(KitchenCarcassFinish,FixedListsFinishes,3,0),IF(OR(ISERROR(FIND("door",$A191))=FALSE,ISERROR(FIND("Plinth",$A191))=FALSE,ISERROR(FIND("Cornice",$A191))=FALSE,ISERROR(FIND("Fillers",$A191))=FALSE,ISERROR(FIND("Pelmet",$A191))=FALSE,ISERROR(FIND("panel",$A191))=FALSE,ISERROR(FIND("post",$A191))=FALSE),VLOOKUP(KitchenDoorFinish,FixedListsFinishes,3,0),IF(OR(ISERROR(FIND("drawer",$A191))=FALSE,ISERROR(FIND("insert",$A191))=FALSE,ISERROR(FIND("rck",$A191))=FALSE),VLOOKUP(KitchenCarcassFinish,FixedListsFinishes,3,0),0))))</f>
        <v/>
      </c>
      <c r="AE191" s="156" t="str">
        <f t="shared" si="6"/>
        <v/>
      </c>
      <c r="AF191" s="157" t="str">
        <f>IF(AND(KitchenHandleType="Channel",OR(ISERROR(FIND("arcass",$A191))=FALSE,ISERROR(FIND("unit",$A191))=FALSE)),IF(ISERROR(FIND("Tower",$A191))=TRUE,IF(KitchenHandleFinish="Match carcass",IF(ISERROR(FIND("Walnut",KitchenCarcassMaterial))=FALSE,(0.035*0.075*($C191/1000))*VLOOKUP("Walnut (solid m3)",SolidData,4,FALSE),IF(ISERROR(FIND("Oak",KitchenCarcassMaterial))=FALSE,(0.035*0.075*($C191/1000))*VLOOKUP("Oak (solid m3)",SolidData,4,FALSE),IF(ISERROR(FIND("ply",KitchenCarcassMaterial))=FALSE,(0.1*($C191/1000))*VLOOKUP("Birch ply (24mm)",SheetsData,7,FALSE),IF(ISERROR(FIND("H/F",KitchenCarcassMaterial))=FALSE,(0.1*($C191/1000))*VLOOKUP("H/F (22mm)",SheetsData,7,FALSE),"Carcass - not tower - new material")))),IF(KitchenHandleFinish="Match door",IF(ISERROR(FIND("Walnut",KitchenDoorMaterial))=FALSE,(0.035*0.075*($C191/1000))*VLOOKUP("Walnut (solid m3)",SolidData,4,FALSE),IF(ISERROR(FIND("Oak",KitchenDoorMaterial))=FALSE,(0.035*0.075*($C191/1000))*VLOOKUP("Oak (solid m3)",SolidData,4,FALSE),IF(ISERROR(FIND("ply",KitchenDoorMaterial))=FALSE,(0.1*($C191/1000))*VLOOKUP("Birch ply (24mm)",SheetsData,7,FALSE),IF(ISERROR(FIND("H/F",KitchenCarcassMaterial))=FALSE,(0.1*($C191/1000))*VLOOKUP("H/F (22mm)",SheetsData,7,FALSE),"Door - not tower - new material")))),"Channel - not tower - handle set to other")),IF(ISERROR(FIND("Tower",$A191))=FALSE,IF(KitchenHandleFinish="Match carcass",IF(ISERROR(FIND("Walnut",KitchenCarcassMaterial))=FALSE,(0.035*0.075*($B191/1000))*VLOOKUP("Walnut (solid m3)",SolidData,4,FALSE),IF(ISERROR(FIND("Oak",KitchenCarcassMaterial))=FALSE,(0.035*0.075*($B191/1000))*VLOOKUP("Oak (solid m3)",SolidData,4,FALSE),IF(ISERROR(FIND("ply",KitchenCarcassMaterial))=FALSE,(0.1*($B191/1000))*VLOOKUP("Birch ply (24mm)",SheetsData,7,FALSE),IF(ISERROR(FIND("H/F",KitchenCarcassMaterial))=FALSE,(0.1*($C191/1000))*VLOOKUP("H/F (22mm)",SheetsData,7,FALSE),"Carcass - tower - new material")))),IF(KitchenHandleFinish="Match door",IF(ISERROR(FIND("Walnut",KitchenDoorMaterial))=FALSE,(0.035*0.075*($B191/1000))*VLOOKUP("Walnut (solid m3)",SolidData,4,FALSE),IF(ISERROR(FIND("Oak",KitchenDoorMaterial))=FALSE,(0.035*0.075*($B191/1000))*VLOOKUP("Oak (solid m3)",SolidData,4,FALSE),IF(ISERROR(FIND("ply",KitchenDoorMaterial))=FALSE,(0.1*($B191/1000))*VLOOKUP("Birch ply (24mm)",SheetData,7,FALSE),IF(ISERROR(FIND("H/F",KitchenCarcassMaterial))=FALSE,(0.1*($C191/1000))*VLOOKUP("H/F (22mm)",SheetsData,7,FALSE),"Door - tower - new material")))),"Channel - tower - handle set to other")))),"")</f>
        <v/>
      </c>
    </row>
    <row r="192">
      <c r="A192" s="150"/>
      <c r="B192" s="115" t="str">
        <f t="shared" si="1"/>
        <v/>
      </c>
      <c r="C192" s="115" t="str">
        <f>IFERROR(__xludf.DUMMYFUNCTION("IF(A192="""","""",IF(OR(RIGHT(A192,LEN(A192)-len(regexextract(A192,"".* "")))=""1200"",RIGHT(A192,LEN(A192)-len(regexextract(A192,"".* "")))=""600"",RIGHT(A192,LEN(A192)-len(regexextract(A192,"".* "")))=""400"",RIGHT(A192,LEN(A192)-len(regexextract(A192,"&amp;""".* "")))=""300"",RIGHT(A192,LEN(A192)-len(regexextract(A192,"".* "")))=""700"",RIGHT(A192,LEN(A192)-len(regexextract(A192,"".* "")))=""2400"",RIGHT(A192,LEN(A192)-len(regexextract(A192,"".* "")))=""650"",RIGHT(A192,LEN(A192)-len(regexextract(A192,"".* "&amp;""")))=""350"",RIGHT(A192,LEN(A192)-len(regexextract(A192,"".* "")))=""50""),RIGHT(A192,LEN(A192)-len(regexextract(A192,"".* ""))),IF(OR(ISERROR(FIND(""spacer"",A192))=FALSE,ISERROR(FIND(""filler panel"",A192))=FALSE),""1000"",""Unexpected size in descript"&amp;"ion"")))"),"")</f>
        <v/>
      </c>
      <c r="D192" s="151" t="str">
        <f t="shared" si="2"/>
        <v/>
      </c>
      <c r="E192" s="152" t="str">
        <f>IFERROR(__xludf.DUMMYFUNCTION("IF(OR(A192="""",AND(ISERROR(FIND(""drawer box"",A192))=FALSE,KitchenDrawerType="""")),"""",IF(OR(ISERROR(FIND(""larder"",A192))=FALSE,ISERROR(FIND(""fridge/freezer"",A192))=FALSE,ISERROR(FIND(""double oven"",A192))=FALSE,ISERROR(FIND(""single oven"",A192)"&amp;")=FALSE),VLOOKUP(LEFT(A192,FIND("" "",A192))&amp;""carcass ""&amp;RIGHT(A192,LEN(A192)-(LEN(A192)-3)),KitchensData,5,0),IF(ISERROR(FIND(""sink"",A192))=FALSE,VLOOKUP(LEFT(A192,FIND("" "",A192))&amp;""carcass ""&amp;VALUE(REGEXREPLACE(A192,""[^[:digit:]]"", """")),Kitchen"&amp;"sData,5,0)+(((C192/1000)*(300/1000))*VLOOKUP(KitchenCarcassMaterial,SheetsData,8,0)),IF(ISERROR(FIND(""bins"",A192))=FALSE,IF(ISERROR(FIND(""veneer"",KitchenCarcassMaterial))=FALSE,VLOOKUP(""Base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600"",A192))=FALSE,IF(ISERR"&amp;"OR(FIND(""veneer"",KitchenCarcassMaterial))=FALSE,0.54*(VLOOKUP(LEFT(KitchenCarcassMaterial,FIND(""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1"&amp;"200"",A192))=FALSE,IF(ISERROR(FIND(""veneer"",KitchenCarcassMaterial))=FALSE,0.84*(VLOOKUP(LEFT(KitchenCarcassMaterial,FIND(""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600"",A192))=FALSE,IF(ISERROR(FIND(""veneer"",KitchenCarcassMaterial))=FALSE,1.44*(VLOOKUP(LEFT(KitchenCarcassMaterial,FIND(""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1200"",A192))=FALSE,IF(ISERROR(FIND(""veneer"",KitchenCarcassMaterial))=FALSE,2.7*(VLOOKUP(LEFT(KitchenCarcassMaterial,FIND(""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front"",A192))=FALSE,((B192/1000)*(C192/1000))*VLOOKUP(KitchenDoorMaterial,SheetsData,8,0),IF(AND(KitchenDrawerType=""Match carcass"",ISERROR(FIND(""drawer box"",A192))=FALSE),(((((B192/10"&amp;"00)*(C192/1000))+((B192/1000)*(D192/1000)))*2)*VLOOKUP(KitchenCarcassMaterial,SheetsData,8,0))+(((C192/1000)*(D192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box"",A192))=FALSE),(((((B192/1000)*(C192/1000))+((B192/1000)*(D192/1000)))*2)*(16/1000)*VLOOKUP(L"&amp;"EFT(KitchenCarcassMaterial,FIND("" "",KitchenCarcassMaterial))&amp;""(solid m3)"",SolidData,5,0))+(((C192/1000)*(D192/1000))*VLOOKUP(LEFT(KitchenCarcassMaterial,FIND(""("",KitchenCarcassMaterial)-1)&amp;IF(OR(ISERROR(FIND(""ply"",KitchenCarcassMaterial))=FALSE,IS"&amp;"ERROR(FIND(""H/F"",KitchenCarcassMaterial))=FALSE),""(9mm)"",""(10mm)""),SheetsData,8,0)),IF(ISERROR(FIND(""spacer"",A192))=FALSE,((D192/1000)*(C192/1000))*VLOOKUP(""Poplar ply (18mm)"",SheetsData,8,0),IF(ISERROR(FIND(""filler panel"",A192))=FALSE,((B192/"&amp;"1000)*(C192/1000))*VLOOKUP(KitchenDoorMaterial,SheetsData,8,0),IF(ISERROR(FIND(""shelf"",A192))=FALSE,((D192/1000)*(C192/1000))*VLOOKUP(KitchenCarcassMaterial,SheetsData,8,0),IF(ISERROR(FIND(""lost corner"",A192))=FALSE,VLOOKUP(LEFT(A192,FIND("" "",A192))"&amp;"&amp;""carcass ""&amp;VALUE(REGEXREPLACE(A192,""[^[:digit:]]"", """")),KitchensData,5,0)+((((B192/1000)*(C192/1000))+((B192/1000)*(60/1000)))*VLOOKUP(KitchenCarcassMaterial,SheetsData,8,0)),IF(ISERROR(FIND(""carcass"",A192))=FALSE,(((((B192/1000)*2)*(D192/1000))+"&amp;"(((C192/1000)*2)*(D192/1000)))*VLOOKUP(KitchenCarcassMaterial,SheetsData,8,0))+((B192/1000)*(C192/1000))*VLOOKUP(LEFT(KitchenCarcassMaterial,FIND(""("",KitchenCarcassMaterial)-1)&amp;IF(OR(ISERROR(FIND(""ply"",KitchenCarcassMaterial))=FALSE,ISERROR(FIND(""H/F"&amp;""",KitchenCarcassMaterial))=FALSE),""(9mm)"",""(10mm)""),SheetsData,8,0),IF(OR(ISERROR(FIND(""Plinth"",A192))=FALSE,ISERROR(FIND(""Cornice (flat)"",A192))=FALSE),((B192/1000)*(C192/1000))*VLOOKUP(""H/F (18mm)"",SheetsData,8,0),IF(ISERROR(FIND(""Cornice (s"&amp;"tacked)"",A192))=FALSE,((0.08*(C192/1000))*2)*VLOOKUP(""H/F (22mm)"",SheetsData,8,0),IF(ISERROR(FIND(""Base end panel"",A192))=FALSE,VLOOKUP(KitchenDoorMaterial,SheetsData,5,0)/3,IF(ISERROR(FIND(""Wall end panel"",A192))=FALSE,VLOOKUP(KitchenDoorMaterial,"&amp;"SheetsData,5,0)/9,IF(ISERROR(FIND(""Tower end panel"",A192))=FALSE,VLOOKUP(KitchenDoorMaterial,SheetsData,5,0),IF(ISERROR(FIND(""Fillers"",A192))=FALSE,(((0.06*(C192/1000))*2)*VLOOKUP(""H/F (18mm)"",SheetsData,8,0))+(((0.06*(C192/1000))*2)*VLOOKUP(""H/F ("&amp;"9mm)"",SheetsData,8,0)),IF(ISERROR(FIND(""corner post"",A192))=FALSE,(((B192/1000)*0.05)*2)*VLOOKUP(KitchenDoorMaterial,SheetsData,8,0),IF(ISERROR(FIND(""Pelmet"",A192))=FALSE,((((B192/1000)*(C192/1000))*2)*VLOOKUP(""H/F (18mm)"",SheetsData,8,0)),IF(ISERR"&amp;"OR(FIND(""door"",A192))=TRUE,""Check description"",IF(KitchenDoorStyle=""Flat"",((B192/1000)*(C192/1000))*VLOOKUP(KitchenDoorMaterial,SheetsData,8,0),IF(LEFT(KitchenDoorStyle,5)=""Panel"",(((((B192/1000)*2)*0.08)+((((C192/1000)-0.16)*2)*0.08))*VLOOKUP(""H"&amp;"/F (22mm)"",SheetsData,8,0))+(((B192/1000)-0.14)*((C192/1000)-0.14)*VLOOKUP(""H/F (9mm)"",SheetsData,8,0)),IF(KitchenDoorStyle=""In-frame flat"",((((((B192/1000)*0.019)*0.038)+((((C192-38)/1000)*0.038)*0.038))*2)*VLOOKUP(""Tulip (solid m3)"",SolidData,5,0"&amp;"))+(((B192-76)/1000)*((C192-38)/1000))*VLOOKUP(""H/F (22mm)"",SheetsData,8,0),IF(LEFT(KitchenDoorStyle,14)=""In-frame panel"",(((((((B192/1000)*0.019)*0.038)+((((C192-38)/1000)*0.038)*0.038))*2)*VLOOKUP(""Tulip (solid m3)"",SolidData,5,0))+(((((((B192-76)"&amp;"/1000)*2)*0.08)+(((((C192-198)/1000)*2)*0.08)))*VLOOKUP(""H/F (22mm)"",SheetsData,8,0))+(((B192-216)/1000)*((C192-178)/1000)*VLOOKUP(""H/F (9mm)"",SheetsData,8,0)))))))))))))))))))))))))))))))))"),"")</f>
        <v/>
      </c>
      <c r="F192" s="152" t="str">
        <f>IFERROR(__xludf.DUMMYFUNCTION("IF(OR(A192="""",AND(ISERROR(FIND(""drawer box"",A192))=FALSE,KitchenDrawerType=""Solid dovetail"")),"""",IF(ISERROR(FIND(""bins"",A192))=FALSE,VLOOKUP(""Base carcass 600"",KitchensData,6,0),IF(OR(ISERROR(FIND(""larder"",A192))=FALSE,ISERROR(FIND(""unit"","&amp;"A192))=FALSE),VLOOKUP(LEFT(A192,FIND("" "",A192))&amp;""carcass ""&amp;RIGHT(A192,LEN(A192)-len(regexextract(A192,"".* ""))),KitchensData,6,0),IF(ISERROR(FIND(""drawer front"",A192))=FALSE,IF(ISERROR(FIND(""veneer"",KitchenCarcassMaterial))=TRUE,0,(((B192+C192)/1"&amp;"000)*2)*VLOOKUP(""Edge banding (per M)"",SheetsData,5,0)),IF(ISERROR(FIND(""drawer box"",A192))=FALSE,IF(ISERROR(FIND(""veneer"",KitchenCarcassMaterial))=TRUE,0,(((C192+D192)/1000)*2)*VLOOKUP(""Edge banding (per M)"",SheetsData,5,0)),IF(ISERROR(FIND(""she"&amp;"lf"",A192))=FALSE,IF(ISERROR(FIND(""veneer"",KitchenCarcassMaterial))=TRUE,0,(C192/1000)*VLOOKUP(""Edge banding (per M)"",SheetsData,5,0)),IF(AND(ISERROR(FIND(""carcass"",A192))=FALSE,ISERROR(FIND(""shelf"",A192))=TRUE),IF(ISERROR(FIND(""veneer"",KitchenC"&amp;"arcassMaterial))=TRUE,0,((2*(B192+C192))/1000)*VLOOKUP(""Edge banding (per M)"",SheetsData,5,0)),IF(ISERROR(FIND(""door"",A192))=TRUE,"""",IF(ISERROR(FIND(""veneer"",KitchenDoorMaterial))=TRUE,"""",((2*(B192+C192))/1000)*VLOOKUP(""Edge banding (per M)"",S"&amp;"heetsData,5,0))))))))))"),"")</f>
        <v/>
      </c>
      <c r="G192" s="153" t="str">
        <f>IF(A192="","",IF(ISERROR(FIND("bins",A192))=FALSE,VLOOKUP("Base carcass 600",KitchensData,7,0),IF(OR(ISERROR(FIND("larder",A192))=FALSE,ISERROR(FIND("fridge/freezer",A192))=FALSE,ISERROR(FIND("double oven",A192))=FALSE,ISERROR(FIND("single oven",A192))=FALSE),VLOOKUP(LEFT(A192,FIND(" ",A192))&amp;"carcass "&amp;RIGHT(A192,LEN(A192)-(LEN(A192)-3)),KitchensData,7,0),IF(AND(ISERROR(FIND("carcass",A192))=FALSE,ISERROR(FIND("shelf",A192))=TRUE),IF(OR(ISERROR(FIND("Base",A192))=FALSE,ISERROR(FIND("Tower",A192))=FALSE),IF(OR(ISERROR(FIND("1200",A192))=FALSE, ISERROR(FIND("lost corner",A192))=FALSE),6*VLOOKUP("Plinth foot (2 Parts 80mm)",FurnitureData,5,0),4*VLOOKUP("Plinth foot (2 Parts 80mm)",FurnitureData,5,0)),""),""))))</f>
        <v/>
      </c>
      <c r="H192" s="115" t="str">
        <f>IF(OR(A192="",ISERROR(FIND("door",A192))=TRUE),"",IF(ISERROR(FIND("Wall",A192))=FALSE,VLOOKUP("Hinges &amp; plates (Hettich thick door)",FurnitureData,5,0)*2,IF(ISERROR(FIND("Base",A192))=FALSE,VLOOKUP("Hinges &amp; plates (Hettich thick door)",FurnitureData,5,0)*3,IF(ISERROR(FIND("Boiler",A192))=FALSE,VLOOKUP("Hinges &amp; plates (Hettich thick door)",FurnitureData,5,0)*4,IF(ISERROR(FIND("Tower",A192))=FALSE,VLOOKUP("Hinges &amp; plates (Hettich thick door)",FurnitureData,5,0)*5)))))</f>
        <v/>
      </c>
      <c r="I192" s="115" t="str">
        <f>IF(ISERROR(FIND("shelf",A192))=FALSE,(VLOOKUP("Shelf pegs",FurnitureData,5,0)/100)*4,"")</f>
        <v/>
      </c>
      <c r="J192" s="152" t="str">
        <f>IF(OR(ISERROR(FIND("fridge/freezer",A192))=FALSE,ISERROR(FIND("larder",A192))=FALSE,AND(ISERROR(FIND("Base",A192))=FALSE,ISERROR(FIND("bins",A192))=TRUE,ISERROR(FIND("no shelves",A192))=TRUE,OR(ISERROR(FIND("carcass",A192))=FALSE,ISERROR(FIND("unit",A192))=FALSE))),VLOOKUP("Deep shelf "&amp;C192,KitchensData,18,0),IF(AND(ISERROR(FIND("Wall",A192))=FALSE,ISERROR(FIND("carcass",A192))=FALSE),2*VLOOKUP("Shallow shelf "&amp;C192,KitchensData,18,0),IF(AND(ISERROR(FIND("Tower",A192))=FALSE,ISERROR(FIND("oven",A192))=FALSE),4*VLOOKUP("Deep shelf "&amp;C192,KitchensData,18,0),IF(AND(ISERROR(FIND("Tower",A192))=FALSE,ISERROR(FIND("carcass",A192))=FALSE),5*VLOOKUP("Deep shelf "&amp;C192,KitchensData,18,0),""))))</f>
        <v/>
      </c>
      <c r="K192" s="152" t="str">
        <f>IF(ISERROR(FIND("sink",A192))=FALSE,VLOOKUP("Sink liner - Aluminium "&amp;RIGHT(A192,LEN(A192)-22)&amp;"mm",ExceptionalData,5,0),IF(ISERROR(FIND("bins",A192))=FALSE,VLOOKUP("Drawer runners and clip set for bin unit (500) Dynapro",FurnitureData,5,0)+(2*VLOOKUP("Bin (42L Anthracite)",FurnitureData,5,0)),IF(ISERROR(FIND("larder",A192))=FALSE,VLOOKUP("Pull out larder unit 600mm",FurnitureData,5,0),IF(AND(ISERROR(FIND("drawer box",A192))=FALSE,ISERROR(FIND("internal",A192))=TRUE),VLOOKUP("Drawer runners and clip set (550) Dynapro",FurnitureData,5,0),IF(ISERROR(FIND("internal drawer box",A192))=FALSE,VLOOKUP("Drawer runners and clip set (450) Dynapro",FurnitureData,5,0),"")))))</f>
        <v/>
      </c>
      <c r="L192" s="152" t="str">
        <f t="shared" si="3"/>
        <v/>
      </c>
      <c r="M192" s="154" t="str">
        <f>IFERROR(__xludf.DUMMYFUNCTION("IF(A192="""","""",IF(OR(ISERROR(FIND(""larder"",A192))=FALSE,ISERROR(FIND(""unit"",A192))=FALSE),VLOOKUP(LEFT(A192,FIND("" "",A192))&amp;""carcass ""&amp;RIGHT(A192,LEN(A192)-len(regexextract(A192,"".* ""))),KitchensData,13,0),IF(ISERROR(FIND(""bins"",A192))=FALS"&amp;"E,0.95,IF(ISERROR(FIND(""Cutlery insert 600"",A192))=FALSE,1.3,IF(ISERROR(FIND(""Cutlery insert 1200"",A192))=FALSE,2,IF(ISERROR(FIND(""Pan/tray rack 600"",A192))=FALSE,3.25,IF(ISERROR(FIND(""Pan/tray rack 1200"",A192))=FALSE,5.9,IF(ISERROR(FIND(""split"""&amp;",A192))=FALSE,(((C192/1000)*0.022)*2)+VLOOKUP(SUBSTITUTE(A192,"" split"",""""),KitchensData,13,0),IF(AND(ISERROR(FIND(""drawer front"",A192))=FALSE,KitchenDoorStyle=""Flat""),(((B192/1000)*(C192/1000))*2)+((((B192+C192)/1000)*2)*0.022),IF(AND(ISERROR(FIND"&amp;"(""drawer front"",A192))=FALSE,LEFT(KitchenDoorStyle,5)=""Panel""),(((B192/1000)*(C192/1000))*2)+((((B192+C192)/1000)*2)*0.022)+((((C192/1000)-0.16)*0.013)*2)+((((D192/1000)-0.16)*0.013)*2),IF(AND(ISERROR(FIND(""drawer front"",A192))=FALSE,KitchenDoorStyl"&amp;"e=""In-frame flat""),((((B192-76)/1000)*((C192-38)/1000))*2)+(MID(KitchenDoorMaterial,FIND(""("",KitchenDoorMaterial)+1,2)/1000)*((((B192-76)+(C192-38))/1000)*2)+(((B192/1000)*0.032)*2)+((((B192-76)/1000)*0.032)*2)+(((B192/1000)*0.019)*4)+(((C192/1000)*0."&amp;"032)*2)+((((C192-38)/1000)*0.032)*2)+(((C192/1000)*0.038)*4),IF(AND(ISERROR(FIND(""drawer front"",A192))=FALSE,LEFT(KitchenDoorStyle,14)=""In-frame panel""),((((B192-76)/1000)*((C192-38)/1000))*2)+((MID(KitchenDoorMaterial,FIND(""("",KitchenDoorMaterial)+"&amp;"1,2)/1000)*((((B192-76)+(C192-38))/1000)*2))+((((B192-236)/1000)+((C192-198)/1000)*2)*0.013)+(((B192/1000)*0.032)*2)+((((B192-76)/1000)*0.032)*2)+(((B192/1000)*0.019)*4)+(((C192/1000)*0.032)*2)+((((C192-38)/1000)*0.032)*2)+(((C192/1000)*0.038)*4),IF(ISERR"&amp;"OR(FIND(""drawer box"",A192))=FALSE,((((B192/1000)*(D192/1000))+((B192/1000)*(C192/1000)))*4)+((((D192/1000)+(C192/1000))*0.016)*4)+(((C192/1000)*(D192/1000))*2),IF(OR(ISERROR(FIND(""shelf"",A192))=FALSE,ISERROR(FIND(""spacer"",A192))=FALSE,,ISERROR(FIND("&amp;"""filler panel"",A192))=FALSE),(((C192/1000)*(D192/1000))*2)+((((C192+D192)*2)/1000)*0.022),IF(ISERROR(FIND(""lost corner"",A192))=FALSE,(((B192/1000)*(C192/1000))*2)+((B192/1000)*(C192/1000))+((B192/1000)*((C192/2)/1000))+((((B192/1000)*0.025)+((C192/100"&amp;"0)*0.025))*2),IF(ISERROR(FIND(""carcass"",A192))=FALSE,(((C192/1000)*(D192/1000))*2)+(((B192/1000)*(D192/1000))*2)+((B192/1000)*(C192/1000))+((((B192/1000)*0.025)+((C192/1000)*0.025))*2),IF(AND(ISERROR(FIND(""door"",A192))=FALSE,KitchenDoorStyle=""Flat"")"&amp;",(((B192/1000)*(C192/1000))*2)+(MID(KitchenDoorMaterial,FIND(""("",KitchenDoorMaterial)+1,2)/1000)*(((B192+C192)/1000)*2),IF(AND(ISERROR(FIND(""door"",A192))=FALSE,LEFT(KitchenDoorStyle,5)=""Panel""),(((B192/1000)*(C192/1000))*2)+((MID(KitchenDoorMaterial"&amp;",FIND(""("",KitchenDoorMaterial)+1,2)/1000)*(((B192+C192)/1000)*2))+(((((B192-160)+(C192-160))*2)/1000)*(0.013)),IF(AND(ISERROR(FIND(""door"",A192))=FALSE,KitchenDoorStyle=""In-frame flat""),((((B192-76)/1000)*((C192-38)/1000))*2)+(MID(KitchenDoorMaterial"&amp;",FIND(""("",KitchenDoorMaterial)+1,2)/1000)*((((B192-76)+(C192-38))/1000)*2)+(((B192/1000)*0.032)*2)+((((B192-76)/1000)*0.032)*2)+(((B192/1000)*0.019)*4)+(((C192/1000)*0.032)*2)+((((C192-38)/1000)*0.032)*2)+(((C192/1000)*0.038)*4),IF(AND(ISERROR(FIND(""do"&amp;"or"",A192))=FALSE,LEFT(KitchenDoorStyle,14)=""In-frame panel""),((((B192-76)/1000)*((C192-38)/1000))*2)+((MID(KitchenDoorMaterial,FIND(""("",KitchenDoorMaterial)+1,2)/1000)*((((B192-76)+(C192-38))/1000)*2))+((((B192-236)/1000)+((C192-198)/1000)*2)*0.013)+"&amp;"(((B192/1000)*0.032)*2)+((((B192-76)/1000)*0.032)*2)+(((B192/1000)*0.019)*4)+(((C192/1000)*0.032)*2)+((((C192-38)/1000)*0.032)*2)+(((C192/1000)*0.038)*4),IF(ISERROR(FIND(""Plinth"",A192))=FALSE,((B192/1000)*(C192/1000))+(((C192/1000)*0.018)*2)+(((B192/100"&amp;"0)*0.018)*2),IF(ISERROR(FIND(""Cornice"",A192))=FALSE,(((C192/1000)*0.1)*2)+(((C192/1000)*0.044)*2)+(((B192/1000)*0.08)*2),IF(ISERROR(FIND(""Base end panel"",A192))=FALSE,((B192/1000)*(C192/1000))+(0.022*((B192/1000)+((C192/1000)*2)))+((B192/1000)*0.05),I"&amp;"F(ISERROR(FIND(""Wall end panel"",A192))=FALSE,((B192/1000)*(C192/1000))+(0.022*((B192/1000)+((C192/1000)*2)))+((B192/1000)*0.05),IF(ISERROR(FIND(""Tower end panel"",A192))=FALSE,((B192/1000)*(C192/1000))+(0.022*((B192/1000)+((C192/1000)*2)))+((B192/1000)"&amp;"*0.05),IF(ISERROR(FIND(""Fillers"",A192))=FALSE,((C192/1000)*0.06)+((C192/1000)*0.069)+((0.06*0.018)*2)+((0.06*0.009)*2)+((C192/1000)*0.009)+((C192/1000)*0.018),IF(ISERROR(FIND(""corner post"",A192))=FALSE,(((B192/1000*0.05)*2)+((B192/1000)*0.022)*2)+((B1"&amp;"92/1000)*0.072)+((B192/1000)*0.05)+((0.072*0.022)*2)+((0.05*0.022)*2),IF(ISERROR(FIND(""Pelmet"",A192))=FALSE,((C192/1000)*0.05)+((C192/1000)*0.068)+((0.05*0.018)*4)+(((C192/1000)*0.018))*2))))))))))))))))))))))))))))"),"")</f>
        <v/>
      </c>
      <c r="N192" s="152" t="str">
        <f>IF(M192="","",IF(AND(ISERROR(FIND("carcass",A192))=TRUE,ISERROR(FIND("unit",A192))=TRUE,ISERROR(FIND("insert",A192))=TRUE,ISERROR(FIND("rack",A192))=TRUE,ISERROR(FIND("box",A192))=TRUE,ISERROR(FIND("shelf",#REF!))=TRUE),VLOOKUP(KitchenDoorFinish,Finishing!$A$2:$K$10,9,0)*M192,VLOOKUP(KitchenCarcassFinish,Finishing!$A$2:$K$40,9,0)*M192))</f>
        <v/>
      </c>
      <c r="O192" s="155"/>
      <c r="P192" s="155"/>
      <c r="Q192" s="152" t="str">
        <f>IF(OR(O192="",P192=""),"",((O192*X192)*(VLOOKUP("Workshop",Labour!$A$3:$E$20,4,0)/8))+((P192*AE192)*(VLOOKUP("Finishing",Labour!$A$3:$E$20,4,0)/8)))</f>
        <v/>
      </c>
      <c r="R192" s="152" t="str">
        <f t="shared" si="4"/>
        <v/>
      </c>
      <c r="S192" s="156" t="str">
        <f>IF(OR(O192="",P192=""),"",IF(OR(ISERROR(FIND("carcass",$A192))=FALSE,ISERROR(FIND("unit",$A192))=FALSE),VLOOKUP(KitchenCarcassMaterial,FixedListsCarcassMaterial,2,0),0))</f>
        <v/>
      </c>
      <c r="T192" s="156" t="str">
        <f>IF(OR(O192="",P192=""),"",IF(ISERROR(FIND("door",$A192))=FALSE,VLOOKUP(KitchenDoorStyle,FixedListsDoorStyle,2,0),0))</f>
        <v/>
      </c>
      <c r="U192" s="156" t="str">
        <f>IF(OR(O192="",P192=""),"",IF(ISERROR(FIND("door",$A192))=FALSE,VLOOKUP(KitchenDoorMaterial,FixedListsDoorMaterial,2,0),0))</f>
        <v/>
      </c>
      <c r="V192" s="156" t="str">
        <f>IF(OR(O192="",P192=""),"",IF(ISERROR(FIND("drawer",$A192))=FALSE,VLOOKUP(KitchenDrawerType,FixedListsDrawerType,2,0),0))</f>
        <v/>
      </c>
      <c r="W192" s="156" t="str">
        <f>IF(OR(O192="",P192=""),"",IF(OR(S192&gt;0, T192&gt;0,V192&gt;0),VLOOKUP(KitchenHandleType,FixedListsHandleType,2,FALSE)*IF(KitchenHandleType="Simple",0,IF(S192&gt;0,VLOOKUP(KitchenHandleType,FixedListsHandleType,4,FALSE),IF(OR(T192&gt;0,V192&gt;0),1-VLOOKUP(KitchenHandleType,FixedListsHandleType,4,FALSE),"Error"))),0))</f>
        <v/>
      </c>
      <c r="X192" s="156" t="str">
        <f t="shared" si="5"/>
        <v/>
      </c>
      <c r="Y192" s="156" t="str">
        <f>IF(OR(O192="",P192=""),"",IF(OR(ISERROR(FIND("carcass",$A192))=FALSE,ISERROR(FIND("unit",$A192))=FALSE),VLOOKUP(KitchenCarcassMaterial,FixedListsCarcassMaterial,3,0),0))</f>
        <v/>
      </c>
      <c r="Z192" s="156" t="str">
        <f>IF(OR(O192="",P192=""),"",IF(ISERROR(FIND("door",$A192))=FALSE,VLOOKUP(KitchenDoorStyle,FixedListsDoorStyle,3,0),0))</f>
        <v/>
      </c>
      <c r="AA192" s="156" t="str">
        <f>IF(OR(O192="",P192=""),"",IF(ISERROR(FIND("door",$A192))=FALSE,VLOOKUP(KitchenDoorMaterial,FixedListsDoorMaterial,3,0),0))</f>
        <v/>
      </c>
      <c r="AB192" s="156" t="str">
        <f>IF(OR(O192="",P192=""),"",IF(ISERROR(FIND("drawer",$A192))=FALSE,VLOOKUP(KitchenDrawerType,FixedListsDrawerType,3,0),0))</f>
        <v/>
      </c>
      <c r="AC192" s="156" t="str">
        <f>IF(OR(O192="",P192=""),"",IF(OR(Y192&gt;0,Z192&gt;0,AB192&gt;0),VLOOKUP(KitchenHandleType,FixedListsHandleType,3,FALSE),0))</f>
        <v/>
      </c>
      <c r="AD192" s="156" t="str">
        <f>IF(OR(O192="",P192=""),"",IF(OR(ISERROR(FIND("carcass",$A192))=FALSE,ISERROR(FIND("unit",$A192))=FALSE),VLOOKUP(KitchenCarcassFinish,FixedListsFinishes,3,0),IF(OR(ISERROR(FIND("door",$A192))=FALSE,ISERROR(FIND("Plinth",$A192))=FALSE,ISERROR(FIND("Cornice",$A192))=FALSE,ISERROR(FIND("Fillers",$A192))=FALSE,ISERROR(FIND("Pelmet",$A192))=FALSE,ISERROR(FIND("panel",$A192))=FALSE,ISERROR(FIND("post",$A192))=FALSE),VLOOKUP(KitchenDoorFinish,FixedListsFinishes,3,0),IF(OR(ISERROR(FIND("drawer",$A192))=FALSE,ISERROR(FIND("insert",$A192))=FALSE,ISERROR(FIND("rck",$A192))=FALSE),VLOOKUP(KitchenCarcassFinish,FixedListsFinishes,3,0),0))))</f>
        <v/>
      </c>
      <c r="AE192" s="156" t="str">
        <f t="shared" si="6"/>
        <v/>
      </c>
      <c r="AF192" s="157" t="str">
        <f>IF(AND(KitchenHandleType="Channel",OR(ISERROR(FIND("arcass",$A192))=FALSE,ISERROR(FIND("unit",$A192))=FALSE)),IF(ISERROR(FIND("Tower",$A192))=TRUE,IF(KitchenHandleFinish="Match carcass",IF(ISERROR(FIND("Walnut",KitchenCarcassMaterial))=FALSE,(0.035*0.075*($C192/1000))*VLOOKUP("Walnut (solid m3)",SolidData,4,FALSE),IF(ISERROR(FIND("Oak",KitchenCarcassMaterial))=FALSE,(0.035*0.075*($C192/1000))*VLOOKUP("Oak (solid m3)",SolidData,4,FALSE),IF(ISERROR(FIND("ply",KitchenCarcassMaterial))=FALSE,(0.1*($C192/1000))*VLOOKUP("Birch ply (24mm)",SheetsData,7,FALSE),IF(ISERROR(FIND("H/F",KitchenCarcassMaterial))=FALSE,(0.1*($C192/1000))*VLOOKUP("H/F (22mm)",SheetsData,7,FALSE),"Carcass - not tower - new material")))),IF(KitchenHandleFinish="Match door",IF(ISERROR(FIND("Walnut",KitchenDoorMaterial))=FALSE,(0.035*0.075*($C192/1000))*VLOOKUP("Walnut (solid m3)",SolidData,4,FALSE),IF(ISERROR(FIND("Oak",KitchenDoorMaterial))=FALSE,(0.035*0.075*($C192/1000))*VLOOKUP("Oak (solid m3)",SolidData,4,FALSE),IF(ISERROR(FIND("ply",KitchenDoorMaterial))=FALSE,(0.1*($C192/1000))*VLOOKUP("Birch ply (24mm)",SheetsData,7,FALSE),IF(ISERROR(FIND("H/F",KitchenCarcassMaterial))=FALSE,(0.1*($C192/1000))*VLOOKUP("H/F (22mm)",SheetsData,7,FALSE),"Door - not tower - new material")))),"Channel - not tower - handle set to other")),IF(ISERROR(FIND("Tower",$A192))=FALSE,IF(KitchenHandleFinish="Match carcass",IF(ISERROR(FIND("Walnut",KitchenCarcassMaterial))=FALSE,(0.035*0.075*($B192/1000))*VLOOKUP("Walnut (solid m3)",SolidData,4,FALSE),IF(ISERROR(FIND("Oak",KitchenCarcassMaterial))=FALSE,(0.035*0.075*($B192/1000))*VLOOKUP("Oak (solid m3)",SolidData,4,FALSE),IF(ISERROR(FIND("ply",KitchenCarcassMaterial))=FALSE,(0.1*($B192/1000))*VLOOKUP("Birch ply (24mm)",SheetsData,7,FALSE),IF(ISERROR(FIND("H/F",KitchenCarcassMaterial))=FALSE,(0.1*($C192/1000))*VLOOKUP("H/F (22mm)",SheetsData,7,FALSE),"Carcass - tower - new material")))),IF(KitchenHandleFinish="Match door",IF(ISERROR(FIND("Walnut",KitchenDoorMaterial))=FALSE,(0.035*0.075*($B192/1000))*VLOOKUP("Walnut (solid m3)",SolidData,4,FALSE),IF(ISERROR(FIND("Oak",KitchenDoorMaterial))=FALSE,(0.035*0.075*($B192/1000))*VLOOKUP("Oak (solid m3)",SolidData,4,FALSE),IF(ISERROR(FIND("ply",KitchenDoorMaterial))=FALSE,(0.1*($B192/1000))*VLOOKUP("Birch ply (24mm)",SheetData,7,FALSE),IF(ISERROR(FIND("H/F",KitchenCarcassMaterial))=FALSE,(0.1*($C192/1000))*VLOOKUP("H/F (22mm)",SheetsData,7,FALSE),"Door - tower - new material")))),"Channel - tower - handle set to other")))),"")</f>
        <v/>
      </c>
    </row>
    <row r="193">
      <c r="A193" s="150"/>
      <c r="B193" s="115" t="str">
        <f t="shared" si="1"/>
        <v/>
      </c>
      <c r="C193" s="115" t="str">
        <f>IFERROR(__xludf.DUMMYFUNCTION("IF(A193="""","""",IF(OR(RIGHT(A193,LEN(A193)-len(regexextract(A193,"".* "")))=""1200"",RIGHT(A193,LEN(A193)-len(regexextract(A193,"".* "")))=""600"",RIGHT(A193,LEN(A193)-len(regexextract(A193,"".* "")))=""400"",RIGHT(A193,LEN(A193)-len(regexextract(A193,"&amp;""".* "")))=""300"",RIGHT(A193,LEN(A193)-len(regexextract(A193,"".* "")))=""700"",RIGHT(A193,LEN(A193)-len(regexextract(A193,"".* "")))=""2400"",RIGHT(A193,LEN(A193)-len(regexextract(A193,"".* "")))=""650"",RIGHT(A193,LEN(A193)-len(regexextract(A193,"".* "&amp;""")))=""350"",RIGHT(A193,LEN(A193)-len(regexextract(A193,"".* "")))=""50""),RIGHT(A193,LEN(A193)-len(regexextract(A193,"".* ""))),IF(OR(ISERROR(FIND(""spacer"",A193))=FALSE,ISERROR(FIND(""filler panel"",A193))=FALSE),""1000"",""Unexpected size in descript"&amp;"ion"")))"),"")</f>
        <v/>
      </c>
      <c r="D193" s="151" t="str">
        <f t="shared" si="2"/>
        <v/>
      </c>
      <c r="E193" s="152" t="str">
        <f>IFERROR(__xludf.DUMMYFUNCTION("IF(OR(A193="""",AND(ISERROR(FIND(""drawer box"",A193))=FALSE,KitchenDrawerType="""")),"""",IF(OR(ISERROR(FIND(""larder"",A193))=FALSE,ISERROR(FIND(""fridge/freezer"",A193))=FALSE,ISERROR(FIND(""double oven"",A193))=FALSE,ISERROR(FIND(""single oven"",A193)"&amp;")=FALSE),VLOOKUP(LEFT(A193,FIND("" "",A193))&amp;""carcass ""&amp;RIGHT(A193,LEN(A193)-(LEN(A193)-3)),KitchensData,5,0),IF(ISERROR(FIND(""sink"",A193))=FALSE,VLOOKUP(LEFT(A193,FIND("" "",A193))&amp;""carcass ""&amp;VALUE(REGEXREPLACE(A193,""[^[:digit:]]"", """")),Kitchen"&amp;"sData,5,0)+(((C193/1000)*(300/1000))*VLOOKUP(KitchenCarcassMaterial,SheetsData,8,0)),IF(ISERROR(FIND(""bins"",A193))=FALSE,IF(ISERROR(FIND(""veneer"",KitchenCarcassMaterial))=FALSE,VLOOKUP(""Base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600"",A193))=FALSE,IF(ISERR"&amp;"OR(FIND(""veneer"",KitchenCarcassMaterial))=FALSE,0.54*(VLOOKUP(LEFT(KitchenCarcassMaterial,FIND(""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1"&amp;"200"",A193))=FALSE,IF(ISERROR(FIND(""veneer"",KitchenCarcassMaterial))=FALSE,0.84*(VLOOKUP(LEFT(KitchenCarcassMaterial,FIND(""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600"",A193))=FALSE,IF(ISERROR(FIND(""veneer"",KitchenCarcassMaterial))=FALSE,1.44*(VLOOKUP(LEFT(KitchenCarcassMaterial,FIND(""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1200"",A193))=FALSE,IF(ISERROR(FIND(""veneer"",KitchenCarcassMaterial))=FALSE,2.7*(VLOOKUP(LEFT(KitchenCarcassMaterial,FIND(""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front"",A193))=FALSE,((B193/1000)*(C193/1000))*VLOOKUP(KitchenDoorMaterial,SheetsData,8,0),IF(AND(KitchenDrawerType=""Match carcass"",ISERROR(FIND(""drawer box"",A193))=FALSE),(((((B193/10"&amp;"00)*(C193/1000))+((B193/1000)*(D193/1000)))*2)*VLOOKUP(KitchenCarcassMaterial,SheetsData,8,0))+(((C193/1000)*(D193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box"",A193))=FALSE),(((((B193/1000)*(C193/1000))+((B193/1000)*(D193/1000)))*2)*(16/1000)*VLOOKUP(L"&amp;"EFT(KitchenCarcassMaterial,FIND("" "",KitchenCarcassMaterial))&amp;""(solid m3)"",SolidData,5,0))+(((C193/1000)*(D193/1000))*VLOOKUP(LEFT(KitchenCarcassMaterial,FIND(""("",KitchenCarcassMaterial)-1)&amp;IF(OR(ISERROR(FIND(""ply"",KitchenCarcassMaterial))=FALSE,IS"&amp;"ERROR(FIND(""H/F"",KitchenCarcassMaterial))=FALSE),""(9mm)"",""(10mm)""),SheetsData,8,0)),IF(ISERROR(FIND(""spacer"",A193))=FALSE,((D193/1000)*(C193/1000))*VLOOKUP(""Poplar ply (18mm)"",SheetsData,8,0),IF(ISERROR(FIND(""filler panel"",A193))=FALSE,((B193/"&amp;"1000)*(C193/1000))*VLOOKUP(KitchenDoorMaterial,SheetsData,8,0),IF(ISERROR(FIND(""shelf"",A193))=FALSE,((D193/1000)*(C193/1000))*VLOOKUP(KitchenCarcassMaterial,SheetsData,8,0),IF(ISERROR(FIND(""lost corner"",A193))=FALSE,VLOOKUP(LEFT(A193,FIND("" "",A193))"&amp;"&amp;""carcass ""&amp;VALUE(REGEXREPLACE(A193,""[^[:digit:]]"", """")),KitchensData,5,0)+((((B193/1000)*(C193/1000))+((B193/1000)*(60/1000)))*VLOOKUP(KitchenCarcassMaterial,SheetsData,8,0)),IF(ISERROR(FIND(""carcass"",A193))=FALSE,(((((B193/1000)*2)*(D193/1000))+"&amp;"(((C193/1000)*2)*(D193/1000)))*VLOOKUP(KitchenCarcassMaterial,SheetsData,8,0))+((B193/1000)*(C193/1000))*VLOOKUP(LEFT(KitchenCarcassMaterial,FIND(""("",KitchenCarcassMaterial)-1)&amp;IF(OR(ISERROR(FIND(""ply"",KitchenCarcassMaterial))=FALSE,ISERROR(FIND(""H/F"&amp;""",KitchenCarcassMaterial))=FALSE),""(9mm)"",""(10mm)""),SheetsData,8,0),IF(OR(ISERROR(FIND(""Plinth"",A193))=FALSE,ISERROR(FIND(""Cornice (flat)"",A193))=FALSE),((B193/1000)*(C193/1000))*VLOOKUP(""H/F (18mm)"",SheetsData,8,0),IF(ISERROR(FIND(""Cornice (s"&amp;"tacked)"",A193))=FALSE,((0.08*(C193/1000))*2)*VLOOKUP(""H/F (22mm)"",SheetsData,8,0),IF(ISERROR(FIND(""Base end panel"",A193))=FALSE,VLOOKUP(KitchenDoorMaterial,SheetsData,5,0)/3,IF(ISERROR(FIND(""Wall end panel"",A193))=FALSE,VLOOKUP(KitchenDoorMaterial,"&amp;"SheetsData,5,0)/9,IF(ISERROR(FIND(""Tower end panel"",A193))=FALSE,VLOOKUP(KitchenDoorMaterial,SheetsData,5,0),IF(ISERROR(FIND(""Fillers"",A193))=FALSE,(((0.06*(C193/1000))*2)*VLOOKUP(""H/F (18mm)"",SheetsData,8,0))+(((0.06*(C193/1000))*2)*VLOOKUP(""H/F ("&amp;"9mm)"",SheetsData,8,0)),IF(ISERROR(FIND(""corner post"",A193))=FALSE,(((B193/1000)*0.05)*2)*VLOOKUP(KitchenDoorMaterial,SheetsData,8,0),IF(ISERROR(FIND(""Pelmet"",A193))=FALSE,((((B193/1000)*(C193/1000))*2)*VLOOKUP(""H/F (18mm)"",SheetsData,8,0)),IF(ISERR"&amp;"OR(FIND(""door"",A193))=TRUE,""Check description"",IF(KitchenDoorStyle=""Flat"",((B193/1000)*(C193/1000))*VLOOKUP(KitchenDoorMaterial,SheetsData,8,0),IF(LEFT(KitchenDoorStyle,5)=""Panel"",(((((B193/1000)*2)*0.08)+((((C193/1000)-0.16)*2)*0.08))*VLOOKUP(""H"&amp;"/F (22mm)"",SheetsData,8,0))+(((B193/1000)-0.14)*((C193/1000)-0.14)*VLOOKUP(""H/F (9mm)"",SheetsData,8,0)),IF(KitchenDoorStyle=""In-frame flat"",((((((B193/1000)*0.019)*0.038)+((((C193-38)/1000)*0.038)*0.038))*2)*VLOOKUP(""Tulip (solid m3)"",SolidData,5,0"&amp;"))+(((B193-76)/1000)*((C193-38)/1000))*VLOOKUP(""H/F (22mm)"",SheetsData,8,0),IF(LEFT(KitchenDoorStyle,14)=""In-frame panel"",(((((((B193/1000)*0.019)*0.038)+((((C193-38)/1000)*0.038)*0.038))*2)*VLOOKUP(""Tulip (solid m3)"",SolidData,5,0))+(((((((B193-76)"&amp;"/1000)*2)*0.08)+(((((C193-198)/1000)*2)*0.08)))*VLOOKUP(""H/F (22mm)"",SheetsData,8,0))+(((B193-216)/1000)*((C193-178)/1000)*VLOOKUP(""H/F (9mm)"",SheetsData,8,0)))))))))))))))))))))))))))))))))"),"")</f>
        <v/>
      </c>
      <c r="F193" s="152" t="str">
        <f>IFERROR(__xludf.DUMMYFUNCTION("IF(OR(A193="""",AND(ISERROR(FIND(""drawer box"",A193))=FALSE,KitchenDrawerType=""Solid dovetail"")),"""",IF(ISERROR(FIND(""bins"",A193))=FALSE,VLOOKUP(""Base carcass 600"",KitchensData,6,0),IF(OR(ISERROR(FIND(""larder"",A193))=FALSE,ISERROR(FIND(""unit"","&amp;"A193))=FALSE),VLOOKUP(LEFT(A193,FIND("" "",A193))&amp;""carcass ""&amp;RIGHT(A193,LEN(A193)-len(regexextract(A193,"".* ""))),KitchensData,6,0),IF(ISERROR(FIND(""drawer front"",A193))=FALSE,IF(ISERROR(FIND(""veneer"",KitchenCarcassMaterial))=TRUE,0,(((B193+C193)/1"&amp;"000)*2)*VLOOKUP(""Edge banding (per M)"",SheetsData,5,0)),IF(ISERROR(FIND(""drawer box"",A193))=FALSE,IF(ISERROR(FIND(""veneer"",KitchenCarcassMaterial))=TRUE,0,(((C193+D193)/1000)*2)*VLOOKUP(""Edge banding (per M)"",SheetsData,5,0)),IF(ISERROR(FIND(""she"&amp;"lf"",A193))=FALSE,IF(ISERROR(FIND(""veneer"",KitchenCarcassMaterial))=TRUE,0,(C193/1000)*VLOOKUP(""Edge banding (per M)"",SheetsData,5,0)),IF(AND(ISERROR(FIND(""carcass"",A193))=FALSE,ISERROR(FIND(""shelf"",A193))=TRUE),IF(ISERROR(FIND(""veneer"",KitchenC"&amp;"arcassMaterial))=TRUE,0,((2*(B193+C193))/1000)*VLOOKUP(""Edge banding (per M)"",SheetsData,5,0)),IF(ISERROR(FIND(""door"",A193))=TRUE,"""",IF(ISERROR(FIND(""veneer"",KitchenDoorMaterial))=TRUE,"""",((2*(B193+C193))/1000)*VLOOKUP(""Edge banding (per M)"",S"&amp;"heetsData,5,0))))))))))"),"")</f>
        <v/>
      </c>
      <c r="G193" s="153" t="str">
        <f>IF(A193="","",IF(ISERROR(FIND("bins",A193))=FALSE,VLOOKUP("Base carcass 600",KitchensData,7,0),IF(OR(ISERROR(FIND("larder",A193))=FALSE,ISERROR(FIND("fridge/freezer",A193))=FALSE,ISERROR(FIND("double oven",A193))=FALSE,ISERROR(FIND("single oven",A193))=FALSE),VLOOKUP(LEFT(A193,FIND(" ",A193))&amp;"carcass "&amp;RIGHT(A193,LEN(A193)-(LEN(A193)-3)),KitchensData,7,0),IF(AND(ISERROR(FIND("carcass",A193))=FALSE,ISERROR(FIND("shelf",A193))=TRUE),IF(OR(ISERROR(FIND("Base",A193))=FALSE,ISERROR(FIND("Tower",A193))=FALSE),IF(OR(ISERROR(FIND("1200",A193))=FALSE, ISERROR(FIND("lost corner",A193))=FALSE),6*VLOOKUP("Plinth foot (2 Parts 80mm)",FurnitureData,5,0),4*VLOOKUP("Plinth foot (2 Parts 80mm)",FurnitureData,5,0)),""),""))))</f>
        <v/>
      </c>
      <c r="H193" s="115" t="str">
        <f>IF(OR(A193="",ISERROR(FIND("door",A193))=TRUE),"",IF(ISERROR(FIND("Wall",A193))=FALSE,VLOOKUP("Hinges &amp; plates (Hettich thick door)",FurnitureData,5,0)*2,IF(ISERROR(FIND("Base",A193))=FALSE,VLOOKUP("Hinges &amp; plates (Hettich thick door)",FurnitureData,5,0)*3,IF(ISERROR(FIND("Boiler",A193))=FALSE,VLOOKUP("Hinges &amp; plates (Hettich thick door)",FurnitureData,5,0)*4,IF(ISERROR(FIND("Tower",A193))=FALSE,VLOOKUP("Hinges &amp; plates (Hettich thick door)",FurnitureData,5,0)*5)))))</f>
        <v/>
      </c>
      <c r="I193" s="115" t="str">
        <f>IF(ISERROR(FIND("shelf",A193))=FALSE,(VLOOKUP("Shelf pegs",FurnitureData,5,0)/100)*4,"")</f>
        <v/>
      </c>
      <c r="J193" s="152" t="str">
        <f>IF(OR(ISERROR(FIND("fridge/freezer",A193))=FALSE,ISERROR(FIND("larder",A193))=FALSE,AND(ISERROR(FIND("Base",A193))=FALSE,ISERROR(FIND("bins",A193))=TRUE,ISERROR(FIND("no shelves",A193))=TRUE,OR(ISERROR(FIND("carcass",A193))=FALSE,ISERROR(FIND("unit",A193))=FALSE))),VLOOKUP("Deep shelf "&amp;C193,KitchensData,18,0),IF(AND(ISERROR(FIND("Wall",A193))=FALSE,ISERROR(FIND("carcass",A193))=FALSE),2*VLOOKUP("Shallow shelf "&amp;C193,KitchensData,18,0),IF(AND(ISERROR(FIND("Tower",A193))=FALSE,ISERROR(FIND("oven",A193))=FALSE),4*VLOOKUP("Deep shelf "&amp;C193,KitchensData,18,0),IF(AND(ISERROR(FIND("Tower",A193))=FALSE,ISERROR(FIND("carcass",A193))=FALSE),5*VLOOKUP("Deep shelf "&amp;C193,KitchensData,18,0),""))))</f>
        <v/>
      </c>
      <c r="K193" s="152" t="str">
        <f>IF(ISERROR(FIND("sink",A193))=FALSE,VLOOKUP("Sink liner - Aluminium "&amp;RIGHT(A193,LEN(A193)-22)&amp;"mm",ExceptionalData,5,0),IF(ISERROR(FIND("bins",A193))=FALSE,VLOOKUP("Drawer runners and clip set for bin unit (500) Dynapro",FurnitureData,5,0)+(2*VLOOKUP("Bin (42L Anthracite)",FurnitureData,5,0)),IF(ISERROR(FIND("larder",A193))=FALSE,VLOOKUP("Pull out larder unit 600mm",FurnitureData,5,0),IF(AND(ISERROR(FIND("drawer box",A193))=FALSE,ISERROR(FIND("internal",A193))=TRUE),VLOOKUP("Drawer runners and clip set (550) Dynapro",FurnitureData,5,0),IF(ISERROR(FIND("internal drawer box",A193))=FALSE,VLOOKUP("Drawer runners and clip set (450) Dynapro",FurnitureData,5,0),"")))))</f>
        <v/>
      </c>
      <c r="L193" s="152" t="str">
        <f t="shared" si="3"/>
        <v/>
      </c>
      <c r="M193" s="154" t="str">
        <f>IFERROR(__xludf.DUMMYFUNCTION("IF(A193="""","""",IF(OR(ISERROR(FIND(""larder"",A193))=FALSE,ISERROR(FIND(""unit"",A193))=FALSE),VLOOKUP(LEFT(A193,FIND("" "",A193))&amp;""carcass ""&amp;RIGHT(A193,LEN(A193)-len(regexextract(A193,"".* ""))),KitchensData,13,0),IF(ISERROR(FIND(""bins"",A193))=FALS"&amp;"E,0.95,IF(ISERROR(FIND(""Cutlery insert 600"",A193))=FALSE,1.3,IF(ISERROR(FIND(""Cutlery insert 1200"",A193))=FALSE,2,IF(ISERROR(FIND(""Pan/tray rack 600"",A193))=FALSE,3.25,IF(ISERROR(FIND(""Pan/tray rack 1200"",A193))=FALSE,5.9,IF(ISERROR(FIND(""split"""&amp;",A193))=FALSE,(((C193/1000)*0.022)*2)+VLOOKUP(SUBSTITUTE(A193,"" split"",""""),KitchensData,13,0),IF(AND(ISERROR(FIND(""drawer front"",A193))=FALSE,KitchenDoorStyle=""Flat""),(((B193/1000)*(C193/1000))*2)+((((B193+C193)/1000)*2)*0.022),IF(AND(ISERROR(FIND"&amp;"(""drawer front"",A193))=FALSE,LEFT(KitchenDoorStyle,5)=""Panel""),(((B193/1000)*(C193/1000))*2)+((((B193+C193)/1000)*2)*0.022)+((((C193/1000)-0.16)*0.013)*2)+((((D193/1000)-0.16)*0.013)*2),IF(AND(ISERROR(FIND(""drawer front"",A193))=FALSE,KitchenDoorStyl"&amp;"e=""In-frame flat""),((((B193-76)/1000)*((C193-38)/1000))*2)+(MID(KitchenDoorMaterial,FIND(""("",KitchenDoorMaterial)+1,2)/1000)*((((B193-76)+(C193-38))/1000)*2)+(((B193/1000)*0.032)*2)+((((B193-76)/1000)*0.032)*2)+(((B193/1000)*0.019)*4)+(((C193/1000)*0."&amp;"032)*2)+((((C193-38)/1000)*0.032)*2)+(((C193/1000)*0.038)*4),IF(AND(ISERROR(FIND(""drawer front"",A193))=FALSE,LEFT(KitchenDoorStyle,14)=""In-frame panel""),((((B193-76)/1000)*((C193-38)/1000))*2)+((MID(KitchenDoorMaterial,FIND(""("",KitchenDoorMaterial)+"&amp;"1,2)/1000)*((((B193-76)+(C193-38))/1000)*2))+((((B193-236)/1000)+((C193-198)/1000)*2)*0.013)+(((B193/1000)*0.032)*2)+((((B193-76)/1000)*0.032)*2)+(((B193/1000)*0.019)*4)+(((C193/1000)*0.032)*2)+((((C193-38)/1000)*0.032)*2)+(((C193/1000)*0.038)*4),IF(ISERR"&amp;"OR(FIND(""drawer box"",A193))=FALSE,((((B193/1000)*(D193/1000))+((B193/1000)*(C193/1000)))*4)+((((D193/1000)+(C193/1000))*0.016)*4)+(((C193/1000)*(D193/1000))*2),IF(OR(ISERROR(FIND(""shelf"",A193))=FALSE,ISERROR(FIND(""spacer"",A193))=FALSE,,ISERROR(FIND("&amp;"""filler panel"",A193))=FALSE),(((C193/1000)*(D193/1000))*2)+((((C193+D193)*2)/1000)*0.022),IF(ISERROR(FIND(""lost corner"",A193))=FALSE,(((B193/1000)*(C193/1000))*2)+((B193/1000)*(C193/1000))+((B193/1000)*((C193/2)/1000))+((((B193/1000)*0.025)+((C193/100"&amp;"0)*0.025))*2),IF(ISERROR(FIND(""carcass"",A193))=FALSE,(((C193/1000)*(D193/1000))*2)+(((B193/1000)*(D193/1000))*2)+((B193/1000)*(C193/1000))+((((B193/1000)*0.025)+((C193/1000)*0.025))*2),IF(AND(ISERROR(FIND(""door"",A193))=FALSE,KitchenDoorStyle=""Flat"")"&amp;",(((B193/1000)*(C193/1000))*2)+(MID(KitchenDoorMaterial,FIND(""("",KitchenDoorMaterial)+1,2)/1000)*(((B193+C193)/1000)*2),IF(AND(ISERROR(FIND(""door"",A193))=FALSE,LEFT(KitchenDoorStyle,5)=""Panel""),(((B193/1000)*(C193/1000))*2)+((MID(KitchenDoorMaterial"&amp;",FIND(""("",KitchenDoorMaterial)+1,2)/1000)*(((B193+C193)/1000)*2))+(((((B193-160)+(C193-160))*2)/1000)*(0.013)),IF(AND(ISERROR(FIND(""door"",A193))=FALSE,KitchenDoorStyle=""In-frame flat""),((((B193-76)/1000)*((C193-38)/1000))*2)+(MID(KitchenDoorMaterial"&amp;",FIND(""("",KitchenDoorMaterial)+1,2)/1000)*((((B193-76)+(C193-38))/1000)*2)+(((B193/1000)*0.032)*2)+((((B193-76)/1000)*0.032)*2)+(((B193/1000)*0.019)*4)+(((C193/1000)*0.032)*2)+((((C193-38)/1000)*0.032)*2)+(((C193/1000)*0.038)*4),IF(AND(ISERROR(FIND(""do"&amp;"or"",A193))=FALSE,LEFT(KitchenDoorStyle,14)=""In-frame panel""),((((B193-76)/1000)*((C193-38)/1000))*2)+((MID(KitchenDoorMaterial,FIND(""("",KitchenDoorMaterial)+1,2)/1000)*((((B193-76)+(C193-38))/1000)*2))+((((B193-236)/1000)+((C193-198)/1000)*2)*0.013)+"&amp;"(((B193/1000)*0.032)*2)+((((B193-76)/1000)*0.032)*2)+(((B193/1000)*0.019)*4)+(((C193/1000)*0.032)*2)+((((C193-38)/1000)*0.032)*2)+(((C193/1000)*0.038)*4),IF(ISERROR(FIND(""Plinth"",A193))=FALSE,((B193/1000)*(C193/1000))+(((C193/1000)*0.018)*2)+(((B193/100"&amp;"0)*0.018)*2),IF(ISERROR(FIND(""Cornice"",A193))=FALSE,(((C193/1000)*0.1)*2)+(((C193/1000)*0.044)*2)+(((B193/1000)*0.08)*2),IF(ISERROR(FIND(""Base end panel"",A193))=FALSE,((B193/1000)*(C193/1000))+(0.022*((B193/1000)+((C193/1000)*2)))+((B193/1000)*0.05),I"&amp;"F(ISERROR(FIND(""Wall end panel"",A193))=FALSE,((B193/1000)*(C193/1000))+(0.022*((B193/1000)+((C193/1000)*2)))+((B193/1000)*0.05),IF(ISERROR(FIND(""Tower end panel"",A193))=FALSE,((B193/1000)*(C193/1000))+(0.022*((B193/1000)+((C193/1000)*2)))+((B193/1000)"&amp;"*0.05),IF(ISERROR(FIND(""Fillers"",A193))=FALSE,((C193/1000)*0.06)+((C193/1000)*0.069)+((0.06*0.018)*2)+((0.06*0.009)*2)+((C193/1000)*0.009)+((C193/1000)*0.018),IF(ISERROR(FIND(""corner post"",A193))=FALSE,(((B193/1000*0.05)*2)+((B193/1000)*0.022)*2)+((B1"&amp;"93/1000)*0.072)+((B193/1000)*0.05)+((0.072*0.022)*2)+((0.05*0.022)*2),IF(ISERROR(FIND(""Pelmet"",A193))=FALSE,((C193/1000)*0.05)+((C193/1000)*0.068)+((0.05*0.018)*4)+(((C193/1000)*0.018))*2))))))))))))))))))))))))))))"),"")</f>
        <v/>
      </c>
      <c r="N193" s="152" t="str">
        <f>IF(M193="","",IF(AND(ISERROR(FIND("carcass",A193))=TRUE,ISERROR(FIND("unit",A193))=TRUE,ISERROR(FIND("insert",A193))=TRUE,ISERROR(FIND("rack",A193))=TRUE,ISERROR(FIND("box",A193))=TRUE,ISERROR(FIND("shelf",#REF!))=TRUE),VLOOKUP(KitchenDoorFinish,Finishing!$A$2:$K$10,9,0)*M193,VLOOKUP(KitchenCarcassFinish,Finishing!$A$2:$K$40,9,0)*M193))</f>
        <v/>
      </c>
      <c r="O193" s="155"/>
      <c r="P193" s="155"/>
      <c r="Q193" s="152" t="str">
        <f>IF(OR(O193="",P193=""),"",((O193*X193)*(VLOOKUP("Workshop",Labour!$A$3:$E$20,4,0)/8))+((P193*AE193)*(VLOOKUP("Finishing",Labour!$A$3:$E$20,4,0)/8)))</f>
        <v/>
      </c>
      <c r="R193" s="152" t="str">
        <f t="shared" si="4"/>
        <v/>
      </c>
      <c r="S193" s="156" t="str">
        <f>IF(OR(O193="",P193=""),"",IF(OR(ISERROR(FIND("carcass",$A193))=FALSE,ISERROR(FIND("unit",$A193))=FALSE),VLOOKUP(KitchenCarcassMaterial,FixedListsCarcassMaterial,2,0),0))</f>
        <v/>
      </c>
      <c r="T193" s="156" t="str">
        <f>IF(OR(O193="",P193=""),"",IF(ISERROR(FIND("door",$A193))=FALSE,VLOOKUP(KitchenDoorStyle,FixedListsDoorStyle,2,0),0))</f>
        <v/>
      </c>
      <c r="U193" s="156" t="str">
        <f>IF(OR(O193="",P193=""),"",IF(ISERROR(FIND("door",$A193))=FALSE,VLOOKUP(KitchenDoorMaterial,FixedListsDoorMaterial,2,0),0))</f>
        <v/>
      </c>
      <c r="V193" s="156" t="str">
        <f>IF(OR(O193="",P193=""),"",IF(ISERROR(FIND("drawer",$A193))=FALSE,VLOOKUP(KitchenDrawerType,FixedListsDrawerType,2,0),0))</f>
        <v/>
      </c>
      <c r="W193" s="156" t="str">
        <f>IF(OR(O193="",P193=""),"",IF(OR(S193&gt;0, T193&gt;0,V193&gt;0),VLOOKUP(KitchenHandleType,FixedListsHandleType,2,FALSE)*IF(KitchenHandleType="Simple",0,IF(S193&gt;0,VLOOKUP(KitchenHandleType,FixedListsHandleType,4,FALSE),IF(OR(T193&gt;0,V193&gt;0),1-VLOOKUP(KitchenHandleType,FixedListsHandleType,4,FALSE),"Error"))),0))</f>
        <v/>
      </c>
      <c r="X193" s="156" t="str">
        <f t="shared" si="5"/>
        <v/>
      </c>
      <c r="Y193" s="156" t="str">
        <f>IF(OR(O193="",P193=""),"",IF(OR(ISERROR(FIND("carcass",$A193))=FALSE,ISERROR(FIND("unit",$A193))=FALSE),VLOOKUP(KitchenCarcassMaterial,FixedListsCarcassMaterial,3,0),0))</f>
        <v/>
      </c>
      <c r="Z193" s="156" t="str">
        <f>IF(OR(O193="",P193=""),"",IF(ISERROR(FIND("door",$A193))=FALSE,VLOOKUP(KitchenDoorStyle,FixedListsDoorStyle,3,0),0))</f>
        <v/>
      </c>
      <c r="AA193" s="156" t="str">
        <f>IF(OR(O193="",P193=""),"",IF(ISERROR(FIND("door",$A193))=FALSE,VLOOKUP(KitchenDoorMaterial,FixedListsDoorMaterial,3,0),0))</f>
        <v/>
      </c>
      <c r="AB193" s="156" t="str">
        <f>IF(OR(O193="",P193=""),"",IF(ISERROR(FIND("drawer",$A193))=FALSE,VLOOKUP(KitchenDrawerType,FixedListsDrawerType,3,0),0))</f>
        <v/>
      </c>
      <c r="AC193" s="156" t="str">
        <f>IF(OR(O193="",P193=""),"",IF(OR(Y193&gt;0,Z193&gt;0,AB193&gt;0),VLOOKUP(KitchenHandleType,FixedListsHandleType,3,FALSE),0))</f>
        <v/>
      </c>
      <c r="AD193" s="156" t="str">
        <f>IF(OR(O193="",P193=""),"",IF(OR(ISERROR(FIND("carcass",$A193))=FALSE,ISERROR(FIND("unit",$A193))=FALSE),VLOOKUP(KitchenCarcassFinish,FixedListsFinishes,3,0),IF(OR(ISERROR(FIND("door",$A193))=FALSE,ISERROR(FIND("Plinth",$A193))=FALSE,ISERROR(FIND("Cornice",$A193))=FALSE,ISERROR(FIND("Fillers",$A193))=FALSE,ISERROR(FIND("Pelmet",$A193))=FALSE,ISERROR(FIND("panel",$A193))=FALSE,ISERROR(FIND("post",$A193))=FALSE),VLOOKUP(KitchenDoorFinish,FixedListsFinishes,3,0),IF(OR(ISERROR(FIND("drawer",$A193))=FALSE,ISERROR(FIND("insert",$A193))=FALSE,ISERROR(FIND("rck",$A193))=FALSE),VLOOKUP(KitchenCarcassFinish,FixedListsFinishes,3,0),0))))</f>
        <v/>
      </c>
      <c r="AE193" s="156" t="str">
        <f t="shared" si="6"/>
        <v/>
      </c>
      <c r="AF193" s="157" t="str">
        <f>IF(AND(KitchenHandleType="Channel",OR(ISERROR(FIND("arcass",$A193))=FALSE,ISERROR(FIND("unit",$A193))=FALSE)),IF(ISERROR(FIND("Tower",$A193))=TRUE,IF(KitchenHandleFinish="Match carcass",IF(ISERROR(FIND("Walnut",KitchenCarcassMaterial))=FALSE,(0.035*0.075*($C193/1000))*VLOOKUP("Walnut (solid m3)",SolidData,4,FALSE),IF(ISERROR(FIND("Oak",KitchenCarcassMaterial))=FALSE,(0.035*0.075*($C193/1000))*VLOOKUP("Oak (solid m3)",SolidData,4,FALSE),IF(ISERROR(FIND("ply",KitchenCarcassMaterial))=FALSE,(0.1*($C193/1000))*VLOOKUP("Birch ply (24mm)",SheetsData,7,FALSE),IF(ISERROR(FIND("H/F",KitchenCarcassMaterial))=FALSE,(0.1*($C193/1000))*VLOOKUP("H/F (22mm)",SheetsData,7,FALSE),"Carcass - not tower - new material")))),IF(KitchenHandleFinish="Match door",IF(ISERROR(FIND("Walnut",KitchenDoorMaterial))=FALSE,(0.035*0.075*($C193/1000))*VLOOKUP("Walnut (solid m3)",SolidData,4,FALSE),IF(ISERROR(FIND("Oak",KitchenDoorMaterial))=FALSE,(0.035*0.075*($C193/1000))*VLOOKUP("Oak (solid m3)",SolidData,4,FALSE),IF(ISERROR(FIND("ply",KitchenDoorMaterial))=FALSE,(0.1*($C193/1000))*VLOOKUP("Birch ply (24mm)",SheetsData,7,FALSE),IF(ISERROR(FIND("H/F",KitchenCarcassMaterial))=FALSE,(0.1*($C193/1000))*VLOOKUP("H/F (22mm)",SheetsData,7,FALSE),"Door - not tower - new material")))),"Channel - not tower - handle set to other")),IF(ISERROR(FIND("Tower",$A193))=FALSE,IF(KitchenHandleFinish="Match carcass",IF(ISERROR(FIND("Walnut",KitchenCarcassMaterial))=FALSE,(0.035*0.075*($B193/1000))*VLOOKUP("Walnut (solid m3)",SolidData,4,FALSE),IF(ISERROR(FIND("Oak",KitchenCarcassMaterial))=FALSE,(0.035*0.075*($B193/1000))*VLOOKUP("Oak (solid m3)",SolidData,4,FALSE),IF(ISERROR(FIND("ply",KitchenCarcassMaterial))=FALSE,(0.1*($B193/1000))*VLOOKUP("Birch ply (24mm)",SheetsData,7,FALSE),IF(ISERROR(FIND("H/F",KitchenCarcassMaterial))=FALSE,(0.1*($C193/1000))*VLOOKUP("H/F (22mm)",SheetsData,7,FALSE),"Carcass - tower - new material")))),IF(KitchenHandleFinish="Match door",IF(ISERROR(FIND("Walnut",KitchenDoorMaterial))=FALSE,(0.035*0.075*($B193/1000))*VLOOKUP("Walnut (solid m3)",SolidData,4,FALSE),IF(ISERROR(FIND("Oak",KitchenDoorMaterial))=FALSE,(0.035*0.075*($B193/1000))*VLOOKUP("Oak (solid m3)",SolidData,4,FALSE),IF(ISERROR(FIND("ply",KitchenDoorMaterial))=FALSE,(0.1*($B193/1000))*VLOOKUP("Birch ply (24mm)",SheetData,7,FALSE),IF(ISERROR(FIND("H/F",KitchenCarcassMaterial))=FALSE,(0.1*($C193/1000))*VLOOKUP("H/F (22mm)",SheetsData,7,FALSE),"Door - tower - new material")))),"Channel - tower - handle set to other")))),"")</f>
        <v/>
      </c>
    </row>
    <row r="194">
      <c r="A194" s="150"/>
      <c r="B194" s="115" t="str">
        <f t="shared" si="1"/>
        <v/>
      </c>
      <c r="C194" s="115" t="str">
        <f>IFERROR(__xludf.DUMMYFUNCTION("IF(A194="""","""",IF(OR(RIGHT(A194,LEN(A194)-len(regexextract(A194,"".* "")))=""1200"",RIGHT(A194,LEN(A194)-len(regexextract(A194,"".* "")))=""600"",RIGHT(A194,LEN(A194)-len(regexextract(A194,"".* "")))=""400"",RIGHT(A194,LEN(A194)-len(regexextract(A194,"&amp;""".* "")))=""300"",RIGHT(A194,LEN(A194)-len(regexextract(A194,"".* "")))=""700"",RIGHT(A194,LEN(A194)-len(regexextract(A194,"".* "")))=""2400"",RIGHT(A194,LEN(A194)-len(regexextract(A194,"".* "")))=""650"",RIGHT(A194,LEN(A194)-len(regexextract(A194,"".* "&amp;""")))=""350"",RIGHT(A194,LEN(A194)-len(regexextract(A194,"".* "")))=""50""),RIGHT(A194,LEN(A194)-len(regexextract(A194,"".* ""))),IF(OR(ISERROR(FIND(""spacer"",A194))=FALSE,ISERROR(FIND(""filler panel"",A194))=FALSE),""1000"",""Unexpected size in descript"&amp;"ion"")))"),"")</f>
        <v/>
      </c>
      <c r="D194" s="151" t="str">
        <f t="shared" si="2"/>
        <v/>
      </c>
      <c r="E194" s="152" t="str">
        <f>IFERROR(__xludf.DUMMYFUNCTION("IF(OR(A194="""",AND(ISERROR(FIND(""drawer box"",A194))=FALSE,KitchenDrawerType="""")),"""",IF(OR(ISERROR(FIND(""larder"",A194))=FALSE,ISERROR(FIND(""fridge/freezer"",A194))=FALSE,ISERROR(FIND(""double oven"",A194))=FALSE,ISERROR(FIND(""single oven"",A194)"&amp;")=FALSE),VLOOKUP(LEFT(A194,FIND("" "",A194))&amp;""carcass ""&amp;RIGHT(A194,LEN(A194)-(LEN(A194)-3)),KitchensData,5,0),IF(ISERROR(FIND(""sink"",A194))=FALSE,VLOOKUP(LEFT(A194,FIND("" "",A194))&amp;""carcass ""&amp;VALUE(REGEXREPLACE(A194,""[^[:digit:]]"", """")),Kitchen"&amp;"sData,5,0)+(((C194/1000)*(300/1000))*VLOOKUP(KitchenCarcassMaterial,SheetsData,8,0)),IF(ISERROR(FIND(""bins"",A194))=FALSE,IF(ISERROR(FIND(""veneer"",KitchenCarcassMaterial))=FALSE,VLOOKUP(""Base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600"",A194))=FALSE,IF(ISERR"&amp;"OR(FIND(""veneer"",KitchenCarcassMaterial))=FALSE,0.54*(VLOOKUP(LEFT(KitchenCarcassMaterial,FIND(""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1"&amp;"200"",A194))=FALSE,IF(ISERROR(FIND(""veneer"",KitchenCarcassMaterial))=FALSE,0.84*(VLOOKUP(LEFT(KitchenCarcassMaterial,FIND(""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600"",A194))=FALSE,IF(ISERROR(FIND(""veneer"",KitchenCarcassMaterial))=FALSE,1.44*(VLOOKUP(LEFT(KitchenCarcassMaterial,FIND(""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1200"",A194))=FALSE,IF(ISERROR(FIND(""veneer"",KitchenCarcassMaterial))=FALSE,2.7*(VLOOKUP(LEFT(KitchenCarcassMaterial,FIND(""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front"",A194))=FALSE,((B194/1000)*(C194/1000))*VLOOKUP(KitchenDoorMaterial,SheetsData,8,0),IF(AND(KitchenDrawerType=""Match carcass"",ISERROR(FIND(""drawer box"",A194))=FALSE),(((((B194/10"&amp;"00)*(C194/1000))+((B194/1000)*(D194/1000)))*2)*VLOOKUP(KitchenCarcassMaterial,SheetsData,8,0))+(((C194/1000)*(D194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box"",A194))=FALSE),(((((B194/1000)*(C194/1000))+((B194/1000)*(D194/1000)))*2)*(16/1000)*VLOOKUP(L"&amp;"EFT(KitchenCarcassMaterial,FIND("" "",KitchenCarcassMaterial))&amp;""(solid m3)"",SolidData,5,0))+(((C194/1000)*(D194/1000))*VLOOKUP(LEFT(KitchenCarcassMaterial,FIND(""("",KitchenCarcassMaterial)-1)&amp;IF(OR(ISERROR(FIND(""ply"",KitchenCarcassMaterial))=FALSE,IS"&amp;"ERROR(FIND(""H/F"",KitchenCarcassMaterial))=FALSE),""(9mm)"",""(10mm)""),SheetsData,8,0)),IF(ISERROR(FIND(""spacer"",A194))=FALSE,((D194/1000)*(C194/1000))*VLOOKUP(""Poplar ply (18mm)"",SheetsData,8,0),IF(ISERROR(FIND(""filler panel"",A194))=FALSE,((B194/"&amp;"1000)*(C194/1000))*VLOOKUP(KitchenDoorMaterial,SheetsData,8,0),IF(ISERROR(FIND(""shelf"",A194))=FALSE,((D194/1000)*(C194/1000))*VLOOKUP(KitchenCarcassMaterial,SheetsData,8,0),IF(ISERROR(FIND(""lost corner"",A194))=FALSE,VLOOKUP(LEFT(A194,FIND("" "",A194))"&amp;"&amp;""carcass ""&amp;VALUE(REGEXREPLACE(A194,""[^[:digit:]]"", """")),KitchensData,5,0)+((((B194/1000)*(C194/1000))+((B194/1000)*(60/1000)))*VLOOKUP(KitchenCarcassMaterial,SheetsData,8,0)),IF(ISERROR(FIND(""carcass"",A194))=FALSE,(((((B194/1000)*2)*(D194/1000))+"&amp;"(((C194/1000)*2)*(D194/1000)))*VLOOKUP(KitchenCarcassMaterial,SheetsData,8,0))+((B194/1000)*(C194/1000))*VLOOKUP(LEFT(KitchenCarcassMaterial,FIND(""("",KitchenCarcassMaterial)-1)&amp;IF(OR(ISERROR(FIND(""ply"",KitchenCarcassMaterial))=FALSE,ISERROR(FIND(""H/F"&amp;""",KitchenCarcassMaterial))=FALSE),""(9mm)"",""(10mm)""),SheetsData,8,0),IF(OR(ISERROR(FIND(""Plinth"",A194))=FALSE,ISERROR(FIND(""Cornice (flat)"",A194))=FALSE),((B194/1000)*(C194/1000))*VLOOKUP(""H/F (18mm)"",SheetsData,8,0),IF(ISERROR(FIND(""Cornice (s"&amp;"tacked)"",A194))=FALSE,((0.08*(C194/1000))*2)*VLOOKUP(""H/F (22mm)"",SheetsData,8,0),IF(ISERROR(FIND(""Base end panel"",A194))=FALSE,VLOOKUP(KitchenDoorMaterial,SheetsData,5,0)/3,IF(ISERROR(FIND(""Wall end panel"",A194))=FALSE,VLOOKUP(KitchenDoorMaterial,"&amp;"SheetsData,5,0)/9,IF(ISERROR(FIND(""Tower end panel"",A194))=FALSE,VLOOKUP(KitchenDoorMaterial,SheetsData,5,0),IF(ISERROR(FIND(""Fillers"",A194))=FALSE,(((0.06*(C194/1000))*2)*VLOOKUP(""H/F (18mm)"",SheetsData,8,0))+(((0.06*(C194/1000))*2)*VLOOKUP(""H/F ("&amp;"9mm)"",SheetsData,8,0)),IF(ISERROR(FIND(""corner post"",A194))=FALSE,(((B194/1000)*0.05)*2)*VLOOKUP(KitchenDoorMaterial,SheetsData,8,0),IF(ISERROR(FIND(""Pelmet"",A194))=FALSE,((((B194/1000)*(C194/1000))*2)*VLOOKUP(""H/F (18mm)"",SheetsData,8,0)),IF(ISERR"&amp;"OR(FIND(""door"",A194))=TRUE,""Check description"",IF(KitchenDoorStyle=""Flat"",((B194/1000)*(C194/1000))*VLOOKUP(KitchenDoorMaterial,SheetsData,8,0),IF(LEFT(KitchenDoorStyle,5)=""Panel"",(((((B194/1000)*2)*0.08)+((((C194/1000)-0.16)*2)*0.08))*VLOOKUP(""H"&amp;"/F (22mm)"",SheetsData,8,0))+(((B194/1000)-0.14)*((C194/1000)-0.14)*VLOOKUP(""H/F (9mm)"",SheetsData,8,0)),IF(KitchenDoorStyle=""In-frame flat"",((((((B194/1000)*0.019)*0.038)+((((C194-38)/1000)*0.038)*0.038))*2)*VLOOKUP(""Tulip (solid m3)"",SolidData,5,0"&amp;"))+(((B194-76)/1000)*((C194-38)/1000))*VLOOKUP(""H/F (22mm)"",SheetsData,8,0),IF(LEFT(KitchenDoorStyle,14)=""In-frame panel"",(((((((B194/1000)*0.019)*0.038)+((((C194-38)/1000)*0.038)*0.038))*2)*VLOOKUP(""Tulip (solid m3)"",SolidData,5,0))+(((((((B194-76)"&amp;"/1000)*2)*0.08)+(((((C194-198)/1000)*2)*0.08)))*VLOOKUP(""H/F (22mm)"",SheetsData,8,0))+(((B194-216)/1000)*((C194-178)/1000)*VLOOKUP(""H/F (9mm)"",SheetsData,8,0)))))))))))))))))))))))))))))))))"),"")</f>
        <v/>
      </c>
      <c r="F194" s="152" t="str">
        <f>IFERROR(__xludf.DUMMYFUNCTION("IF(OR(A194="""",AND(ISERROR(FIND(""drawer box"",A194))=FALSE,KitchenDrawerType=""Solid dovetail"")),"""",IF(ISERROR(FIND(""bins"",A194))=FALSE,VLOOKUP(""Base carcass 600"",KitchensData,6,0),IF(OR(ISERROR(FIND(""larder"",A194))=FALSE,ISERROR(FIND(""unit"","&amp;"A194))=FALSE),VLOOKUP(LEFT(A194,FIND("" "",A194))&amp;""carcass ""&amp;RIGHT(A194,LEN(A194)-len(regexextract(A194,"".* ""))),KitchensData,6,0),IF(ISERROR(FIND(""drawer front"",A194))=FALSE,IF(ISERROR(FIND(""veneer"",KitchenCarcassMaterial))=TRUE,0,(((B194+C194)/1"&amp;"000)*2)*VLOOKUP(""Edge banding (per M)"",SheetsData,5,0)),IF(ISERROR(FIND(""drawer box"",A194))=FALSE,IF(ISERROR(FIND(""veneer"",KitchenCarcassMaterial))=TRUE,0,(((C194+D194)/1000)*2)*VLOOKUP(""Edge banding (per M)"",SheetsData,5,0)),IF(ISERROR(FIND(""she"&amp;"lf"",A194))=FALSE,IF(ISERROR(FIND(""veneer"",KitchenCarcassMaterial))=TRUE,0,(C194/1000)*VLOOKUP(""Edge banding (per M)"",SheetsData,5,0)),IF(AND(ISERROR(FIND(""carcass"",A194))=FALSE,ISERROR(FIND(""shelf"",A194))=TRUE),IF(ISERROR(FIND(""veneer"",KitchenC"&amp;"arcassMaterial))=TRUE,0,((2*(B194+C194))/1000)*VLOOKUP(""Edge banding (per M)"",SheetsData,5,0)),IF(ISERROR(FIND(""door"",A194))=TRUE,"""",IF(ISERROR(FIND(""veneer"",KitchenDoorMaterial))=TRUE,"""",((2*(B194+C194))/1000)*VLOOKUP(""Edge banding (per M)"",S"&amp;"heetsData,5,0))))))))))"),"")</f>
        <v/>
      </c>
      <c r="G194" s="153" t="str">
        <f>IF(A194="","",IF(ISERROR(FIND("bins",A194))=FALSE,VLOOKUP("Base carcass 600",KitchensData,7,0),IF(OR(ISERROR(FIND("larder",A194))=FALSE,ISERROR(FIND("fridge/freezer",A194))=FALSE,ISERROR(FIND("double oven",A194))=FALSE,ISERROR(FIND("single oven",A194))=FALSE),VLOOKUP(LEFT(A194,FIND(" ",A194))&amp;"carcass "&amp;RIGHT(A194,LEN(A194)-(LEN(A194)-3)),KitchensData,7,0),IF(AND(ISERROR(FIND("carcass",A194))=FALSE,ISERROR(FIND("shelf",A194))=TRUE),IF(OR(ISERROR(FIND("Base",A194))=FALSE,ISERROR(FIND("Tower",A194))=FALSE),IF(OR(ISERROR(FIND("1200",A194))=FALSE, ISERROR(FIND("lost corner",A194))=FALSE),6*VLOOKUP("Plinth foot (2 Parts 80mm)",FurnitureData,5,0),4*VLOOKUP("Plinth foot (2 Parts 80mm)",FurnitureData,5,0)),""),""))))</f>
        <v/>
      </c>
      <c r="H194" s="115" t="str">
        <f>IF(OR(A194="",ISERROR(FIND("door",A194))=TRUE),"",IF(ISERROR(FIND("Wall",A194))=FALSE,VLOOKUP("Hinges &amp; plates (Hettich thick door)",FurnitureData,5,0)*2,IF(ISERROR(FIND("Base",A194))=FALSE,VLOOKUP("Hinges &amp; plates (Hettich thick door)",FurnitureData,5,0)*3,IF(ISERROR(FIND("Boiler",A194))=FALSE,VLOOKUP("Hinges &amp; plates (Hettich thick door)",FurnitureData,5,0)*4,IF(ISERROR(FIND("Tower",A194))=FALSE,VLOOKUP("Hinges &amp; plates (Hettich thick door)",FurnitureData,5,0)*5)))))</f>
        <v/>
      </c>
      <c r="I194" s="115" t="str">
        <f>IF(ISERROR(FIND("shelf",A194))=FALSE,(VLOOKUP("Shelf pegs",FurnitureData,5,0)/100)*4,"")</f>
        <v/>
      </c>
      <c r="J194" s="152" t="str">
        <f>IF(OR(ISERROR(FIND("fridge/freezer",A194))=FALSE,ISERROR(FIND("larder",A194))=FALSE,AND(ISERROR(FIND("Base",A194))=FALSE,ISERROR(FIND("bins",A194))=TRUE,ISERROR(FIND("no shelves",A194))=TRUE,OR(ISERROR(FIND("carcass",A194))=FALSE,ISERROR(FIND("unit",A194))=FALSE))),VLOOKUP("Deep shelf "&amp;C194,KitchensData,18,0),IF(AND(ISERROR(FIND("Wall",A194))=FALSE,ISERROR(FIND("carcass",A194))=FALSE),2*VLOOKUP("Shallow shelf "&amp;C194,KitchensData,18,0),IF(AND(ISERROR(FIND("Tower",A194))=FALSE,ISERROR(FIND("oven",A194))=FALSE),4*VLOOKUP("Deep shelf "&amp;C194,KitchensData,18,0),IF(AND(ISERROR(FIND("Tower",A194))=FALSE,ISERROR(FIND("carcass",A194))=FALSE),5*VLOOKUP("Deep shelf "&amp;C194,KitchensData,18,0),""))))</f>
        <v/>
      </c>
      <c r="K194" s="152" t="str">
        <f>IF(ISERROR(FIND("sink",A194))=FALSE,VLOOKUP("Sink liner - Aluminium "&amp;RIGHT(A194,LEN(A194)-22)&amp;"mm",ExceptionalData,5,0),IF(ISERROR(FIND("bins",A194))=FALSE,VLOOKUP("Drawer runners and clip set for bin unit (500) Dynapro",FurnitureData,5,0)+(2*VLOOKUP("Bin (42L Anthracite)",FurnitureData,5,0)),IF(ISERROR(FIND("larder",A194))=FALSE,VLOOKUP("Pull out larder unit 600mm",FurnitureData,5,0),IF(AND(ISERROR(FIND("drawer box",A194))=FALSE,ISERROR(FIND("internal",A194))=TRUE),VLOOKUP("Drawer runners and clip set (550) Dynapro",FurnitureData,5,0),IF(ISERROR(FIND("internal drawer box",A194))=FALSE,VLOOKUP("Drawer runners and clip set (450) Dynapro",FurnitureData,5,0),"")))))</f>
        <v/>
      </c>
      <c r="L194" s="152" t="str">
        <f t="shared" si="3"/>
        <v/>
      </c>
      <c r="M194" s="154" t="str">
        <f>IFERROR(__xludf.DUMMYFUNCTION("IF(A194="""","""",IF(OR(ISERROR(FIND(""larder"",A194))=FALSE,ISERROR(FIND(""unit"",A194))=FALSE),VLOOKUP(LEFT(A194,FIND("" "",A194))&amp;""carcass ""&amp;RIGHT(A194,LEN(A194)-len(regexextract(A194,"".* ""))),KitchensData,13,0),IF(ISERROR(FIND(""bins"",A194))=FALS"&amp;"E,0.95,IF(ISERROR(FIND(""Cutlery insert 600"",A194))=FALSE,1.3,IF(ISERROR(FIND(""Cutlery insert 1200"",A194))=FALSE,2,IF(ISERROR(FIND(""Pan/tray rack 600"",A194))=FALSE,3.25,IF(ISERROR(FIND(""Pan/tray rack 1200"",A194))=FALSE,5.9,IF(ISERROR(FIND(""split"""&amp;",A194))=FALSE,(((C194/1000)*0.022)*2)+VLOOKUP(SUBSTITUTE(A194,"" split"",""""),KitchensData,13,0),IF(AND(ISERROR(FIND(""drawer front"",A194))=FALSE,KitchenDoorStyle=""Flat""),(((B194/1000)*(C194/1000))*2)+((((B194+C194)/1000)*2)*0.022),IF(AND(ISERROR(FIND"&amp;"(""drawer front"",A194))=FALSE,LEFT(KitchenDoorStyle,5)=""Panel""),(((B194/1000)*(C194/1000))*2)+((((B194+C194)/1000)*2)*0.022)+((((C194/1000)-0.16)*0.013)*2)+((((D194/1000)-0.16)*0.013)*2),IF(AND(ISERROR(FIND(""drawer front"",A194))=FALSE,KitchenDoorStyl"&amp;"e=""In-frame flat""),((((B194-76)/1000)*((C194-38)/1000))*2)+(MID(KitchenDoorMaterial,FIND(""("",KitchenDoorMaterial)+1,2)/1000)*((((B194-76)+(C194-38))/1000)*2)+(((B194/1000)*0.032)*2)+((((B194-76)/1000)*0.032)*2)+(((B194/1000)*0.019)*4)+(((C194/1000)*0."&amp;"032)*2)+((((C194-38)/1000)*0.032)*2)+(((C194/1000)*0.038)*4),IF(AND(ISERROR(FIND(""drawer front"",A194))=FALSE,LEFT(KitchenDoorStyle,14)=""In-frame panel""),((((B194-76)/1000)*((C194-38)/1000))*2)+((MID(KitchenDoorMaterial,FIND(""("",KitchenDoorMaterial)+"&amp;"1,2)/1000)*((((B194-76)+(C194-38))/1000)*2))+((((B194-236)/1000)+((C194-198)/1000)*2)*0.013)+(((B194/1000)*0.032)*2)+((((B194-76)/1000)*0.032)*2)+(((B194/1000)*0.019)*4)+(((C194/1000)*0.032)*2)+((((C194-38)/1000)*0.032)*2)+(((C194/1000)*0.038)*4),IF(ISERR"&amp;"OR(FIND(""drawer box"",A194))=FALSE,((((B194/1000)*(D194/1000))+((B194/1000)*(C194/1000)))*4)+((((D194/1000)+(C194/1000))*0.016)*4)+(((C194/1000)*(D194/1000))*2),IF(OR(ISERROR(FIND(""shelf"",A194))=FALSE,ISERROR(FIND(""spacer"",A194))=FALSE,,ISERROR(FIND("&amp;"""filler panel"",A194))=FALSE),(((C194/1000)*(D194/1000))*2)+((((C194+D194)*2)/1000)*0.022),IF(ISERROR(FIND(""lost corner"",A194))=FALSE,(((B194/1000)*(C194/1000))*2)+((B194/1000)*(C194/1000))+((B194/1000)*((C194/2)/1000))+((((B194/1000)*0.025)+((C194/100"&amp;"0)*0.025))*2),IF(ISERROR(FIND(""carcass"",A194))=FALSE,(((C194/1000)*(D194/1000))*2)+(((B194/1000)*(D194/1000))*2)+((B194/1000)*(C194/1000))+((((B194/1000)*0.025)+((C194/1000)*0.025))*2),IF(AND(ISERROR(FIND(""door"",A194))=FALSE,KitchenDoorStyle=""Flat"")"&amp;",(((B194/1000)*(C194/1000))*2)+(MID(KitchenDoorMaterial,FIND(""("",KitchenDoorMaterial)+1,2)/1000)*(((B194+C194)/1000)*2),IF(AND(ISERROR(FIND(""door"",A194))=FALSE,LEFT(KitchenDoorStyle,5)=""Panel""),(((B194/1000)*(C194/1000))*2)+((MID(KitchenDoorMaterial"&amp;",FIND(""("",KitchenDoorMaterial)+1,2)/1000)*(((B194+C194)/1000)*2))+(((((B194-160)+(C194-160))*2)/1000)*(0.013)),IF(AND(ISERROR(FIND(""door"",A194))=FALSE,KitchenDoorStyle=""In-frame flat""),((((B194-76)/1000)*((C194-38)/1000))*2)+(MID(KitchenDoorMaterial"&amp;",FIND(""("",KitchenDoorMaterial)+1,2)/1000)*((((B194-76)+(C194-38))/1000)*2)+(((B194/1000)*0.032)*2)+((((B194-76)/1000)*0.032)*2)+(((B194/1000)*0.019)*4)+(((C194/1000)*0.032)*2)+((((C194-38)/1000)*0.032)*2)+(((C194/1000)*0.038)*4),IF(AND(ISERROR(FIND(""do"&amp;"or"",A194))=FALSE,LEFT(KitchenDoorStyle,14)=""In-frame panel""),((((B194-76)/1000)*((C194-38)/1000))*2)+((MID(KitchenDoorMaterial,FIND(""("",KitchenDoorMaterial)+1,2)/1000)*((((B194-76)+(C194-38))/1000)*2))+((((B194-236)/1000)+((C194-198)/1000)*2)*0.013)+"&amp;"(((B194/1000)*0.032)*2)+((((B194-76)/1000)*0.032)*2)+(((B194/1000)*0.019)*4)+(((C194/1000)*0.032)*2)+((((C194-38)/1000)*0.032)*2)+(((C194/1000)*0.038)*4),IF(ISERROR(FIND(""Plinth"",A194))=FALSE,((B194/1000)*(C194/1000))+(((C194/1000)*0.018)*2)+(((B194/100"&amp;"0)*0.018)*2),IF(ISERROR(FIND(""Cornice"",A194))=FALSE,(((C194/1000)*0.1)*2)+(((C194/1000)*0.044)*2)+(((B194/1000)*0.08)*2),IF(ISERROR(FIND(""Base end panel"",A194))=FALSE,((B194/1000)*(C194/1000))+(0.022*((B194/1000)+((C194/1000)*2)))+((B194/1000)*0.05),I"&amp;"F(ISERROR(FIND(""Wall end panel"",A194))=FALSE,((B194/1000)*(C194/1000))+(0.022*((B194/1000)+((C194/1000)*2)))+((B194/1000)*0.05),IF(ISERROR(FIND(""Tower end panel"",A194))=FALSE,((B194/1000)*(C194/1000))+(0.022*((B194/1000)+((C194/1000)*2)))+((B194/1000)"&amp;"*0.05),IF(ISERROR(FIND(""Fillers"",A194))=FALSE,((C194/1000)*0.06)+((C194/1000)*0.069)+((0.06*0.018)*2)+((0.06*0.009)*2)+((C194/1000)*0.009)+((C194/1000)*0.018),IF(ISERROR(FIND(""corner post"",A194))=FALSE,(((B194/1000*0.05)*2)+((B194/1000)*0.022)*2)+((B1"&amp;"94/1000)*0.072)+((B194/1000)*0.05)+((0.072*0.022)*2)+((0.05*0.022)*2),IF(ISERROR(FIND(""Pelmet"",A194))=FALSE,((C194/1000)*0.05)+((C194/1000)*0.068)+((0.05*0.018)*4)+(((C194/1000)*0.018))*2))))))))))))))))))))))))))))"),"")</f>
        <v/>
      </c>
      <c r="N194" s="152" t="str">
        <f>IF(M194="","",IF(AND(ISERROR(FIND("carcass",A194))=TRUE,ISERROR(FIND("unit",A194))=TRUE,ISERROR(FIND("insert",A194))=TRUE,ISERROR(FIND("rack",A194))=TRUE,ISERROR(FIND("box",A194))=TRUE,ISERROR(FIND("shelf",#REF!))=TRUE),VLOOKUP(KitchenDoorFinish,Finishing!$A$2:$K$10,9,0)*M194,VLOOKUP(KitchenCarcassFinish,Finishing!$A$2:$K$40,9,0)*M194))</f>
        <v/>
      </c>
      <c r="O194" s="155"/>
      <c r="P194" s="155"/>
      <c r="Q194" s="152" t="str">
        <f>IF(OR(O194="",P194=""),"",((O194*X194)*(VLOOKUP("Workshop",Labour!$A$3:$E$20,4,0)/8))+((P194*AE194)*(VLOOKUP("Finishing",Labour!$A$3:$E$20,4,0)/8)))</f>
        <v/>
      </c>
      <c r="R194" s="152" t="str">
        <f t="shared" si="4"/>
        <v/>
      </c>
      <c r="S194" s="156" t="str">
        <f>IF(OR(O194="",P194=""),"",IF(OR(ISERROR(FIND("carcass",$A194))=FALSE,ISERROR(FIND("unit",$A194))=FALSE),VLOOKUP(KitchenCarcassMaterial,FixedListsCarcassMaterial,2,0),0))</f>
        <v/>
      </c>
      <c r="T194" s="156" t="str">
        <f>IF(OR(O194="",P194=""),"",IF(ISERROR(FIND("door",$A194))=FALSE,VLOOKUP(KitchenDoorStyle,FixedListsDoorStyle,2,0),0))</f>
        <v/>
      </c>
      <c r="U194" s="156" t="str">
        <f>IF(OR(O194="",P194=""),"",IF(ISERROR(FIND("door",$A194))=FALSE,VLOOKUP(KitchenDoorMaterial,FixedListsDoorMaterial,2,0),0))</f>
        <v/>
      </c>
      <c r="V194" s="156" t="str">
        <f>IF(OR(O194="",P194=""),"",IF(ISERROR(FIND("drawer",$A194))=FALSE,VLOOKUP(KitchenDrawerType,FixedListsDrawerType,2,0),0))</f>
        <v/>
      </c>
      <c r="W194" s="156" t="str">
        <f>IF(OR(O194="",P194=""),"",IF(OR(S194&gt;0, T194&gt;0,V194&gt;0),VLOOKUP(KitchenHandleType,FixedListsHandleType,2,FALSE)*IF(KitchenHandleType="Simple",0,IF(S194&gt;0,VLOOKUP(KitchenHandleType,FixedListsHandleType,4,FALSE),IF(OR(T194&gt;0,V194&gt;0),1-VLOOKUP(KitchenHandleType,FixedListsHandleType,4,FALSE),"Error"))),0))</f>
        <v/>
      </c>
      <c r="X194" s="156" t="str">
        <f t="shared" si="5"/>
        <v/>
      </c>
      <c r="Y194" s="156" t="str">
        <f>IF(OR(O194="",P194=""),"",IF(OR(ISERROR(FIND("carcass",$A194))=FALSE,ISERROR(FIND("unit",$A194))=FALSE),VLOOKUP(KitchenCarcassMaterial,FixedListsCarcassMaterial,3,0),0))</f>
        <v/>
      </c>
      <c r="Z194" s="156" t="str">
        <f>IF(OR(O194="",P194=""),"",IF(ISERROR(FIND("door",$A194))=FALSE,VLOOKUP(KitchenDoorStyle,FixedListsDoorStyle,3,0),0))</f>
        <v/>
      </c>
      <c r="AA194" s="156" t="str">
        <f>IF(OR(O194="",P194=""),"",IF(ISERROR(FIND("door",$A194))=FALSE,VLOOKUP(KitchenDoorMaterial,FixedListsDoorMaterial,3,0),0))</f>
        <v/>
      </c>
      <c r="AB194" s="156" t="str">
        <f>IF(OR(O194="",P194=""),"",IF(ISERROR(FIND("drawer",$A194))=FALSE,VLOOKUP(KitchenDrawerType,FixedListsDrawerType,3,0),0))</f>
        <v/>
      </c>
      <c r="AC194" s="156" t="str">
        <f>IF(OR(O194="",P194=""),"",IF(OR(Y194&gt;0,Z194&gt;0,AB194&gt;0),VLOOKUP(KitchenHandleType,FixedListsHandleType,3,FALSE),0))</f>
        <v/>
      </c>
      <c r="AD194" s="156" t="str">
        <f>IF(OR(O194="",P194=""),"",IF(OR(ISERROR(FIND("carcass",$A194))=FALSE,ISERROR(FIND("unit",$A194))=FALSE),VLOOKUP(KitchenCarcassFinish,FixedListsFinishes,3,0),IF(OR(ISERROR(FIND("door",$A194))=FALSE,ISERROR(FIND("Plinth",$A194))=FALSE,ISERROR(FIND("Cornice",$A194))=FALSE,ISERROR(FIND("Fillers",$A194))=FALSE,ISERROR(FIND("Pelmet",$A194))=FALSE,ISERROR(FIND("panel",$A194))=FALSE,ISERROR(FIND("post",$A194))=FALSE),VLOOKUP(KitchenDoorFinish,FixedListsFinishes,3,0),IF(OR(ISERROR(FIND("drawer",$A194))=FALSE,ISERROR(FIND("insert",$A194))=FALSE,ISERROR(FIND("rck",$A194))=FALSE),VLOOKUP(KitchenCarcassFinish,FixedListsFinishes,3,0),0))))</f>
        <v/>
      </c>
      <c r="AE194" s="156" t="str">
        <f t="shared" si="6"/>
        <v/>
      </c>
      <c r="AF194" s="157" t="str">
        <f>IF(AND(KitchenHandleType="Channel",OR(ISERROR(FIND("arcass",$A194))=FALSE,ISERROR(FIND("unit",$A194))=FALSE)),IF(ISERROR(FIND("Tower",$A194))=TRUE,IF(KitchenHandleFinish="Match carcass",IF(ISERROR(FIND("Walnut",KitchenCarcassMaterial))=FALSE,(0.035*0.075*($C194/1000))*VLOOKUP("Walnut (solid m3)",SolidData,4,FALSE),IF(ISERROR(FIND("Oak",KitchenCarcassMaterial))=FALSE,(0.035*0.075*($C194/1000))*VLOOKUP("Oak (solid m3)",SolidData,4,FALSE),IF(ISERROR(FIND("ply",KitchenCarcassMaterial))=FALSE,(0.1*($C194/1000))*VLOOKUP("Birch ply (24mm)",SheetsData,7,FALSE),IF(ISERROR(FIND("H/F",KitchenCarcassMaterial))=FALSE,(0.1*($C194/1000))*VLOOKUP("H/F (22mm)",SheetsData,7,FALSE),"Carcass - not tower - new material")))),IF(KitchenHandleFinish="Match door",IF(ISERROR(FIND("Walnut",KitchenDoorMaterial))=FALSE,(0.035*0.075*($C194/1000))*VLOOKUP("Walnut (solid m3)",SolidData,4,FALSE),IF(ISERROR(FIND("Oak",KitchenDoorMaterial))=FALSE,(0.035*0.075*($C194/1000))*VLOOKUP("Oak (solid m3)",SolidData,4,FALSE),IF(ISERROR(FIND("ply",KitchenDoorMaterial))=FALSE,(0.1*($C194/1000))*VLOOKUP("Birch ply (24mm)",SheetsData,7,FALSE),IF(ISERROR(FIND("H/F",KitchenCarcassMaterial))=FALSE,(0.1*($C194/1000))*VLOOKUP("H/F (22mm)",SheetsData,7,FALSE),"Door - not tower - new material")))),"Channel - not tower - handle set to other")),IF(ISERROR(FIND("Tower",$A194))=FALSE,IF(KitchenHandleFinish="Match carcass",IF(ISERROR(FIND("Walnut",KitchenCarcassMaterial))=FALSE,(0.035*0.075*($B194/1000))*VLOOKUP("Walnut (solid m3)",SolidData,4,FALSE),IF(ISERROR(FIND("Oak",KitchenCarcassMaterial))=FALSE,(0.035*0.075*($B194/1000))*VLOOKUP("Oak (solid m3)",SolidData,4,FALSE),IF(ISERROR(FIND("ply",KitchenCarcassMaterial))=FALSE,(0.1*($B194/1000))*VLOOKUP("Birch ply (24mm)",SheetsData,7,FALSE),IF(ISERROR(FIND("H/F",KitchenCarcassMaterial))=FALSE,(0.1*($C194/1000))*VLOOKUP("H/F (22mm)",SheetsData,7,FALSE),"Carcass - tower - new material")))),IF(KitchenHandleFinish="Match door",IF(ISERROR(FIND("Walnut",KitchenDoorMaterial))=FALSE,(0.035*0.075*($B194/1000))*VLOOKUP("Walnut (solid m3)",SolidData,4,FALSE),IF(ISERROR(FIND("Oak",KitchenDoorMaterial))=FALSE,(0.035*0.075*($B194/1000))*VLOOKUP("Oak (solid m3)",SolidData,4,FALSE),IF(ISERROR(FIND("ply",KitchenDoorMaterial))=FALSE,(0.1*($B194/1000))*VLOOKUP("Birch ply (24mm)",SheetData,7,FALSE),IF(ISERROR(FIND("H/F",KitchenCarcassMaterial))=FALSE,(0.1*($C194/1000))*VLOOKUP("H/F (22mm)",SheetsData,7,FALSE),"Door - tower - new material")))),"Channel - tower - handle set to other")))),"")</f>
        <v/>
      </c>
    </row>
    <row r="195">
      <c r="A195" s="150"/>
      <c r="B195" s="115" t="str">
        <f t="shared" si="1"/>
        <v/>
      </c>
      <c r="C195" s="115" t="str">
        <f>IFERROR(__xludf.DUMMYFUNCTION("IF(A195="""","""",IF(OR(RIGHT(A195,LEN(A195)-len(regexextract(A195,"".* "")))=""1200"",RIGHT(A195,LEN(A195)-len(regexextract(A195,"".* "")))=""600"",RIGHT(A195,LEN(A195)-len(regexextract(A195,"".* "")))=""400"",RIGHT(A195,LEN(A195)-len(regexextract(A195,"&amp;""".* "")))=""300"",RIGHT(A195,LEN(A195)-len(regexextract(A195,"".* "")))=""700"",RIGHT(A195,LEN(A195)-len(regexextract(A195,"".* "")))=""2400"",RIGHT(A195,LEN(A195)-len(regexextract(A195,"".* "")))=""650"",RIGHT(A195,LEN(A195)-len(regexextract(A195,"".* "&amp;""")))=""350"",RIGHT(A195,LEN(A195)-len(regexextract(A195,"".* "")))=""50""),RIGHT(A195,LEN(A195)-len(regexextract(A195,"".* ""))),IF(OR(ISERROR(FIND(""spacer"",A195))=FALSE,ISERROR(FIND(""filler panel"",A195))=FALSE),""1000"",""Unexpected size in descript"&amp;"ion"")))"),"")</f>
        <v/>
      </c>
      <c r="D195" s="151" t="str">
        <f t="shared" si="2"/>
        <v/>
      </c>
      <c r="E195" s="152" t="str">
        <f>IFERROR(__xludf.DUMMYFUNCTION("IF(OR(A195="""",AND(ISERROR(FIND(""drawer box"",A195))=FALSE,KitchenDrawerType="""")),"""",IF(OR(ISERROR(FIND(""larder"",A195))=FALSE,ISERROR(FIND(""fridge/freezer"",A195))=FALSE,ISERROR(FIND(""double oven"",A195))=FALSE,ISERROR(FIND(""single oven"",A195)"&amp;")=FALSE),VLOOKUP(LEFT(A195,FIND("" "",A195))&amp;""carcass ""&amp;RIGHT(A195,LEN(A195)-(LEN(A195)-3)),KitchensData,5,0),IF(ISERROR(FIND(""sink"",A195))=FALSE,VLOOKUP(LEFT(A195,FIND("" "",A195))&amp;""carcass ""&amp;VALUE(REGEXREPLACE(A195,""[^[:digit:]]"", """")),Kitchen"&amp;"sData,5,0)+(((C195/1000)*(300/1000))*VLOOKUP(KitchenCarcassMaterial,SheetsData,8,0)),IF(ISERROR(FIND(""bins"",A195))=FALSE,IF(ISERROR(FIND(""veneer"",KitchenCarcassMaterial))=FALSE,VLOOKUP(""Base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600"",A195))=FALSE,IF(ISERR"&amp;"OR(FIND(""veneer"",KitchenCarcassMaterial))=FALSE,0.54*(VLOOKUP(LEFT(KitchenCarcassMaterial,FIND(""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1"&amp;"200"",A195))=FALSE,IF(ISERROR(FIND(""veneer"",KitchenCarcassMaterial))=FALSE,0.84*(VLOOKUP(LEFT(KitchenCarcassMaterial,FIND(""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600"",A195))=FALSE,IF(ISERROR(FIND(""veneer"",KitchenCarcassMaterial))=FALSE,1.44*(VLOOKUP(LEFT(KitchenCarcassMaterial,FIND(""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1200"",A195))=FALSE,IF(ISERROR(FIND(""veneer"",KitchenCarcassMaterial))=FALSE,2.7*(VLOOKUP(LEFT(KitchenCarcassMaterial,FIND(""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front"",A195))=FALSE,((B195/1000)*(C195/1000))*VLOOKUP(KitchenDoorMaterial,SheetsData,8,0),IF(AND(KitchenDrawerType=""Match carcass"",ISERROR(FIND(""drawer box"",A195))=FALSE),(((((B195/10"&amp;"00)*(C195/1000))+((B195/1000)*(D195/1000)))*2)*VLOOKUP(KitchenCarcassMaterial,SheetsData,8,0))+(((C195/1000)*(D195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box"",A195))=FALSE),(((((B195/1000)*(C195/1000))+((B195/1000)*(D195/1000)))*2)*(16/1000)*VLOOKUP(L"&amp;"EFT(KitchenCarcassMaterial,FIND("" "",KitchenCarcassMaterial))&amp;""(solid m3)"",SolidData,5,0))+(((C195/1000)*(D195/1000))*VLOOKUP(LEFT(KitchenCarcassMaterial,FIND(""("",KitchenCarcassMaterial)-1)&amp;IF(OR(ISERROR(FIND(""ply"",KitchenCarcassMaterial))=FALSE,IS"&amp;"ERROR(FIND(""H/F"",KitchenCarcassMaterial))=FALSE),""(9mm)"",""(10mm)""),SheetsData,8,0)),IF(ISERROR(FIND(""spacer"",A195))=FALSE,((D195/1000)*(C195/1000))*VLOOKUP(""Poplar ply (18mm)"",SheetsData,8,0),IF(ISERROR(FIND(""filler panel"",A195))=FALSE,((B195/"&amp;"1000)*(C195/1000))*VLOOKUP(KitchenDoorMaterial,SheetsData,8,0),IF(ISERROR(FIND(""shelf"",A195))=FALSE,((D195/1000)*(C195/1000))*VLOOKUP(KitchenCarcassMaterial,SheetsData,8,0),IF(ISERROR(FIND(""lost corner"",A195))=FALSE,VLOOKUP(LEFT(A195,FIND("" "",A195))"&amp;"&amp;""carcass ""&amp;VALUE(REGEXREPLACE(A195,""[^[:digit:]]"", """")),KitchensData,5,0)+((((B195/1000)*(C195/1000))+((B195/1000)*(60/1000)))*VLOOKUP(KitchenCarcassMaterial,SheetsData,8,0)),IF(ISERROR(FIND(""carcass"",A195))=FALSE,(((((B195/1000)*2)*(D195/1000))+"&amp;"(((C195/1000)*2)*(D195/1000)))*VLOOKUP(KitchenCarcassMaterial,SheetsData,8,0))+((B195/1000)*(C195/1000))*VLOOKUP(LEFT(KitchenCarcassMaterial,FIND(""("",KitchenCarcassMaterial)-1)&amp;IF(OR(ISERROR(FIND(""ply"",KitchenCarcassMaterial))=FALSE,ISERROR(FIND(""H/F"&amp;""",KitchenCarcassMaterial))=FALSE),""(9mm)"",""(10mm)""),SheetsData,8,0),IF(OR(ISERROR(FIND(""Plinth"",A195))=FALSE,ISERROR(FIND(""Cornice (flat)"",A195))=FALSE),((B195/1000)*(C195/1000))*VLOOKUP(""H/F (18mm)"",SheetsData,8,0),IF(ISERROR(FIND(""Cornice (s"&amp;"tacked)"",A195))=FALSE,((0.08*(C195/1000))*2)*VLOOKUP(""H/F (22mm)"",SheetsData,8,0),IF(ISERROR(FIND(""Base end panel"",A195))=FALSE,VLOOKUP(KitchenDoorMaterial,SheetsData,5,0)/3,IF(ISERROR(FIND(""Wall end panel"",A195))=FALSE,VLOOKUP(KitchenDoorMaterial,"&amp;"SheetsData,5,0)/9,IF(ISERROR(FIND(""Tower end panel"",A195))=FALSE,VLOOKUP(KitchenDoorMaterial,SheetsData,5,0),IF(ISERROR(FIND(""Fillers"",A195))=FALSE,(((0.06*(C195/1000))*2)*VLOOKUP(""H/F (18mm)"",SheetsData,8,0))+(((0.06*(C195/1000))*2)*VLOOKUP(""H/F ("&amp;"9mm)"",SheetsData,8,0)),IF(ISERROR(FIND(""corner post"",A195))=FALSE,(((B195/1000)*0.05)*2)*VLOOKUP(KitchenDoorMaterial,SheetsData,8,0),IF(ISERROR(FIND(""Pelmet"",A195))=FALSE,((((B195/1000)*(C195/1000))*2)*VLOOKUP(""H/F (18mm)"",SheetsData,8,0)),IF(ISERR"&amp;"OR(FIND(""door"",A195))=TRUE,""Check description"",IF(KitchenDoorStyle=""Flat"",((B195/1000)*(C195/1000))*VLOOKUP(KitchenDoorMaterial,SheetsData,8,0),IF(LEFT(KitchenDoorStyle,5)=""Panel"",(((((B195/1000)*2)*0.08)+((((C195/1000)-0.16)*2)*0.08))*VLOOKUP(""H"&amp;"/F (22mm)"",SheetsData,8,0))+(((B195/1000)-0.14)*((C195/1000)-0.14)*VLOOKUP(""H/F (9mm)"",SheetsData,8,0)),IF(KitchenDoorStyle=""In-frame flat"",((((((B195/1000)*0.019)*0.038)+((((C195-38)/1000)*0.038)*0.038))*2)*VLOOKUP(""Tulip (solid m3)"",SolidData,5,0"&amp;"))+(((B195-76)/1000)*((C195-38)/1000))*VLOOKUP(""H/F (22mm)"",SheetsData,8,0),IF(LEFT(KitchenDoorStyle,14)=""In-frame panel"",(((((((B195/1000)*0.019)*0.038)+((((C195-38)/1000)*0.038)*0.038))*2)*VLOOKUP(""Tulip (solid m3)"",SolidData,5,0))+(((((((B195-76)"&amp;"/1000)*2)*0.08)+(((((C195-198)/1000)*2)*0.08)))*VLOOKUP(""H/F (22mm)"",SheetsData,8,0))+(((B195-216)/1000)*((C195-178)/1000)*VLOOKUP(""H/F (9mm)"",SheetsData,8,0)))))))))))))))))))))))))))))))))"),"")</f>
        <v/>
      </c>
      <c r="F195" s="152" t="str">
        <f>IFERROR(__xludf.DUMMYFUNCTION("IF(OR(A195="""",AND(ISERROR(FIND(""drawer box"",A195))=FALSE,KitchenDrawerType=""Solid dovetail"")),"""",IF(ISERROR(FIND(""bins"",A195))=FALSE,VLOOKUP(""Base carcass 600"",KitchensData,6,0),IF(OR(ISERROR(FIND(""larder"",A195))=FALSE,ISERROR(FIND(""unit"","&amp;"A195))=FALSE),VLOOKUP(LEFT(A195,FIND("" "",A195))&amp;""carcass ""&amp;RIGHT(A195,LEN(A195)-len(regexextract(A195,"".* ""))),KitchensData,6,0),IF(ISERROR(FIND(""drawer front"",A195))=FALSE,IF(ISERROR(FIND(""veneer"",KitchenCarcassMaterial))=TRUE,0,(((B195+C195)/1"&amp;"000)*2)*VLOOKUP(""Edge banding (per M)"",SheetsData,5,0)),IF(ISERROR(FIND(""drawer box"",A195))=FALSE,IF(ISERROR(FIND(""veneer"",KitchenCarcassMaterial))=TRUE,0,(((C195+D195)/1000)*2)*VLOOKUP(""Edge banding (per M)"",SheetsData,5,0)),IF(ISERROR(FIND(""she"&amp;"lf"",A195))=FALSE,IF(ISERROR(FIND(""veneer"",KitchenCarcassMaterial))=TRUE,0,(C195/1000)*VLOOKUP(""Edge banding (per M)"",SheetsData,5,0)),IF(AND(ISERROR(FIND(""carcass"",A195))=FALSE,ISERROR(FIND(""shelf"",A195))=TRUE),IF(ISERROR(FIND(""veneer"",KitchenC"&amp;"arcassMaterial))=TRUE,0,((2*(B195+C195))/1000)*VLOOKUP(""Edge banding (per M)"",SheetsData,5,0)),IF(ISERROR(FIND(""door"",A195))=TRUE,"""",IF(ISERROR(FIND(""veneer"",KitchenDoorMaterial))=TRUE,"""",((2*(B195+C195))/1000)*VLOOKUP(""Edge banding (per M)"",S"&amp;"heetsData,5,0))))))))))"),"")</f>
        <v/>
      </c>
      <c r="G195" s="153" t="str">
        <f>IF(A195="","",IF(ISERROR(FIND("bins",A195))=FALSE,VLOOKUP("Base carcass 600",KitchensData,7,0),IF(OR(ISERROR(FIND("larder",A195))=FALSE,ISERROR(FIND("fridge/freezer",A195))=FALSE,ISERROR(FIND("double oven",A195))=FALSE,ISERROR(FIND("single oven",A195))=FALSE),VLOOKUP(LEFT(A195,FIND(" ",A195))&amp;"carcass "&amp;RIGHT(A195,LEN(A195)-(LEN(A195)-3)),KitchensData,7,0),IF(AND(ISERROR(FIND("carcass",A195))=FALSE,ISERROR(FIND("shelf",A195))=TRUE),IF(OR(ISERROR(FIND("Base",A195))=FALSE,ISERROR(FIND("Tower",A195))=FALSE),IF(OR(ISERROR(FIND("1200",A195))=FALSE, ISERROR(FIND("lost corner",A195))=FALSE),6*VLOOKUP("Plinth foot (2 Parts 80mm)",FurnitureData,5,0),4*VLOOKUP("Plinth foot (2 Parts 80mm)",FurnitureData,5,0)),""),""))))</f>
        <v/>
      </c>
      <c r="H195" s="115" t="str">
        <f>IF(OR(A195="",ISERROR(FIND("door",A195))=TRUE),"",IF(ISERROR(FIND("Wall",A195))=FALSE,VLOOKUP("Hinges &amp; plates (Hettich thick door)",FurnitureData,5,0)*2,IF(ISERROR(FIND("Base",A195))=FALSE,VLOOKUP("Hinges &amp; plates (Hettich thick door)",FurnitureData,5,0)*3,IF(ISERROR(FIND("Boiler",A195))=FALSE,VLOOKUP("Hinges &amp; plates (Hettich thick door)",FurnitureData,5,0)*4,IF(ISERROR(FIND("Tower",A195))=FALSE,VLOOKUP("Hinges &amp; plates (Hettich thick door)",FurnitureData,5,0)*5)))))</f>
        <v/>
      </c>
      <c r="I195" s="115" t="str">
        <f>IF(ISERROR(FIND("shelf",A195))=FALSE,(VLOOKUP("Shelf pegs",FurnitureData,5,0)/100)*4,"")</f>
        <v/>
      </c>
      <c r="J195" s="152" t="str">
        <f>IF(OR(ISERROR(FIND("fridge/freezer",A195))=FALSE,ISERROR(FIND("larder",A195))=FALSE,AND(ISERROR(FIND("Base",A195))=FALSE,ISERROR(FIND("bins",A195))=TRUE,ISERROR(FIND("no shelves",A195))=TRUE,OR(ISERROR(FIND("carcass",A195))=FALSE,ISERROR(FIND("unit",A195))=FALSE))),VLOOKUP("Deep shelf "&amp;C195,KitchensData,18,0),IF(AND(ISERROR(FIND("Wall",A195))=FALSE,ISERROR(FIND("carcass",A195))=FALSE),2*VLOOKUP("Shallow shelf "&amp;C195,KitchensData,18,0),IF(AND(ISERROR(FIND("Tower",A195))=FALSE,ISERROR(FIND("oven",A195))=FALSE),4*VLOOKUP("Deep shelf "&amp;C195,KitchensData,18,0),IF(AND(ISERROR(FIND("Tower",A195))=FALSE,ISERROR(FIND("carcass",A195))=FALSE),5*VLOOKUP("Deep shelf "&amp;C195,KitchensData,18,0),""))))</f>
        <v/>
      </c>
      <c r="K195" s="152" t="str">
        <f>IF(ISERROR(FIND("sink",A195))=FALSE,VLOOKUP("Sink liner - Aluminium "&amp;RIGHT(A195,LEN(A195)-22)&amp;"mm",ExceptionalData,5,0),IF(ISERROR(FIND("bins",A195))=FALSE,VLOOKUP("Drawer runners and clip set for bin unit (500) Dynapro",FurnitureData,5,0)+(2*VLOOKUP("Bin (42L Anthracite)",FurnitureData,5,0)),IF(ISERROR(FIND("larder",A195))=FALSE,VLOOKUP("Pull out larder unit 600mm",FurnitureData,5,0),IF(AND(ISERROR(FIND("drawer box",A195))=FALSE,ISERROR(FIND("internal",A195))=TRUE),VLOOKUP("Drawer runners and clip set (550) Dynapro",FurnitureData,5,0),IF(ISERROR(FIND("internal drawer box",A195))=FALSE,VLOOKUP("Drawer runners and clip set (450) Dynapro",FurnitureData,5,0),"")))))</f>
        <v/>
      </c>
      <c r="L195" s="152" t="str">
        <f t="shared" si="3"/>
        <v/>
      </c>
      <c r="M195" s="154" t="str">
        <f>IFERROR(__xludf.DUMMYFUNCTION("IF(A195="""","""",IF(OR(ISERROR(FIND(""larder"",A195))=FALSE,ISERROR(FIND(""unit"",A195))=FALSE),VLOOKUP(LEFT(A195,FIND("" "",A195))&amp;""carcass ""&amp;RIGHT(A195,LEN(A195)-len(regexextract(A195,"".* ""))),KitchensData,13,0),IF(ISERROR(FIND(""bins"",A195))=FALS"&amp;"E,0.95,IF(ISERROR(FIND(""Cutlery insert 600"",A195))=FALSE,1.3,IF(ISERROR(FIND(""Cutlery insert 1200"",A195))=FALSE,2,IF(ISERROR(FIND(""Pan/tray rack 600"",A195))=FALSE,3.25,IF(ISERROR(FIND(""Pan/tray rack 1200"",A195))=FALSE,5.9,IF(ISERROR(FIND(""split"""&amp;",A195))=FALSE,(((C195/1000)*0.022)*2)+VLOOKUP(SUBSTITUTE(A195,"" split"",""""),KitchensData,13,0),IF(AND(ISERROR(FIND(""drawer front"",A195))=FALSE,KitchenDoorStyle=""Flat""),(((B195/1000)*(C195/1000))*2)+((((B195+C195)/1000)*2)*0.022),IF(AND(ISERROR(FIND"&amp;"(""drawer front"",A195))=FALSE,LEFT(KitchenDoorStyle,5)=""Panel""),(((B195/1000)*(C195/1000))*2)+((((B195+C195)/1000)*2)*0.022)+((((C195/1000)-0.16)*0.013)*2)+((((D195/1000)-0.16)*0.013)*2),IF(AND(ISERROR(FIND(""drawer front"",A195))=FALSE,KitchenDoorStyl"&amp;"e=""In-frame flat""),((((B195-76)/1000)*((C195-38)/1000))*2)+(MID(KitchenDoorMaterial,FIND(""("",KitchenDoorMaterial)+1,2)/1000)*((((B195-76)+(C195-38))/1000)*2)+(((B195/1000)*0.032)*2)+((((B195-76)/1000)*0.032)*2)+(((B195/1000)*0.019)*4)+(((C195/1000)*0."&amp;"032)*2)+((((C195-38)/1000)*0.032)*2)+(((C195/1000)*0.038)*4),IF(AND(ISERROR(FIND(""drawer front"",A195))=FALSE,LEFT(KitchenDoorStyle,14)=""In-frame panel""),((((B195-76)/1000)*((C195-38)/1000))*2)+((MID(KitchenDoorMaterial,FIND(""("",KitchenDoorMaterial)+"&amp;"1,2)/1000)*((((B195-76)+(C195-38))/1000)*2))+((((B195-236)/1000)+((C195-198)/1000)*2)*0.013)+(((B195/1000)*0.032)*2)+((((B195-76)/1000)*0.032)*2)+(((B195/1000)*0.019)*4)+(((C195/1000)*0.032)*2)+((((C195-38)/1000)*0.032)*2)+(((C195/1000)*0.038)*4),IF(ISERR"&amp;"OR(FIND(""drawer box"",A195))=FALSE,((((B195/1000)*(D195/1000))+((B195/1000)*(C195/1000)))*4)+((((D195/1000)+(C195/1000))*0.016)*4)+(((C195/1000)*(D195/1000))*2),IF(OR(ISERROR(FIND(""shelf"",A195))=FALSE,ISERROR(FIND(""spacer"",A195))=FALSE,,ISERROR(FIND("&amp;"""filler panel"",A195))=FALSE),(((C195/1000)*(D195/1000))*2)+((((C195+D195)*2)/1000)*0.022),IF(ISERROR(FIND(""lost corner"",A195))=FALSE,(((B195/1000)*(C195/1000))*2)+((B195/1000)*(C195/1000))+((B195/1000)*((C195/2)/1000))+((((B195/1000)*0.025)+((C195/100"&amp;"0)*0.025))*2),IF(ISERROR(FIND(""carcass"",A195))=FALSE,(((C195/1000)*(D195/1000))*2)+(((B195/1000)*(D195/1000))*2)+((B195/1000)*(C195/1000))+((((B195/1000)*0.025)+((C195/1000)*0.025))*2),IF(AND(ISERROR(FIND(""door"",A195))=FALSE,KitchenDoorStyle=""Flat"")"&amp;",(((B195/1000)*(C195/1000))*2)+(MID(KitchenDoorMaterial,FIND(""("",KitchenDoorMaterial)+1,2)/1000)*(((B195+C195)/1000)*2),IF(AND(ISERROR(FIND(""door"",A195))=FALSE,LEFT(KitchenDoorStyle,5)=""Panel""),(((B195/1000)*(C195/1000))*2)+((MID(KitchenDoorMaterial"&amp;",FIND(""("",KitchenDoorMaterial)+1,2)/1000)*(((B195+C195)/1000)*2))+(((((B195-160)+(C195-160))*2)/1000)*(0.013)),IF(AND(ISERROR(FIND(""door"",A195))=FALSE,KitchenDoorStyle=""In-frame flat""),((((B195-76)/1000)*((C195-38)/1000))*2)+(MID(KitchenDoorMaterial"&amp;",FIND(""("",KitchenDoorMaterial)+1,2)/1000)*((((B195-76)+(C195-38))/1000)*2)+(((B195/1000)*0.032)*2)+((((B195-76)/1000)*0.032)*2)+(((B195/1000)*0.019)*4)+(((C195/1000)*0.032)*2)+((((C195-38)/1000)*0.032)*2)+(((C195/1000)*0.038)*4),IF(AND(ISERROR(FIND(""do"&amp;"or"",A195))=FALSE,LEFT(KitchenDoorStyle,14)=""In-frame panel""),((((B195-76)/1000)*((C195-38)/1000))*2)+((MID(KitchenDoorMaterial,FIND(""("",KitchenDoorMaterial)+1,2)/1000)*((((B195-76)+(C195-38))/1000)*2))+((((B195-236)/1000)+((C195-198)/1000)*2)*0.013)+"&amp;"(((B195/1000)*0.032)*2)+((((B195-76)/1000)*0.032)*2)+(((B195/1000)*0.019)*4)+(((C195/1000)*0.032)*2)+((((C195-38)/1000)*0.032)*2)+(((C195/1000)*0.038)*4),IF(ISERROR(FIND(""Plinth"",A195))=FALSE,((B195/1000)*(C195/1000))+(((C195/1000)*0.018)*2)+(((B195/100"&amp;"0)*0.018)*2),IF(ISERROR(FIND(""Cornice"",A195))=FALSE,(((C195/1000)*0.1)*2)+(((C195/1000)*0.044)*2)+(((B195/1000)*0.08)*2),IF(ISERROR(FIND(""Base end panel"",A195))=FALSE,((B195/1000)*(C195/1000))+(0.022*((B195/1000)+((C195/1000)*2)))+((B195/1000)*0.05),I"&amp;"F(ISERROR(FIND(""Wall end panel"",A195))=FALSE,((B195/1000)*(C195/1000))+(0.022*((B195/1000)+((C195/1000)*2)))+((B195/1000)*0.05),IF(ISERROR(FIND(""Tower end panel"",A195))=FALSE,((B195/1000)*(C195/1000))+(0.022*((B195/1000)+((C195/1000)*2)))+((B195/1000)"&amp;"*0.05),IF(ISERROR(FIND(""Fillers"",A195))=FALSE,((C195/1000)*0.06)+((C195/1000)*0.069)+((0.06*0.018)*2)+((0.06*0.009)*2)+((C195/1000)*0.009)+((C195/1000)*0.018),IF(ISERROR(FIND(""corner post"",A195))=FALSE,(((B195/1000*0.05)*2)+((B195/1000)*0.022)*2)+((B1"&amp;"95/1000)*0.072)+((B195/1000)*0.05)+((0.072*0.022)*2)+((0.05*0.022)*2),IF(ISERROR(FIND(""Pelmet"",A195))=FALSE,((C195/1000)*0.05)+((C195/1000)*0.068)+((0.05*0.018)*4)+(((C195/1000)*0.018))*2))))))))))))))))))))))))))))"),"")</f>
        <v/>
      </c>
      <c r="N195" s="152" t="str">
        <f>IF(M195="","",IF(AND(ISERROR(FIND("carcass",A195))=TRUE,ISERROR(FIND("unit",A195))=TRUE,ISERROR(FIND("insert",A195))=TRUE,ISERROR(FIND("rack",A195))=TRUE,ISERROR(FIND("box",A195))=TRUE,ISERROR(FIND("shelf",#REF!))=TRUE),VLOOKUP(KitchenDoorFinish,Finishing!$A$2:$K$10,9,0)*M195,VLOOKUP(KitchenCarcassFinish,Finishing!$A$2:$K$40,9,0)*M195))</f>
        <v/>
      </c>
      <c r="O195" s="155"/>
      <c r="P195" s="155"/>
      <c r="Q195" s="152" t="str">
        <f>IF(OR(O195="",P195=""),"",((O195*X195)*(VLOOKUP("Workshop",Labour!$A$3:$E$20,4,0)/8))+((P195*AE195)*(VLOOKUP("Finishing",Labour!$A$3:$E$20,4,0)/8)))</f>
        <v/>
      </c>
      <c r="R195" s="152" t="str">
        <f t="shared" si="4"/>
        <v/>
      </c>
      <c r="S195" s="156" t="str">
        <f>IF(OR(O195="",P195=""),"",IF(OR(ISERROR(FIND("carcass",$A195))=FALSE,ISERROR(FIND("unit",$A195))=FALSE),VLOOKUP(KitchenCarcassMaterial,FixedListsCarcassMaterial,2,0),0))</f>
        <v/>
      </c>
      <c r="T195" s="156" t="str">
        <f>IF(OR(O195="",P195=""),"",IF(ISERROR(FIND("door",$A195))=FALSE,VLOOKUP(KitchenDoorStyle,FixedListsDoorStyle,2,0),0))</f>
        <v/>
      </c>
      <c r="U195" s="156" t="str">
        <f>IF(OR(O195="",P195=""),"",IF(ISERROR(FIND("door",$A195))=FALSE,VLOOKUP(KitchenDoorMaterial,FixedListsDoorMaterial,2,0),0))</f>
        <v/>
      </c>
      <c r="V195" s="156" t="str">
        <f>IF(OR(O195="",P195=""),"",IF(ISERROR(FIND("drawer",$A195))=FALSE,VLOOKUP(KitchenDrawerType,FixedListsDrawerType,2,0),0))</f>
        <v/>
      </c>
      <c r="W195" s="156" t="str">
        <f>IF(OR(O195="",P195=""),"",IF(OR(S195&gt;0, T195&gt;0,V195&gt;0),VLOOKUP(KitchenHandleType,FixedListsHandleType,2,FALSE)*IF(KitchenHandleType="Simple",0,IF(S195&gt;0,VLOOKUP(KitchenHandleType,FixedListsHandleType,4,FALSE),IF(OR(T195&gt;0,V195&gt;0),1-VLOOKUP(KitchenHandleType,FixedListsHandleType,4,FALSE),"Error"))),0))</f>
        <v/>
      </c>
      <c r="X195" s="156" t="str">
        <f t="shared" si="5"/>
        <v/>
      </c>
      <c r="Y195" s="156" t="str">
        <f>IF(OR(O195="",P195=""),"",IF(OR(ISERROR(FIND("carcass",$A195))=FALSE,ISERROR(FIND("unit",$A195))=FALSE),VLOOKUP(KitchenCarcassMaterial,FixedListsCarcassMaterial,3,0),0))</f>
        <v/>
      </c>
      <c r="Z195" s="156" t="str">
        <f>IF(OR(O195="",P195=""),"",IF(ISERROR(FIND("door",$A195))=FALSE,VLOOKUP(KitchenDoorStyle,FixedListsDoorStyle,3,0),0))</f>
        <v/>
      </c>
      <c r="AA195" s="156" t="str">
        <f>IF(OR(O195="",P195=""),"",IF(ISERROR(FIND("door",$A195))=FALSE,VLOOKUP(KitchenDoorMaterial,FixedListsDoorMaterial,3,0),0))</f>
        <v/>
      </c>
      <c r="AB195" s="156" t="str">
        <f>IF(OR(O195="",P195=""),"",IF(ISERROR(FIND("drawer",$A195))=FALSE,VLOOKUP(KitchenDrawerType,FixedListsDrawerType,3,0),0))</f>
        <v/>
      </c>
      <c r="AC195" s="156" t="str">
        <f>IF(OR(O195="",P195=""),"",IF(OR(Y195&gt;0,Z195&gt;0,AB195&gt;0),VLOOKUP(KitchenHandleType,FixedListsHandleType,3,FALSE),0))</f>
        <v/>
      </c>
      <c r="AD195" s="156" t="str">
        <f>IF(OR(O195="",P195=""),"",IF(OR(ISERROR(FIND("carcass",$A195))=FALSE,ISERROR(FIND("unit",$A195))=FALSE),VLOOKUP(KitchenCarcassFinish,FixedListsFinishes,3,0),IF(OR(ISERROR(FIND("door",$A195))=FALSE,ISERROR(FIND("Plinth",$A195))=FALSE,ISERROR(FIND("Cornice",$A195))=FALSE,ISERROR(FIND("Fillers",$A195))=FALSE,ISERROR(FIND("Pelmet",$A195))=FALSE,ISERROR(FIND("panel",$A195))=FALSE,ISERROR(FIND("post",$A195))=FALSE),VLOOKUP(KitchenDoorFinish,FixedListsFinishes,3,0),IF(OR(ISERROR(FIND("drawer",$A195))=FALSE,ISERROR(FIND("insert",$A195))=FALSE,ISERROR(FIND("rck",$A195))=FALSE),VLOOKUP(KitchenCarcassFinish,FixedListsFinishes,3,0),0))))</f>
        <v/>
      </c>
      <c r="AE195" s="156" t="str">
        <f t="shared" si="6"/>
        <v/>
      </c>
      <c r="AF195" s="157" t="str">
        <f>IF(AND(KitchenHandleType="Channel",OR(ISERROR(FIND("arcass",$A195))=FALSE,ISERROR(FIND("unit",$A195))=FALSE)),IF(ISERROR(FIND("Tower",$A195))=TRUE,IF(KitchenHandleFinish="Match carcass",IF(ISERROR(FIND("Walnut",KitchenCarcassMaterial))=FALSE,(0.035*0.075*($C195/1000))*VLOOKUP("Walnut (solid m3)",SolidData,4,FALSE),IF(ISERROR(FIND("Oak",KitchenCarcassMaterial))=FALSE,(0.035*0.075*($C195/1000))*VLOOKUP("Oak (solid m3)",SolidData,4,FALSE),IF(ISERROR(FIND("ply",KitchenCarcassMaterial))=FALSE,(0.1*($C195/1000))*VLOOKUP("Birch ply (24mm)",SheetsData,7,FALSE),IF(ISERROR(FIND("H/F",KitchenCarcassMaterial))=FALSE,(0.1*($C195/1000))*VLOOKUP("H/F (22mm)",SheetsData,7,FALSE),"Carcass - not tower - new material")))),IF(KitchenHandleFinish="Match door",IF(ISERROR(FIND("Walnut",KitchenDoorMaterial))=FALSE,(0.035*0.075*($C195/1000))*VLOOKUP("Walnut (solid m3)",SolidData,4,FALSE),IF(ISERROR(FIND("Oak",KitchenDoorMaterial))=FALSE,(0.035*0.075*($C195/1000))*VLOOKUP("Oak (solid m3)",SolidData,4,FALSE),IF(ISERROR(FIND("ply",KitchenDoorMaterial))=FALSE,(0.1*($C195/1000))*VLOOKUP("Birch ply (24mm)",SheetsData,7,FALSE),IF(ISERROR(FIND("H/F",KitchenCarcassMaterial))=FALSE,(0.1*($C195/1000))*VLOOKUP("H/F (22mm)",SheetsData,7,FALSE),"Door - not tower - new material")))),"Channel - not tower - handle set to other")),IF(ISERROR(FIND("Tower",$A195))=FALSE,IF(KitchenHandleFinish="Match carcass",IF(ISERROR(FIND("Walnut",KitchenCarcassMaterial))=FALSE,(0.035*0.075*($B195/1000))*VLOOKUP("Walnut (solid m3)",SolidData,4,FALSE),IF(ISERROR(FIND("Oak",KitchenCarcassMaterial))=FALSE,(0.035*0.075*($B195/1000))*VLOOKUP("Oak (solid m3)",SolidData,4,FALSE),IF(ISERROR(FIND("ply",KitchenCarcassMaterial))=FALSE,(0.1*($B195/1000))*VLOOKUP("Birch ply (24mm)",SheetsData,7,FALSE),IF(ISERROR(FIND("H/F",KitchenCarcassMaterial))=FALSE,(0.1*($C195/1000))*VLOOKUP("H/F (22mm)",SheetsData,7,FALSE),"Carcass - tower - new material")))),IF(KitchenHandleFinish="Match door",IF(ISERROR(FIND("Walnut",KitchenDoorMaterial))=FALSE,(0.035*0.075*($B195/1000))*VLOOKUP("Walnut (solid m3)",SolidData,4,FALSE),IF(ISERROR(FIND("Oak",KitchenDoorMaterial))=FALSE,(0.035*0.075*($B195/1000))*VLOOKUP("Oak (solid m3)",SolidData,4,FALSE),IF(ISERROR(FIND("ply",KitchenDoorMaterial))=FALSE,(0.1*($B195/1000))*VLOOKUP("Birch ply (24mm)",SheetData,7,FALSE),IF(ISERROR(FIND("H/F",KitchenCarcassMaterial))=FALSE,(0.1*($C195/1000))*VLOOKUP("H/F (22mm)",SheetsData,7,FALSE),"Door - tower - new material")))),"Channel - tower - handle set to other")))),"")</f>
        <v/>
      </c>
    </row>
    <row r="196">
      <c r="A196" s="150"/>
      <c r="B196" s="115" t="str">
        <f t="shared" si="1"/>
        <v/>
      </c>
      <c r="C196" s="115" t="str">
        <f>IFERROR(__xludf.DUMMYFUNCTION("IF(A196="""","""",IF(OR(RIGHT(A196,LEN(A196)-len(regexextract(A196,"".* "")))=""1200"",RIGHT(A196,LEN(A196)-len(regexextract(A196,"".* "")))=""600"",RIGHT(A196,LEN(A196)-len(regexextract(A196,"".* "")))=""400"",RIGHT(A196,LEN(A196)-len(regexextract(A196,"&amp;""".* "")))=""300"",RIGHT(A196,LEN(A196)-len(regexextract(A196,"".* "")))=""700"",RIGHT(A196,LEN(A196)-len(regexextract(A196,"".* "")))=""2400"",RIGHT(A196,LEN(A196)-len(regexextract(A196,"".* "")))=""650"",RIGHT(A196,LEN(A196)-len(regexextract(A196,"".* "&amp;""")))=""350"",RIGHT(A196,LEN(A196)-len(regexextract(A196,"".* "")))=""50""),RIGHT(A196,LEN(A196)-len(regexextract(A196,"".* ""))),IF(OR(ISERROR(FIND(""spacer"",A196))=FALSE,ISERROR(FIND(""filler panel"",A196))=FALSE),""1000"",""Unexpected size in descript"&amp;"ion"")))"),"")</f>
        <v/>
      </c>
      <c r="D196" s="151" t="str">
        <f t="shared" si="2"/>
        <v/>
      </c>
      <c r="E196" s="152" t="str">
        <f>IFERROR(__xludf.DUMMYFUNCTION("IF(OR(A196="""",AND(ISERROR(FIND(""drawer box"",A196))=FALSE,KitchenDrawerType="""")),"""",IF(OR(ISERROR(FIND(""larder"",A196))=FALSE,ISERROR(FIND(""fridge/freezer"",A196))=FALSE,ISERROR(FIND(""double oven"",A196))=FALSE,ISERROR(FIND(""single oven"",A196)"&amp;")=FALSE),VLOOKUP(LEFT(A196,FIND("" "",A196))&amp;""carcass ""&amp;RIGHT(A196,LEN(A196)-(LEN(A196)-3)),KitchensData,5,0),IF(ISERROR(FIND(""sink"",A196))=FALSE,VLOOKUP(LEFT(A196,FIND("" "",A196))&amp;""carcass ""&amp;VALUE(REGEXREPLACE(A196,""[^[:digit:]]"", """")),Kitchen"&amp;"sData,5,0)+(((C196/1000)*(300/1000))*VLOOKUP(KitchenCarcassMaterial,SheetsData,8,0)),IF(ISERROR(FIND(""bins"",A196))=FALSE,IF(ISERROR(FIND(""veneer"",KitchenCarcassMaterial))=FALSE,VLOOKUP(""Base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600"",A196))=FALSE,IF(ISERR"&amp;"OR(FIND(""veneer"",KitchenCarcassMaterial))=FALSE,0.54*(VLOOKUP(LEFT(KitchenCarcassMaterial,FIND(""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1"&amp;"200"",A196))=FALSE,IF(ISERROR(FIND(""veneer"",KitchenCarcassMaterial))=FALSE,0.84*(VLOOKUP(LEFT(KitchenCarcassMaterial,FIND(""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600"",A196))=FALSE,IF(ISERROR(FIND(""veneer"",KitchenCarcassMaterial))=FALSE,1.44*(VLOOKUP(LEFT(KitchenCarcassMaterial,FIND(""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1200"",A196))=FALSE,IF(ISERROR(FIND(""veneer"",KitchenCarcassMaterial))=FALSE,2.7*(VLOOKUP(LEFT(KitchenCarcassMaterial,FIND(""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front"",A196))=FALSE,((B196/1000)*(C196/1000))*VLOOKUP(KitchenDoorMaterial,SheetsData,8,0),IF(AND(KitchenDrawerType=""Match carcass"",ISERROR(FIND(""drawer box"",A196))=FALSE),(((((B196/10"&amp;"00)*(C196/1000))+((B196/1000)*(D196/1000)))*2)*VLOOKUP(KitchenCarcassMaterial,SheetsData,8,0))+(((C196/1000)*(D196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box"",A196))=FALSE),(((((B196/1000)*(C196/1000))+((B196/1000)*(D196/1000)))*2)*(16/1000)*VLOOKUP(L"&amp;"EFT(KitchenCarcassMaterial,FIND("" "",KitchenCarcassMaterial))&amp;""(solid m3)"",SolidData,5,0))+(((C196/1000)*(D196/1000))*VLOOKUP(LEFT(KitchenCarcassMaterial,FIND(""("",KitchenCarcassMaterial)-1)&amp;IF(OR(ISERROR(FIND(""ply"",KitchenCarcassMaterial))=FALSE,IS"&amp;"ERROR(FIND(""H/F"",KitchenCarcassMaterial))=FALSE),""(9mm)"",""(10mm)""),SheetsData,8,0)),IF(ISERROR(FIND(""spacer"",A196))=FALSE,((D196/1000)*(C196/1000))*VLOOKUP(""Poplar ply (18mm)"",SheetsData,8,0),IF(ISERROR(FIND(""filler panel"",A196))=FALSE,((B196/"&amp;"1000)*(C196/1000))*VLOOKUP(KitchenDoorMaterial,SheetsData,8,0),IF(ISERROR(FIND(""shelf"",A196))=FALSE,((D196/1000)*(C196/1000))*VLOOKUP(KitchenCarcassMaterial,SheetsData,8,0),IF(ISERROR(FIND(""lost corner"",A196))=FALSE,VLOOKUP(LEFT(A196,FIND("" "",A196))"&amp;"&amp;""carcass ""&amp;VALUE(REGEXREPLACE(A196,""[^[:digit:]]"", """")),KitchensData,5,0)+((((B196/1000)*(C196/1000))+((B196/1000)*(60/1000)))*VLOOKUP(KitchenCarcassMaterial,SheetsData,8,0)),IF(ISERROR(FIND(""carcass"",A196))=FALSE,(((((B196/1000)*2)*(D196/1000))+"&amp;"(((C196/1000)*2)*(D196/1000)))*VLOOKUP(KitchenCarcassMaterial,SheetsData,8,0))+((B196/1000)*(C196/1000))*VLOOKUP(LEFT(KitchenCarcassMaterial,FIND(""("",KitchenCarcassMaterial)-1)&amp;IF(OR(ISERROR(FIND(""ply"",KitchenCarcassMaterial))=FALSE,ISERROR(FIND(""H/F"&amp;""",KitchenCarcassMaterial))=FALSE),""(9mm)"",""(10mm)""),SheetsData,8,0),IF(OR(ISERROR(FIND(""Plinth"",A196))=FALSE,ISERROR(FIND(""Cornice (flat)"",A196))=FALSE),((B196/1000)*(C196/1000))*VLOOKUP(""H/F (18mm)"",SheetsData,8,0),IF(ISERROR(FIND(""Cornice (s"&amp;"tacked)"",A196))=FALSE,((0.08*(C196/1000))*2)*VLOOKUP(""H/F (22mm)"",SheetsData,8,0),IF(ISERROR(FIND(""Base end panel"",A196))=FALSE,VLOOKUP(KitchenDoorMaterial,SheetsData,5,0)/3,IF(ISERROR(FIND(""Wall end panel"",A196))=FALSE,VLOOKUP(KitchenDoorMaterial,"&amp;"SheetsData,5,0)/9,IF(ISERROR(FIND(""Tower end panel"",A196))=FALSE,VLOOKUP(KitchenDoorMaterial,SheetsData,5,0),IF(ISERROR(FIND(""Fillers"",A196))=FALSE,(((0.06*(C196/1000))*2)*VLOOKUP(""H/F (18mm)"",SheetsData,8,0))+(((0.06*(C196/1000))*2)*VLOOKUP(""H/F ("&amp;"9mm)"",SheetsData,8,0)),IF(ISERROR(FIND(""corner post"",A196))=FALSE,(((B196/1000)*0.05)*2)*VLOOKUP(KitchenDoorMaterial,SheetsData,8,0),IF(ISERROR(FIND(""Pelmet"",A196))=FALSE,((((B196/1000)*(C196/1000))*2)*VLOOKUP(""H/F (18mm)"",SheetsData,8,0)),IF(ISERR"&amp;"OR(FIND(""door"",A196))=TRUE,""Check description"",IF(KitchenDoorStyle=""Flat"",((B196/1000)*(C196/1000))*VLOOKUP(KitchenDoorMaterial,SheetsData,8,0),IF(LEFT(KitchenDoorStyle,5)=""Panel"",(((((B196/1000)*2)*0.08)+((((C196/1000)-0.16)*2)*0.08))*VLOOKUP(""H"&amp;"/F (22mm)"",SheetsData,8,0))+(((B196/1000)-0.14)*((C196/1000)-0.14)*VLOOKUP(""H/F (9mm)"",SheetsData,8,0)),IF(KitchenDoorStyle=""In-frame flat"",((((((B196/1000)*0.019)*0.038)+((((C196-38)/1000)*0.038)*0.038))*2)*VLOOKUP(""Tulip (solid m3)"",SolidData,5,0"&amp;"))+(((B196-76)/1000)*((C196-38)/1000))*VLOOKUP(""H/F (22mm)"",SheetsData,8,0),IF(LEFT(KitchenDoorStyle,14)=""In-frame panel"",(((((((B196/1000)*0.019)*0.038)+((((C196-38)/1000)*0.038)*0.038))*2)*VLOOKUP(""Tulip (solid m3)"",SolidData,5,0))+(((((((B196-76)"&amp;"/1000)*2)*0.08)+(((((C196-198)/1000)*2)*0.08)))*VLOOKUP(""H/F (22mm)"",SheetsData,8,0))+(((B196-216)/1000)*((C196-178)/1000)*VLOOKUP(""H/F (9mm)"",SheetsData,8,0)))))))))))))))))))))))))))))))))"),"")</f>
        <v/>
      </c>
      <c r="F196" s="152" t="str">
        <f>IFERROR(__xludf.DUMMYFUNCTION("IF(OR(A196="""",AND(ISERROR(FIND(""drawer box"",A196))=FALSE,KitchenDrawerType=""Solid dovetail"")),"""",IF(ISERROR(FIND(""bins"",A196))=FALSE,VLOOKUP(""Base carcass 600"",KitchensData,6,0),IF(OR(ISERROR(FIND(""larder"",A196))=FALSE,ISERROR(FIND(""unit"","&amp;"A196))=FALSE),VLOOKUP(LEFT(A196,FIND("" "",A196))&amp;""carcass ""&amp;RIGHT(A196,LEN(A196)-len(regexextract(A196,"".* ""))),KitchensData,6,0),IF(ISERROR(FIND(""drawer front"",A196))=FALSE,IF(ISERROR(FIND(""veneer"",KitchenCarcassMaterial))=TRUE,0,(((B196+C196)/1"&amp;"000)*2)*VLOOKUP(""Edge banding (per M)"",SheetsData,5,0)),IF(ISERROR(FIND(""drawer box"",A196))=FALSE,IF(ISERROR(FIND(""veneer"",KitchenCarcassMaterial))=TRUE,0,(((C196+D196)/1000)*2)*VLOOKUP(""Edge banding (per M)"",SheetsData,5,0)),IF(ISERROR(FIND(""she"&amp;"lf"",A196))=FALSE,IF(ISERROR(FIND(""veneer"",KitchenCarcassMaterial))=TRUE,0,(C196/1000)*VLOOKUP(""Edge banding (per M)"",SheetsData,5,0)),IF(AND(ISERROR(FIND(""carcass"",A196))=FALSE,ISERROR(FIND(""shelf"",A196))=TRUE),IF(ISERROR(FIND(""veneer"",KitchenC"&amp;"arcassMaterial))=TRUE,0,((2*(B196+C196))/1000)*VLOOKUP(""Edge banding (per M)"",SheetsData,5,0)),IF(ISERROR(FIND(""door"",A196))=TRUE,"""",IF(ISERROR(FIND(""veneer"",KitchenDoorMaterial))=TRUE,"""",((2*(B196+C196))/1000)*VLOOKUP(""Edge banding (per M)"",S"&amp;"heetsData,5,0))))))))))"),"")</f>
        <v/>
      </c>
      <c r="G196" s="153" t="str">
        <f>IF(A196="","",IF(ISERROR(FIND("bins",A196))=FALSE,VLOOKUP("Base carcass 600",KitchensData,7,0),IF(OR(ISERROR(FIND("larder",A196))=FALSE,ISERROR(FIND("fridge/freezer",A196))=FALSE,ISERROR(FIND("double oven",A196))=FALSE,ISERROR(FIND("single oven",A196))=FALSE),VLOOKUP(LEFT(A196,FIND(" ",A196))&amp;"carcass "&amp;RIGHT(A196,LEN(A196)-(LEN(A196)-3)),KitchensData,7,0),IF(AND(ISERROR(FIND("carcass",A196))=FALSE,ISERROR(FIND("shelf",A196))=TRUE),IF(OR(ISERROR(FIND("Base",A196))=FALSE,ISERROR(FIND("Tower",A196))=FALSE),IF(OR(ISERROR(FIND("1200",A196))=FALSE, ISERROR(FIND("lost corner",A196))=FALSE),6*VLOOKUP("Plinth foot (2 Parts 80mm)",FurnitureData,5,0),4*VLOOKUP("Plinth foot (2 Parts 80mm)",FurnitureData,5,0)),""),""))))</f>
        <v/>
      </c>
      <c r="H196" s="115" t="str">
        <f>IF(OR(A196="",ISERROR(FIND("door",A196))=TRUE),"",IF(ISERROR(FIND("Wall",A196))=FALSE,VLOOKUP("Hinges &amp; plates (Hettich thick door)",FurnitureData,5,0)*2,IF(ISERROR(FIND("Base",A196))=FALSE,VLOOKUP("Hinges &amp; plates (Hettich thick door)",FurnitureData,5,0)*3,IF(ISERROR(FIND("Boiler",A196))=FALSE,VLOOKUP("Hinges &amp; plates (Hettich thick door)",FurnitureData,5,0)*4,IF(ISERROR(FIND("Tower",A196))=FALSE,VLOOKUP("Hinges &amp; plates (Hettich thick door)",FurnitureData,5,0)*5)))))</f>
        <v/>
      </c>
      <c r="I196" s="115" t="str">
        <f>IF(ISERROR(FIND("shelf",A196))=FALSE,(VLOOKUP("Shelf pegs",FurnitureData,5,0)/100)*4,"")</f>
        <v/>
      </c>
      <c r="J196" s="152" t="str">
        <f>IF(OR(ISERROR(FIND("fridge/freezer",A196))=FALSE,ISERROR(FIND("larder",A196))=FALSE,AND(ISERROR(FIND("Base",A196))=FALSE,ISERROR(FIND("bins",A196))=TRUE,ISERROR(FIND("no shelves",A196))=TRUE,OR(ISERROR(FIND("carcass",A196))=FALSE,ISERROR(FIND("unit",A196))=FALSE))),VLOOKUP("Deep shelf "&amp;C196,KitchensData,18,0),IF(AND(ISERROR(FIND("Wall",A196))=FALSE,ISERROR(FIND("carcass",A196))=FALSE),2*VLOOKUP("Shallow shelf "&amp;C196,KitchensData,18,0),IF(AND(ISERROR(FIND("Tower",A196))=FALSE,ISERROR(FIND("oven",A196))=FALSE),4*VLOOKUP("Deep shelf "&amp;C196,KitchensData,18,0),IF(AND(ISERROR(FIND("Tower",A196))=FALSE,ISERROR(FIND("carcass",A196))=FALSE),5*VLOOKUP("Deep shelf "&amp;C196,KitchensData,18,0),""))))</f>
        <v/>
      </c>
      <c r="K196" s="152" t="str">
        <f>IF(ISERROR(FIND("sink",A196))=FALSE,VLOOKUP("Sink liner - Aluminium "&amp;RIGHT(A196,LEN(A196)-22)&amp;"mm",ExceptionalData,5,0),IF(ISERROR(FIND("bins",A196))=FALSE,VLOOKUP("Drawer runners and clip set for bin unit (500) Dynapro",FurnitureData,5,0)+(2*VLOOKUP("Bin (42L Anthracite)",FurnitureData,5,0)),IF(ISERROR(FIND("larder",A196))=FALSE,VLOOKUP("Pull out larder unit 600mm",FurnitureData,5,0),IF(AND(ISERROR(FIND("drawer box",A196))=FALSE,ISERROR(FIND("internal",A196))=TRUE),VLOOKUP("Drawer runners and clip set (550) Dynapro",FurnitureData,5,0),IF(ISERROR(FIND("internal drawer box",A196))=FALSE,VLOOKUP("Drawer runners and clip set (450) Dynapro",FurnitureData,5,0),"")))))</f>
        <v/>
      </c>
      <c r="L196" s="152" t="str">
        <f t="shared" si="3"/>
        <v/>
      </c>
      <c r="M196" s="154" t="str">
        <f>IFERROR(__xludf.DUMMYFUNCTION("IF(A196="""","""",IF(OR(ISERROR(FIND(""larder"",A196))=FALSE,ISERROR(FIND(""unit"",A196))=FALSE),VLOOKUP(LEFT(A196,FIND("" "",A196))&amp;""carcass ""&amp;RIGHT(A196,LEN(A196)-len(regexextract(A196,"".* ""))),KitchensData,13,0),IF(ISERROR(FIND(""bins"",A196))=FALS"&amp;"E,0.95,IF(ISERROR(FIND(""Cutlery insert 600"",A196))=FALSE,1.3,IF(ISERROR(FIND(""Cutlery insert 1200"",A196))=FALSE,2,IF(ISERROR(FIND(""Pan/tray rack 600"",A196))=FALSE,3.25,IF(ISERROR(FIND(""Pan/tray rack 1200"",A196))=FALSE,5.9,IF(ISERROR(FIND(""split"""&amp;",A196))=FALSE,(((C196/1000)*0.022)*2)+VLOOKUP(SUBSTITUTE(A196,"" split"",""""),KitchensData,13,0),IF(AND(ISERROR(FIND(""drawer front"",A196))=FALSE,KitchenDoorStyle=""Flat""),(((B196/1000)*(C196/1000))*2)+((((B196+C196)/1000)*2)*0.022),IF(AND(ISERROR(FIND"&amp;"(""drawer front"",A196))=FALSE,LEFT(KitchenDoorStyle,5)=""Panel""),(((B196/1000)*(C196/1000))*2)+((((B196+C196)/1000)*2)*0.022)+((((C196/1000)-0.16)*0.013)*2)+((((D196/1000)-0.16)*0.013)*2),IF(AND(ISERROR(FIND(""drawer front"",A196))=FALSE,KitchenDoorStyl"&amp;"e=""In-frame flat""),((((B196-76)/1000)*((C196-38)/1000))*2)+(MID(KitchenDoorMaterial,FIND(""("",KitchenDoorMaterial)+1,2)/1000)*((((B196-76)+(C196-38))/1000)*2)+(((B196/1000)*0.032)*2)+((((B196-76)/1000)*0.032)*2)+(((B196/1000)*0.019)*4)+(((C196/1000)*0."&amp;"032)*2)+((((C196-38)/1000)*0.032)*2)+(((C196/1000)*0.038)*4),IF(AND(ISERROR(FIND(""drawer front"",A196))=FALSE,LEFT(KitchenDoorStyle,14)=""In-frame panel""),((((B196-76)/1000)*((C196-38)/1000))*2)+((MID(KitchenDoorMaterial,FIND(""("",KitchenDoorMaterial)+"&amp;"1,2)/1000)*((((B196-76)+(C196-38))/1000)*2))+((((B196-236)/1000)+((C196-198)/1000)*2)*0.013)+(((B196/1000)*0.032)*2)+((((B196-76)/1000)*0.032)*2)+(((B196/1000)*0.019)*4)+(((C196/1000)*0.032)*2)+((((C196-38)/1000)*0.032)*2)+(((C196/1000)*0.038)*4),IF(ISERR"&amp;"OR(FIND(""drawer box"",A196))=FALSE,((((B196/1000)*(D196/1000))+((B196/1000)*(C196/1000)))*4)+((((D196/1000)+(C196/1000))*0.016)*4)+(((C196/1000)*(D196/1000))*2),IF(OR(ISERROR(FIND(""shelf"",A196))=FALSE,ISERROR(FIND(""spacer"",A196))=FALSE,,ISERROR(FIND("&amp;"""filler panel"",A196))=FALSE),(((C196/1000)*(D196/1000))*2)+((((C196+D196)*2)/1000)*0.022),IF(ISERROR(FIND(""lost corner"",A196))=FALSE,(((B196/1000)*(C196/1000))*2)+((B196/1000)*(C196/1000))+((B196/1000)*((C196/2)/1000))+((((B196/1000)*0.025)+((C196/100"&amp;"0)*0.025))*2),IF(ISERROR(FIND(""carcass"",A196))=FALSE,(((C196/1000)*(D196/1000))*2)+(((B196/1000)*(D196/1000))*2)+((B196/1000)*(C196/1000))+((((B196/1000)*0.025)+((C196/1000)*0.025))*2),IF(AND(ISERROR(FIND(""door"",A196))=FALSE,KitchenDoorStyle=""Flat"")"&amp;",(((B196/1000)*(C196/1000))*2)+(MID(KitchenDoorMaterial,FIND(""("",KitchenDoorMaterial)+1,2)/1000)*(((B196+C196)/1000)*2),IF(AND(ISERROR(FIND(""door"",A196))=FALSE,LEFT(KitchenDoorStyle,5)=""Panel""),(((B196/1000)*(C196/1000))*2)+((MID(KitchenDoorMaterial"&amp;",FIND(""("",KitchenDoorMaterial)+1,2)/1000)*(((B196+C196)/1000)*2))+(((((B196-160)+(C196-160))*2)/1000)*(0.013)),IF(AND(ISERROR(FIND(""door"",A196))=FALSE,KitchenDoorStyle=""In-frame flat""),((((B196-76)/1000)*((C196-38)/1000))*2)+(MID(KitchenDoorMaterial"&amp;",FIND(""("",KitchenDoorMaterial)+1,2)/1000)*((((B196-76)+(C196-38))/1000)*2)+(((B196/1000)*0.032)*2)+((((B196-76)/1000)*0.032)*2)+(((B196/1000)*0.019)*4)+(((C196/1000)*0.032)*2)+((((C196-38)/1000)*0.032)*2)+(((C196/1000)*0.038)*4),IF(AND(ISERROR(FIND(""do"&amp;"or"",A196))=FALSE,LEFT(KitchenDoorStyle,14)=""In-frame panel""),((((B196-76)/1000)*((C196-38)/1000))*2)+((MID(KitchenDoorMaterial,FIND(""("",KitchenDoorMaterial)+1,2)/1000)*((((B196-76)+(C196-38))/1000)*2))+((((B196-236)/1000)+((C196-198)/1000)*2)*0.013)+"&amp;"(((B196/1000)*0.032)*2)+((((B196-76)/1000)*0.032)*2)+(((B196/1000)*0.019)*4)+(((C196/1000)*0.032)*2)+((((C196-38)/1000)*0.032)*2)+(((C196/1000)*0.038)*4),IF(ISERROR(FIND(""Plinth"",A196))=FALSE,((B196/1000)*(C196/1000))+(((C196/1000)*0.018)*2)+(((B196/100"&amp;"0)*0.018)*2),IF(ISERROR(FIND(""Cornice"",A196))=FALSE,(((C196/1000)*0.1)*2)+(((C196/1000)*0.044)*2)+(((B196/1000)*0.08)*2),IF(ISERROR(FIND(""Base end panel"",A196))=FALSE,((B196/1000)*(C196/1000))+(0.022*((B196/1000)+((C196/1000)*2)))+((B196/1000)*0.05),I"&amp;"F(ISERROR(FIND(""Wall end panel"",A196))=FALSE,((B196/1000)*(C196/1000))+(0.022*((B196/1000)+((C196/1000)*2)))+((B196/1000)*0.05),IF(ISERROR(FIND(""Tower end panel"",A196))=FALSE,((B196/1000)*(C196/1000))+(0.022*((B196/1000)+((C196/1000)*2)))+((B196/1000)"&amp;"*0.05),IF(ISERROR(FIND(""Fillers"",A196))=FALSE,((C196/1000)*0.06)+((C196/1000)*0.069)+((0.06*0.018)*2)+((0.06*0.009)*2)+((C196/1000)*0.009)+((C196/1000)*0.018),IF(ISERROR(FIND(""corner post"",A196))=FALSE,(((B196/1000*0.05)*2)+((B196/1000)*0.022)*2)+((B1"&amp;"96/1000)*0.072)+((B196/1000)*0.05)+((0.072*0.022)*2)+((0.05*0.022)*2),IF(ISERROR(FIND(""Pelmet"",A196))=FALSE,((C196/1000)*0.05)+((C196/1000)*0.068)+((0.05*0.018)*4)+(((C196/1000)*0.018))*2))))))))))))))))))))))))))))"),"")</f>
        <v/>
      </c>
      <c r="N196" s="152" t="str">
        <f>IF(M196="","",IF(AND(ISERROR(FIND("carcass",A196))=TRUE,ISERROR(FIND("unit",A196))=TRUE,ISERROR(FIND("insert",A196))=TRUE,ISERROR(FIND("rack",A196))=TRUE,ISERROR(FIND("box",A196))=TRUE,ISERROR(FIND("shelf",#REF!))=TRUE),VLOOKUP(KitchenDoorFinish,Finishing!$A$2:$K$10,9,0)*M196,VLOOKUP(KitchenCarcassFinish,Finishing!$A$2:$K$40,9,0)*M196))</f>
        <v/>
      </c>
      <c r="O196" s="155"/>
      <c r="P196" s="155"/>
      <c r="Q196" s="152" t="str">
        <f>IF(OR(O196="",P196=""),"",((O196*X196)*(VLOOKUP("Workshop",Labour!$A$3:$E$20,4,0)/8))+((P196*AE196)*(VLOOKUP("Finishing",Labour!$A$3:$E$20,4,0)/8)))</f>
        <v/>
      </c>
      <c r="R196" s="152" t="str">
        <f t="shared" si="4"/>
        <v/>
      </c>
      <c r="S196" s="156" t="str">
        <f>IF(OR(O196="",P196=""),"",IF(OR(ISERROR(FIND("carcass",$A196))=FALSE,ISERROR(FIND("unit",$A196))=FALSE),VLOOKUP(KitchenCarcassMaterial,FixedListsCarcassMaterial,2,0),0))</f>
        <v/>
      </c>
      <c r="T196" s="156" t="str">
        <f>IF(OR(O196="",P196=""),"",IF(ISERROR(FIND("door",$A196))=FALSE,VLOOKUP(KitchenDoorStyle,FixedListsDoorStyle,2,0),0))</f>
        <v/>
      </c>
      <c r="U196" s="156" t="str">
        <f>IF(OR(O196="",P196=""),"",IF(ISERROR(FIND("door",$A196))=FALSE,VLOOKUP(KitchenDoorMaterial,FixedListsDoorMaterial,2,0),0))</f>
        <v/>
      </c>
      <c r="V196" s="156" t="str">
        <f>IF(OR(O196="",P196=""),"",IF(ISERROR(FIND("drawer",$A196))=FALSE,VLOOKUP(KitchenDrawerType,FixedListsDrawerType,2,0),0))</f>
        <v/>
      </c>
      <c r="W196" s="156" t="str">
        <f>IF(OR(O196="",P196=""),"",IF(OR(S196&gt;0, T196&gt;0,V196&gt;0),VLOOKUP(KitchenHandleType,FixedListsHandleType,2,FALSE)*IF(KitchenHandleType="Simple",0,IF(S196&gt;0,VLOOKUP(KitchenHandleType,FixedListsHandleType,4,FALSE),IF(OR(T196&gt;0,V196&gt;0),1-VLOOKUP(KitchenHandleType,FixedListsHandleType,4,FALSE),"Error"))),0))</f>
        <v/>
      </c>
      <c r="X196" s="156" t="str">
        <f t="shared" si="5"/>
        <v/>
      </c>
      <c r="Y196" s="156" t="str">
        <f>IF(OR(O196="",P196=""),"",IF(OR(ISERROR(FIND("carcass",$A196))=FALSE,ISERROR(FIND("unit",$A196))=FALSE),VLOOKUP(KitchenCarcassMaterial,FixedListsCarcassMaterial,3,0),0))</f>
        <v/>
      </c>
      <c r="Z196" s="156" t="str">
        <f>IF(OR(O196="",P196=""),"",IF(ISERROR(FIND("door",$A196))=FALSE,VLOOKUP(KitchenDoorStyle,FixedListsDoorStyle,3,0),0))</f>
        <v/>
      </c>
      <c r="AA196" s="156" t="str">
        <f>IF(OR(O196="",P196=""),"",IF(ISERROR(FIND("door",$A196))=FALSE,VLOOKUP(KitchenDoorMaterial,FixedListsDoorMaterial,3,0),0))</f>
        <v/>
      </c>
      <c r="AB196" s="156" t="str">
        <f>IF(OR(O196="",P196=""),"",IF(ISERROR(FIND("drawer",$A196))=FALSE,VLOOKUP(KitchenDrawerType,FixedListsDrawerType,3,0),0))</f>
        <v/>
      </c>
      <c r="AC196" s="156" t="str">
        <f>IF(OR(O196="",P196=""),"",IF(OR(Y196&gt;0,Z196&gt;0,AB196&gt;0),VLOOKUP(KitchenHandleType,FixedListsHandleType,3,FALSE),0))</f>
        <v/>
      </c>
      <c r="AD196" s="156" t="str">
        <f>IF(OR(O196="",P196=""),"",IF(OR(ISERROR(FIND("carcass",$A196))=FALSE,ISERROR(FIND("unit",$A196))=FALSE),VLOOKUP(KitchenCarcassFinish,FixedListsFinishes,3,0),IF(OR(ISERROR(FIND("door",$A196))=FALSE,ISERROR(FIND("Plinth",$A196))=FALSE,ISERROR(FIND("Cornice",$A196))=FALSE,ISERROR(FIND("Fillers",$A196))=FALSE,ISERROR(FIND("Pelmet",$A196))=FALSE,ISERROR(FIND("panel",$A196))=FALSE,ISERROR(FIND("post",$A196))=FALSE),VLOOKUP(KitchenDoorFinish,FixedListsFinishes,3,0),IF(OR(ISERROR(FIND("drawer",$A196))=FALSE,ISERROR(FIND("insert",$A196))=FALSE,ISERROR(FIND("rck",$A196))=FALSE),VLOOKUP(KitchenCarcassFinish,FixedListsFinishes,3,0),0))))</f>
        <v/>
      </c>
      <c r="AE196" s="156" t="str">
        <f t="shared" si="6"/>
        <v/>
      </c>
      <c r="AF196" s="157" t="str">
        <f>IF(AND(KitchenHandleType="Channel",OR(ISERROR(FIND("arcass",$A196))=FALSE,ISERROR(FIND("unit",$A196))=FALSE)),IF(ISERROR(FIND("Tower",$A196))=TRUE,IF(KitchenHandleFinish="Match carcass",IF(ISERROR(FIND("Walnut",KitchenCarcassMaterial))=FALSE,(0.035*0.075*($C196/1000))*VLOOKUP("Walnut (solid m3)",SolidData,4,FALSE),IF(ISERROR(FIND("Oak",KitchenCarcassMaterial))=FALSE,(0.035*0.075*($C196/1000))*VLOOKUP("Oak (solid m3)",SolidData,4,FALSE),IF(ISERROR(FIND("ply",KitchenCarcassMaterial))=FALSE,(0.1*($C196/1000))*VLOOKUP("Birch ply (24mm)",SheetsData,7,FALSE),IF(ISERROR(FIND("H/F",KitchenCarcassMaterial))=FALSE,(0.1*($C196/1000))*VLOOKUP("H/F (22mm)",SheetsData,7,FALSE),"Carcass - not tower - new material")))),IF(KitchenHandleFinish="Match door",IF(ISERROR(FIND("Walnut",KitchenDoorMaterial))=FALSE,(0.035*0.075*($C196/1000))*VLOOKUP("Walnut (solid m3)",SolidData,4,FALSE),IF(ISERROR(FIND("Oak",KitchenDoorMaterial))=FALSE,(0.035*0.075*($C196/1000))*VLOOKUP("Oak (solid m3)",SolidData,4,FALSE),IF(ISERROR(FIND("ply",KitchenDoorMaterial))=FALSE,(0.1*($C196/1000))*VLOOKUP("Birch ply (24mm)",SheetsData,7,FALSE),IF(ISERROR(FIND("H/F",KitchenCarcassMaterial))=FALSE,(0.1*($C196/1000))*VLOOKUP("H/F (22mm)",SheetsData,7,FALSE),"Door - not tower - new material")))),"Channel - not tower - handle set to other")),IF(ISERROR(FIND("Tower",$A196))=FALSE,IF(KitchenHandleFinish="Match carcass",IF(ISERROR(FIND("Walnut",KitchenCarcassMaterial))=FALSE,(0.035*0.075*($B196/1000))*VLOOKUP("Walnut (solid m3)",SolidData,4,FALSE),IF(ISERROR(FIND("Oak",KitchenCarcassMaterial))=FALSE,(0.035*0.075*($B196/1000))*VLOOKUP("Oak (solid m3)",SolidData,4,FALSE),IF(ISERROR(FIND("ply",KitchenCarcassMaterial))=FALSE,(0.1*($B196/1000))*VLOOKUP("Birch ply (24mm)",SheetsData,7,FALSE),IF(ISERROR(FIND("H/F",KitchenCarcassMaterial))=FALSE,(0.1*($C196/1000))*VLOOKUP("H/F (22mm)",SheetsData,7,FALSE),"Carcass - tower - new material")))),IF(KitchenHandleFinish="Match door",IF(ISERROR(FIND("Walnut",KitchenDoorMaterial))=FALSE,(0.035*0.075*($B196/1000))*VLOOKUP("Walnut (solid m3)",SolidData,4,FALSE),IF(ISERROR(FIND("Oak",KitchenDoorMaterial))=FALSE,(0.035*0.075*($B196/1000))*VLOOKUP("Oak (solid m3)",SolidData,4,FALSE),IF(ISERROR(FIND("ply",KitchenDoorMaterial))=FALSE,(0.1*($B196/1000))*VLOOKUP("Birch ply (24mm)",SheetData,7,FALSE),IF(ISERROR(FIND("H/F",KitchenCarcassMaterial))=FALSE,(0.1*($C196/1000))*VLOOKUP("H/F (22mm)",SheetsData,7,FALSE),"Door - tower - new material")))),"Channel - tower - handle set to other")))),"")</f>
        <v/>
      </c>
    </row>
    <row r="197">
      <c r="A197" s="150"/>
      <c r="B197" s="115" t="str">
        <f t="shared" si="1"/>
        <v/>
      </c>
      <c r="C197" s="115" t="str">
        <f>IFERROR(__xludf.DUMMYFUNCTION("IF(A197="""","""",IF(OR(RIGHT(A197,LEN(A197)-len(regexextract(A197,"".* "")))=""1200"",RIGHT(A197,LEN(A197)-len(regexextract(A197,"".* "")))=""600"",RIGHT(A197,LEN(A197)-len(regexextract(A197,"".* "")))=""400"",RIGHT(A197,LEN(A197)-len(regexextract(A197,"&amp;""".* "")))=""300"",RIGHT(A197,LEN(A197)-len(regexextract(A197,"".* "")))=""700"",RIGHT(A197,LEN(A197)-len(regexextract(A197,"".* "")))=""2400"",RIGHT(A197,LEN(A197)-len(regexextract(A197,"".* "")))=""650"",RIGHT(A197,LEN(A197)-len(regexextract(A197,"".* "&amp;""")))=""350"",RIGHT(A197,LEN(A197)-len(regexextract(A197,"".* "")))=""50""),RIGHT(A197,LEN(A197)-len(regexextract(A197,"".* ""))),IF(OR(ISERROR(FIND(""spacer"",A197))=FALSE,ISERROR(FIND(""filler panel"",A197))=FALSE),""1000"",""Unexpected size in descript"&amp;"ion"")))"),"")</f>
        <v/>
      </c>
      <c r="D197" s="151" t="str">
        <f t="shared" si="2"/>
        <v/>
      </c>
      <c r="E197" s="152" t="str">
        <f>IFERROR(__xludf.DUMMYFUNCTION("IF(OR(A197="""",AND(ISERROR(FIND(""drawer box"",A197))=FALSE,KitchenDrawerType="""")),"""",IF(OR(ISERROR(FIND(""larder"",A197))=FALSE,ISERROR(FIND(""fridge/freezer"",A197))=FALSE,ISERROR(FIND(""double oven"",A197))=FALSE,ISERROR(FIND(""single oven"",A197)"&amp;")=FALSE),VLOOKUP(LEFT(A197,FIND("" "",A197))&amp;""carcass ""&amp;RIGHT(A197,LEN(A197)-(LEN(A197)-3)),KitchensData,5,0),IF(ISERROR(FIND(""sink"",A197))=FALSE,VLOOKUP(LEFT(A197,FIND("" "",A197))&amp;""carcass ""&amp;VALUE(REGEXREPLACE(A197,""[^[:digit:]]"", """")),Kitchen"&amp;"sData,5,0)+(((C197/1000)*(300/1000))*VLOOKUP(KitchenCarcassMaterial,SheetsData,8,0)),IF(ISERROR(FIND(""bins"",A197))=FALSE,IF(ISERROR(FIND(""veneer"",KitchenCarcassMaterial))=FALSE,VLOOKUP(""Base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600"",A197))=FALSE,IF(ISERR"&amp;"OR(FIND(""veneer"",KitchenCarcassMaterial))=FALSE,0.54*(VLOOKUP(LEFT(KitchenCarcassMaterial,FIND(""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1"&amp;"200"",A197))=FALSE,IF(ISERROR(FIND(""veneer"",KitchenCarcassMaterial))=FALSE,0.84*(VLOOKUP(LEFT(KitchenCarcassMaterial,FIND(""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600"",A197))=FALSE,IF(ISERROR(FIND(""veneer"",KitchenCarcassMaterial))=FALSE,1.44*(VLOOKUP(LEFT(KitchenCarcassMaterial,FIND(""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1200"",A197))=FALSE,IF(ISERROR(FIND(""veneer"",KitchenCarcassMaterial))=FALSE,2.7*(VLOOKUP(LEFT(KitchenCarcassMaterial,FIND(""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front"",A197))=FALSE,((B197/1000)*(C197/1000))*VLOOKUP(KitchenDoorMaterial,SheetsData,8,0),IF(AND(KitchenDrawerType=""Match carcass"",ISERROR(FIND(""drawer box"",A197))=FALSE),(((((B197/10"&amp;"00)*(C197/1000))+((B197/1000)*(D197/1000)))*2)*VLOOKUP(KitchenCarcassMaterial,SheetsData,8,0))+(((C197/1000)*(D197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box"",A197))=FALSE),(((((B197/1000)*(C197/1000))+((B197/1000)*(D197/1000)))*2)*(16/1000)*VLOOKUP(L"&amp;"EFT(KitchenCarcassMaterial,FIND("" "",KitchenCarcassMaterial))&amp;""(solid m3)"",SolidData,5,0))+(((C197/1000)*(D197/1000))*VLOOKUP(LEFT(KitchenCarcassMaterial,FIND(""("",KitchenCarcassMaterial)-1)&amp;IF(OR(ISERROR(FIND(""ply"",KitchenCarcassMaterial))=FALSE,IS"&amp;"ERROR(FIND(""H/F"",KitchenCarcassMaterial))=FALSE),""(9mm)"",""(10mm)""),SheetsData,8,0)),IF(ISERROR(FIND(""spacer"",A197))=FALSE,((D197/1000)*(C197/1000))*VLOOKUP(""Poplar ply (18mm)"",SheetsData,8,0),IF(ISERROR(FIND(""filler panel"",A197))=FALSE,((B197/"&amp;"1000)*(C197/1000))*VLOOKUP(KitchenDoorMaterial,SheetsData,8,0),IF(ISERROR(FIND(""shelf"",A197))=FALSE,((D197/1000)*(C197/1000))*VLOOKUP(KitchenCarcassMaterial,SheetsData,8,0),IF(ISERROR(FIND(""lost corner"",A197))=FALSE,VLOOKUP(LEFT(A197,FIND("" "",A197))"&amp;"&amp;""carcass ""&amp;VALUE(REGEXREPLACE(A197,""[^[:digit:]]"", """")),KitchensData,5,0)+((((B197/1000)*(C197/1000))+((B197/1000)*(60/1000)))*VLOOKUP(KitchenCarcassMaterial,SheetsData,8,0)),IF(ISERROR(FIND(""carcass"",A197))=FALSE,(((((B197/1000)*2)*(D197/1000))+"&amp;"(((C197/1000)*2)*(D197/1000)))*VLOOKUP(KitchenCarcassMaterial,SheetsData,8,0))+((B197/1000)*(C197/1000))*VLOOKUP(LEFT(KitchenCarcassMaterial,FIND(""("",KitchenCarcassMaterial)-1)&amp;IF(OR(ISERROR(FIND(""ply"",KitchenCarcassMaterial))=FALSE,ISERROR(FIND(""H/F"&amp;""",KitchenCarcassMaterial))=FALSE),""(9mm)"",""(10mm)""),SheetsData,8,0),IF(OR(ISERROR(FIND(""Plinth"",A197))=FALSE,ISERROR(FIND(""Cornice (flat)"",A197))=FALSE),((B197/1000)*(C197/1000))*VLOOKUP(""H/F (18mm)"",SheetsData,8,0),IF(ISERROR(FIND(""Cornice (s"&amp;"tacked)"",A197))=FALSE,((0.08*(C197/1000))*2)*VLOOKUP(""H/F (22mm)"",SheetsData,8,0),IF(ISERROR(FIND(""Base end panel"",A197))=FALSE,VLOOKUP(KitchenDoorMaterial,SheetsData,5,0)/3,IF(ISERROR(FIND(""Wall end panel"",A197))=FALSE,VLOOKUP(KitchenDoorMaterial,"&amp;"SheetsData,5,0)/9,IF(ISERROR(FIND(""Tower end panel"",A197))=FALSE,VLOOKUP(KitchenDoorMaterial,SheetsData,5,0),IF(ISERROR(FIND(""Fillers"",A197))=FALSE,(((0.06*(C197/1000))*2)*VLOOKUP(""H/F (18mm)"",SheetsData,8,0))+(((0.06*(C197/1000))*2)*VLOOKUP(""H/F ("&amp;"9mm)"",SheetsData,8,0)),IF(ISERROR(FIND(""corner post"",A197))=FALSE,(((B197/1000)*0.05)*2)*VLOOKUP(KitchenDoorMaterial,SheetsData,8,0),IF(ISERROR(FIND(""Pelmet"",A197))=FALSE,((((B197/1000)*(C197/1000))*2)*VLOOKUP(""H/F (18mm)"",SheetsData,8,0)),IF(ISERR"&amp;"OR(FIND(""door"",A197))=TRUE,""Check description"",IF(KitchenDoorStyle=""Flat"",((B197/1000)*(C197/1000))*VLOOKUP(KitchenDoorMaterial,SheetsData,8,0),IF(LEFT(KitchenDoorStyle,5)=""Panel"",(((((B197/1000)*2)*0.08)+((((C197/1000)-0.16)*2)*0.08))*VLOOKUP(""H"&amp;"/F (22mm)"",SheetsData,8,0))+(((B197/1000)-0.14)*((C197/1000)-0.14)*VLOOKUP(""H/F (9mm)"",SheetsData,8,0)),IF(KitchenDoorStyle=""In-frame flat"",((((((B197/1000)*0.019)*0.038)+((((C197-38)/1000)*0.038)*0.038))*2)*VLOOKUP(""Tulip (solid m3)"",SolidData,5,0"&amp;"))+(((B197-76)/1000)*((C197-38)/1000))*VLOOKUP(""H/F (22mm)"",SheetsData,8,0),IF(LEFT(KitchenDoorStyle,14)=""In-frame panel"",(((((((B197/1000)*0.019)*0.038)+((((C197-38)/1000)*0.038)*0.038))*2)*VLOOKUP(""Tulip (solid m3)"",SolidData,5,0))+(((((((B197-76)"&amp;"/1000)*2)*0.08)+(((((C197-198)/1000)*2)*0.08)))*VLOOKUP(""H/F (22mm)"",SheetsData,8,0))+(((B197-216)/1000)*((C197-178)/1000)*VLOOKUP(""H/F (9mm)"",SheetsData,8,0)))))))))))))))))))))))))))))))))"),"")</f>
        <v/>
      </c>
      <c r="F197" s="152" t="str">
        <f>IFERROR(__xludf.DUMMYFUNCTION("IF(OR(A197="""",AND(ISERROR(FIND(""drawer box"",A197))=FALSE,KitchenDrawerType=""Solid dovetail"")),"""",IF(ISERROR(FIND(""bins"",A197))=FALSE,VLOOKUP(""Base carcass 600"",KitchensData,6,0),IF(OR(ISERROR(FIND(""larder"",A197))=FALSE,ISERROR(FIND(""unit"","&amp;"A197))=FALSE),VLOOKUP(LEFT(A197,FIND("" "",A197))&amp;""carcass ""&amp;RIGHT(A197,LEN(A197)-len(regexextract(A197,"".* ""))),KitchensData,6,0),IF(ISERROR(FIND(""drawer front"",A197))=FALSE,IF(ISERROR(FIND(""veneer"",KitchenCarcassMaterial))=TRUE,0,(((B197+C197)/1"&amp;"000)*2)*VLOOKUP(""Edge banding (per M)"",SheetsData,5,0)),IF(ISERROR(FIND(""drawer box"",A197))=FALSE,IF(ISERROR(FIND(""veneer"",KitchenCarcassMaterial))=TRUE,0,(((C197+D197)/1000)*2)*VLOOKUP(""Edge banding (per M)"",SheetsData,5,0)),IF(ISERROR(FIND(""she"&amp;"lf"",A197))=FALSE,IF(ISERROR(FIND(""veneer"",KitchenCarcassMaterial))=TRUE,0,(C197/1000)*VLOOKUP(""Edge banding (per M)"",SheetsData,5,0)),IF(AND(ISERROR(FIND(""carcass"",A197))=FALSE,ISERROR(FIND(""shelf"",A197))=TRUE),IF(ISERROR(FIND(""veneer"",KitchenC"&amp;"arcassMaterial))=TRUE,0,((2*(B197+C197))/1000)*VLOOKUP(""Edge banding (per M)"",SheetsData,5,0)),IF(ISERROR(FIND(""door"",A197))=TRUE,"""",IF(ISERROR(FIND(""veneer"",KitchenDoorMaterial))=TRUE,"""",((2*(B197+C197))/1000)*VLOOKUP(""Edge banding (per M)"",S"&amp;"heetsData,5,0))))))))))"),"")</f>
        <v/>
      </c>
      <c r="G197" s="153" t="str">
        <f>IF(A197="","",IF(ISERROR(FIND("bins",A197))=FALSE,VLOOKUP("Base carcass 600",KitchensData,7,0),IF(OR(ISERROR(FIND("larder",A197))=FALSE,ISERROR(FIND("fridge/freezer",A197))=FALSE,ISERROR(FIND("double oven",A197))=FALSE,ISERROR(FIND("single oven",A197))=FALSE),VLOOKUP(LEFT(A197,FIND(" ",A197))&amp;"carcass "&amp;RIGHT(A197,LEN(A197)-(LEN(A197)-3)),KitchensData,7,0),IF(AND(ISERROR(FIND("carcass",A197))=FALSE,ISERROR(FIND("shelf",A197))=TRUE),IF(OR(ISERROR(FIND("Base",A197))=FALSE,ISERROR(FIND("Tower",A197))=FALSE),IF(OR(ISERROR(FIND("1200",A197))=FALSE, ISERROR(FIND("lost corner",A197))=FALSE),6*VLOOKUP("Plinth foot (2 Parts 80mm)",FurnitureData,5,0),4*VLOOKUP("Plinth foot (2 Parts 80mm)",FurnitureData,5,0)),""),""))))</f>
        <v/>
      </c>
      <c r="H197" s="115" t="str">
        <f>IF(OR(A197="",ISERROR(FIND("door",A197))=TRUE),"",IF(ISERROR(FIND("Wall",A197))=FALSE,VLOOKUP("Hinges &amp; plates (Hettich thick door)",FurnitureData,5,0)*2,IF(ISERROR(FIND("Base",A197))=FALSE,VLOOKUP("Hinges &amp; plates (Hettich thick door)",FurnitureData,5,0)*3,IF(ISERROR(FIND("Boiler",A197))=FALSE,VLOOKUP("Hinges &amp; plates (Hettich thick door)",FurnitureData,5,0)*4,IF(ISERROR(FIND("Tower",A197))=FALSE,VLOOKUP("Hinges &amp; plates (Hettich thick door)",FurnitureData,5,0)*5)))))</f>
        <v/>
      </c>
      <c r="I197" s="115" t="str">
        <f>IF(ISERROR(FIND("shelf",A197))=FALSE,(VLOOKUP("Shelf pegs",FurnitureData,5,0)/100)*4,"")</f>
        <v/>
      </c>
      <c r="J197" s="152" t="str">
        <f>IF(OR(ISERROR(FIND("fridge/freezer",A197))=FALSE,ISERROR(FIND("larder",A197))=FALSE,AND(ISERROR(FIND("Base",A197))=FALSE,ISERROR(FIND("bins",A197))=TRUE,ISERROR(FIND("no shelves",A197))=TRUE,OR(ISERROR(FIND("carcass",A197))=FALSE,ISERROR(FIND("unit",A197))=FALSE))),VLOOKUP("Deep shelf "&amp;C197,KitchensData,18,0),IF(AND(ISERROR(FIND("Wall",A197))=FALSE,ISERROR(FIND("carcass",A197))=FALSE),2*VLOOKUP("Shallow shelf "&amp;C197,KitchensData,18,0),IF(AND(ISERROR(FIND("Tower",A197))=FALSE,ISERROR(FIND("oven",A197))=FALSE),4*VLOOKUP("Deep shelf "&amp;C197,KitchensData,18,0),IF(AND(ISERROR(FIND("Tower",A197))=FALSE,ISERROR(FIND("carcass",A197))=FALSE),5*VLOOKUP("Deep shelf "&amp;C197,KitchensData,18,0),""))))</f>
        <v/>
      </c>
      <c r="K197" s="152" t="str">
        <f>IF(ISERROR(FIND("sink",A197))=FALSE,VLOOKUP("Sink liner - Aluminium "&amp;RIGHT(A197,LEN(A197)-22)&amp;"mm",ExceptionalData,5,0),IF(ISERROR(FIND("bins",A197))=FALSE,VLOOKUP("Drawer runners and clip set for bin unit (500) Dynapro",FurnitureData,5,0)+(2*VLOOKUP("Bin (42L Anthracite)",FurnitureData,5,0)),IF(ISERROR(FIND("larder",A197))=FALSE,VLOOKUP("Pull out larder unit 600mm",FurnitureData,5,0),IF(AND(ISERROR(FIND("drawer box",A197))=FALSE,ISERROR(FIND("internal",A197))=TRUE),VLOOKUP("Drawer runners and clip set (550) Dynapro",FurnitureData,5,0),IF(ISERROR(FIND("internal drawer box",A197))=FALSE,VLOOKUP("Drawer runners and clip set (450) Dynapro",FurnitureData,5,0),"")))))</f>
        <v/>
      </c>
      <c r="L197" s="152" t="str">
        <f t="shared" si="3"/>
        <v/>
      </c>
      <c r="M197" s="154" t="str">
        <f>IFERROR(__xludf.DUMMYFUNCTION("IF(A197="""","""",IF(OR(ISERROR(FIND(""larder"",A197))=FALSE,ISERROR(FIND(""unit"",A197))=FALSE),VLOOKUP(LEFT(A197,FIND("" "",A197))&amp;""carcass ""&amp;RIGHT(A197,LEN(A197)-len(regexextract(A197,"".* ""))),KitchensData,13,0),IF(ISERROR(FIND(""bins"",A197))=FALS"&amp;"E,0.95,IF(ISERROR(FIND(""Cutlery insert 600"",A197))=FALSE,1.3,IF(ISERROR(FIND(""Cutlery insert 1200"",A197))=FALSE,2,IF(ISERROR(FIND(""Pan/tray rack 600"",A197))=FALSE,3.25,IF(ISERROR(FIND(""Pan/tray rack 1200"",A197))=FALSE,5.9,IF(ISERROR(FIND(""split"""&amp;",A197))=FALSE,(((C197/1000)*0.022)*2)+VLOOKUP(SUBSTITUTE(A197,"" split"",""""),KitchensData,13,0),IF(AND(ISERROR(FIND(""drawer front"",A197))=FALSE,KitchenDoorStyle=""Flat""),(((B197/1000)*(C197/1000))*2)+((((B197+C197)/1000)*2)*0.022),IF(AND(ISERROR(FIND"&amp;"(""drawer front"",A197))=FALSE,LEFT(KitchenDoorStyle,5)=""Panel""),(((B197/1000)*(C197/1000))*2)+((((B197+C197)/1000)*2)*0.022)+((((C197/1000)-0.16)*0.013)*2)+((((D197/1000)-0.16)*0.013)*2),IF(AND(ISERROR(FIND(""drawer front"",A197))=FALSE,KitchenDoorStyl"&amp;"e=""In-frame flat""),((((B197-76)/1000)*((C197-38)/1000))*2)+(MID(KitchenDoorMaterial,FIND(""("",KitchenDoorMaterial)+1,2)/1000)*((((B197-76)+(C197-38))/1000)*2)+(((B197/1000)*0.032)*2)+((((B197-76)/1000)*0.032)*2)+(((B197/1000)*0.019)*4)+(((C197/1000)*0."&amp;"032)*2)+((((C197-38)/1000)*0.032)*2)+(((C197/1000)*0.038)*4),IF(AND(ISERROR(FIND(""drawer front"",A197))=FALSE,LEFT(KitchenDoorStyle,14)=""In-frame panel""),((((B197-76)/1000)*((C197-38)/1000))*2)+((MID(KitchenDoorMaterial,FIND(""("",KitchenDoorMaterial)+"&amp;"1,2)/1000)*((((B197-76)+(C197-38))/1000)*2))+((((B197-236)/1000)+((C197-198)/1000)*2)*0.013)+(((B197/1000)*0.032)*2)+((((B197-76)/1000)*0.032)*2)+(((B197/1000)*0.019)*4)+(((C197/1000)*0.032)*2)+((((C197-38)/1000)*0.032)*2)+(((C197/1000)*0.038)*4),IF(ISERR"&amp;"OR(FIND(""drawer box"",A197))=FALSE,((((B197/1000)*(D197/1000))+((B197/1000)*(C197/1000)))*4)+((((D197/1000)+(C197/1000))*0.016)*4)+(((C197/1000)*(D197/1000))*2),IF(OR(ISERROR(FIND(""shelf"",A197))=FALSE,ISERROR(FIND(""spacer"",A197))=FALSE,,ISERROR(FIND("&amp;"""filler panel"",A197))=FALSE),(((C197/1000)*(D197/1000))*2)+((((C197+D197)*2)/1000)*0.022),IF(ISERROR(FIND(""lost corner"",A197))=FALSE,(((B197/1000)*(C197/1000))*2)+((B197/1000)*(C197/1000))+((B197/1000)*((C197/2)/1000))+((((B197/1000)*0.025)+((C197/100"&amp;"0)*0.025))*2),IF(ISERROR(FIND(""carcass"",A197))=FALSE,(((C197/1000)*(D197/1000))*2)+(((B197/1000)*(D197/1000))*2)+((B197/1000)*(C197/1000))+((((B197/1000)*0.025)+((C197/1000)*0.025))*2),IF(AND(ISERROR(FIND(""door"",A197))=FALSE,KitchenDoorStyle=""Flat"")"&amp;",(((B197/1000)*(C197/1000))*2)+(MID(KitchenDoorMaterial,FIND(""("",KitchenDoorMaterial)+1,2)/1000)*(((B197+C197)/1000)*2),IF(AND(ISERROR(FIND(""door"",A197))=FALSE,LEFT(KitchenDoorStyle,5)=""Panel""),(((B197/1000)*(C197/1000))*2)+((MID(KitchenDoorMaterial"&amp;",FIND(""("",KitchenDoorMaterial)+1,2)/1000)*(((B197+C197)/1000)*2))+(((((B197-160)+(C197-160))*2)/1000)*(0.013)),IF(AND(ISERROR(FIND(""door"",A197))=FALSE,KitchenDoorStyle=""In-frame flat""),((((B197-76)/1000)*((C197-38)/1000))*2)+(MID(KitchenDoorMaterial"&amp;",FIND(""("",KitchenDoorMaterial)+1,2)/1000)*((((B197-76)+(C197-38))/1000)*2)+(((B197/1000)*0.032)*2)+((((B197-76)/1000)*0.032)*2)+(((B197/1000)*0.019)*4)+(((C197/1000)*0.032)*2)+((((C197-38)/1000)*0.032)*2)+(((C197/1000)*0.038)*4),IF(AND(ISERROR(FIND(""do"&amp;"or"",A197))=FALSE,LEFT(KitchenDoorStyle,14)=""In-frame panel""),((((B197-76)/1000)*((C197-38)/1000))*2)+((MID(KitchenDoorMaterial,FIND(""("",KitchenDoorMaterial)+1,2)/1000)*((((B197-76)+(C197-38))/1000)*2))+((((B197-236)/1000)+((C197-198)/1000)*2)*0.013)+"&amp;"(((B197/1000)*0.032)*2)+((((B197-76)/1000)*0.032)*2)+(((B197/1000)*0.019)*4)+(((C197/1000)*0.032)*2)+((((C197-38)/1000)*0.032)*2)+(((C197/1000)*0.038)*4),IF(ISERROR(FIND(""Plinth"",A197))=FALSE,((B197/1000)*(C197/1000))+(((C197/1000)*0.018)*2)+(((B197/100"&amp;"0)*0.018)*2),IF(ISERROR(FIND(""Cornice"",A197))=FALSE,(((C197/1000)*0.1)*2)+(((C197/1000)*0.044)*2)+(((B197/1000)*0.08)*2),IF(ISERROR(FIND(""Base end panel"",A197))=FALSE,((B197/1000)*(C197/1000))+(0.022*((B197/1000)+((C197/1000)*2)))+((B197/1000)*0.05),I"&amp;"F(ISERROR(FIND(""Wall end panel"",A197))=FALSE,((B197/1000)*(C197/1000))+(0.022*((B197/1000)+((C197/1000)*2)))+((B197/1000)*0.05),IF(ISERROR(FIND(""Tower end panel"",A197))=FALSE,((B197/1000)*(C197/1000))+(0.022*((B197/1000)+((C197/1000)*2)))+((B197/1000)"&amp;"*0.05),IF(ISERROR(FIND(""Fillers"",A197))=FALSE,((C197/1000)*0.06)+((C197/1000)*0.069)+((0.06*0.018)*2)+((0.06*0.009)*2)+((C197/1000)*0.009)+((C197/1000)*0.018),IF(ISERROR(FIND(""corner post"",A197))=FALSE,(((B197/1000*0.05)*2)+((B197/1000)*0.022)*2)+((B1"&amp;"97/1000)*0.072)+((B197/1000)*0.05)+((0.072*0.022)*2)+((0.05*0.022)*2),IF(ISERROR(FIND(""Pelmet"",A197))=FALSE,((C197/1000)*0.05)+((C197/1000)*0.068)+((0.05*0.018)*4)+(((C197/1000)*0.018))*2))))))))))))))))))))))))))))"),"")</f>
        <v/>
      </c>
      <c r="N197" s="152" t="str">
        <f>IF(M197="","",IF(AND(ISERROR(FIND("carcass",A197))=TRUE,ISERROR(FIND("unit",A197))=TRUE,ISERROR(FIND("insert",A197))=TRUE,ISERROR(FIND("rack",A197))=TRUE,ISERROR(FIND("box",A197))=TRUE,ISERROR(FIND("shelf",#REF!))=TRUE),VLOOKUP(KitchenDoorFinish,Finishing!$A$2:$K$10,9,0)*M197,VLOOKUP(KitchenCarcassFinish,Finishing!$A$2:$K$40,9,0)*M197))</f>
        <v/>
      </c>
      <c r="O197" s="155"/>
      <c r="P197" s="155"/>
      <c r="Q197" s="152" t="str">
        <f>IF(OR(O197="",P197=""),"",((O197*X197)*(VLOOKUP("Workshop",Labour!$A$3:$E$20,4,0)/8))+((P197*AE197)*(VLOOKUP("Finishing",Labour!$A$3:$E$20,4,0)/8)))</f>
        <v/>
      </c>
      <c r="R197" s="152" t="str">
        <f t="shared" si="4"/>
        <v/>
      </c>
      <c r="S197" s="156" t="str">
        <f>IF(OR(O197="",P197=""),"",IF(OR(ISERROR(FIND("carcass",$A197))=FALSE,ISERROR(FIND("unit",$A197))=FALSE),VLOOKUP(KitchenCarcassMaterial,FixedListsCarcassMaterial,2,0),0))</f>
        <v/>
      </c>
      <c r="T197" s="156" t="str">
        <f>IF(OR(O197="",P197=""),"",IF(ISERROR(FIND("door",$A197))=FALSE,VLOOKUP(KitchenDoorStyle,FixedListsDoorStyle,2,0),0))</f>
        <v/>
      </c>
      <c r="U197" s="156" t="str">
        <f>IF(OR(O197="",P197=""),"",IF(ISERROR(FIND("door",$A197))=FALSE,VLOOKUP(KitchenDoorMaterial,FixedListsDoorMaterial,2,0),0))</f>
        <v/>
      </c>
      <c r="V197" s="156" t="str">
        <f>IF(OR(O197="",P197=""),"",IF(ISERROR(FIND("drawer",$A197))=FALSE,VLOOKUP(KitchenDrawerType,FixedListsDrawerType,2,0),0))</f>
        <v/>
      </c>
      <c r="W197" s="156" t="str">
        <f>IF(OR(O197="",P197=""),"",IF(OR(S197&gt;0, T197&gt;0,V197&gt;0),VLOOKUP(KitchenHandleType,FixedListsHandleType,2,FALSE)*IF(KitchenHandleType="Simple",0,IF(S197&gt;0,VLOOKUP(KitchenHandleType,FixedListsHandleType,4,FALSE),IF(OR(T197&gt;0,V197&gt;0),1-VLOOKUP(KitchenHandleType,FixedListsHandleType,4,FALSE),"Error"))),0))</f>
        <v/>
      </c>
      <c r="X197" s="156" t="str">
        <f t="shared" si="5"/>
        <v/>
      </c>
      <c r="Y197" s="156" t="str">
        <f>IF(OR(O197="",P197=""),"",IF(OR(ISERROR(FIND("carcass",$A197))=FALSE,ISERROR(FIND("unit",$A197))=FALSE),VLOOKUP(KitchenCarcassMaterial,FixedListsCarcassMaterial,3,0),0))</f>
        <v/>
      </c>
      <c r="Z197" s="156" t="str">
        <f>IF(OR(O197="",P197=""),"",IF(ISERROR(FIND("door",$A197))=FALSE,VLOOKUP(KitchenDoorStyle,FixedListsDoorStyle,3,0),0))</f>
        <v/>
      </c>
      <c r="AA197" s="156" t="str">
        <f>IF(OR(O197="",P197=""),"",IF(ISERROR(FIND("door",$A197))=FALSE,VLOOKUP(KitchenDoorMaterial,FixedListsDoorMaterial,3,0),0))</f>
        <v/>
      </c>
      <c r="AB197" s="156" t="str">
        <f>IF(OR(O197="",P197=""),"",IF(ISERROR(FIND("drawer",$A197))=FALSE,VLOOKUP(KitchenDrawerType,FixedListsDrawerType,3,0),0))</f>
        <v/>
      </c>
      <c r="AC197" s="156" t="str">
        <f>IF(OR(O197="",P197=""),"",IF(OR(Y197&gt;0,Z197&gt;0,AB197&gt;0),VLOOKUP(KitchenHandleType,FixedListsHandleType,3,FALSE),0))</f>
        <v/>
      </c>
      <c r="AD197" s="156" t="str">
        <f>IF(OR(O197="",P197=""),"",IF(OR(ISERROR(FIND("carcass",$A197))=FALSE,ISERROR(FIND("unit",$A197))=FALSE),VLOOKUP(KitchenCarcassFinish,FixedListsFinishes,3,0),IF(OR(ISERROR(FIND("door",$A197))=FALSE,ISERROR(FIND("Plinth",$A197))=FALSE,ISERROR(FIND("Cornice",$A197))=FALSE,ISERROR(FIND("Fillers",$A197))=FALSE,ISERROR(FIND("Pelmet",$A197))=FALSE,ISERROR(FIND("panel",$A197))=FALSE,ISERROR(FIND("post",$A197))=FALSE),VLOOKUP(KitchenDoorFinish,FixedListsFinishes,3,0),IF(OR(ISERROR(FIND("drawer",$A197))=FALSE,ISERROR(FIND("insert",$A197))=FALSE,ISERROR(FIND("rck",$A197))=FALSE),VLOOKUP(KitchenCarcassFinish,FixedListsFinishes,3,0),0))))</f>
        <v/>
      </c>
      <c r="AE197" s="156" t="str">
        <f t="shared" si="6"/>
        <v/>
      </c>
      <c r="AF197" s="157" t="str">
        <f>IF(AND(KitchenHandleType="Channel",OR(ISERROR(FIND("arcass",$A197))=FALSE,ISERROR(FIND("unit",$A197))=FALSE)),IF(ISERROR(FIND("Tower",$A197))=TRUE,IF(KitchenHandleFinish="Match carcass",IF(ISERROR(FIND("Walnut",KitchenCarcassMaterial))=FALSE,(0.035*0.075*($C197/1000))*VLOOKUP("Walnut (solid m3)",SolidData,4,FALSE),IF(ISERROR(FIND("Oak",KitchenCarcassMaterial))=FALSE,(0.035*0.075*($C197/1000))*VLOOKUP("Oak (solid m3)",SolidData,4,FALSE),IF(ISERROR(FIND("ply",KitchenCarcassMaterial))=FALSE,(0.1*($C197/1000))*VLOOKUP("Birch ply (24mm)",SheetsData,7,FALSE),IF(ISERROR(FIND("H/F",KitchenCarcassMaterial))=FALSE,(0.1*($C197/1000))*VLOOKUP("H/F (22mm)",SheetsData,7,FALSE),"Carcass - not tower - new material")))),IF(KitchenHandleFinish="Match door",IF(ISERROR(FIND("Walnut",KitchenDoorMaterial))=FALSE,(0.035*0.075*($C197/1000))*VLOOKUP("Walnut (solid m3)",SolidData,4,FALSE),IF(ISERROR(FIND("Oak",KitchenDoorMaterial))=FALSE,(0.035*0.075*($C197/1000))*VLOOKUP("Oak (solid m3)",SolidData,4,FALSE),IF(ISERROR(FIND("ply",KitchenDoorMaterial))=FALSE,(0.1*($C197/1000))*VLOOKUP("Birch ply (24mm)",SheetsData,7,FALSE),IF(ISERROR(FIND("H/F",KitchenCarcassMaterial))=FALSE,(0.1*($C197/1000))*VLOOKUP("H/F (22mm)",SheetsData,7,FALSE),"Door - not tower - new material")))),"Channel - not tower - handle set to other")),IF(ISERROR(FIND("Tower",$A197))=FALSE,IF(KitchenHandleFinish="Match carcass",IF(ISERROR(FIND("Walnut",KitchenCarcassMaterial))=FALSE,(0.035*0.075*($B197/1000))*VLOOKUP("Walnut (solid m3)",SolidData,4,FALSE),IF(ISERROR(FIND("Oak",KitchenCarcassMaterial))=FALSE,(0.035*0.075*($B197/1000))*VLOOKUP("Oak (solid m3)",SolidData,4,FALSE),IF(ISERROR(FIND("ply",KitchenCarcassMaterial))=FALSE,(0.1*($B197/1000))*VLOOKUP("Birch ply (24mm)",SheetsData,7,FALSE),IF(ISERROR(FIND("H/F",KitchenCarcassMaterial))=FALSE,(0.1*($C197/1000))*VLOOKUP("H/F (22mm)",SheetsData,7,FALSE),"Carcass - tower - new material")))),IF(KitchenHandleFinish="Match door",IF(ISERROR(FIND("Walnut",KitchenDoorMaterial))=FALSE,(0.035*0.075*($B197/1000))*VLOOKUP("Walnut (solid m3)",SolidData,4,FALSE),IF(ISERROR(FIND("Oak",KitchenDoorMaterial))=FALSE,(0.035*0.075*($B197/1000))*VLOOKUP("Oak (solid m3)",SolidData,4,FALSE),IF(ISERROR(FIND("ply",KitchenDoorMaterial))=FALSE,(0.1*($B197/1000))*VLOOKUP("Birch ply (24mm)",SheetData,7,FALSE),IF(ISERROR(FIND("H/F",KitchenCarcassMaterial))=FALSE,(0.1*($C197/1000))*VLOOKUP("H/F (22mm)",SheetsData,7,FALSE),"Door - tower - new material")))),"Channel - tower - handle set to other")))),"")</f>
        <v/>
      </c>
    </row>
    <row r="198">
      <c r="A198" s="150"/>
      <c r="B198" s="115" t="str">
        <f t="shared" si="1"/>
        <v/>
      </c>
      <c r="C198" s="115" t="str">
        <f>IFERROR(__xludf.DUMMYFUNCTION("IF(A198="""","""",IF(OR(RIGHT(A198,LEN(A198)-len(regexextract(A198,"".* "")))=""1200"",RIGHT(A198,LEN(A198)-len(regexextract(A198,"".* "")))=""600"",RIGHT(A198,LEN(A198)-len(regexextract(A198,"".* "")))=""400"",RIGHT(A198,LEN(A198)-len(regexextract(A198,"&amp;""".* "")))=""300"",RIGHT(A198,LEN(A198)-len(regexextract(A198,"".* "")))=""700"",RIGHT(A198,LEN(A198)-len(regexextract(A198,"".* "")))=""2400"",RIGHT(A198,LEN(A198)-len(regexextract(A198,"".* "")))=""650"",RIGHT(A198,LEN(A198)-len(regexextract(A198,"".* "&amp;""")))=""350"",RIGHT(A198,LEN(A198)-len(regexextract(A198,"".* "")))=""50""),RIGHT(A198,LEN(A198)-len(regexextract(A198,"".* ""))),IF(OR(ISERROR(FIND(""spacer"",A198))=FALSE,ISERROR(FIND(""filler panel"",A198))=FALSE),""1000"",""Unexpected size in descript"&amp;"ion"")))"),"")</f>
        <v/>
      </c>
      <c r="D198" s="151" t="str">
        <f t="shared" si="2"/>
        <v/>
      </c>
      <c r="E198" s="152" t="str">
        <f>IFERROR(__xludf.DUMMYFUNCTION("IF(OR(A198="""",AND(ISERROR(FIND(""drawer box"",A198))=FALSE,KitchenDrawerType="""")),"""",IF(OR(ISERROR(FIND(""larder"",A198))=FALSE,ISERROR(FIND(""fridge/freezer"",A198))=FALSE,ISERROR(FIND(""double oven"",A198))=FALSE,ISERROR(FIND(""single oven"",A198)"&amp;")=FALSE),VLOOKUP(LEFT(A198,FIND("" "",A198))&amp;""carcass ""&amp;RIGHT(A198,LEN(A198)-(LEN(A198)-3)),KitchensData,5,0),IF(ISERROR(FIND(""sink"",A198))=FALSE,VLOOKUP(LEFT(A198,FIND("" "",A198))&amp;""carcass ""&amp;VALUE(REGEXREPLACE(A198,""[^[:digit:]]"", """")),Kitchen"&amp;"sData,5,0)+(((C198/1000)*(300/1000))*VLOOKUP(KitchenCarcassMaterial,SheetsData,8,0)),IF(ISERROR(FIND(""bins"",A198))=FALSE,IF(ISERROR(FIND(""veneer"",KitchenCarcassMaterial))=FALSE,VLOOKUP(""Base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600"",A198))=FALSE,IF(ISERR"&amp;"OR(FIND(""veneer"",KitchenCarcassMaterial))=FALSE,0.54*(VLOOKUP(LEFT(KitchenCarcassMaterial,FIND(""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1"&amp;"200"",A198))=FALSE,IF(ISERROR(FIND(""veneer"",KitchenCarcassMaterial))=FALSE,0.84*(VLOOKUP(LEFT(KitchenCarcassMaterial,FIND(""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600"",A198))=FALSE,IF(ISERROR(FIND(""veneer"",KitchenCarcassMaterial))=FALSE,1.44*(VLOOKUP(LEFT(KitchenCarcassMaterial,FIND(""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1200"",A198))=FALSE,IF(ISERROR(FIND(""veneer"",KitchenCarcassMaterial))=FALSE,2.7*(VLOOKUP(LEFT(KitchenCarcassMaterial,FIND(""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front"",A198))=FALSE,((B198/1000)*(C198/1000))*VLOOKUP(KitchenDoorMaterial,SheetsData,8,0),IF(AND(KitchenDrawerType=""Match carcass"",ISERROR(FIND(""drawer box"",A198))=FALSE),(((((B198/10"&amp;"00)*(C198/1000))+((B198/1000)*(D198/1000)))*2)*VLOOKUP(KitchenCarcassMaterial,SheetsData,8,0))+(((C198/1000)*(D198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box"",A198))=FALSE),(((((B198/1000)*(C198/1000))+((B198/1000)*(D198/1000)))*2)*(16/1000)*VLOOKUP(L"&amp;"EFT(KitchenCarcassMaterial,FIND("" "",KitchenCarcassMaterial))&amp;""(solid m3)"",SolidData,5,0))+(((C198/1000)*(D198/1000))*VLOOKUP(LEFT(KitchenCarcassMaterial,FIND(""("",KitchenCarcassMaterial)-1)&amp;IF(OR(ISERROR(FIND(""ply"",KitchenCarcassMaterial))=FALSE,IS"&amp;"ERROR(FIND(""H/F"",KitchenCarcassMaterial))=FALSE),""(9mm)"",""(10mm)""),SheetsData,8,0)),IF(ISERROR(FIND(""spacer"",A198))=FALSE,((D198/1000)*(C198/1000))*VLOOKUP(""Poplar ply (18mm)"",SheetsData,8,0),IF(ISERROR(FIND(""filler panel"",A198))=FALSE,((B198/"&amp;"1000)*(C198/1000))*VLOOKUP(KitchenDoorMaterial,SheetsData,8,0),IF(ISERROR(FIND(""shelf"",A198))=FALSE,((D198/1000)*(C198/1000))*VLOOKUP(KitchenCarcassMaterial,SheetsData,8,0),IF(ISERROR(FIND(""lost corner"",A198))=FALSE,VLOOKUP(LEFT(A198,FIND("" "",A198))"&amp;"&amp;""carcass ""&amp;VALUE(REGEXREPLACE(A198,""[^[:digit:]]"", """")),KitchensData,5,0)+((((B198/1000)*(C198/1000))+((B198/1000)*(60/1000)))*VLOOKUP(KitchenCarcassMaterial,SheetsData,8,0)),IF(ISERROR(FIND(""carcass"",A198))=FALSE,(((((B198/1000)*2)*(D198/1000))+"&amp;"(((C198/1000)*2)*(D198/1000)))*VLOOKUP(KitchenCarcassMaterial,SheetsData,8,0))+((B198/1000)*(C198/1000))*VLOOKUP(LEFT(KitchenCarcassMaterial,FIND(""("",KitchenCarcassMaterial)-1)&amp;IF(OR(ISERROR(FIND(""ply"",KitchenCarcassMaterial))=FALSE,ISERROR(FIND(""H/F"&amp;""",KitchenCarcassMaterial))=FALSE),""(9mm)"",""(10mm)""),SheetsData,8,0),IF(OR(ISERROR(FIND(""Plinth"",A198))=FALSE,ISERROR(FIND(""Cornice (flat)"",A198))=FALSE),((B198/1000)*(C198/1000))*VLOOKUP(""H/F (18mm)"",SheetsData,8,0),IF(ISERROR(FIND(""Cornice (s"&amp;"tacked)"",A198))=FALSE,((0.08*(C198/1000))*2)*VLOOKUP(""H/F (22mm)"",SheetsData,8,0),IF(ISERROR(FIND(""Base end panel"",A198))=FALSE,VLOOKUP(KitchenDoorMaterial,SheetsData,5,0)/3,IF(ISERROR(FIND(""Wall end panel"",A198))=FALSE,VLOOKUP(KitchenDoorMaterial,"&amp;"SheetsData,5,0)/9,IF(ISERROR(FIND(""Tower end panel"",A198))=FALSE,VLOOKUP(KitchenDoorMaterial,SheetsData,5,0),IF(ISERROR(FIND(""Fillers"",A198))=FALSE,(((0.06*(C198/1000))*2)*VLOOKUP(""H/F (18mm)"",SheetsData,8,0))+(((0.06*(C198/1000))*2)*VLOOKUP(""H/F ("&amp;"9mm)"",SheetsData,8,0)),IF(ISERROR(FIND(""corner post"",A198))=FALSE,(((B198/1000)*0.05)*2)*VLOOKUP(KitchenDoorMaterial,SheetsData,8,0),IF(ISERROR(FIND(""Pelmet"",A198))=FALSE,((((B198/1000)*(C198/1000))*2)*VLOOKUP(""H/F (18mm)"",SheetsData,8,0)),IF(ISERR"&amp;"OR(FIND(""door"",A198))=TRUE,""Check description"",IF(KitchenDoorStyle=""Flat"",((B198/1000)*(C198/1000))*VLOOKUP(KitchenDoorMaterial,SheetsData,8,0),IF(LEFT(KitchenDoorStyle,5)=""Panel"",(((((B198/1000)*2)*0.08)+((((C198/1000)-0.16)*2)*0.08))*VLOOKUP(""H"&amp;"/F (22mm)"",SheetsData,8,0))+(((B198/1000)-0.14)*((C198/1000)-0.14)*VLOOKUP(""H/F (9mm)"",SheetsData,8,0)),IF(KitchenDoorStyle=""In-frame flat"",((((((B198/1000)*0.019)*0.038)+((((C198-38)/1000)*0.038)*0.038))*2)*VLOOKUP(""Tulip (solid m3)"",SolidData,5,0"&amp;"))+(((B198-76)/1000)*((C198-38)/1000))*VLOOKUP(""H/F (22mm)"",SheetsData,8,0),IF(LEFT(KitchenDoorStyle,14)=""In-frame panel"",(((((((B198/1000)*0.019)*0.038)+((((C198-38)/1000)*0.038)*0.038))*2)*VLOOKUP(""Tulip (solid m3)"",SolidData,5,0))+(((((((B198-76)"&amp;"/1000)*2)*0.08)+(((((C198-198)/1000)*2)*0.08)))*VLOOKUP(""H/F (22mm)"",SheetsData,8,0))+(((B198-216)/1000)*((C198-178)/1000)*VLOOKUP(""H/F (9mm)"",SheetsData,8,0)))))))))))))))))))))))))))))))))"),"")</f>
        <v/>
      </c>
      <c r="F198" s="152" t="str">
        <f>IFERROR(__xludf.DUMMYFUNCTION("IF(OR(A198="""",AND(ISERROR(FIND(""drawer box"",A198))=FALSE,KitchenDrawerType=""Solid dovetail"")),"""",IF(ISERROR(FIND(""bins"",A198))=FALSE,VLOOKUP(""Base carcass 600"",KitchensData,6,0),IF(OR(ISERROR(FIND(""larder"",A198))=FALSE,ISERROR(FIND(""unit"","&amp;"A198))=FALSE),VLOOKUP(LEFT(A198,FIND("" "",A198))&amp;""carcass ""&amp;RIGHT(A198,LEN(A198)-len(regexextract(A198,"".* ""))),KitchensData,6,0),IF(ISERROR(FIND(""drawer front"",A198))=FALSE,IF(ISERROR(FIND(""veneer"",KitchenCarcassMaterial))=TRUE,0,(((B198+C198)/1"&amp;"000)*2)*VLOOKUP(""Edge banding (per M)"",SheetsData,5,0)),IF(ISERROR(FIND(""drawer box"",A198))=FALSE,IF(ISERROR(FIND(""veneer"",KitchenCarcassMaterial))=TRUE,0,(((C198+D198)/1000)*2)*VLOOKUP(""Edge banding (per M)"",SheetsData,5,0)),IF(ISERROR(FIND(""she"&amp;"lf"",A198))=FALSE,IF(ISERROR(FIND(""veneer"",KitchenCarcassMaterial))=TRUE,0,(C198/1000)*VLOOKUP(""Edge banding (per M)"",SheetsData,5,0)),IF(AND(ISERROR(FIND(""carcass"",A198))=FALSE,ISERROR(FIND(""shelf"",A198))=TRUE),IF(ISERROR(FIND(""veneer"",KitchenC"&amp;"arcassMaterial))=TRUE,0,((2*(B198+C198))/1000)*VLOOKUP(""Edge banding (per M)"",SheetsData,5,0)),IF(ISERROR(FIND(""door"",A198))=TRUE,"""",IF(ISERROR(FIND(""veneer"",KitchenDoorMaterial))=TRUE,"""",((2*(B198+C198))/1000)*VLOOKUP(""Edge banding (per M)"",S"&amp;"heetsData,5,0))))))))))"),"")</f>
        <v/>
      </c>
      <c r="G198" s="153" t="str">
        <f>IF(A198="","",IF(ISERROR(FIND("bins",A198))=FALSE,VLOOKUP("Base carcass 600",KitchensData,7,0),IF(OR(ISERROR(FIND("larder",A198))=FALSE,ISERROR(FIND("fridge/freezer",A198))=FALSE,ISERROR(FIND("double oven",A198))=FALSE,ISERROR(FIND("single oven",A198))=FALSE),VLOOKUP(LEFT(A198,FIND(" ",A198))&amp;"carcass "&amp;RIGHT(A198,LEN(A198)-(LEN(A198)-3)),KitchensData,7,0),IF(AND(ISERROR(FIND("carcass",A198))=FALSE,ISERROR(FIND("shelf",A198))=TRUE),IF(OR(ISERROR(FIND("Base",A198))=FALSE,ISERROR(FIND("Tower",A198))=FALSE),IF(OR(ISERROR(FIND("1200",A198))=FALSE, ISERROR(FIND("lost corner",A198))=FALSE),6*VLOOKUP("Plinth foot (2 Parts 80mm)",FurnitureData,5,0),4*VLOOKUP("Plinth foot (2 Parts 80mm)",FurnitureData,5,0)),""),""))))</f>
        <v/>
      </c>
      <c r="H198" s="115" t="str">
        <f>IF(OR(A198="",ISERROR(FIND("door",A198))=TRUE),"",IF(ISERROR(FIND("Wall",A198))=FALSE,VLOOKUP("Hinges &amp; plates (Hettich thick door)",FurnitureData,5,0)*2,IF(ISERROR(FIND("Base",A198))=FALSE,VLOOKUP("Hinges &amp; plates (Hettich thick door)",FurnitureData,5,0)*3,IF(ISERROR(FIND("Boiler",A198))=FALSE,VLOOKUP("Hinges &amp; plates (Hettich thick door)",FurnitureData,5,0)*4,IF(ISERROR(FIND("Tower",A198))=FALSE,VLOOKUP("Hinges &amp; plates (Hettich thick door)",FurnitureData,5,0)*5)))))</f>
        <v/>
      </c>
      <c r="I198" s="115" t="str">
        <f>IF(ISERROR(FIND("shelf",A198))=FALSE,(VLOOKUP("Shelf pegs",FurnitureData,5,0)/100)*4,"")</f>
        <v/>
      </c>
      <c r="J198" s="152" t="str">
        <f>IF(OR(ISERROR(FIND("fridge/freezer",A198))=FALSE,ISERROR(FIND("larder",A198))=FALSE,AND(ISERROR(FIND("Base",A198))=FALSE,ISERROR(FIND("bins",A198))=TRUE,ISERROR(FIND("no shelves",A198))=TRUE,OR(ISERROR(FIND("carcass",A198))=FALSE,ISERROR(FIND("unit",A198))=FALSE))),VLOOKUP("Deep shelf "&amp;C198,KitchensData,18,0),IF(AND(ISERROR(FIND("Wall",A198))=FALSE,ISERROR(FIND("carcass",A198))=FALSE),2*VLOOKUP("Shallow shelf "&amp;C198,KitchensData,18,0),IF(AND(ISERROR(FIND("Tower",A198))=FALSE,ISERROR(FIND("oven",A198))=FALSE),4*VLOOKUP("Deep shelf "&amp;C198,KitchensData,18,0),IF(AND(ISERROR(FIND("Tower",A198))=FALSE,ISERROR(FIND("carcass",A198))=FALSE),5*VLOOKUP("Deep shelf "&amp;C198,KitchensData,18,0),""))))</f>
        <v/>
      </c>
      <c r="K198" s="152" t="str">
        <f>IF(ISERROR(FIND("sink",A198))=FALSE,VLOOKUP("Sink liner - Aluminium "&amp;RIGHT(A198,LEN(A198)-22)&amp;"mm",ExceptionalData,5,0),IF(ISERROR(FIND("bins",A198))=FALSE,VLOOKUP("Drawer runners and clip set for bin unit (500) Dynapro",FurnitureData,5,0)+(2*VLOOKUP("Bin (42L Anthracite)",FurnitureData,5,0)),IF(ISERROR(FIND("larder",A198))=FALSE,VLOOKUP("Pull out larder unit 600mm",FurnitureData,5,0),IF(AND(ISERROR(FIND("drawer box",A198))=FALSE,ISERROR(FIND("internal",A198))=TRUE),VLOOKUP("Drawer runners and clip set (550) Dynapro",FurnitureData,5,0),IF(ISERROR(FIND("internal drawer box",A198))=FALSE,VLOOKUP("Drawer runners and clip set (450) Dynapro",FurnitureData,5,0),"")))))</f>
        <v/>
      </c>
      <c r="L198" s="152" t="str">
        <f t="shared" si="3"/>
        <v/>
      </c>
      <c r="M198" s="154" t="str">
        <f>IFERROR(__xludf.DUMMYFUNCTION("IF(A198="""","""",IF(OR(ISERROR(FIND(""larder"",A198))=FALSE,ISERROR(FIND(""unit"",A198))=FALSE),VLOOKUP(LEFT(A198,FIND("" "",A198))&amp;""carcass ""&amp;RIGHT(A198,LEN(A198)-len(regexextract(A198,"".* ""))),KitchensData,13,0),IF(ISERROR(FIND(""bins"",A198))=FALS"&amp;"E,0.95,IF(ISERROR(FIND(""Cutlery insert 600"",A198))=FALSE,1.3,IF(ISERROR(FIND(""Cutlery insert 1200"",A198))=FALSE,2,IF(ISERROR(FIND(""Pan/tray rack 600"",A198))=FALSE,3.25,IF(ISERROR(FIND(""Pan/tray rack 1200"",A198))=FALSE,5.9,IF(ISERROR(FIND(""split"""&amp;",A198))=FALSE,(((C198/1000)*0.022)*2)+VLOOKUP(SUBSTITUTE(A198,"" split"",""""),KitchensData,13,0),IF(AND(ISERROR(FIND(""drawer front"",A198))=FALSE,KitchenDoorStyle=""Flat""),(((B198/1000)*(C198/1000))*2)+((((B198+C198)/1000)*2)*0.022),IF(AND(ISERROR(FIND"&amp;"(""drawer front"",A198))=FALSE,LEFT(KitchenDoorStyle,5)=""Panel""),(((B198/1000)*(C198/1000))*2)+((((B198+C198)/1000)*2)*0.022)+((((C198/1000)-0.16)*0.013)*2)+((((D198/1000)-0.16)*0.013)*2),IF(AND(ISERROR(FIND(""drawer front"",A198))=FALSE,KitchenDoorStyl"&amp;"e=""In-frame flat""),((((B198-76)/1000)*((C198-38)/1000))*2)+(MID(KitchenDoorMaterial,FIND(""("",KitchenDoorMaterial)+1,2)/1000)*((((B198-76)+(C198-38))/1000)*2)+(((B198/1000)*0.032)*2)+((((B198-76)/1000)*0.032)*2)+(((B198/1000)*0.019)*4)+(((C198/1000)*0."&amp;"032)*2)+((((C198-38)/1000)*0.032)*2)+(((C198/1000)*0.038)*4),IF(AND(ISERROR(FIND(""drawer front"",A198))=FALSE,LEFT(KitchenDoorStyle,14)=""In-frame panel""),((((B198-76)/1000)*((C198-38)/1000))*2)+((MID(KitchenDoorMaterial,FIND(""("",KitchenDoorMaterial)+"&amp;"1,2)/1000)*((((B198-76)+(C198-38))/1000)*2))+((((B198-236)/1000)+((C198-198)/1000)*2)*0.013)+(((B198/1000)*0.032)*2)+((((B198-76)/1000)*0.032)*2)+(((B198/1000)*0.019)*4)+(((C198/1000)*0.032)*2)+((((C198-38)/1000)*0.032)*2)+(((C198/1000)*0.038)*4),IF(ISERR"&amp;"OR(FIND(""drawer box"",A198))=FALSE,((((B198/1000)*(D198/1000))+((B198/1000)*(C198/1000)))*4)+((((D198/1000)+(C198/1000))*0.016)*4)+(((C198/1000)*(D198/1000))*2),IF(OR(ISERROR(FIND(""shelf"",A198))=FALSE,ISERROR(FIND(""spacer"",A198))=FALSE,,ISERROR(FIND("&amp;"""filler panel"",A198))=FALSE),(((C198/1000)*(D198/1000))*2)+((((C198+D198)*2)/1000)*0.022),IF(ISERROR(FIND(""lost corner"",A198))=FALSE,(((B198/1000)*(C198/1000))*2)+((B198/1000)*(C198/1000))+((B198/1000)*((C198/2)/1000))+((((B198/1000)*0.025)+((C198/100"&amp;"0)*0.025))*2),IF(ISERROR(FIND(""carcass"",A198))=FALSE,(((C198/1000)*(D198/1000))*2)+(((B198/1000)*(D198/1000))*2)+((B198/1000)*(C198/1000))+((((B198/1000)*0.025)+((C198/1000)*0.025))*2),IF(AND(ISERROR(FIND(""door"",A198))=FALSE,KitchenDoorStyle=""Flat"")"&amp;",(((B198/1000)*(C198/1000))*2)+(MID(KitchenDoorMaterial,FIND(""("",KitchenDoorMaterial)+1,2)/1000)*(((B198+C198)/1000)*2),IF(AND(ISERROR(FIND(""door"",A198))=FALSE,LEFT(KitchenDoorStyle,5)=""Panel""),(((B198/1000)*(C198/1000))*2)+((MID(KitchenDoorMaterial"&amp;",FIND(""("",KitchenDoorMaterial)+1,2)/1000)*(((B198+C198)/1000)*2))+(((((B198-160)+(C198-160))*2)/1000)*(0.013)),IF(AND(ISERROR(FIND(""door"",A198))=FALSE,KitchenDoorStyle=""In-frame flat""),((((B198-76)/1000)*((C198-38)/1000))*2)+(MID(KitchenDoorMaterial"&amp;",FIND(""("",KitchenDoorMaterial)+1,2)/1000)*((((B198-76)+(C198-38))/1000)*2)+(((B198/1000)*0.032)*2)+((((B198-76)/1000)*0.032)*2)+(((B198/1000)*0.019)*4)+(((C198/1000)*0.032)*2)+((((C198-38)/1000)*0.032)*2)+(((C198/1000)*0.038)*4),IF(AND(ISERROR(FIND(""do"&amp;"or"",A198))=FALSE,LEFT(KitchenDoorStyle,14)=""In-frame panel""),((((B198-76)/1000)*((C198-38)/1000))*2)+((MID(KitchenDoorMaterial,FIND(""("",KitchenDoorMaterial)+1,2)/1000)*((((B198-76)+(C198-38))/1000)*2))+((((B198-236)/1000)+((C198-198)/1000)*2)*0.013)+"&amp;"(((B198/1000)*0.032)*2)+((((B198-76)/1000)*0.032)*2)+(((B198/1000)*0.019)*4)+(((C198/1000)*0.032)*2)+((((C198-38)/1000)*0.032)*2)+(((C198/1000)*0.038)*4),IF(ISERROR(FIND(""Plinth"",A198))=FALSE,((B198/1000)*(C198/1000))+(((C198/1000)*0.018)*2)+(((B198/100"&amp;"0)*0.018)*2),IF(ISERROR(FIND(""Cornice"",A198))=FALSE,(((C198/1000)*0.1)*2)+(((C198/1000)*0.044)*2)+(((B198/1000)*0.08)*2),IF(ISERROR(FIND(""Base end panel"",A198))=FALSE,((B198/1000)*(C198/1000))+(0.022*((B198/1000)+((C198/1000)*2)))+((B198/1000)*0.05),I"&amp;"F(ISERROR(FIND(""Wall end panel"",A198))=FALSE,((B198/1000)*(C198/1000))+(0.022*((B198/1000)+((C198/1000)*2)))+((B198/1000)*0.05),IF(ISERROR(FIND(""Tower end panel"",A198))=FALSE,((B198/1000)*(C198/1000))+(0.022*((B198/1000)+((C198/1000)*2)))+((B198/1000)"&amp;"*0.05),IF(ISERROR(FIND(""Fillers"",A198))=FALSE,((C198/1000)*0.06)+((C198/1000)*0.069)+((0.06*0.018)*2)+((0.06*0.009)*2)+((C198/1000)*0.009)+((C198/1000)*0.018),IF(ISERROR(FIND(""corner post"",A198))=FALSE,(((B198/1000*0.05)*2)+((B198/1000)*0.022)*2)+((B1"&amp;"98/1000)*0.072)+((B198/1000)*0.05)+((0.072*0.022)*2)+((0.05*0.022)*2),IF(ISERROR(FIND(""Pelmet"",A198))=FALSE,((C198/1000)*0.05)+((C198/1000)*0.068)+((0.05*0.018)*4)+(((C198/1000)*0.018))*2))))))))))))))))))))))))))))"),"")</f>
        <v/>
      </c>
      <c r="N198" s="152" t="str">
        <f>IF(M198="","",IF(AND(ISERROR(FIND("carcass",A198))=TRUE,ISERROR(FIND("unit",A198))=TRUE,ISERROR(FIND("insert",A198))=TRUE,ISERROR(FIND("rack",A198))=TRUE,ISERROR(FIND("box",A198))=TRUE,ISERROR(FIND("shelf",#REF!))=TRUE),VLOOKUP(KitchenDoorFinish,Finishing!$A$2:$K$10,9,0)*M198,VLOOKUP(KitchenCarcassFinish,Finishing!$A$2:$K$40,9,0)*M198))</f>
        <v/>
      </c>
      <c r="O198" s="155"/>
      <c r="P198" s="155"/>
      <c r="Q198" s="152" t="str">
        <f>IF(OR(O198="",P198=""),"",((O198*X198)*(VLOOKUP("Workshop",Labour!$A$3:$E$20,4,0)/8))+((P198*AE198)*(VLOOKUP("Finishing",Labour!$A$3:$E$20,4,0)/8)))</f>
        <v/>
      </c>
      <c r="R198" s="152" t="str">
        <f t="shared" si="4"/>
        <v/>
      </c>
      <c r="S198" s="156" t="str">
        <f>IF(OR(O198="",P198=""),"",IF(OR(ISERROR(FIND("carcass",$A198))=FALSE,ISERROR(FIND("unit",$A198))=FALSE),VLOOKUP(KitchenCarcassMaterial,FixedListsCarcassMaterial,2,0),0))</f>
        <v/>
      </c>
      <c r="T198" s="156" t="str">
        <f>IF(OR(O198="",P198=""),"",IF(ISERROR(FIND("door",$A198))=FALSE,VLOOKUP(KitchenDoorStyle,FixedListsDoorStyle,2,0),0))</f>
        <v/>
      </c>
      <c r="U198" s="156" t="str">
        <f>IF(OR(O198="",P198=""),"",IF(ISERROR(FIND("door",$A198))=FALSE,VLOOKUP(KitchenDoorMaterial,FixedListsDoorMaterial,2,0),0))</f>
        <v/>
      </c>
      <c r="V198" s="156" t="str">
        <f>IF(OR(O198="",P198=""),"",IF(ISERROR(FIND("drawer",$A198))=FALSE,VLOOKUP(KitchenDrawerType,FixedListsDrawerType,2,0),0))</f>
        <v/>
      </c>
      <c r="W198" s="156" t="str">
        <f>IF(OR(O198="",P198=""),"",IF(OR(S198&gt;0, T198&gt;0,V198&gt;0),VLOOKUP(KitchenHandleType,FixedListsHandleType,2,FALSE)*IF(KitchenHandleType="Simple",0,IF(S198&gt;0,VLOOKUP(KitchenHandleType,FixedListsHandleType,4,FALSE),IF(OR(T198&gt;0,V198&gt;0),1-VLOOKUP(KitchenHandleType,FixedListsHandleType,4,FALSE),"Error"))),0))</f>
        <v/>
      </c>
      <c r="X198" s="156" t="str">
        <f t="shared" si="5"/>
        <v/>
      </c>
      <c r="Y198" s="156" t="str">
        <f>IF(OR(O198="",P198=""),"",IF(OR(ISERROR(FIND("carcass",$A198))=FALSE,ISERROR(FIND("unit",$A198))=FALSE),VLOOKUP(KitchenCarcassMaterial,FixedListsCarcassMaterial,3,0),0))</f>
        <v/>
      </c>
      <c r="Z198" s="156" t="str">
        <f>IF(OR(O198="",P198=""),"",IF(ISERROR(FIND("door",$A198))=FALSE,VLOOKUP(KitchenDoorStyle,FixedListsDoorStyle,3,0),0))</f>
        <v/>
      </c>
      <c r="AA198" s="156" t="str">
        <f>IF(OR(O198="",P198=""),"",IF(ISERROR(FIND("door",$A198))=FALSE,VLOOKUP(KitchenDoorMaterial,FixedListsDoorMaterial,3,0),0))</f>
        <v/>
      </c>
      <c r="AB198" s="156" t="str">
        <f>IF(OR(O198="",P198=""),"",IF(ISERROR(FIND("drawer",$A198))=FALSE,VLOOKUP(KitchenDrawerType,FixedListsDrawerType,3,0),0))</f>
        <v/>
      </c>
      <c r="AC198" s="156" t="str">
        <f>IF(OR(O198="",P198=""),"",IF(OR(Y198&gt;0,Z198&gt;0,AB198&gt;0),VLOOKUP(KitchenHandleType,FixedListsHandleType,3,FALSE),0))</f>
        <v/>
      </c>
      <c r="AD198" s="156" t="str">
        <f>IF(OR(O198="",P198=""),"",IF(OR(ISERROR(FIND("carcass",$A198))=FALSE,ISERROR(FIND("unit",$A198))=FALSE),VLOOKUP(KitchenCarcassFinish,FixedListsFinishes,3,0),IF(OR(ISERROR(FIND("door",$A198))=FALSE,ISERROR(FIND("Plinth",$A198))=FALSE,ISERROR(FIND("Cornice",$A198))=FALSE,ISERROR(FIND("Fillers",$A198))=FALSE,ISERROR(FIND("Pelmet",$A198))=FALSE,ISERROR(FIND("panel",$A198))=FALSE,ISERROR(FIND("post",$A198))=FALSE),VLOOKUP(KitchenDoorFinish,FixedListsFinishes,3,0),IF(OR(ISERROR(FIND("drawer",$A198))=FALSE,ISERROR(FIND("insert",$A198))=FALSE,ISERROR(FIND("rck",$A198))=FALSE),VLOOKUP(KitchenCarcassFinish,FixedListsFinishes,3,0),0))))</f>
        <v/>
      </c>
      <c r="AE198" s="156" t="str">
        <f t="shared" si="6"/>
        <v/>
      </c>
      <c r="AF198" s="157" t="str">
        <f>IF(AND(KitchenHandleType="Channel",OR(ISERROR(FIND("arcass",$A198))=FALSE,ISERROR(FIND("unit",$A198))=FALSE)),IF(ISERROR(FIND("Tower",$A198))=TRUE,IF(KitchenHandleFinish="Match carcass",IF(ISERROR(FIND("Walnut",KitchenCarcassMaterial))=FALSE,(0.035*0.075*($C198/1000))*VLOOKUP("Walnut (solid m3)",SolidData,4,FALSE),IF(ISERROR(FIND("Oak",KitchenCarcassMaterial))=FALSE,(0.035*0.075*($C198/1000))*VLOOKUP("Oak (solid m3)",SolidData,4,FALSE),IF(ISERROR(FIND("ply",KitchenCarcassMaterial))=FALSE,(0.1*($C198/1000))*VLOOKUP("Birch ply (24mm)",SheetsData,7,FALSE),IF(ISERROR(FIND("H/F",KitchenCarcassMaterial))=FALSE,(0.1*($C198/1000))*VLOOKUP("H/F (22mm)",SheetsData,7,FALSE),"Carcass - not tower - new material")))),IF(KitchenHandleFinish="Match door",IF(ISERROR(FIND("Walnut",KitchenDoorMaterial))=FALSE,(0.035*0.075*($C198/1000))*VLOOKUP("Walnut (solid m3)",SolidData,4,FALSE),IF(ISERROR(FIND("Oak",KitchenDoorMaterial))=FALSE,(0.035*0.075*($C198/1000))*VLOOKUP("Oak (solid m3)",SolidData,4,FALSE),IF(ISERROR(FIND("ply",KitchenDoorMaterial))=FALSE,(0.1*($C198/1000))*VLOOKUP("Birch ply (24mm)",SheetsData,7,FALSE),IF(ISERROR(FIND("H/F",KitchenCarcassMaterial))=FALSE,(0.1*($C198/1000))*VLOOKUP("H/F (22mm)",SheetsData,7,FALSE),"Door - not tower - new material")))),"Channel - not tower - handle set to other")),IF(ISERROR(FIND("Tower",$A198))=FALSE,IF(KitchenHandleFinish="Match carcass",IF(ISERROR(FIND("Walnut",KitchenCarcassMaterial))=FALSE,(0.035*0.075*($B198/1000))*VLOOKUP("Walnut (solid m3)",SolidData,4,FALSE),IF(ISERROR(FIND("Oak",KitchenCarcassMaterial))=FALSE,(0.035*0.075*($B198/1000))*VLOOKUP("Oak (solid m3)",SolidData,4,FALSE),IF(ISERROR(FIND("ply",KitchenCarcassMaterial))=FALSE,(0.1*($B198/1000))*VLOOKUP("Birch ply (24mm)",SheetsData,7,FALSE),IF(ISERROR(FIND("H/F",KitchenCarcassMaterial))=FALSE,(0.1*($C198/1000))*VLOOKUP("H/F (22mm)",SheetsData,7,FALSE),"Carcass - tower - new material")))),IF(KitchenHandleFinish="Match door",IF(ISERROR(FIND("Walnut",KitchenDoorMaterial))=FALSE,(0.035*0.075*($B198/1000))*VLOOKUP("Walnut (solid m3)",SolidData,4,FALSE),IF(ISERROR(FIND("Oak",KitchenDoorMaterial))=FALSE,(0.035*0.075*($B198/1000))*VLOOKUP("Oak (solid m3)",SolidData,4,FALSE),IF(ISERROR(FIND("ply",KitchenDoorMaterial))=FALSE,(0.1*($B198/1000))*VLOOKUP("Birch ply (24mm)",SheetData,7,FALSE),IF(ISERROR(FIND("H/F",KitchenCarcassMaterial))=FALSE,(0.1*($C198/1000))*VLOOKUP("H/F (22mm)",SheetsData,7,FALSE),"Door - tower - new material")))),"Channel - tower - handle set to other")))),"")</f>
        <v/>
      </c>
    </row>
    <row r="199">
      <c r="A199" s="150"/>
      <c r="B199" s="115" t="str">
        <f t="shared" si="1"/>
        <v/>
      </c>
      <c r="C199" s="115" t="str">
        <f>IFERROR(__xludf.DUMMYFUNCTION("IF(A199="""","""",IF(OR(RIGHT(A199,LEN(A199)-len(regexextract(A199,"".* "")))=""1200"",RIGHT(A199,LEN(A199)-len(regexextract(A199,"".* "")))=""600"",RIGHT(A199,LEN(A199)-len(regexextract(A199,"".* "")))=""400"",RIGHT(A199,LEN(A199)-len(regexextract(A199,"&amp;""".* "")))=""300"",RIGHT(A199,LEN(A199)-len(regexextract(A199,"".* "")))=""700"",RIGHT(A199,LEN(A199)-len(regexextract(A199,"".* "")))=""2400"",RIGHT(A199,LEN(A199)-len(regexextract(A199,"".* "")))=""650"",RIGHT(A199,LEN(A199)-len(regexextract(A199,"".* "&amp;""")))=""350"",RIGHT(A199,LEN(A199)-len(regexextract(A199,"".* "")))=""50""),RIGHT(A199,LEN(A199)-len(regexextract(A199,"".* ""))),IF(OR(ISERROR(FIND(""spacer"",A199))=FALSE,ISERROR(FIND(""filler panel"",A199))=FALSE),""1000"",""Unexpected size in descript"&amp;"ion"")))"),"")</f>
        <v/>
      </c>
      <c r="D199" s="151" t="str">
        <f t="shared" si="2"/>
        <v/>
      </c>
      <c r="E199" s="152" t="str">
        <f>IFERROR(__xludf.DUMMYFUNCTION("IF(OR(A199="""",AND(ISERROR(FIND(""drawer box"",A199))=FALSE,KitchenDrawerType="""")),"""",IF(OR(ISERROR(FIND(""larder"",A199))=FALSE,ISERROR(FIND(""fridge/freezer"",A199))=FALSE,ISERROR(FIND(""double oven"",A199))=FALSE,ISERROR(FIND(""single oven"",A199)"&amp;")=FALSE),VLOOKUP(LEFT(A199,FIND("" "",A199))&amp;""carcass ""&amp;RIGHT(A199,LEN(A199)-(LEN(A199)-3)),KitchensData,5,0),IF(ISERROR(FIND(""sink"",A199))=FALSE,VLOOKUP(LEFT(A199,FIND("" "",A199))&amp;""carcass ""&amp;VALUE(REGEXREPLACE(A199,""[^[:digit:]]"", """")),Kitchen"&amp;"sData,5,0)+(((C199/1000)*(300/1000))*VLOOKUP(KitchenCarcassMaterial,SheetsData,8,0)),IF(ISERROR(FIND(""bins"",A199))=FALSE,IF(ISERROR(FIND(""veneer"",KitchenCarcassMaterial))=FALSE,VLOOKUP(""Base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600"",A199))=FALSE,IF(ISERR"&amp;"OR(FIND(""veneer"",KitchenCarcassMaterial))=FALSE,0.54*(VLOOKUP(LEFT(KitchenCarcassMaterial,FIND(""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1"&amp;"200"",A199))=FALSE,IF(ISERROR(FIND(""veneer"",KitchenCarcassMaterial))=FALSE,0.84*(VLOOKUP(LEFT(KitchenCarcassMaterial,FIND(""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600"",A199))=FALSE,IF(ISERROR(FIND(""veneer"",KitchenCarcassMaterial))=FALSE,1.44*(VLOOKUP(LEFT(KitchenCarcassMaterial,FIND(""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1200"",A199))=FALSE,IF(ISERROR(FIND(""veneer"",KitchenCarcassMaterial))=FALSE,2.7*(VLOOKUP(LEFT(KitchenCarcassMaterial,FIND(""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front"",A199))=FALSE,((B199/1000)*(C199/1000))*VLOOKUP(KitchenDoorMaterial,SheetsData,8,0),IF(AND(KitchenDrawerType=""Match carcass"",ISERROR(FIND(""drawer box"",A199))=FALSE),(((((B199/10"&amp;"00)*(C199/1000))+((B199/1000)*(D199/1000)))*2)*VLOOKUP(KitchenCarcassMaterial,SheetsData,8,0))+(((C199/1000)*(D199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box"",A199))=FALSE),(((((B199/1000)*(C199/1000))+((B199/1000)*(D199/1000)))*2)*(16/1000)*VLOOKUP(L"&amp;"EFT(KitchenCarcassMaterial,FIND("" "",KitchenCarcassMaterial))&amp;""(solid m3)"",SolidData,5,0))+(((C199/1000)*(D199/1000))*VLOOKUP(LEFT(KitchenCarcassMaterial,FIND(""("",KitchenCarcassMaterial)-1)&amp;IF(OR(ISERROR(FIND(""ply"",KitchenCarcassMaterial))=FALSE,IS"&amp;"ERROR(FIND(""H/F"",KitchenCarcassMaterial))=FALSE),""(9mm)"",""(10mm)""),SheetsData,8,0)),IF(ISERROR(FIND(""spacer"",A199))=FALSE,((D199/1000)*(C199/1000))*VLOOKUP(""Poplar ply (18mm)"",SheetsData,8,0),IF(ISERROR(FIND(""filler panel"",A199))=FALSE,((B199/"&amp;"1000)*(C199/1000))*VLOOKUP(KitchenDoorMaterial,SheetsData,8,0),IF(ISERROR(FIND(""shelf"",A199))=FALSE,((D199/1000)*(C199/1000))*VLOOKUP(KitchenCarcassMaterial,SheetsData,8,0),IF(ISERROR(FIND(""lost corner"",A199))=FALSE,VLOOKUP(LEFT(A199,FIND("" "",A199))"&amp;"&amp;""carcass ""&amp;VALUE(REGEXREPLACE(A199,""[^[:digit:]]"", """")),KitchensData,5,0)+((((B199/1000)*(C199/1000))+((B199/1000)*(60/1000)))*VLOOKUP(KitchenCarcassMaterial,SheetsData,8,0)),IF(ISERROR(FIND(""carcass"",A199))=FALSE,(((((B199/1000)*2)*(D199/1000))+"&amp;"(((C199/1000)*2)*(D199/1000)))*VLOOKUP(KitchenCarcassMaterial,SheetsData,8,0))+((B199/1000)*(C199/1000))*VLOOKUP(LEFT(KitchenCarcassMaterial,FIND(""("",KitchenCarcassMaterial)-1)&amp;IF(OR(ISERROR(FIND(""ply"",KitchenCarcassMaterial))=FALSE,ISERROR(FIND(""H/F"&amp;""",KitchenCarcassMaterial))=FALSE),""(9mm)"",""(10mm)""),SheetsData,8,0),IF(OR(ISERROR(FIND(""Plinth"",A199))=FALSE,ISERROR(FIND(""Cornice (flat)"",A199))=FALSE),((B199/1000)*(C199/1000))*VLOOKUP(""H/F (18mm)"",SheetsData,8,0),IF(ISERROR(FIND(""Cornice (s"&amp;"tacked)"",A199))=FALSE,((0.08*(C199/1000))*2)*VLOOKUP(""H/F (22mm)"",SheetsData,8,0),IF(ISERROR(FIND(""Base end panel"",A199))=FALSE,VLOOKUP(KitchenDoorMaterial,SheetsData,5,0)/3,IF(ISERROR(FIND(""Wall end panel"",A199))=FALSE,VLOOKUP(KitchenDoorMaterial,"&amp;"SheetsData,5,0)/9,IF(ISERROR(FIND(""Tower end panel"",A199))=FALSE,VLOOKUP(KitchenDoorMaterial,SheetsData,5,0),IF(ISERROR(FIND(""Fillers"",A199))=FALSE,(((0.06*(C199/1000))*2)*VLOOKUP(""H/F (18mm)"",SheetsData,8,0))+(((0.06*(C199/1000))*2)*VLOOKUP(""H/F ("&amp;"9mm)"",SheetsData,8,0)),IF(ISERROR(FIND(""corner post"",A199))=FALSE,(((B199/1000)*0.05)*2)*VLOOKUP(KitchenDoorMaterial,SheetsData,8,0),IF(ISERROR(FIND(""Pelmet"",A199))=FALSE,((((B199/1000)*(C199/1000))*2)*VLOOKUP(""H/F (18mm)"",SheetsData,8,0)),IF(ISERR"&amp;"OR(FIND(""door"",A199))=TRUE,""Check description"",IF(KitchenDoorStyle=""Flat"",((B199/1000)*(C199/1000))*VLOOKUP(KitchenDoorMaterial,SheetsData,8,0),IF(LEFT(KitchenDoorStyle,5)=""Panel"",(((((B199/1000)*2)*0.08)+((((C199/1000)-0.16)*2)*0.08))*VLOOKUP(""H"&amp;"/F (22mm)"",SheetsData,8,0))+(((B199/1000)-0.14)*((C199/1000)-0.14)*VLOOKUP(""H/F (9mm)"",SheetsData,8,0)),IF(KitchenDoorStyle=""In-frame flat"",((((((B199/1000)*0.019)*0.038)+((((C199-38)/1000)*0.038)*0.038))*2)*VLOOKUP(""Tulip (solid m3)"",SolidData,5,0"&amp;"))+(((B199-76)/1000)*((C199-38)/1000))*VLOOKUP(""H/F (22mm)"",SheetsData,8,0),IF(LEFT(KitchenDoorStyle,14)=""In-frame panel"",(((((((B199/1000)*0.019)*0.038)+((((C199-38)/1000)*0.038)*0.038))*2)*VLOOKUP(""Tulip (solid m3)"",SolidData,5,0))+(((((((B199-76)"&amp;"/1000)*2)*0.08)+(((((C199-198)/1000)*2)*0.08)))*VLOOKUP(""H/F (22mm)"",SheetsData,8,0))+(((B199-216)/1000)*((C199-178)/1000)*VLOOKUP(""H/F (9mm)"",SheetsData,8,0)))))))))))))))))))))))))))))))))"),"")</f>
        <v/>
      </c>
      <c r="F199" s="152" t="str">
        <f>IFERROR(__xludf.DUMMYFUNCTION("IF(OR(A199="""",AND(ISERROR(FIND(""drawer box"",A199))=FALSE,KitchenDrawerType=""Solid dovetail"")),"""",IF(ISERROR(FIND(""bins"",A199))=FALSE,VLOOKUP(""Base carcass 600"",KitchensData,6,0),IF(OR(ISERROR(FIND(""larder"",A199))=FALSE,ISERROR(FIND(""unit"","&amp;"A199))=FALSE),VLOOKUP(LEFT(A199,FIND("" "",A199))&amp;""carcass ""&amp;RIGHT(A199,LEN(A199)-len(regexextract(A199,"".* ""))),KitchensData,6,0),IF(ISERROR(FIND(""drawer front"",A199))=FALSE,IF(ISERROR(FIND(""veneer"",KitchenCarcassMaterial))=TRUE,0,(((B199+C199)/1"&amp;"000)*2)*VLOOKUP(""Edge banding (per M)"",SheetsData,5,0)),IF(ISERROR(FIND(""drawer box"",A199))=FALSE,IF(ISERROR(FIND(""veneer"",KitchenCarcassMaterial))=TRUE,0,(((C199+D199)/1000)*2)*VLOOKUP(""Edge banding (per M)"",SheetsData,5,0)),IF(ISERROR(FIND(""she"&amp;"lf"",A199))=FALSE,IF(ISERROR(FIND(""veneer"",KitchenCarcassMaterial))=TRUE,0,(C199/1000)*VLOOKUP(""Edge banding (per M)"",SheetsData,5,0)),IF(AND(ISERROR(FIND(""carcass"",A199))=FALSE,ISERROR(FIND(""shelf"",A199))=TRUE),IF(ISERROR(FIND(""veneer"",KitchenC"&amp;"arcassMaterial))=TRUE,0,((2*(B199+C199))/1000)*VLOOKUP(""Edge banding (per M)"",SheetsData,5,0)),IF(ISERROR(FIND(""door"",A199))=TRUE,"""",IF(ISERROR(FIND(""veneer"",KitchenDoorMaterial))=TRUE,"""",((2*(B199+C199))/1000)*VLOOKUP(""Edge banding (per M)"",S"&amp;"heetsData,5,0))))))))))"),"")</f>
        <v/>
      </c>
      <c r="G199" s="153" t="str">
        <f>IF(A199="","",IF(ISERROR(FIND("bins",A199))=FALSE,VLOOKUP("Base carcass 600",KitchensData,7,0),IF(OR(ISERROR(FIND("larder",A199))=FALSE,ISERROR(FIND("fridge/freezer",A199))=FALSE,ISERROR(FIND("double oven",A199))=FALSE,ISERROR(FIND("single oven",A199))=FALSE),VLOOKUP(LEFT(A199,FIND(" ",A199))&amp;"carcass "&amp;RIGHT(A199,LEN(A199)-(LEN(A199)-3)),KitchensData,7,0),IF(AND(ISERROR(FIND("carcass",A199))=FALSE,ISERROR(FIND("shelf",A199))=TRUE),IF(OR(ISERROR(FIND("Base",A199))=FALSE,ISERROR(FIND("Tower",A199))=FALSE),IF(OR(ISERROR(FIND("1200",A199))=FALSE, ISERROR(FIND("lost corner",A199))=FALSE),6*VLOOKUP("Plinth foot (2 Parts 80mm)",FurnitureData,5,0),4*VLOOKUP("Plinth foot (2 Parts 80mm)",FurnitureData,5,0)),""),""))))</f>
        <v/>
      </c>
      <c r="H199" s="115" t="str">
        <f>IF(OR(A199="",ISERROR(FIND("door",A199))=TRUE),"",IF(ISERROR(FIND("Wall",A199))=FALSE,VLOOKUP("Hinges &amp; plates (Hettich thick door)",FurnitureData,5,0)*2,IF(ISERROR(FIND("Base",A199))=FALSE,VLOOKUP("Hinges &amp; plates (Hettich thick door)",FurnitureData,5,0)*3,IF(ISERROR(FIND("Boiler",A199))=FALSE,VLOOKUP("Hinges &amp; plates (Hettich thick door)",FurnitureData,5,0)*4,IF(ISERROR(FIND("Tower",A199))=FALSE,VLOOKUP("Hinges &amp; plates (Hettich thick door)",FurnitureData,5,0)*5)))))</f>
        <v/>
      </c>
      <c r="I199" s="115" t="str">
        <f>IF(ISERROR(FIND("shelf",A199))=FALSE,(VLOOKUP("Shelf pegs",FurnitureData,5,0)/100)*4,"")</f>
        <v/>
      </c>
      <c r="J199" s="152" t="str">
        <f>IF(OR(ISERROR(FIND("fridge/freezer",A199))=FALSE,ISERROR(FIND("larder",A199))=FALSE,AND(ISERROR(FIND("Base",A199))=FALSE,ISERROR(FIND("bins",A199))=TRUE,ISERROR(FIND("no shelves",A199))=TRUE,OR(ISERROR(FIND("carcass",A199))=FALSE,ISERROR(FIND("unit",A199))=FALSE))),VLOOKUP("Deep shelf "&amp;C199,KitchensData,18,0),IF(AND(ISERROR(FIND("Wall",A199))=FALSE,ISERROR(FIND("carcass",A199))=FALSE),2*VLOOKUP("Shallow shelf "&amp;C199,KitchensData,18,0),IF(AND(ISERROR(FIND("Tower",A199))=FALSE,ISERROR(FIND("oven",A199))=FALSE),4*VLOOKUP("Deep shelf "&amp;C199,KitchensData,18,0),IF(AND(ISERROR(FIND("Tower",A199))=FALSE,ISERROR(FIND("carcass",A199))=FALSE),5*VLOOKUP("Deep shelf "&amp;C199,KitchensData,18,0),""))))</f>
        <v/>
      </c>
      <c r="K199" s="152" t="str">
        <f>IF(ISERROR(FIND("sink",A199))=FALSE,VLOOKUP("Sink liner - Aluminium "&amp;RIGHT(A199,LEN(A199)-22)&amp;"mm",ExceptionalData,5,0),IF(ISERROR(FIND("bins",A199))=FALSE,VLOOKUP("Drawer runners and clip set for bin unit (500) Dynapro",FurnitureData,5,0)+(2*VLOOKUP("Bin (42L Anthracite)",FurnitureData,5,0)),IF(ISERROR(FIND("larder",A199))=FALSE,VLOOKUP("Pull out larder unit 600mm",FurnitureData,5,0),IF(AND(ISERROR(FIND("drawer box",A199))=FALSE,ISERROR(FIND("internal",A199))=TRUE),VLOOKUP("Drawer runners and clip set (550) Dynapro",FurnitureData,5,0),IF(ISERROR(FIND("internal drawer box",A199))=FALSE,VLOOKUP("Drawer runners and clip set (450) Dynapro",FurnitureData,5,0),"")))))</f>
        <v/>
      </c>
      <c r="L199" s="152" t="str">
        <f t="shared" si="3"/>
        <v/>
      </c>
      <c r="M199" s="154" t="str">
        <f>IFERROR(__xludf.DUMMYFUNCTION("IF(A199="""","""",IF(OR(ISERROR(FIND(""larder"",A199))=FALSE,ISERROR(FIND(""unit"",A199))=FALSE),VLOOKUP(LEFT(A199,FIND("" "",A199))&amp;""carcass ""&amp;RIGHT(A199,LEN(A199)-len(regexextract(A199,"".* ""))),KitchensData,13,0),IF(ISERROR(FIND(""bins"",A199))=FALS"&amp;"E,0.95,IF(ISERROR(FIND(""Cutlery insert 600"",A199))=FALSE,1.3,IF(ISERROR(FIND(""Cutlery insert 1200"",A199))=FALSE,2,IF(ISERROR(FIND(""Pan/tray rack 600"",A199))=FALSE,3.25,IF(ISERROR(FIND(""Pan/tray rack 1200"",A199))=FALSE,5.9,IF(ISERROR(FIND(""split"""&amp;",A199))=FALSE,(((C199/1000)*0.022)*2)+VLOOKUP(SUBSTITUTE(A199,"" split"",""""),KitchensData,13,0),IF(AND(ISERROR(FIND(""drawer front"",A199))=FALSE,KitchenDoorStyle=""Flat""),(((B199/1000)*(C199/1000))*2)+((((B199+C199)/1000)*2)*0.022),IF(AND(ISERROR(FIND"&amp;"(""drawer front"",A199))=FALSE,LEFT(KitchenDoorStyle,5)=""Panel""),(((B199/1000)*(C199/1000))*2)+((((B199+C199)/1000)*2)*0.022)+((((C199/1000)-0.16)*0.013)*2)+((((D199/1000)-0.16)*0.013)*2),IF(AND(ISERROR(FIND(""drawer front"",A199))=FALSE,KitchenDoorStyl"&amp;"e=""In-frame flat""),((((B199-76)/1000)*((C199-38)/1000))*2)+(MID(KitchenDoorMaterial,FIND(""("",KitchenDoorMaterial)+1,2)/1000)*((((B199-76)+(C199-38))/1000)*2)+(((B199/1000)*0.032)*2)+((((B199-76)/1000)*0.032)*2)+(((B199/1000)*0.019)*4)+(((C199/1000)*0."&amp;"032)*2)+((((C199-38)/1000)*0.032)*2)+(((C199/1000)*0.038)*4),IF(AND(ISERROR(FIND(""drawer front"",A199))=FALSE,LEFT(KitchenDoorStyle,14)=""In-frame panel""),((((B199-76)/1000)*((C199-38)/1000))*2)+((MID(KitchenDoorMaterial,FIND(""("",KitchenDoorMaterial)+"&amp;"1,2)/1000)*((((B199-76)+(C199-38))/1000)*2))+((((B199-236)/1000)+((C199-198)/1000)*2)*0.013)+(((B199/1000)*0.032)*2)+((((B199-76)/1000)*0.032)*2)+(((B199/1000)*0.019)*4)+(((C199/1000)*0.032)*2)+((((C199-38)/1000)*0.032)*2)+(((C199/1000)*0.038)*4),IF(ISERR"&amp;"OR(FIND(""drawer box"",A199))=FALSE,((((B199/1000)*(D199/1000))+((B199/1000)*(C199/1000)))*4)+((((D199/1000)+(C199/1000))*0.016)*4)+(((C199/1000)*(D199/1000))*2),IF(OR(ISERROR(FIND(""shelf"",A199))=FALSE,ISERROR(FIND(""spacer"",A199))=FALSE,,ISERROR(FIND("&amp;"""filler panel"",A199))=FALSE),(((C199/1000)*(D199/1000))*2)+((((C199+D199)*2)/1000)*0.022),IF(ISERROR(FIND(""lost corner"",A199))=FALSE,(((B199/1000)*(C199/1000))*2)+((B199/1000)*(C199/1000))+((B199/1000)*((C199/2)/1000))+((((B199/1000)*0.025)+((C199/100"&amp;"0)*0.025))*2),IF(ISERROR(FIND(""carcass"",A199))=FALSE,(((C199/1000)*(D199/1000))*2)+(((B199/1000)*(D199/1000))*2)+((B199/1000)*(C199/1000))+((((B199/1000)*0.025)+((C199/1000)*0.025))*2),IF(AND(ISERROR(FIND(""door"",A199))=FALSE,KitchenDoorStyle=""Flat"")"&amp;",(((B199/1000)*(C199/1000))*2)+(MID(KitchenDoorMaterial,FIND(""("",KitchenDoorMaterial)+1,2)/1000)*(((B199+C199)/1000)*2),IF(AND(ISERROR(FIND(""door"",A199))=FALSE,LEFT(KitchenDoorStyle,5)=""Panel""),(((B199/1000)*(C199/1000))*2)+((MID(KitchenDoorMaterial"&amp;",FIND(""("",KitchenDoorMaterial)+1,2)/1000)*(((B199+C199)/1000)*2))+(((((B199-160)+(C199-160))*2)/1000)*(0.013)),IF(AND(ISERROR(FIND(""door"",A199))=FALSE,KitchenDoorStyle=""In-frame flat""),((((B199-76)/1000)*((C199-38)/1000))*2)+(MID(KitchenDoorMaterial"&amp;",FIND(""("",KitchenDoorMaterial)+1,2)/1000)*((((B199-76)+(C199-38))/1000)*2)+(((B199/1000)*0.032)*2)+((((B199-76)/1000)*0.032)*2)+(((B199/1000)*0.019)*4)+(((C199/1000)*0.032)*2)+((((C199-38)/1000)*0.032)*2)+(((C199/1000)*0.038)*4),IF(AND(ISERROR(FIND(""do"&amp;"or"",A199))=FALSE,LEFT(KitchenDoorStyle,14)=""In-frame panel""),((((B199-76)/1000)*((C199-38)/1000))*2)+((MID(KitchenDoorMaterial,FIND(""("",KitchenDoorMaterial)+1,2)/1000)*((((B199-76)+(C199-38))/1000)*2))+((((B199-236)/1000)+((C199-198)/1000)*2)*0.013)+"&amp;"(((B199/1000)*0.032)*2)+((((B199-76)/1000)*0.032)*2)+(((B199/1000)*0.019)*4)+(((C199/1000)*0.032)*2)+((((C199-38)/1000)*0.032)*2)+(((C199/1000)*0.038)*4),IF(ISERROR(FIND(""Plinth"",A199))=FALSE,((B199/1000)*(C199/1000))+(((C199/1000)*0.018)*2)+(((B199/100"&amp;"0)*0.018)*2),IF(ISERROR(FIND(""Cornice"",A199))=FALSE,(((C199/1000)*0.1)*2)+(((C199/1000)*0.044)*2)+(((B199/1000)*0.08)*2),IF(ISERROR(FIND(""Base end panel"",A199))=FALSE,((B199/1000)*(C199/1000))+(0.022*((B199/1000)+((C199/1000)*2)))+((B199/1000)*0.05),I"&amp;"F(ISERROR(FIND(""Wall end panel"",A199))=FALSE,((B199/1000)*(C199/1000))+(0.022*((B199/1000)+((C199/1000)*2)))+((B199/1000)*0.05),IF(ISERROR(FIND(""Tower end panel"",A199))=FALSE,((B199/1000)*(C199/1000))+(0.022*((B199/1000)+((C199/1000)*2)))+((B199/1000)"&amp;"*0.05),IF(ISERROR(FIND(""Fillers"",A199))=FALSE,((C199/1000)*0.06)+((C199/1000)*0.069)+((0.06*0.018)*2)+((0.06*0.009)*2)+((C199/1000)*0.009)+((C199/1000)*0.018),IF(ISERROR(FIND(""corner post"",A199))=FALSE,(((B199/1000*0.05)*2)+((B199/1000)*0.022)*2)+((B1"&amp;"99/1000)*0.072)+((B199/1000)*0.05)+((0.072*0.022)*2)+((0.05*0.022)*2),IF(ISERROR(FIND(""Pelmet"",A199))=FALSE,((C199/1000)*0.05)+((C199/1000)*0.068)+((0.05*0.018)*4)+(((C199/1000)*0.018))*2))))))))))))))))))))))))))))"),"")</f>
        <v/>
      </c>
      <c r="N199" s="152" t="str">
        <f>IF(M199="","",IF(AND(ISERROR(FIND("carcass",A199))=TRUE,ISERROR(FIND("unit",A199))=TRUE,ISERROR(FIND("insert",A199))=TRUE,ISERROR(FIND("rack",A199))=TRUE,ISERROR(FIND("box",A199))=TRUE,ISERROR(FIND("shelf",#REF!))=TRUE),VLOOKUP(KitchenDoorFinish,Finishing!$A$2:$K$10,9,0)*M199,VLOOKUP(KitchenCarcassFinish,Finishing!$A$2:$K$40,9,0)*M199))</f>
        <v/>
      </c>
      <c r="O199" s="155"/>
      <c r="P199" s="155"/>
      <c r="Q199" s="152" t="str">
        <f>IF(OR(O199="",P199=""),"",((O199*X199)*(VLOOKUP("Workshop",Labour!$A$3:$E$20,4,0)/8))+((P199*AE199)*(VLOOKUP("Finishing",Labour!$A$3:$E$20,4,0)/8)))</f>
        <v/>
      </c>
      <c r="R199" s="152" t="str">
        <f t="shared" si="4"/>
        <v/>
      </c>
      <c r="S199" s="156" t="str">
        <f>IF(OR(O199="",P199=""),"",IF(OR(ISERROR(FIND("carcass",$A199))=FALSE,ISERROR(FIND("unit",$A199))=FALSE),VLOOKUP(KitchenCarcassMaterial,FixedListsCarcassMaterial,2,0),0))</f>
        <v/>
      </c>
      <c r="T199" s="156" t="str">
        <f>IF(OR(O199="",P199=""),"",IF(ISERROR(FIND("door",$A199))=FALSE,VLOOKUP(KitchenDoorStyle,FixedListsDoorStyle,2,0),0))</f>
        <v/>
      </c>
      <c r="U199" s="156" t="str">
        <f>IF(OR(O199="",P199=""),"",IF(ISERROR(FIND("door",$A199))=FALSE,VLOOKUP(KitchenDoorMaterial,FixedListsDoorMaterial,2,0),0))</f>
        <v/>
      </c>
      <c r="V199" s="156" t="str">
        <f>IF(OR(O199="",P199=""),"",IF(ISERROR(FIND("drawer",$A199))=FALSE,VLOOKUP(KitchenDrawerType,FixedListsDrawerType,2,0),0))</f>
        <v/>
      </c>
      <c r="W199" s="156" t="str">
        <f>IF(OR(O199="",P199=""),"",IF(OR(S199&gt;0, T199&gt;0,V199&gt;0),VLOOKUP(KitchenHandleType,FixedListsHandleType,2,FALSE)*IF(KitchenHandleType="Simple",0,IF(S199&gt;0,VLOOKUP(KitchenHandleType,FixedListsHandleType,4,FALSE),IF(OR(T199&gt;0,V199&gt;0),1-VLOOKUP(KitchenHandleType,FixedListsHandleType,4,FALSE),"Error"))),0))</f>
        <v/>
      </c>
      <c r="X199" s="156" t="str">
        <f t="shared" si="5"/>
        <v/>
      </c>
      <c r="Y199" s="156" t="str">
        <f>IF(OR(O199="",P199=""),"",IF(OR(ISERROR(FIND("carcass",$A199))=FALSE,ISERROR(FIND("unit",$A199))=FALSE),VLOOKUP(KitchenCarcassMaterial,FixedListsCarcassMaterial,3,0),0))</f>
        <v/>
      </c>
      <c r="Z199" s="156" t="str">
        <f>IF(OR(O199="",P199=""),"",IF(ISERROR(FIND("door",$A199))=FALSE,VLOOKUP(KitchenDoorStyle,FixedListsDoorStyle,3,0),0))</f>
        <v/>
      </c>
      <c r="AA199" s="156" t="str">
        <f>IF(OR(O199="",P199=""),"",IF(ISERROR(FIND("door",$A199))=FALSE,VLOOKUP(KitchenDoorMaterial,FixedListsDoorMaterial,3,0),0))</f>
        <v/>
      </c>
      <c r="AB199" s="156" t="str">
        <f>IF(OR(O199="",P199=""),"",IF(ISERROR(FIND("drawer",$A199))=FALSE,VLOOKUP(KitchenDrawerType,FixedListsDrawerType,3,0),0))</f>
        <v/>
      </c>
      <c r="AC199" s="156" t="str">
        <f>IF(OR(O199="",P199=""),"",IF(OR(Y199&gt;0,Z199&gt;0,AB199&gt;0),VLOOKUP(KitchenHandleType,FixedListsHandleType,3,FALSE),0))</f>
        <v/>
      </c>
      <c r="AD199" s="156" t="str">
        <f>IF(OR(O199="",P199=""),"",IF(OR(ISERROR(FIND("carcass",$A199))=FALSE,ISERROR(FIND("unit",$A199))=FALSE),VLOOKUP(KitchenCarcassFinish,FixedListsFinishes,3,0),IF(OR(ISERROR(FIND("door",$A199))=FALSE,ISERROR(FIND("Plinth",$A199))=FALSE,ISERROR(FIND("Cornice",$A199))=FALSE,ISERROR(FIND("Fillers",$A199))=FALSE,ISERROR(FIND("Pelmet",$A199))=FALSE,ISERROR(FIND("panel",$A199))=FALSE,ISERROR(FIND("post",$A199))=FALSE),VLOOKUP(KitchenDoorFinish,FixedListsFinishes,3,0),IF(OR(ISERROR(FIND("drawer",$A199))=FALSE,ISERROR(FIND("insert",$A199))=FALSE,ISERROR(FIND("rck",$A199))=FALSE),VLOOKUP(KitchenCarcassFinish,FixedListsFinishes,3,0),0))))</f>
        <v/>
      </c>
      <c r="AE199" s="156" t="str">
        <f t="shared" si="6"/>
        <v/>
      </c>
      <c r="AF199" s="157" t="str">
        <f>IF(AND(KitchenHandleType="Channel",OR(ISERROR(FIND("arcass",$A199))=FALSE,ISERROR(FIND("unit",$A199))=FALSE)),IF(ISERROR(FIND("Tower",$A199))=TRUE,IF(KitchenHandleFinish="Match carcass",IF(ISERROR(FIND("Walnut",KitchenCarcassMaterial))=FALSE,(0.035*0.075*($C199/1000))*VLOOKUP("Walnut (solid m3)",SolidData,4,FALSE),IF(ISERROR(FIND("Oak",KitchenCarcassMaterial))=FALSE,(0.035*0.075*($C199/1000))*VLOOKUP("Oak (solid m3)",SolidData,4,FALSE),IF(ISERROR(FIND("ply",KitchenCarcassMaterial))=FALSE,(0.1*($C199/1000))*VLOOKUP("Birch ply (24mm)",SheetsData,7,FALSE),IF(ISERROR(FIND("H/F",KitchenCarcassMaterial))=FALSE,(0.1*($C199/1000))*VLOOKUP("H/F (22mm)",SheetsData,7,FALSE),"Carcass - not tower - new material")))),IF(KitchenHandleFinish="Match door",IF(ISERROR(FIND("Walnut",KitchenDoorMaterial))=FALSE,(0.035*0.075*($C199/1000))*VLOOKUP("Walnut (solid m3)",SolidData,4,FALSE),IF(ISERROR(FIND("Oak",KitchenDoorMaterial))=FALSE,(0.035*0.075*($C199/1000))*VLOOKUP("Oak (solid m3)",SolidData,4,FALSE),IF(ISERROR(FIND("ply",KitchenDoorMaterial))=FALSE,(0.1*($C199/1000))*VLOOKUP("Birch ply (24mm)",SheetsData,7,FALSE),IF(ISERROR(FIND("H/F",KitchenCarcassMaterial))=FALSE,(0.1*($C199/1000))*VLOOKUP("H/F (22mm)",SheetsData,7,FALSE),"Door - not tower - new material")))),"Channel - not tower - handle set to other")),IF(ISERROR(FIND("Tower",$A199))=FALSE,IF(KitchenHandleFinish="Match carcass",IF(ISERROR(FIND("Walnut",KitchenCarcassMaterial))=FALSE,(0.035*0.075*($B199/1000))*VLOOKUP("Walnut (solid m3)",SolidData,4,FALSE),IF(ISERROR(FIND("Oak",KitchenCarcassMaterial))=FALSE,(0.035*0.075*($B199/1000))*VLOOKUP("Oak (solid m3)",SolidData,4,FALSE),IF(ISERROR(FIND("ply",KitchenCarcassMaterial))=FALSE,(0.1*($B199/1000))*VLOOKUP("Birch ply (24mm)",SheetsData,7,FALSE),IF(ISERROR(FIND("H/F",KitchenCarcassMaterial))=FALSE,(0.1*($C199/1000))*VLOOKUP("H/F (22mm)",SheetsData,7,FALSE),"Carcass - tower - new material")))),IF(KitchenHandleFinish="Match door",IF(ISERROR(FIND("Walnut",KitchenDoorMaterial))=FALSE,(0.035*0.075*($B199/1000))*VLOOKUP("Walnut (solid m3)",SolidData,4,FALSE),IF(ISERROR(FIND("Oak",KitchenDoorMaterial))=FALSE,(0.035*0.075*($B199/1000))*VLOOKUP("Oak (solid m3)",SolidData,4,FALSE),IF(ISERROR(FIND("ply",KitchenDoorMaterial))=FALSE,(0.1*($B199/1000))*VLOOKUP("Birch ply (24mm)",SheetData,7,FALSE),IF(ISERROR(FIND("H/F",KitchenCarcassMaterial))=FALSE,(0.1*($C199/1000))*VLOOKUP("H/F (22mm)",SheetsData,7,FALSE),"Door - tower - new material")))),"Channel - tower - handle set to other")))),"")</f>
        <v/>
      </c>
    </row>
    <row r="200">
      <c r="A200" s="150"/>
      <c r="B200" s="115" t="str">
        <f t="shared" si="1"/>
        <v/>
      </c>
      <c r="C200" s="115" t="str">
        <f>IFERROR(__xludf.DUMMYFUNCTION("IF(A200="""","""",IF(OR(RIGHT(A200,LEN(A200)-len(regexextract(A200,"".* "")))=""1200"",RIGHT(A200,LEN(A200)-len(regexextract(A200,"".* "")))=""600"",RIGHT(A200,LEN(A200)-len(regexextract(A200,"".* "")))=""400"",RIGHT(A200,LEN(A200)-len(regexextract(A200,"&amp;""".* "")))=""300"",RIGHT(A200,LEN(A200)-len(regexextract(A200,"".* "")))=""700"",RIGHT(A200,LEN(A200)-len(regexextract(A200,"".* "")))=""2400"",RIGHT(A200,LEN(A200)-len(regexextract(A200,"".* "")))=""650"",RIGHT(A200,LEN(A200)-len(regexextract(A200,"".* "&amp;""")))=""350"",RIGHT(A200,LEN(A200)-len(regexextract(A200,"".* "")))=""50""),RIGHT(A200,LEN(A200)-len(regexextract(A200,"".* ""))),IF(OR(ISERROR(FIND(""spacer"",A200))=FALSE,ISERROR(FIND(""filler panel"",A200))=FALSE),""1000"",""Unexpected size in descript"&amp;"ion"")))"),"")</f>
        <v/>
      </c>
      <c r="D200" s="151" t="str">
        <f t="shared" si="2"/>
        <v/>
      </c>
      <c r="E200" s="152" t="str">
        <f>IFERROR(__xludf.DUMMYFUNCTION("IF(OR(A200="""",AND(ISERROR(FIND(""drawer box"",A200))=FALSE,KitchenDrawerType="""")),"""",IF(OR(ISERROR(FIND(""larder"",A200))=FALSE,ISERROR(FIND(""fridge/freezer"",A200))=FALSE,ISERROR(FIND(""double oven"",A200))=FALSE,ISERROR(FIND(""single oven"",A200)"&amp;")=FALSE),VLOOKUP(LEFT(A200,FIND("" "",A200))&amp;""carcass ""&amp;RIGHT(A200,LEN(A200)-(LEN(A200)-3)),KitchensData,5,0),IF(ISERROR(FIND(""sink"",A200))=FALSE,VLOOKUP(LEFT(A200,FIND("" "",A200))&amp;""carcass ""&amp;VALUE(REGEXREPLACE(A200,""[^[:digit:]]"", """")),Kitchen"&amp;"sData,5,0)+(((C200/1000)*(300/1000))*VLOOKUP(KitchenCarcassMaterial,SheetsData,8,0)),IF(ISERROR(FIND(""bins"",A200))=FALSE,IF(ISERROR(FIND(""veneer"",KitchenCarcassMaterial))=FALSE,VLOOKUP(""Base carcass 600"",KitchensData,5,0)+(0.72*(VLOOKUP(LEFT(Kitchen"&amp;"CarcassMaterial,FIND("" "",KitchenCarcassMaterial)-1)&amp;"" (solid m3)"",SolidData,5,0)*0.016)),VLOOKUP(""Base carcass 600"",KitchensData,5,0)+(0.72*VLOOKUP(KitchenCarcassMaterial,SheetsData,8,0))),IF(ISERROR(FIND(""Cutlery insert 600"",A200))=FALSE,IF(ISERR"&amp;"OR(FIND(""veneer"",KitchenCarcassMaterial))=FALSE,0.54*(VLOOKUP(LEFT(KitchenCarcassMaterial,FIND("" "",KitchenCarcassMaterial)-1)&amp;"" (solid m3)"",SolidData,5,0)*0.016),0.54*VLOOKUP(KitchenCarcassMaterial,SheetsData,8,0)),IF(ISERROR(FIND(""Cutlery insert 1"&amp;"200"",A200))=FALSE,IF(ISERROR(FIND(""veneer"",KitchenCarcassMaterial))=FALSE,0.84*(VLOOKUP(LEFT(KitchenCarcassMaterial,FIND("" "",KitchenCarcassMaterial)-1)&amp;"" (solid m3)"",SolidData,5,0)*0.016),0.84*VLOOKUP(KitchenCarcassMaterial,SheetsData,8,0)),IF(ISER"&amp;"ROR(FIND(""Pan/tray rack 600"",A200))=FALSE,IF(ISERROR(FIND(""veneer"",KitchenCarcassMaterial))=FALSE,1.44*(VLOOKUP(LEFT(KitchenCarcassMaterial,FIND("" "",KitchenCarcassMaterial)-1)&amp;"" (solid m3)"",SolidData,5,0)*0.016),1.44*VLOOKUP(KitchenCarcassMaterial"&amp;",SheetsData,8,0)),IF(ISERROR(FIND(""Pan/tray rack 1200"",A200))=FALSE,IF(ISERROR(FIND(""veneer"",KitchenCarcassMaterial))=FALSE,2.7*(VLOOKUP(LEFT(KitchenCarcassMaterial,FIND("" "",KitchenCarcassMaterial)-1)&amp;"" (solid m3)"",SolidData,5,0)*0.016),2.7*VLOOKU"&amp;"P(KitchenCarcassMaterial,SheetsData,8,0)),IF(ISERROR(FIND(""drawer front"",A200))=FALSE,((B200/1000)*(C200/1000))*VLOOKUP(KitchenDoorMaterial,SheetsData,8,0),IF(AND(KitchenDrawerType=""Match carcass"",ISERROR(FIND(""drawer box"",A200))=FALSE),(((((B200/10"&amp;"00)*(C200/1000))+((B200/1000)*(D200/1000)))*2)*VLOOKUP(KitchenCarcassMaterial,SheetsData,8,0))+(((C200/1000)*(D200/1000))*VLOOKUP(LEFT(KitchenCarcassMaterial,FIND(""("",KitchenCarcassMaterial)-1)&amp;IF(OR(ISERROR(FIND(""ply"",KitchenCarcassMaterial))=FALSE,I"&amp;"SERROR(FIND(""H/F"",KitchenCarcassMaterial))=FALSE),""(9mm)"",""(10mm)""),SheetsData,8,0)),IF(AND(KitchenDrawerType=""Solid dovetail"",ISERROR(FIND(""drawer box"",A200))=FALSE),(((((B200/1000)*(C200/1000))+((B200/1000)*(D200/1000)))*2)*(16/1000)*VLOOKUP(L"&amp;"EFT(KitchenCarcassMaterial,FIND("" "",KitchenCarcassMaterial))&amp;""(solid m3)"",SolidData,5,0))+(((C200/1000)*(D200/1000))*VLOOKUP(LEFT(KitchenCarcassMaterial,FIND(""("",KitchenCarcassMaterial)-1)&amp;IF(OR(ISERROR(FIND(""ply"",KitchenCarcassMaterial))=FALSE,IS"&amp;"ERROR(FIND(""H/F"",KitchenCarcassMaterial))=FALSE),""(9mm)"",""(10mm)""),SheetsData,8,0)),IF(ISERROR(FIND(""spacer"",A200))=FALSE,((D200/1000)*(C200/1000))*VLOOKUP(""Poplar ply (18mm)"",SheetsData,8,0),IF(ISERROR(FIND(""filler panel"",A200))=FALSE,((B200/"&amp;"1000)*(C200/1000))*VLOOKUP(KitchenDoorMaterial,SheetsData,8,0),IF(ISERROR(FIND(""shelf"",A200))=FALSE,((D200/1000)*(C200/1000))*VLOOKUP(KitchenCarcassMaterial,SheetsData,8,0),IF(ISERROR(FIND(""lost corner"",A200))=FALSE,VLOOKUP(LEFT(A200,FIND("" "",A200))"&amp;"&amp;""carcass ""&amp;VALUE(REGEXREPLACE(A200,""[^[:digit:]]"", """")),KitchensData,5,0)+((((B200/1000)*(C200/1000))+((B200/1000)*(60/1000)))*VLOOKUP(KitchenCarcassMaterial,SheetsData,8,0)),IF(ISERROR(FIND(""carcass"",A200))=FALSE,(((((B200/1000)*2)*(D200/1000))+"&amp;"(((C200/1000)*2)*(D200/1000)))*VLOOKUP(KitchenCarcassMaterial,SheetsData,8,0))+((B200/1000)*(C200/1000))*VLOOKUP(LEFT(KitchenCarcassMaterial,FIND(""("",KitchenCarcassMaterial)-1)&amp;IF(OR(ISERROR(FIND(""ply"",KitchenCarcassMaterial))=FALSE,ISERROR(FIND(""H/F"&amp;""",KitchenCarcassMaterial))=FALSE),""(9mm)"",""(10mm)""),SheetsData,8,0),IF(OR(ISERROR(FIND(""Plinth"",A200))=FALSE,ISERROR(FIND(""Cornice (flat)"",A200))=FALSE),((B200/1000)*(C200/1000))*VLOOKUP(""H/F (18mm)"",SheetsData,8,0),IF(ISERROR(FIND(""Cornice (s"&amp;"tacked)"",A200))=FALSE,((0.08*(C200/1000))*2)*VLOOKUP(""H/F (22mm)"",SheetsData,8,0),IF(ISERROR(FIND(""Base end panel"",A200))=FALSE,VLOOKUP(KitchenDoorMaterial,SheetsData,5,0)/3,IF(ISERROR(FIND(""Wall end panel"",A200))=FALSE,VLOOKUP(KitchenDoorMaterial,"&amp;"SheetsData,5,0)/9,IF(ISERROR(FIND(""Tower end panel"",A200))=FALSE,VLOOKUP(KitchenDoorMaterial,SheetsData,5,0),IF(ISERROR(FIND(""Fillers"",A200))=FALSE,(((0.06*(C200/1000))*2)*VLOOKUP(""H/F (18mm)"",SheetsData,8,0))+(((0.06*(C200/1000))*2)*VLOOKUP(""H/F ("&amp;"9mm)"",SheetsData,8,0)),IF(ISERROR(FIND(""corner post"",A200))=FALSE,(((B200/1000)*0.05)*2)*VLOOKUP(KitchenDoorMaterial,SheetsData,8,0),IF(ISERROR(FIND(""Pelmet"",A200))=FALSE,((((B200/1000)*(C200/1000))*2)*VLOOKUP(""H/F (18mm)"",SheetsData,8,0)),IF(ISERR"&amp;"OR(FIND(""door"",A200))=TRUE,""Check description"",IF(KitchenDoorStyle=""Flat"",((B200/1000)*(C200/1000))*VLOOKUP(KitchenDoorMaterial,SheetsData,8,0),IF(LEFT(KitchenDoorStyle,5)=""Panel"",(((((B200/1000)*2)*0.08)+((((C200/1000)-0.16)*2)*0.08))*VLOOKUP(""H"&amp;"/F (22mm)"",SheetsData,8,0))+(((B200/1000)-0.14)*((C200/1000)-0.14)*VLOOKUP(""H/F (9mm)"",SheetsData,8,0)),IF(KitchenDoorStyle=""In-frame flat"",((((((B200/1000)*0.019)*0.038)+((((C200-38)/1000)*0.038)*0.038))*2)*VLOOKUP(""Tulip (solid m3)"",SolidData,5,0"&amp;"))+(((B200-76)/1000)*((C200-38)/1000))*VLOOKUP(""H/F (22mm)"",SheetsData,8,0),IF(LEFT(KitchenDoorStyle,14)=""In-frame panel"",(((((((B200/1000)*0.019)*0.038)+((((C200-38)/1000)*0.038)*0.038))*2)*VLOOKUP(""Tulip (solid m3)"",SolidData,5,0))+(((((((B200-76)"&amp;"/1000)*2)*0.08)+(((((C200-198)/1000)*2)*0.08)))*VLOOKUP(""H/F (22mm)"",SheetsData,8,0))+(((B200-216)/1000)*((C200-178)/1000)*VLOOKUP(""H/F (9mm)"",SheetsData,8,0)))))))))))))))))))))))))))))))))"),"")</f>
        <v/>
      </c>
      <c r="F200" s="152" t="str">
        <f>IFERROR(__xludf.DUMMYFUNCTION("IF(OR(A200="""",AND(ISERROR(FIND(""drawer box"",A200))=FALSE,KitchenDrawerType=""Solid dovetail"")),"""",IF(ISERROR(FIND(""bins"",A200))=FALSE,VLOOKUP(""Base carcass 600"",KitchensData,6,0),IF(OR(ISERROR(FIND(""larder"",A200))=FALSE,ISERROR(FIND(""unit"","&amp;"A200))=FALSE),VLOOKUP(LEFT(A200,FIND("" "",A200))&amp;""carcass ""&amp;RIGHT(A200,LEN(A200)-len(regexextract(A200,"".* ""))),KitchensData,6,0),IF(ISERROR(FIND(""drawer front"",A200))=FALSE,IF(ISERROR(FIND(""veneer"",KitchenCarcassMaterial))=TRUE,0,(((B200+C200)/1"&amp;"000)*2)*VLOOKUP(""Edge banding (per M)"",SheetsData,5,0)),IF(ISERROR(FIND(""drawer box"",A200))=FALSE,IF(ISERROR(FIND(""veneer"",KitchenCarcassMaterial))=TRUE,0,(((C200+D200)/1000)*2)*VLOOKUP(""Edge banding (per M)"",SheetsData,5,0)),IF(ISERROR(FIND(""she"&amp;"lf"",A200))=FALSE,IF(ISERROR(FIND(""veneer"",KitchenCarcassMaterial))=TRUE,0,(C200/1000)*VLOOKUP(""Edge banding (per M)"",SheetsData,5,0)),IF(AND(ISERROR(FIND(""carcass"",A200))=FALSE,ISERROR(FIND(""shelf"",A200))=TRUE),IF(ISERROR(FIND(""veneer"",KitchenC"&amp;"arcassMaterial))=TRUE,0,((2*(B200+C200))/1000)*VLOOKUP(""Edge banding (per M)"",SheetsData,5,0)),IF(ISERROR(FIND(""door"",A200))=TRUE,"""",IF(ISERROR(FIND(""veneer"",KitchenDoorMaterial))=TRUE,"""",((2*(B200+C200))/1000)*VLOOKUP(""Edge banding (per M)"",S"&amp;"heetsData,5,0))))))))))"),"")</f>
        <v/>
      </c>
      <c r="G200" s="153" t="str">
        <f>IF(A200="","",IF(ISERROR(FIND("bins",A200))=FALSE,VLOOKUP("Base carcass 600",KitchensData,7,0),IF(OR(ISERROR(FIND("larder",A200))=FALSE,ISERROR(FIND("fridge/freezer",A200))=FALSE,ISERROR(FIND("double oven",A200))=FALSE,ISERROR(FIND("single oven",A200))=FALSE),VLOOKUP(LEFT(A200,FIND(" ",A200))&amp;"carcass "&amp;RIGHT(A200,LEN(A200)-(LEN(A200)-3)),KitchensData,7,0),IF(AND(ISERROR(FIND("carcass",A200))=FALSE,ISERROR(FIND("shelf",A200))=TRUE),IF(OR(ISERROR(FIND("Base",A200))=FALSE,ISERROR(FIND("Tower",A200))=FALSE),IF(OR(ISERROR(FIND("1200",A200))=FALSE, ISERROR(FIND("lost corner",A200))=FALSE),6*VLOOKUP("Plinth foot (2 Parts 80mm)",FurnitureData,5,0),4*VLOOKUP("Plinth foot (2 Parts 80mm)",FurnitureData,5,0)),""),""))))</f>
        <v/>
      </c>
      <c r="H200" s="115" t="str">
        <f>IF(OR(A200="",ISERROR(FIND("door",A200))=TRUE),"",IF(ISERROR(FIND("Wall",A200))=FALSE,VLOOKUP("Hinges &amp; plates (Hettich thick door)",FurnitureData,5,0)*2,IF(ISERROR(FIND("Base",A200))=FALSE,VLOOKUP("Hinges &amp; plates (Hettich thick door)",FurnitureData,5,0)*3,IF(ISERROR(FIND("Boiler",A200))=FALSE,VLOOKUP("Hinges &amp; plates (Hettich thick door)",FurnitureData,5,0)*4,IF(ISERROR(FIND("Tower",A200))=FALSE,VLOOKUP("Hinges &amp; plates (Hettich thick door)",FurnitureData,5,0)*5)))))</f>
        <v/>
      </c>
      <c r="I200" s="115" t="str">
        <f>IF(ISERROR(FIND("shelf",A200))=FALSE,(VLOOKUP("Shelf pegs",FurnitureData,5,0)/100)*4,"")</f>
        <v/>
      </c>
      <c r="J200" s="152" t="str">
        <f>IF(OR(ISERROR(FIND("fridge/freezer",A200))=FALSE,ISERROR(FIND("larder",A200))=FALSE,AND(ISERROR(FIND("Base",A200))=FALSE,ISERROR(FIND("bins",A200))=TRUE,ISERROR(FIND("no shelves",A200))=TRUE,OR(ISERROR(FIND("carcass",A200))=FALSE,ISERROR(FIND("unit",A200))=FALSE))),VLOOKUP("Deep shelf "&amp;C200,KitchensData,18,0),IF(AND(ISERROR(FIND("Wall",A200))=FALSE,ISERROR(FIND("carcass",A200))=FALSE),2*VLOOKUP("Shallow shelf "&amp;C200,KitchensData,18,0),IF(AND(ISERROR(FIND("Tower",A200))=FALSE,ISERROR(FIND("oven",A200))=FALSE),4*VLOOKUP("Deep shelf "&amp;C200,KitchensData,18,0),IF(AND(ISERROR(FIND("Tower",A200))=FALSE,ISERROR(FIND("carcass",A200))=FALSE),5*VLOOKUP("Deep shelf "&amp;C200,KitchensData,18,0),""))))</f>
        <v/>
      </c>
      <c r="K200" s="152" t="str">
        <f>IF(ISERROR(FIND("sink",A200))=FALSE,VLOOKUP("Sink liner - Aluminium "&amp;RIGHT(A200,LEN(A200)-22)&amp;"mm",ExceptionalData,5,0),IF(ISERROR(FIND("bins",A200))=FALSE,VLOOKUP("Drawer runners and clip set for bin unit (500) Dynapro",FurnitureData,5,0)+(2*VLOOKUP("Bin (42L Anthracite)",FurnitureData,5,0)),IF(ISERROR(FIND("larder",A200))=FALSE,VLOOKUP("Pull out larder unit 600mm",FurnitureData,5,0),IF(AND(ISERROR(FIND("drawer box",A200))=FALSE,ISERROR(FIND("internal",A200))=TRUE),VLOOKUP("Drawer runners and clip set (550) Dynapro",FurnitureData,5,0),IF(ISERROR(FIND("internal drawer box",A200))=FALSE,VLOOKUP("Drawer runners and clip set (450) Dynapro",FurnitureData,5,0),"")))))</f>
        <v/>
      </c>
      <c r="L200" s="152" t="str">
        <f t="shared" si="3"/>
        <v/>
      </c>
      <c r="M200" s="154" t="str">
        <f>IFERROR(__xludf.DUMMYFUNCTION("IF(A200="""","""",IF(OR(ISERROR(FIND(""larder"",A200))=FALSE,ISERROR(FIND(""unit"",A200))=FALSE),VLOOKUP(LEFT(A200,FIND("" "",A200))&amp;""carcass ""&amp;RIGHT(A200,LEN(A200)-len(regexextract(A200,"".* ""))),KitchensData,13,0),IF(ISERROR(FIND(""bins"",A200))=FALS"&amp;"E,0.95,IF(ISERROR(FIND(""Cutlery insert 600"",A200))=FALSE,1.3,IF(ISERROR(FIND(""Cutlery insert 1200"",A200))=FALSE,2,IF(ISERROR(FIND(""Pan/tray rack 600"",A200))=FALSE,3.25,IF(ISERROR(FIND(""Pan/tray rack 1200"",A200))=FALSE,5.9,IF(ISERROR(FIND(""split"""&amp;",A200))=FALSE,(((C200/1000)*0.022)*2)+VLOOKUP(SUBSTITUTE(A200,"" split"",""""),KitchensData,13,0),IF(AND(ISERROR(FIND(""drawer front"",A200))=FALSE,KitchenDoorStyle=""Flat""),(((B200/1000)*(C200/1000))*2)+((((B200+C200)/1000)*2)*0.022),IF(AND(ISERROR(FIND"&amp;"(""drawer front"",A200))=FALSE,LEFT(KitchenDoorStyle,5)=""Panel""),(((B200/1000)*(C200/1000))*2)+((((B200+C200)/1000)*2)*0.022)+((((C200/1000)-0.16)*0.013)*2)+((((D200/1000)-0.16)*0.013)*2),IF(AND(ISERROR(FIND(""drawer front"",A200))=FALSE,KitchenDoorStyl"&amp;"e=""In-frame flat""),((((B200-76)/1000)*((C200-38)/1000))*2)+(MID(KitchenDoorMaterial,FIND(""("",KitchenDoorMaterial)+1,2)/1000)*((((B200-76)+(C200-38))/1000)*2)+(((B200/1000)*0.032)*2)+((((B200-76)/1000)*0.032)*2)+(((B200/1000)*0.019)*4)+(((C200/1000)*0."&amp;"032)*2)+((((C200-38)/1000)*0.032)*2)+(((C200/1000)*0.038)*4),IF(AND(ISERROR(FIND(""drawer front"",A200))=FALSE,LEFT(KitchenDoorStyle,14)=""In-frame panel""),((((B200-76)/1000)*((C200-38)/1000))*2)+((MID(KitchenDoorMaterial,FIND(""("",KitchenDoorMaterial)+"&amp;"1,2)/1000)*((((B200-76)+(C200-38))/1000)*2))+((((B200-236)/1000)+((C200-198)/1000)*2)*0.013)+(((B200/1000)*0.032)*2)+((((B200-76)/1000)*0.032)*2)+(((B200/1000)*0.019)*4)+(((C200/1000)*0.032)*2)+((((C200-38)/1000)*0.032)*2)+(((C200/1000)*0.038)*4),IF(ISERR"&amp;"OR(FIND(""drawer box"",A200))=FALSE,((((B200/1000)*(D200/1000))+((B200/1000)*(C200/1000)))*4)+((((D200/1000)+(C200/1000))*0.016)*4)+(((C200/1000)*(D200/1000))*2),IF(OR(ISERROR(FIND(""shelf"",A200))=FALSE,ISERROR(FIND(""spacer"",A200))=FALSE,,ISERROR(FIND("&amp;"""filler panel"",A200))=FALSE),(((C200/1000)*(D200/1000))*2)+((((C200+D200)*2)/1000)*0.022),IF(ISERROR(FIND(""lost corner"",A200))=FALSE,(((B200/1000)*(C200/1000))*2)+((B200/1000)*(C200/1000))+((B200/1000)*((C200/2)/1000))+((((B200/1000)*0.025)+((C200/100"&amp;"0)*0.025))*2),IF(ISERROR(FIND(""carcass"",A200))=FALSE,(((C200/1000)*(D200/1000))*2)+(((B200/1000)*(D200/1000))*2)+((B200/1000)*(C200/1000))+((((B200/1000)*0.025)+((C200/1000)*0.025))*2),IF(AND(ISERROR(FIND(""door"",A200))=FALSE,KitchenDoorStyle=""Flat"")"&amp;",(((B200/1000)*(C200/1000))*2)+(MID(KitchenDoorMaterial,FIND(""("",KitchenDoorMaterial)+1,2)/1000)*(((B200+C200)/1000)*2),IF(AND(ISERROR(FIND(""door"",A200))=FALSE,LEFT(KitchenDoorStyle,5)=""Panel""),(((B200/1000)*(C200/1000))*2)+((MID(KitchenDoorMaterial"&amp;",FIND(""("",KitchenDoorMaterial)+1,2)/1000)*(((B200+C200)/1000)*2))+(((((B200-160)+(C200-160))*2)/1000)*(0.013)),IF(AND(ISERROR(FIND(""door"",A200))=FALSE,KitchenDoorStyle=""In-frame flat""),((((B200-76)/1000)*((C200-38)/1000))*2)+(MID(KitchenDoorMaterial"&amp;",FIND(""("",KitchenDoorMaterial)+1,2)/1000)*((((B200-76)+(C200-38))/1000)*2)+(((B200/1000)*0.032)*2)+((((B200-76)/1000)*0.032)*2)+(((B200/1000)*0.019)*4)+(((C200/1000)*0.032)*2)+((((C200-38)/1000)*0.032)*2)+(((C200/1000)*0.038)*4),IF(AND(ISERROR(FIND(""do"&amp;"or"",A200))=FALSE,LEFT(KitchenDoorStyle,14)=""In-frame panel""),((((B200-76)/1000)*((C200-38)/1000))*2)+((MID(KitchenDoorMaterial,FIND(""("",KitchenDoorMaterial)+1,2)/1000)*((((B200-76)+(C200-38))/1000)*2))+((((B200-236)/1000)+((C200-198)/1000)*2)*0.013)+"&amp;"(((B200/1000)*0.032)*2)+((((B200-76)/1000)*0.032)*2)+(((B200/1000)*0.019)*4)+(((C200/1000)*0.032)*2)+((((C200-38)/1000)*0.032)*2)+(((C200/1000)*0.038)*4),IF(ISERROR(FIND(""Plinth"",A200))=FALSE,((B200/1000)*(C200/1000))+(((C200/1000)*0.018)*2)+(((B200/100"&amp;"0)*0.018)*2),IF(ISERROR(FIND(""Cornice"",A200))=FALSE,(((C200/1000)*0.1)*2)+(((C200/1000)*0.044)*2)+(((B200/1000)*0.08)*2),IF(ISERROR(FIND(""Base end panel"",A200))=FALSE,((B200/1000)*(C200/1000))+(0.022*((B200/1000)+((C200/1000)*2)))+((B200/1000)*0.05),I"&amp;"F(ISERROR(FIND(""Wall end panel"",A200))=FALSE,((B200/1000)*(C200/1000))+(0.022*((B200/1000)+((C200/1000)*2)))+((B200/1000)*0.05),IF(ISERROR(FIND(""Tower end panel"",A200))=FALSE,((B200/1000)*(C200/1000))+(0.022*((B200/1000)+((C200/1000)*2)))+((B200/1000)"&amp;"*0.05),IF(ISERROR(FIND(""Fillers"",A200))=FALSE,((C200/1000)*0.06)+((C200/1000)*0.069)+((0.06*0.018)*2)+((0.06*0.009)*2)+((C200/1000)*0.009)+((C200/1000)*0.018),IF(ISERROR(FIND(""corner post"",A200))=FALSE,(((B200/1000*0.05)*2)+((B200/1000)*0.022)*2)+((B2"&amp;"00/1000)*0.072)+((B200/1000)*0.05)+((0.072*0.022)*2)+((0.05*0.022)*2),IF(ISERROR(FIND(""Pelmet"",A200))=FALSE,((C200/1000)*0.05)+((C200/1000)*0.068)+((0.05*0.018)*4)+(((C200/1000)*0.018))*2))))))))))))))))))))))))))))"),"")</f>
        <v/>
      </c>
      <c r="N200" s="152" t="str">
        <f>IF(M200="","",IF(AND(ISERROR(FIND("carcass",A200))=TRUE,ISERROR(FIND("unit",A200))=TRUE,ISERROR(FIND("insert",A200))=TRUE,ISERROR(FIND("rack",A200))=TRUE,ISERROR(FIND("box",A200))=TRUE,ISERROR(FIND("shelf",#REF!))=TRUE),VLOOKUP(KitchenDoorFinish,Finishing!$A$2:$K$10,9,0)*M200,VLOOKUP(KitchenCarcassFinish,Finishing!$A$2:$K$40,9,0)*M200))</f>
        <v/>
      </c>
      <c r="O200" s="155"/>
      <c r="P200" s="155"/>
      <c r="Q200" s="152" t="str">
        <f>IF(OR(O200="",P200=""),"",((O200*X200)*(VLOOKUP("Workshop",Labour!$A$3:$E$20,4,0)/8))+((P200*AE200)*(VLOOKUP("Finishing",Labour!$A$3:$E$20,4,0)/8)))</f>
        <v/>
      </c>
      <c r="R200" s="152" t="str">
        <f t="shared" si="4"/>
        <v/>
      </c>
      <c r="S200" s="156" t="str">
        <f>IF(OR(O200="",P200=""),"",IF(OR(ISERROR(FIND("carcass",$A200))=FALSE,ISERROR(FIND("unit",$A200))=FALSE),VLOOKUP(KitchenCarcassMaterial,FixedListsCarcassMaterial,2,0),0))</f>
        <v/>
      </c>
      <c r="T200" s="156" t="str">
        <f>IF(OR(O200="",P200=""),"",IF(ISERROR(FIND("door",$A200))=FALSE,VLOOKUP(KitchenDoorStyle,FixedListsDoorStyle,2,0),0))</f>
        <v/>
      </c>
      <c r="U200" s="156" t="str">
        <f>IF(OR(O200="",P200=""),"",IF(ISERROR(FIND("door",$A200))=FALSE,VLOOKUP(KitchenDoorMaterial,FixedListsDoorMaterial,2,0),0))</f>
        <v/>
      </c>
      <c r="V200" s="156" t="str">
        <f>IF(OR(O200="",P200=""),"",IF(ISERROR(FIND("drawer",$A200))=FALSE,VLOOKUP(KitchenDrawerType,FixedListsDrawerType,2,0),0))</f>
        <v/>
      </c>
      <c r="W200" s="156" t="str">
        <f>IF(OR(O200="",P200=""),"",IF(OR(S200&gt;0, T200&gt;0,V200&gt;0),VLOOKUP(KitchenHandleType,FixedListsHandleType,2,FALSE)*IF(KitchenHandleType="Simple",0,IF(S200&gt;0,VLOOKUP(KitchenHandleType,FixedListsHandleType,4,FALSE),IF(OR(T200&gt;0,V200&gt;0),1-VLOOKUP(KitchenHandleType,FixedListsHandleType,4,FALSE),"Error"))),0))</f>
        <v/>
      </c>
      <c r="X200" s="156" t="str">
        <f t="shared" si="5"/>
        <v/>
      </c>
      <c r="Y200" s="156" t="str">
        <f>IF(OR(O200="",P200=""),"",IF(OR(ISERROR(FIND("carcass",$A200))=FALSE,ISERROR(FIND("unit",$A200))=FALSE),VLOOKUP(KitchenCarcassMaterial,FixedListsCarcassMaterial,3,0),0))</f>
        <v/>
      </c>
      <c r="Z200" s="156" t="str">
        <f>IF(OR(O200="",P200=""),"",IF(ISERROR(FIND("door",$A200))=FALSE,VLOOKUP(KitchenDoorStyle,FixedListsDoorStyle,3,0),0))</f>
        <v/>
      </c>
      <c r="AA200" s="156" t="str">
        <f>IF(OR(O200="",P200=""),"",IF(ISERROR(FIND("door",$A200))=FALSE,VLOOKUP(KitchenDoorMaterial,FixedListsDoorMaterial,3,0),0))</f>
        <v/>
      </c>
      <c r="AB200" s="156" t="str">
        <f>IF(OR(O200="",P200=""),"",IF(ISERROR(FIND("drawer",$A200))=FALSE,VLOOKUP(KitchenDrawerType,FixedListsDrawerType,3,0),0))</f>
        <v/>
      </c>
      <c r="AC200" s="156" t="str">
        <f>IF(OR(O200="",P200=""),"",IF(OR(Y200&gt;0,Z200&gt;0,AB200&gt;0),VLOOKUP(KitchenHandleType,FixedListsHandleType,3,FALSE),0))</f>
        <v/>
      </c>
      <c r="AD200" s="156" t="str">
        <f>IF(OR(O200="",P200=""),"",IF(OR(ISERROR(FIND("carcass",$A200))=FALSE,ISERROR(FIND("unit",$A200))=FALSE),VLOOKUP(KitchenCarcassFinish,FixedListsFinishes,3,0),IF(OR(ISERROR(FIND("door",$A200))=FALSE,ISERROR(FIND("Plinth",$A200))=FALSE,ISERROR(FIND("Cornice",$A200))=FALSE,ISERROR(FIND("Fillers",$A200))=FALSE,ISERROR(FIND("Pelmet",$A200))=FALSE,ISERROR(FIND("panel",$A200))=FALSE,ISERROR(FIND("post",$A200))=FALSE),VLOOKUP(KitchenDoorFinish,FixedListsFinishes,3,0),IF(OR(ISERROR(FIND("drawer",$A200))=FALSE,ISERROR(FIND("insert",$A200))=FALSE,ISERROR(FIND("rck",$A200))=FALSE),VLOOKUP(KitchenCarcassFinish,FixedListsFinishes,3,0),0))))</f>
        <v/>
      </c>
      <c r="AE200" s="156" t="str">
        <f t="shared" si="6"/>
        <v/>
      </c>
      <c r="AF200" s="157" t="str">
        <f>IF(AND(KitchenHandleType="Channel",OR(ISERROR(FIND("arcass",$A200))=FALSE,ISERROR(FIND("unit",$A200))=FALSE)),IF(ISERROR(FIND("Tower",$A200))=TRUE,IF(KitchenHandleFinish="Match carcass",IF(ISERROR(FIND("Walnut",KitchenCarcassMaterial))=FALSE,(0.035*0.075*($C200/1000))*VLOOKUP("Walnut (solid m3)",SolidData,4,FALSE),IF(ISERROR(FIND("Oak",KitchenCarcassMaterial))=FALSE,(0.035*0.075*($C200/1000))*VLOOKUP("Oak (solid m3)",SolidData,4,FALSE),IF(ISERROR(FIND("ply",KitchenCarcassMaterial))=FALSE,(0.1*($C200/1000))*VLOOKUP("Birch ply (24mm)",SheetsData,7,FALSE),IF(ISERROR(FIND("H/F",KitchenCarcassMaterial))=FALSE,(0.1*($C200/1000))*VLOOKUP("H/F (22mm)",SheetsData,7,FALSE),"Carcass - not tower - new material")))),IF(KitchenHandleFinish="Match door",IF(ISERROR(FIND("Walnut",KitchenDoorMaterial))=FALSE,(0.035*0.075*($C200/1000))*VLOOKUP("Walnut (solid m3)",SolidData,4,FALSE),IF(ISERROR(FIND("Oak",KitchenDoorMaterial))=FALSE,(0.035*0.075*($C200/1000))*VLOOKUP("Oak (solid m3)",SolidData,4,FALSE),IF(ISERROR(FIND("ply",KitchenDoorMaterial))=FALSE,(0.1*($C200/1000))*VLOOKUP("Birch ply (24mm)",SheetsData,7,FALSE),IF(ISERROR(FIND("H/F",KitchenCarcassMaterial))=FALSE,(0.1*($C200/1000))*VLOOKUP("H/F (22mm)",SheetsData,7,FALSE),"Door - not tower - new material")))),"Channel - not tower - handle set to other")),IF(ISERROR(FIND("Tower",$A200))=FALSE,IF(KitchenHandleFinish="Match carcass",IF(ISERROR(FIND("Walnut",KitchenCarcassMaterial))=FALSE,(0.035*0.075*($B200/1000))*VLOOKUP("Walnut (solid m3)",SolidData,4,FALSE),IF(ISERROR(FIND("Oak",KitchenCarcassMaterial))=FALSE,(0.035*0.075*($B200/1000))*VLOOKUP("Oak (solid m3)",SolidData,4,FALSE),IF(ISERROR(FIND("ply",KitchenCarcassMaterial))=FALSE,(0.1*($B200/1000))*VLOOKUP("Birch ply (24mm)",SheetsData,7,FALSE),IF(ISERROR(FIND("H/F",KitchenCarcassMaterial))=FALSE,(0.1*($C200/1000))*VLOOKUP("H/F (22mm)",SheetsData,7,FALSE),"Carcass - tower - new material")))),IF(KitchenHandleFinish="Match door",IF(ISERROR(FIND("Walnut",KitchenDoorMaterial))=FALSE,(0.035*0.075*($B200/1000))*VLOOKUP("Walnut (solid m3)",SolidData,4,FALSE),IF(ISERROR(FIND("Oak",KitchenDoorMaterial))=FALSE,(0.035*0.075*($B200/1000))*VLOOKUP("Oak (solid m3)",SolidData,4,FALSE),IF(ISERROR(FIND("ply",KitchenDoorMaterial))=FALSE,(0.1*($B200/1000))*VLOOKUP("Birch ply (24mm)",SheetData,7,FALSE),IF(ISERROR(FIND("H/F",KitchenCarcassMaterial))=FALSE,(0.1*($C200/1000))*VLOOKUP("H/F (22mm)",SheetsData,7,FALSE),"Door - tower - new material")))),"Channel - tower - handle set to other")))),"")</f>
        <v/>
      </c>
    </row>
  </sheetData>
  <mergeCells count="6">
    <mergeCell ref="B1:L1"/>
    <mergeCell ref="M1:N1"/>
    <mergeCell ref="O1:Q1"/>
    <mergeCell ref="R1:R2"/>
    <mergeCell ref="S1:X1"/>
    <mergeCell ref="Y1:AE1"/>
  </mergeCells>
  <conditionalFormatting sqref="R3:R200">
    <cfRule type="expression" dxfId="7" priority="1">
      <formula>(AND(A3&lt;&gt;"",OR(L3="",N3="",Q3="")))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4.63"/>
    <col customWidth="1" min="2" max="2" width="7.63"/>
    <col customWidth="1" min="3" max="3" width="8.0"/>
    <col customWidth="1" min="4" max="4" width="7.25"/>
    <col customWidth="1" min="5" max="5" width="10.25"/>
    <col customWidth="1" min="6" max="6" width="9.75"/>
    <col customWidth="1" min="7" max="7" width="5.25"/>
    <col customWidth="1" min="8" max="8" width="5.38"/>
    <col customWidth="1" min="9" max="9" width="4.38"/>
    <col customWidth="1" min="10" max="10" width="5.88"/>
    <col customWidth="1" min="11" max="11" width="9.13"/>
    <col customWidth="1" min="12" max="12" width="5.88"/>
    <col customWidth="1" min="13" max="13" width="9.5"/>
    <col customWidth="1" min="14" max="14" width="5.13"/>
    <col customWidth="1" min="15" max="15" width="5.5"/>
    <col customWidth="1" min="16" max="16" width="4.75"/>
    <col customWidth="1" min="17" max="17" width="6.13"/>
    <col customWidth="1" min="18" max="18" width="8.75"/>
    <col customWidth="1" min="19" max="19" width="7.63"/>
    <col customWidth="1" min="20" max="20" width="8.0"/>
    <col customWidth="1" min="21" max="21" width="10.75"/>
    <col customWidth="1" min="22" max="22" width="9.38"/>
    <col customWidth="1" min="23" max="23" width="6.13"/>
    <col customWidth="1" min="24" max="24" width="4.38"/>
    <col customWidth="1" min="25" max="25" width="7.5"/>
    <col customWidth="1" min="26" max="26" width="9.63"/>
    <col customWidth="1" min="27" max="27" width="10.75"/>
    <col customWidth="1" min="28" max="28" width="9.38"/>
    <col customWidth="1" min="29" max="29" width="6.13"/>
    <col customWidth="1" min="30" max="30" width="5.13"/>
    <col customWidth="1" min="31" max="31" width="4.0"/>
    <col customWidth="1" min="32" max="32" width="13.5"/>
  </cols>
  <sheetData>
    <row r="1">
      <c r="A1" s="137"/>
      <c r="B1" s="138" t="s">
        <v>90</v>
      </c>
      <c r="M1" s="139" t="s">
        <v>33</v>
      </c>
      <c r="O1" s="140" t="s">
        <v>91</v>
      </c>
      <c r="R1" s="141" t="s">
        <v>92</v>
      </c>
      <c r="S1" s="142" t="s">
        <v>93</v>
      </c>
      <c r="Y1" s="143" t="s">
        <v>94</v>
      </c>
      <c r="AF1" s="144" t="s">
        <v>95</v>
      </c>
    </row>
    <row r="2">
      <c r="A2" s="137" t="s">
        <v>10</v>
      </c>
      <c r="B2" s="138" t="s">
        <v>96</v>
      </c>
      <c r="C2" s="138" t="s">
        <v>97</v>
      </c>
      <c r="D2" s="138" t="s">
        <v>98</v>
      </c>
      <c r="E2" s="145" t="s">
        <v>85</v>
      </c>
      <c r="F2" s="145" t="s">
        <v>99</v>
      </c>
      <c r="G2" s="138" t="s">
        <v>100</v>
      </c>
      <c r="H2" s="138" t="s">
        <v>101</v>
      </c>
      <c r="I2" s="147" t="s">
        <v>102</v>
      </c>
      <c r="J2" s="145" t="s">
        <v>103</v>
      </c>
      <c r="K2" s="145" t="s">
        <v>104</v>
      </c>
      <c r="L2" s="138" t="s">
        <v>25</v>
      </c>
      <c r="M2" s="139" t="s">
        <v>105</v>
      </c>
      <c r="N2" s="148" t="s">
        <v>106</v>
      </c>
      <c r="O2" s="140" t="s">
        <v>65</v>
      </c>
      <c r="P2" s="140" t="s">
        <v>107</v>
      </c>
      <c r="Q2" s="149" t="s">
        <v>106</v>
      </c>
      <c r="S2" s="142" t="s">
        <v>108</v>
      </c>
      <c r="T2" s="142" t="s">
        <v>80</v>
      </c>
      <c r="U2" s="142" t="s">
        <v>74</v>
      </c>
      <c r="V2" s="142" t="s">
        <v>78</v>
      </c>
      <c r="W2" s="142" t="s">
        <v>109</v>
      </c>
      <c r="X2" s="142" t="s">
        <v>25</v>
      </c>
      <c r="Y2" s="143" t="s">
        <v>108</v>
      </c>
      <c r="Z2" s="143" t="s">
        <v>80</v>
      </c>
      <c r="AA2" s="143" t="s">
        <v>74</v>
      </c>
      <c r="AB2" s="143" t="s">
        <v>78</v>
      </c>
      <c r="AC2" s="143" t="s">
        <v>109</v>
      </c>
      <c r="AD2" s="143" t="s">
        <v>107</v>
      </c>
      <c r="AE2" s="143" t="s">
        <v>25</v>
      </c>
      <c r="AF2" s="144" t="s">
        <v>110</v>
      </c>
    </row>
    <row r="3">
      <c r="A3" s="150" t="s">
        <v>216</v>
      </c>
      <c r="B3" s="160" t="str">
        <f t="shared" ref="B3:B200" si="1">IF(OR(A3="",ISERROR(FIND("shelf",A3))=FALSE),"",IF(ISERROR(FIND("door",A3))=FALSE,"2420",IF(ISERROR(FIND("drawer box",A3))=FALSE,MID(A3,FIND("(",A3)+1,3),IF(ISERROR(FIND("drawer front",A3))=FALSE,MID(A3,FIND("(",A3)+1,3),IF(OR(ISERROR(FIND("Cornice (flat)",A3))=FALSE,ISERROR(FIND("Plinth",A3))=FALSE),"140",IF(ISERROR(FIND("Cornice (stacked)",A3))=FALSE,"44",IF(ISERROR(FIND("End panel",A3))=FALSE,MID(A3,11,4),IF(ISERROR(FIND("Fillers",A3))=FALSE,"80",IF(ISERROR(FIND("Office pod",A3))=FALSE,"950",IF(ISERROR(FIND("Pelmet",A3))=FALSE,"50",IF(ISERROR(FIND("Filler panel",A3))=FALSE,"100",IF(ISERROR(FIND("Fireplace",A3))=FALSE,"600",IF(ISERROR(FIND("table",A3))=FALSE,"2400",IF(ISERROR(FIND("Worktop",A3))=FALSE,RIGHT(A3,LEN(A3)-14),IF(ISERROR(FIND("ost corner",A3))=FALSE,MID(A3,35,FIND("*",A3)-35),MID(A3,23,FIND("*",A3)-23))))))))))))))))</f>
        <v>100</v>
      </c>
      <c r="C3" s="160" t="str">
        <f>IFERROR(__xludf.DUMMYFUNCTION("IF(A3="""","""",IF(ISERROR(FIND(""arcass"",A3))=FALSE,MID(A3,FIND(""*"",A3)+1,FIND(""*"",A3,FIND(""*"",A3)+1)-FIND(""*"",A3)-1),IF(ISERROR(FIND(""End panel"",A3))=FALSE,RIGHT(A3,3),IF(OR(ISERROR(FIND(""drawer"",A3))=FALSE,ISERROR(FIND(""door"",A3))=FALSE,"&amp;"ISERROR(FIND(""shelf"",A3))=FALSE,ISERROR(FIND(""panel"",A3))=FALSE,ISERROR(FIND(""Plinth"",A3))=FALSE,ISERROR(FIND(""Cornice"",A3))=FALSE,ISERROR(FIND(""Fillers"",A3))=FALSE,ISERROR(FIND(""Pelmet"",A3))=FALSE,ISERROR(FIND(""Fireplace up to 1600"",A3))=FA"&amp;"LSE),RIGHT(A3,LEN(A3)-LEN(regexextract(A3,"".* ""))),IF(ISERROR(FIND(""table"",A3))=FALSE,""560"",IF(ISERROR(FIND(""Office pod"",A3))=FALSE,""1600"",IF(ISERROR(FIND(""Fireplace over 1600"",A3))=FALSE,""2400"",IF(ISERROR(FIND(""Worktop"",A3))=FALSE,""650"""&amp;",""Whoops""))))))))"),"2400")</f>
        <v>2400</v>
      </c>
      <c r="D3" s="161" t="str">
        <f t="shared" ref="D3:D200" si="2">IF(OR(A3="",ISERROR(FIND("front",A3))=FALSE,ISERROR(FIND("door",A3))=FALSE,ISERROR(FIND("panel",A3))=FALSE,ISERROR(FIND("Plinth",A3))=FALSE,ISERROR(FIND("Cornice",A3))=FALSE,ISERROR(FIND("Fillers",A3))=FALSE,ISERROR(FIND("Pelmet",A3))=FALSE,ISERROR(FIND("table",A3))=FALSE,ISERROR(FIND("Worktop",A3))=FALSE),"",IF(ISERROR(FIND("arcass",A3))=FALSE,RIGHT(MID(A3,FIND("*",A3)+1,LEN(A3)-FIND("*",A3)+1),LEN(MID(A3,FIND("*",A3)+1,LEN(A3)-FIND("*",A3)+1))-FIND("*",MID(A3,FIND("*",A3)+1,LEN(A3)-FIND("*",A3)+1))),IF(OR(ISERROR(FIND("box",A3))=FALSE,ISERROR(FIND("shelf",A3))=FALSE,ISERROR(FIND("Fireplace over 1600",A3))=FALSE),"600",IF(ISERROR(FIND("Fireplace up to 1600",A3))=FALSE,"300",IF(ISERROR(FIND("Office pod",A3))=FALSE,"800","Check formula...")))))</f>
        <v/>
      </c>
      <c r="E3" s="152">
        <f>IF(OR(A3="",AND(ISERROR(FIND("drawer",A3))=FALSE,WardrobeDrawerType="")),"",IF(ISERROR(FIND("door",A3))=FALSE,IF(WardrobeDoorStyle="Flat",((B3/1000)*(C3/1000))*VLOOKUP(WardrobeDoorMaterial,SheetsData,8,0),IF(LEFT(WardrobeDoorStyle,5)="Panel",(((((B3/1000)*2)*0.08)+((((C3/1000)-0.16)*2)*0.08))*VLOOKUP("H/F (22mm)",SheetsData,8,0))+(((B3/1000)-0.14)*((C3/1000)-0.14)*VLOOKUP("H/F (9mm)",SheetsData,8,0)),IF(WardrobeDoorStyle="In-frame flat",((((((B3/1000)*0.019)*0.038)+((((C3-38)/1000)*0.038)*0.038))*2)*VLOOKUP("Tulip (solid m3)",SolidData,4,0))+(((B3-76)/1000)*((C3-38)/1000))*VLOOKUP("H/F (22mm)",SheetsData,8,0),IF(LEFT(WardrobeDoorStyle,14)="In-frame panel",(((((((B3/1000)*0.019)*0.038)+((((C3-38)/1000)*0.038)*0.038))*2)*VLOOKUP("Tulip (solid m3)",SolidData,4,0))+(((((((B3-76)/1000)*2)*0.08)+(((((C3-198)/1000)*2)*0.08)))*VLOOKUP("H/F (22mm)",SheetsData,8,0))+(((B3-216)/1000)*((C3-178)/1000)*VLOOKUP("H/F (9mm)",SheetsData,8,0)))))))),IF(AND(ISERROR(FIND("arcass",A3))=FALSE,ISERROR(FIND("ost corner",A3))=TRUE),IF(AND(VALUE(B3)&lt;1211,VALUE(C3)&lt;1211,VALUE(D3)&lt;606),1*VLOOKUP(WardrobeCarcassMaterial,SheetsData,5,FALSE),IF(AND(VALUE(B3)&lt;2421,VALUE(C3)&lt;2421,VALUE(D3)&lt;606),2*VLOOKUP(WardrobeCarcassMaterial,SheetsData,5,FALSE),IF(AND(VALUE(B3)&lt;2421,VALUE(C3)&lt;1211,VALUE(D3)&lt;1211),3*VLOOKUP(WardrobeCarcassMaterial,SheetsData,5,FALSE),IF(AND(VALUE(B3)&lt;2421,VALUE(C3)&lt;2421,VALUE(D3)&lt;1211),4*VLOOKUP(WardrobeCarcassMaterial,SheetsData,5,FALSE))))),IF(AND(ISERROR(FIND("arcass",A3))=FALSE,ISERROR(FIND("ost corner",A3))=FALSE),IF(AND(VALUE(B3)&lt;1211,VALUE(C3)&lt;1211,VALUE(D3)&lt;606),(1*VLOOKUP(WardrobeCarcassMaterial,SheetsData,5,FALSE))+(VLOOKUP("H/F (22mm)",SheetsData,7,FALSE)*1.44),IF(AND(VALUE(B3)&lt;2421,VALUE(C3)&lt;2421,VALUE(D3)&lt;606),(2*VLOOKUP(WardrobeCarcassMaterial,SheetsData,5,FALSE))+(VLOOKUP("H/F (22mm)",SheetsData,7,FALSE)*1.44),IF(AND(VALUE(B3)&lt;2421,VALUE(C3)&lt;1211,VALUE(D3)&lt;1211),(3*VLOOKUP(WardrobeCarcassMaterial,SheetsData,5,FALSE))+(VLOOKUP("H/F (22mm)",SheetsData,7,FALSE)*1.44),IF(AND(VALUE(B3)&lt;2421,VALUE(C3)&lt;2421,VALUE(D3)&lt;1211),(4*VLOOKUP(WardrobeCarcassMaterial,SheetsData,5,FALSE))+(VLOOKUP("H/F (22mm)",SheetsData,7,FALSE)*1.44))))),IF(ISERROR(FIND("drawer front",A3))=FALSE,((B3/1000)*(C3/1000))*VLOOKUP(WardrobeDoorMaterial,SheetsData,8,0),IF(AND(WardrobeDrawerType="Match carcass",ISERROR(FIND("drawer box",A3))=FALSE),(((((B3/1000)*(C3/1000))+((B3/1000)*(D3/1000)))*2)*VLOOKUP(WardrobeCarcassMaterial,SheetsData,8,0))+(((C3/1000)*(D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box",A3))=FALSE),(((((B3/1000)*(C3/1000))+((B3/1000)*(D3/1000)))*2)*(16/1000)*VLOOKUP(LEFT(WardrobeCarcassMaterial,FIND(" ",WardrobeCarcassMaterial))&amp;"(solid m3)",SolidData,4,0))+(((C3/1000)*(D3/1000))*VLOOKUP(LEFT(WardrobeCarcassMaterial,FIND("(",WardrobeCarcassMaterial)-1)&amp;IF(OR(ISERROR(FIND("ply",WardrobeCarcassMaterial))=FALSE,ISERROR(FIND("H/F",WardrobeCarcassMaterial))=FALSE),"(9mm)","(10mm)"),SheetsData,8,0)),IF(ISERROR(FIND("shelf",A3))=FALSE,((C3/1000)*(D3/1000))*VLOOKUP(WardrobeCarcassMaterial,SheetsData,7,FALSE),IF(ISERROR(FIND("Office pod",A3))=FALSE,3*VLOOKUP(WardrobeCarcassMaterial,SheetsData,5,0),IF(ISERROR(FIND(" panel",A3))=FALSE,((B3/1000)*(C3/1000))*VLOOKUP(WardrobeDoorMaterial,SheetsData,8,0),IF(ISERROR(FIND("Fillers",A3))=FALSE,(((0.06*(C3/1000))*2)*VLOOKUP("H/F (18mm)",SheetsData,8,0))+(((0.06*(C3/1000))*2)*VLOOKUP("H/F (9mm)",SheetsData,8,0)),IF(ISERROR(FIND("Cornice (stacked)",A3))=FALSE,((0.08*(C3/1000))*2)*VLOOKUP("H/F (22mm)",SheetsData,8,0),IF(OR(ISERROR(FIND("Plinth",A3))=FALSE,ISERROR(FIND("Cornice (flat)",A3))=FALSE),((B3/1000)*(C3/1000))*VLOOKUP("H/F (18mm)",SheetsData,8,0),IF(ISERROR(FIND("Pelmet",A3))=FALSE,((((B3/1000)*(C3/1000))*2)*VLOOKUP("H/F (18mm)",SheetsData,8,0)),IF(ISERROR(FIND("Fireplace",A3))=FALSE,IF(ISERROR(FIND("over 1600",A3))=FALSE,2*VLOOKUP(WardrobeCarcassMaterial,SheetsData,5,FALSE),VLOOKUP(WardrobeCarcassMaterial,SheetsData,5,FALSE)),IF(ISERROR(FIND("table",A3))=FALSE,((B3/1000)*0.6)*VLOOKUP("Birch ply (24mm)",SheetsData,7,FALSE),IF(ISERROR(FIND("Worktop",A3))=FALSE,((B3/1000)*(C3/1000))*VLOOKUP(WardrobeDoorMaterial,SheetsData,7,FALSE),"Check formula")))))))))))))))))</f>
        <v>4.430260683</v>
      </c>
      <c r="F3" s="152" t="str">
        <f>IFERROR(__xludf.DUMMYFUNCTION("IF(OR(A3="""",AND(ISERROR(FIND(""drawer box"",A3))=FALSE,WardrobeDrawerType=""Solid dovetail"")),"""",IF(ISERROR(FIND(""bins"",A3))=FALSE,VLOOKUP(""Base carcass 600"",Wardrobes_etcData,6,0),IF(OR(ISERROR(FIND(""larder"",A3))=FALSE,ISERROR(FIND(""unit"",A3"&amp;"))=FALSE),VLOOKUP(LEFT(A3,FIND("" "",A3))&amp;""carcass ""&amp;RIGHT(A3,LEN(A3)-len(regexextract(A3,"".* ""))),Wardrobes_etcData,6,0),IF(ISERROR(FIND(""drawer front"",A3))=FALSE,IF(ISERROR(FIND(""veneer"",WardrobeCarcassMaterial))=TRUE,0,(((B3+C3)/1000)*2)*VLOOKU"&amp;"P(""Edge banding (per M)"",SheetsData,5,0)),IF(ISERROR(FIND(""drawer box"",A3))=FALSE,IF(ISERROR(FIND(""veneer"",WardrobeCarcassMaterial))=TRUE,0,(((C3+D3)/1000)*2)*VLOOKUP(""Edge banding (per M)"",SheetsData,5,0)),IF(ISERROR(FIND(""shelf"",A3))=FALSE,IF("&amp;"ISERROR(FIND(""veneer"",WardrobeCarcassMaterial))=TRUE,0,(C3/1000)*VLOOKUP(""Edge banding (per M)"",SheetsData,5,0)),IF(AND(OR(ISERROR(FIND(""arcass"",A3))=FALSE,ISERROR(FIND(""Fireplace"",A3))=FALSE),ISERROR(FIND(""shelf"",A3))=TRUE),IF(ISERROR(FIND(""ve"&amp;"neer"",WardrobeCarcassMaterial))=TRUE,0,((2*(B3+C3))/1000)*VLOOKUP(""Edge banding (per M)"",SheetsData,5,0)),IF(ISERROR(FIND(""door"",A3))=TRUE,"""",IF(ISERROR(FIND(""veneer"",WardrobeDoorMaterial))=TRUE,"""",((2*(B3+C3))/1000)*VLOOKUP(""Edge banding (per"&amp;" M)"",SheetsData,5,0))))))))))"),"")</f>
        <v/>
      </c>
      <c r="G3" s="153" t="str">
        <f>IF(A3="","",IF(AND(ISERROR(FIND("arcass",A3))=TRUE,ISERROR(FIND("Fireplace",A3))=TRUE),"",IF(VALUE(C3)&lt;606,4*VLOOKUP("Plinth foot (2 Parts 80mm)",FurnitureData,5,FALSE),IF(VALUE(C3)&lt;1211,6*VLOOKUP("Plinth foot (2 Parts 80mm)",FurnitureData,5,FALSE),8*VLOOKUP("Plinth foot (2 Parts 80mm)",FurnitureData,5,FALSE)))))</f>
        <v/>
      </c>
      <c r="H3" s="115" t="str">
        <f>IF(OR(A3="",ISERROR(FIND("door",A3))=TRUE),"",VLOOKUP("Hinges &amp; plates (Hettich thick door)",FurnitureData,5,0)*5)</f>
        <v/>
      </c>
      <c r="I3" s="115" t="str">
        <f>IF(ISERROR(FIND("shelf",A3))=FALSE,(VLOOKUP("Shelf pegs",FurnitureData,5,0)/100)*4,"")</f>
        <v/>
      </c>
      <c r="J3" s="152" t="str">
        <f>IF(OR(ISERROR(FIND("fridge/freezer",A3))=FALSE,ISERROR(FIND("sink",A3))=FALSE,ISERROR(FIND("larder",A3))=FALSE),VLOOKUP("Deep shelf "&amp;C3,Wardrobes_etcData,18,0),IF(OR(ISERROR(FIND("single oven",A3))=FALSE,ISERROR(FIND("Base carcass",A3))=FALSE),2*VLOOKUP("Deep shelf "&amp;C3,Wardrobes_etcData,18,0),IF(AND(ISERROR(FIND("wall carcass",A3))=FALSE,ISERROR(FIND("Boiler",A3))=TRUE),2*VLOOKUP("Shallow shelf "&amp;C3,Wardrobes_etcData,18,0),IF(ISERROR(FIND("double oven",A3))=FALSE,3*VLOOKUP("Deep shelf "&amp;C3,Wardrobes_etcData,18,0),IF(ISERROR(FIND("Tower carcass",A3))=FALSE,6*VLOOKUP("Deep shelf "&amp;C3,Wardrobes_etcData,18,0),"")))))</f>
        <v/>
      </c>
      <c r="K3" s="152" t="str">
        <f>IF(ISERROR(FIND("sink",A3))=FALSE,VLOOKUP("Sink liner - Aluminium "&amp;RIGHT(A3,LEN(A3)-22)&amp;"mm",ExceptionalData,5,0),IF(ISERROR(FIND("bins",A3))=FALSE,VLOOKUP("Drawer runners and clip set for bin unit (500) Dynapro",FurnitureData,5,0)+(2*VLOOKUP("Bin (42L Anthracite)",FurnitureData,5,0)),IF(ISERROR(FIND("larder",A3))=FALSE,VLOOKUP("Pull out larder unit 600mm",FurnitureData,5,0),IF(AND(ISERROR(FIND("drawer box",A3))=FALSE,ISERROR(FIND("internal",A3))=TRUE),VLOOKUP("Drawer runners and clip set (550) Dynapro",FurnitureData,5,0),IF(ISERROR(FIND("internal drawer box",A3))=FALSE,VLOOKUP("Drawer runners and clip set (450) Dynapro",FurnitureData,5,0),IF(ISERROR(FIND("table",A3))=FALSE,VLOOKUP("Hairpin Leg (12mm Black "&amp;MID(A3,FIND("(",A3)+1,LEN(A3)-(FIND("(",A3))-1)&amp;"mm)",ExceptionalData,4,FALSE),""))))))</f>
        <v/>
      </c>
      <c r="L3" s="152">
        <f t="shared" ref="L3:L200" si="3">IF(A3="","",IF(ISNUMBER(AF3)=TRUE,SUM(E3:K3)+AF3,SUM(E3:K3)))</f>
        <v>4.430260683</v>
      </c>
      <c r="M3" s="154">
        <f>IF(A3="","",IF(AND(ISERROR(FIND("drawer front",A3))=FALSE,WardrobeDoorStyle="Flat"),(((B3/1000)*(C3/1000))*2)+((((B3+C3)/1000)*2)*0.022),IF(AND(ISERROR(FIND("drawer front",A3))=FALSE,LEFT(WardrobeDoorStyle,5)="Panel"),(((B3/1000)*(C3/1000))*2)+((((B3+C3)/1000)*2)*0.022)+((((C3/1000)-0.16)*0.013)*2)+((((D3/1000)-0.16)*0.013)*2),IF(AND(ISERROR(FIND("drawer front",A3))=FALSE,WardrobeDoorStyle="In-frame flat"),((((B3-76)/1000)*((C3-38)/1000))*2)+(MID(WardrobeDoorMaterial,FIND("(",WardrobeDoorMaterial)+1,2)/1000)*((((B3-76)+(C3-38))/1000)*2)+(((B3/1000)*0.032)*2)+((((B3-76)/1000)*0.032)*2)+(((B3/1000)*0.019)*4)+(((C3/1000)*0.032)*2)+((((C3-38)/1000)*0.032)*2)+(((C3/1000)*0.038)*4),IF(AND(ISERROR(FIND("drawer front",A3))=FALSE,LEFT(WardrobeDoorStyle,14)="In-frame panel"),((((B3-76)/1000)*((C3-38)/1000))*2)+((MID(WardrobeDoorMaterial,FIND("(",WardrobeDoorMaterial)+1,2)/1000)*((((B3-76)+(C3-38))/1000)*2))+((((B3-236)/1000)+((C3-198)/1000)*2)*0.013)+(((B3/1000)*0.032)*2)+((((B3-76)/1000)*0.032)*2)+(((B3/1000)*0.019)*4)+(((C3/1000)*0.032)*2)+((((C3-38)/1000)*0.032)*2)+(((C3/1000)*0.038)*4),IF(ISERROR(FIND("drawer box",A3))=FALSE,((((B3/1000)*(D3/1000))+((B3/1000)*(C3/1000)))*4)+((((D3/1000)+(C3/1000))*0.016)*4)+(((C3/1000)*(D3/1000))*2),IF(OR(ISERROR(FIND("shelf",A3))=FALSE,ISERROR(FIND("Filler panel",A3))=FALSE),(((C3/1000)*(D3/1000))*2)+((((C3+D3)*2)/1000)*0.022),IF(ISERROR(FIND("Fireplace",A3))=FALSE,((B3/1000)*(C3/1000)),IF(ISERROR(FIND("Worktop",A3))=FALSE,(B3/1000)*(C3/1000),IF(ISERROR(FIND("table",A3))=FALSE,(B3/1000)*0.6,IF(ISERROR(FIND("arcass",A3))=FALSE,(((C3/1000)*(D3/1000))*2)+(((B3/1000)*(D3/1000))*2)+((B3/1000)*(C3/1000))+((((B3/1000)*0.025)+((C3/1000)*0.025))*2),IF(AND(ISERROR(FIND("door",A3))=FALSE,WardrobeDoorStyle="Flat"),(((B3/1000)*(C3/1000))*2)+(MID(WardrobeDoorMaterial,FIND("(",WardrobeDoorMaterial)+1,2)/1000)*(((B3+C3)/1000)*2),IF(AND(ISERROR(FIND("door",A3))=FALSE,LEFT(WardrobeDoorStyle,5)="Panel"),(((B3/1000)*(C3/1000))*2)+((MID(WardrobeDoorMaterial,FIND("(",WardrobeDoorMaterial)+1,2)/1000)*(((B3+C3)/1000)*2))+(((((B3-160)+(C3-160))*2)/1000)*(0.013)),IF(AND(ISERROR(FIND("door",A3))=FALSE,WardrobeDoorStyle="In-frame flat"),((((B3-76)/1000)*((C3-38)/1000))*2)+(MID(WardrobeDoorMaterial,FIND("(",WardrobeDoorMaterial)+1,2)/1000)*((((B3-76)+(C3-38))/1000)*2)+(((B3/1000)*0.032)*2)+((((B3-76)/1000)*0.032)*2)+(((B3/1000)*0.019)*4)+(((C3/1000)*0.032)*2)+((((C3-38)/1000)*0.032)*2)+(((C3/1000)*0.038)*4),IF(AND(ISERROR(FIND("door",A3))=FALSE,LEFT(WardrobeDoorStyle,14)="In-frame panel"),((((B3-76)/1000)*((C3-38)/1000))*2)+((MID(WardrobeDoorMaterial,FIND("(",WardrobeDoorMaterial)+1,2)/1000)*((((B3-76)+(C3-38))/1000)*2))+((((B3-236)/1000)+((C3-198)/1000)*2)*0.013)+(((B3/1000)*0.032)*2)+((((B3-76)/1000)*0.032)*2)+(((B3/1000)*0.019)*4)+(((C3/1000)*0.032)*2)+((((C3-38)/1000)*0.032)*2)+(((C3/1000)*0.038)*4),IF(ISERROR(FIND("Plinth",A3))=FALSE,((B3/1000)*(C3/1000))+(((C3/1000)*0.018)*2)+(((B3/1000)*0.018)*2),IF(ISERROR(FIND("Cornice",A3))=FALSE,(((C3/1000)*0.1)*2)+(((C3/1000)*0.044)*2)+(((B3/1000)*0.08)*2),IF(ISERROR(FIND("Office pod",A3))=FALSE,((2400/1000)*(1200/1000))*6,IF(ISERROR(FIND("panel",A3))=FALSE,((B3/1000)*(C3/1000))+(0.022*((B3/1000)+((C3/1000)*2)))+((B3/1000)*0.05),IF(ISERROR(FIND("Fillers",A3))=FALSE,((C3/1000)*0.06)+((C3/1000)*0.069)+((0.06*0.018)*2)+((0.06*0.009)*2)+((C3/1000)*0.009)+((C3/1000)*0.018),IF(ISERROR(FIND("Pelmet",A3))=FALSE,((C3/1000)*0.05)+((C3/1000)*0.068)+((0.05*0.018)*4)+(((C3/1000)*0.018))*2)))))))))))))))))))))</f>
        <v>0.1056</v>
      </c>
      <c r="N3" s="152">
        <f>IF(M3="","",IF(AND(ISERROR(FIND("carcass",A3))=TRUE,ISERROR(FIND("unit",A3))=TRUE,ISERROR(FIND("insert",A3))=TRUE,ISERROR(FIND("rack",A3))=TRUE,ISERROR(FIND("box",A3))=TRUE,ISERROR(FIND("shelf",A3))=TRUE),VLOOKUP(WardrobeDoorFinish,Finishing!$A$2:$K$10,9,0)*M3,IF(ISERROR(FIND("table",A3))=FALSE,VLOOKUP("Sayerlack AF0072 Interior Clear Self-Sealer",FinishingData,9,FALSE)*M3,VLOOKUP(WardrobeCarcassFinish,Finishing!$A$2:$K$40,9,0)*M3)))</f>
        <v>0.792</v>
      </c>
      <c r="O3" s="159">
        <v>0.5</v>
      </c>
      <c r="P3" s="159">
        <v>0.5</v>
      </c>
      <c r="Q3" s="152">
        <f>IF(OR(O3="",P3=""),"",((O3*X3)*(VLOOKUP("Workshop",Labour!$A$3:$E$20,4,0)/8))+((P3*AE3)*(VLOOKUP("Finishing",Labour!$A$3:$E$20,4,0)/8)))</f>
        <v>49.875</v>
      </c>
      <c r="R3" s="152">
        <f t="shared" ref="R3:R200" si="4">IF(OR(L3="",N3="",L3=0,N3=0),"",L3+N3+Q3+AF3)</f>
        <v>55.09726068</v>
      </c>
      <c r="S3" s="156">
        <f>IF(OR(O3="",P3=""),"",IF(OR(ISERROR(FIND("carcass",$A3))=FALSE,ISERROR(FIND("unit",$A3))=FALSE),VLOOKUP(WardrobeCarcassMaterial,FixedListsCarcassMaterial,2,0),0))</f>
        <v>0</v>
      </c>
      <c r="T3" s="156">
        <f>IF(OR(O3="",P3=""),"",IF(ISERROR(FIND("door",$A3))=FALSE,VLOOKUP(WardrobeDoorStyle,FixedListsDoorStyle,2,0),0))</f>
        <v>0</v>
      </c>
      <c r="U3" s="156">
        <f>IF(OR(O3="",P3=""),"",IF(ISERROR(FIND("door",$A3))=FALSE,VLOOKUP(WardrobeDoorMaterial,FixedListsDoorMaterial,2,0),0))</f>
        <v>0</v>
      </c>
      <c r="V3" s="156">
        <f>IF(OR(O3="",P3=""),"",IF(ISERROR(FIND("drawer",$A3))=FALSE,VLOOKUP(WardrobeDrawerType,FixedListsDrawerType,2,0),0))</f>
        <v>0</v>
      </c>
      <c r="W3" s="156">
        <f>IF(OR(O3="",P3=""),"",IF(S3&gt;0,VLOOKUP(WardrobeHandleType,FixedListsHandleType,2,FALSE),0))</f>
        <v>0</v>
      </c>
      <c r="X3" s="156">
        <f t="shared" ref="X3:X200" si="5">IF(OR(S3="",T3="",U3="",V3="",W3=""),"",IF((1*(IF(S3=1,0,S3))+(IF(T3=1,0,T3))+(IF(U3=1,0,U3))+(IF(V3=1,0,V3))+(IF(W3=1,0,W3)))=0,1,(1*(IF(S3=1,0,S3))+(IF(T3=1,0,T3))+(IF(U3=1,0,U3))+(IF(V3=1,0,V3))+(IF(W3=1,0,W3)))))</f>
        <v>1</v>
      </c>
      <c r="Y3" s="156">
        <f>IF(OR(O3="",P3=""),"",IF(OR(ISERROR(FIND("carcass",$A3))=FALSE,ISERROR(FIND("unit",$A3))=FALSE),VLOOKUP(WardrobeCarcassMaterial,FixedListsCarcassMaterial,3,0),0))</f>
        <v>0</v>
      </c>
      <c r="Z3" s="156">
        <f>IF(OR(O3="",P3=""),"",IF(ISERROR(FIND("door",$A3))=FALSE,VLOOKUP(WardrobeDoorStyle,FixedListsDoorStyle,3,0),0))</f>
        <v>0</v>
      </c>
      <c r="AA3" s="156">
        <f>IF(OR(O3="",P3=""),"",IF(ISERROR(FIND("door",$A3))=FALSE,VLOOKUP(WardrobeDoorMaterial,FixedListsDoorMaterial,3,0),0))</f>
        <v>0</v>
      </c>
      <c r="AB3" s="156">
        <f>IF(OR(O3="",P3=""),"",IF(ISERROR(FIND("drawer",$A3))=FALSE,VLOOKUP(WardrobeDrawerType,FixedListsDrawerType,3,0),0))</f>
        <v>0</v>
      </c>
      <c r="AC3" s="156">
        <f>IF(OR(O3="",P3=""),"",IF(S3&gt;0,VLOOKUP(WardrobeHandleType,FixedListsHandleType,3,FALSE),0))</f>
        <v>0</v>
      </c>
      <c r="AD3" s="156">
        <f>IF(OR(O3="",P3=""),"",IF(OR(ISERROR(FIND("carcass",$A3))=FALSE,ISERROR(FIND("unit",$A3))=FALSE),VLOOKUP(WardrobeCarcassFinish,FixedListsFinishes,3,0),IF(OR(ISERROR(FIND("door",$A3))=FALSE,ISERROR(FIND("Plinth",$A3))=FALSE,ISERROR(FIND("Cornice",$A3))=FALSE,ISERROR(FIND("Fillers",$A3))=FALSE,ISERROR(FIND("Pelmet",$A3))=FALSE,ISERROR(FIND("panel",$A3))=FALSE,ISERROR(FIND("post",$A3))=FALSE),VLOOKUP(WardrobeDoorFinish,FixedListsFinishes,3,0),IF(OR(ISERROR(FIND("drawer",$A3))=FALSE,ISERROR(FIND("insert",$A3))=FALSE,ISERROR(FIND("rck",$A3))=FALSE),VLOOKUP(WardrobeCarcassFinish,FixedListsFinishes,3,0),0))))</f>
        <v>2</v>
      </c>
      <c r="AE3" s="156">
        <f t="shared" ref="AE3:AE200" si="6">IF(OR(Y3="",Z3="",AA3="",AB3="",AC3="",AD3=""),"",IF((1*(IF(Y3=1,0,Y3))+(IF(Z3=1,0,Z3))+(IF(AA3=1,0,AA3))+(IF(AB3=1,0,AB3))+(IF(AC3=1,0,AC3))+(IF(AD3=1,0,AD3)))=0,1,(1*(IF(Y3=1,0,Y3))+(IF(Z3=1,0,Z3))+(IF(AA3=1,0,AA3))+(IF(AB3=1,0,AB3))+(IF(AC3=1,0,AC3))+(IF(AD3=1,0,AD3)))))</f>
        <v>2</v>
      </c>
      <c r="AF3" s="157" t="str">
        <f>IF(AND(WardrobeHandleType="Channel",OR(ISERROR(FIND("arcass",$A3))=FALSE,ISERROR(FIND("unit",$A3))=FALSE)),IF(ISERROR(FIND("Tower",$A3))=TRUE,IF(WardrobeHandleFinish="Match carcass",IF(ISERROR(FIND("Walnut",WardrobeCarcassMaterial))=FALSE,(0.035*0.075*($C3/1000))*VLOOKUP("Walnut (solid m3)",SolidData,4,FALSE),IF(ISERROR(FIND("Oak",WardrobeCarcassMaterial))=FALSE,(0.035*0.075*($C3/1000))*VLOOKUP("Oak (solid m3)",SolidData,4,FALSE),IF(ISERROR(FIND("ply",WardrobeCarcassMaterial))=FALSE,(0.1*($C3/1000))*VLOOKUP("Birch ply (24mm)",SheetsData,7,FALSE),IF(ISERROR(FIND("H/F",WardrobeCarcassMaterial))=FALSE,(0.1*($C3/1000))*VLOOKUP("H/F (22mm)",SheetsData,7,FALSE),"Carcass - not tower - new material")))),IF(WardrobeHandleFinish="Match door",IF(ISERROR(FIND("Walnut",WardrobeDoorMaterial))=FALSE,(0.035*0.075*($C3/1000))*VLOOKUP("Walnut (solid m3)",SolidData,4,FALSE),IF(ISERROR(FIND("Oak",WardrobeDoorMaterial))=FALSE,(0.035*0.075*($C3/1000))*VLOOKUP("Oak (solid m3)",SolidData,4,FALSE),IF(ISERROR(FIND("ply",WardrobeDoorMaterial))=FALSE,(0.1*($C3/1000))*VLOOKUP("Birch ply (24mm)",SheetsData,7,FALSE),IF(ISERROR(FIND("H/F",WardrobeCarcassMaterial))=FALSE,(0.1*($C3/1000))*VLOOKUP("H/F (22mm)",SheetsData,7,FALSE),"Door - not tower - new material")))),"Channel - not tower - handle set to other")),IF(ISERROR(FIND("Tower",$A3))=FALSE,IF(WardrobeHandleFinish="Match carcass",IF(ISERROR(FIND("Walnut",WardrobeCarcassMaterial))=FALSE,(0.035*0.075*($B3/1000))*VLOOKUP("Walnut (solid m3)",SolidData,4,FALSE),IF(ISERROR(FIND("Oak",WardrobeCarcassMaterial))=FALSE,(0.035*0.075*($B3/1000))*VLOOKUP("Oak (solid m3)",SolidData,4,FALSE),IF(ISERROR(FIND("ply",WardrobeCarcassMaterial))=FALSE,(0.1*($B3/1000))*VLOOKUP("Birch ply (24mm)",SheetsData,7,FALSE),IF(ISERROR(FIND("H/F",WardrobeCarcassMaterial))=FALSE,(0.1*($C3/1000))*VLOOKUP("H/F (22mm)",SheetsData,7,FALSE),"Carcass - tower - new material")))),IF(WardrobeHandleFinish="Match door",IF(ISERROR(FIND("Walnut",WardrobeDoorMaterial))=FALSE,(0.035*0.075*($B3/1000))*VLOOKUP("Walnut (solid m3)",SolidData,4,FALSE),IF(ISERROR(FIND("Oak",WardrobeDoorMaterial))=FALSE,(0.035*0.075*($B3/1000))*VLOOKUP("Oak (solid m3)",SolidData,4,FALSE),IF(ISERROR(FIND("ply",WardrobeDoorMaterial))=FALSE,(0.1*($B3/1000))*VLOOKUP("Birch ply (24mm)",SheetData,7,FALSE),IF(ISERROR(FIND("H/F",WardrobeCarcassMaterial))=FALSE,(0.1*($C3/1000))*VLOOKUP("H/F (22mm)",SheetsData,7,FALSE),"Door - tower - new material")))),"Channel - tower - handle set to other")))),"")</f>
        <v/>
      </c>
    </row>
    <row r="4">
      <c r="A4" s="151" t="s">
        <v>152</v>
      </c>
      <c r="B4" s="160" t="str">
        <f t="shared" si="1"/>
        <v>140</v>
      </c>
      <c r="C4" s="160" t="str">
        <f>IFERROR(__xludf.DUMMYFUNCTION("IF(A4="""","""",IF(ISERROR(FIND(""arcass"",A4))=FALSE,MID(A4,FIND(""*"",A4)+1,FIND(""*"",A4,FIND(""*"",A4)+1)-FIND(""*"",A4)-1),IF(ISERROR(FIND(""End panel"",A4))=FALSE,RIGHT(A4,3),IF(OR(ISERROR(FIND(""drawer"",A4))=FALSE,ISERROR(FIND(""door"",A4))=FALSE,"&amp;"ISERROR(FIND(""shelf"",A4))=FALSE,ISERROR(FIND(""panel"",A4))=FALSE,ISERROR(FIND(""Plinth"",A4))=FALSE,ISERROR(FIND(""Cornice"",A4))=FALSE,ISERROR(FIND(""Fillers"",A4))=FALSE,ISERROR(FIND(""Pelmet"",A4))=FALSE,ISERROR(FIND(""Fireplace up to 1600"",A4))=FA"&amp;"LSE),RIGHT(A4,LEN(A4)-LEN(regexextract(A4,"".* ""))),IF(ISERROR(FIND(""table"",A4))=FALSE,""560"",IF(ISERROR(FIND(""Office pod"",A4))=FALSE,""1600"",IF(ISERROR(FIND(""Fireplace over 1600"",A4))=FALSE,""2400"",IF(ISERROR(FIND(""Worktop"",A4))=FALSE,""650"""&amp;",""Whoops""))))))))"),"2400")</f>
        <v>2400</v>
      </c>
      <c r="D4" s="161" t="str">
        <f t="shared" si="2"/>
        <v/>
      </c>
      <c r="E4" s="152">
        <f>IF(OR(A4="",AND(ISERROR(FIND("drawer",A4))=FALSE,WardrobeDrawerType="")),"",IF(ISERROR(FIND("door",A4))=FALSE,IF(WardrobeDoorStyle="Flat",((B4/1000)*(C4/1000))*VLOOKUP(WardrobeDoorMaterial,SheetsData,8,0),IF(LEFT(WardrobeDoorStyle,5)="Panel",(((((B4/1000)*2)*0.08)+((((C4/1000)-0.16)*2)*0.08))*VLOOKUP("H/F (22mm)",SheetsData,8,0))+(((B4/1000)-0.14)*((C4/1000)-0.14)*VLOOKUP("H/F (9mm)",SheetsData,8,0)),IF(WardrobeDoorStyle="In-frame flat",((((((B4/1000)*0.019)*0.038)+((((C4-38)/1000)*0.038)*0.038))*2)*VLOOKUP("Tulip (solid m3)",SolidData,4,0))+(((B4-76)/1000)*((C4-38)/1000))*VLOOKUP("H/F (22mm)",SheetsData,8,0),IF(LEFT(WardrobeDoorStyle,14)="In-frame panel",(((((((B4/1000)*0.019)*0.038)+((((C4-38)/1000)*0.038)*0.038))*2)*VLOOKUP("Tulip (solid m3)",SolidData,4,0))+(((((((B4-76)/1000)*2)*0.08)+(((((C4-198)/1000)*2)*0.08)))*VLOOKUP("H/F (22mm)",SheetsData,8,0))+(((B4-216)/1000)*((C4-178)/1000)*VLOOKUP("H/F (9mm)",SheetsData,8,0)))))))),IF(AND(ISERROR(FIND("arcass",A4))=FALSE,ISERROR(FIND("ost corner",A4))=TRUE),IF(AND(VALUE(B4)&lt;1211,VALUE(C4)&lt;1211,VALUE(D4)&lt;606),1*VLOOKUP(WardrobeCarcassMaterial,SheetsData,5,FALSE),IF(AND(VALUE(B4)&lt;2421,VALUE(C4)&lt;2421,VALUE(D4)&lt;606),2*VLOOKUP(WardrobeCarcassMaterial,SheetsData,5,FALSE),IF(AND(VALUE(B4)&lt;2421,VALUE(C4)&lt;1211,VALUE(D4)&lt;1211),3*VLOOKUP(WardrobeCarcassMaterial,SheetsData,5,FALSE),IF(AND(VALUE(B4)&lt;2421,VALUE(C4)&lt;2421,VALUE(D4)&lt;1211),4*VLOOKUP(WardrobeCarcassMaterial,SheetsData,5,FALSE))))),IF(AND(ISERROR(FIND("arcass",A4))=FALSE,ISERROR(FIND("ost corner",A4))=FALSE),IF(AND(VALUE(B4)&lt;1211,VALUE(C4)&lt;1211,VALUE(D4)&lt;606),(1*VLOOKUP(WardrobeCarcassMaterial,SheetsData,5,FALSE))+(VLOOKUP("H/F (22mm)",SheetsData,7,FALSE)*1.44),IF(AND(VALUE(B4)&lt;2421,VALUE(C4)&lt;2421,VALUE(D4)&lt;606),(2*VLOOKUP(WardrobeCarcassMaterial,SheetsData,5,FALSE))+(VLOOKUP("H/F (22mm)",SheetsData,7,FALSE)*1.44),IF(AND(VALUE(B4)&lt;2421,VALUE(C4)&lt;1211,VALUE(D4)&lt;1211),(3*VLOOKUP(WardrobeCarcassMaterial,SheetsData,5,FALSE))+(VLOOKUP("H/F (22mm)",SheetsData,7,FALSE)*1.44),IF(AND(VALUE(B4)&lt;2421,VALUE(C4)&lt;2421,VALUE(D4)&lt;1211),(4*VLOOKUP(WardrobeCarcassMaterial,SheetsData,5,FALSE))+(VLOOKUP("H/F (22mm)",SheetsData,7,FALSE)*1.44))))),IF(ISERROR(FIND("drawer front",A4))=FALSE,((B4/1000)*(C4/1000))*VLOOKUP(WardrobeDoorMaterial,SheetsData,8,0),IF(AND(WardrobeDrawerType="Match carcass",ISERROR(FIND("drawer box",A4))=FALSE),(((((B4/1000)*(C4/1000))+((B4/1000)*(D4/1000)))*2)*VLOOKUP(WardrobeCarcassMaterial,SheetsData,8,0))+(((C4/1000)*(D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box",A4))=FALSE),(((((B4/1000)*(C4/1000))+((B4/1000)*(D4/1000)))*2)*(16/1000)*VLOOKUP(LEFT(WardrobeCarcassMaterial,FIND(" ",WardrobeCarcassMaterial))&amp;"(solid m3)",SolidData,4,0))+(((C4/1000)*(D4/1000))*VLOOKUP(LEFT(WardrobeCarcassMaterial,FIND("(",WardrobeCarcassMaterial)-1)&amp;IF(OR(ISERROR(FIND("ply",WardrobeCarcassMaterial))=FALSE,ISERROR(FIND("H/F",WardrobeCarcassMaterial))=FALSE),"(9mm)","(10mm)"),SheetsData,8,0)),IF(ISERROR(FIND("shelf",A4))=FALSE,((C4/1000)*(D4/1000))*VLOOKUP(WardrobeCarcassMaterial,SheetsData,7,FALSE),IF(ISERROR(FIND("Office pod",A4))=FALSE,3*VLOOKUP(WardrobeCarcassMaterial,SheetsData,5,0),IF(ISERROR(FIND(" panel",A4))=FALSE,((B4/1000)*(C4/1000))*VLOOKUP(WardrobeDoorMaterial,SheetsData,8,0),IF(ISERROR(FIND("Fillers",A4))=FALSE,(((0.06*(C4/1000))*2)*VLOOKUP("H/F (18mm)",SheetsData,8,0))+(((0.06*(C4/1000))*2)*VLOOKUP("H/F (9mm)",SheetsData,8,0)),IF(ISERROR(FIND("Cornice (stacked)",A4))=FALSE,((0.08*(C4/1000))*2)*VLOOKUP("H/F (22mm)",SheetsData,8,0),IF(OR(ISERROR(FIND("Plinth",A4))=FALSE,ISERROR(FIND("Cornice (flat)",A4))=FALSE),((B4/1000)*(C4/1000))*VLOOKUP("H/F (18mm)",SheetsData,8,0),IF(ISERROR(FIND("Pelmet",A4))=FALSE,((((B4/1000)*(C4/1000))*2)*VLOOKUP("H/F (18mm)",SheetsData,8,0)),IF(ISERROR(FIND("Fireplace",A4))=FALSE,IF(ISERROR(FIND("over 1600",A4))=FALSE,2*VLOOKUP(WardrobeCarcassMaterial,SheetsData,5,FALSE),VLOOKUP(WardrobeCarcassMaterial,SheetsData,5,FALSE)),IF(ISERROR(FIND("table",A4))=FALSE,((B4/1000)*0.6)*VLOOKUP("Birch ply (24mm)",SheetsData,7,FALSE),IF(ISERROR(FIND("Worktop",A4))=FALSE,((B4/1000)*(C4/1000))*VLOOKUP(WardrobeDoorMaterial,SheetsData,7,FALSE),"Check formula")))))))))))))))))</f>
        <v>5.186509003</v>
      </c>
      <c r="F4" s="152" t="str">
        <f>IFERROR(__xludf.DUMMYFUNCTION("IF(OR(A4="""",AND(ISERROR(FIND(""drawer box"",A4))=FALSE,WardrobeDrawerType=""Solid dovetail"")),"""",IF(ISERROR(FIND(""bins"",A4))=FALSE,VLOOKUP(""Base carcass 600"",Wardrobes_etcData,6,0),IF(OR(ISERROR(FIND(""larder"",A4))=FALSE,ISERROR(FIND(""unit"",A4"&amp;"))=FALSE),VLOOKUP(LEFT(A4,FIND("" "",A4))&amp;""carcass ""&amp;RIGHT(A4,LEN(A4)-len(regexextract(A4,"".* ""))),Wardrobes_etcData,6,0),IF(ISERROR(FIND(""drawer front"",A4))=FALSE,IF(ISERROR(FIND(""veneer"",WardrobeCarcassMaterial))=TRUE,0,(((B4+C4)/1000)*2)*VLOOKU"&amp;"P(""Edge banding (per M)"",SheetsData,5,0)),IF(ISERROR(FIND(""drawer box"",A4))=FALSE,IF(ISERROR(FIND(""veneer"",WardrobeCarcassMaterial))=TRUE,0,(((C4+D4)/1000)*2)*VLOOKUP(""Edge banding (per M)"",SheetsData,5,0)),IF(ISERROR(FIND(""shelf"",A4))=FALSE,IF("&amp;"ISERROR(FIND(""veneer"",WardrobeCarcassMaterial))=TRUE,0,(C4/1000)*VLOOKUP(""Edge banding (per M)"",SheetsData,5,0)),IF(AND(OR(ISERROR(FIND(""arcass"",A4))=FALSE,ISERROR(FIND(""Fireplace"",A4))=FALSE),ISERROR(FIND(""shelf"",A4))=TRUE),IF(ISERROR(FIND(""ve"&amp;"neer"",WardrobeCarcassMaterial))=TRUE,0,((2*(B4+C4))/1000)*VLOOKUP(""Edge banding (per M)"",SheetsData,5,0)),IF(ISERROR(FIND(""door"",A4))=TRUE,"""",IF(ISERROR(FIND(""veneer"",WardrobeDoorMaterial))=TRUE,"""",((2*(B4+C4))/1000)*VLOOKUP(""Edge banding (per"&amp;" M)"",SheetsData,5,0))))))))))"),"")</f>
        <v/>
      </c>
      <c r="G4" s="153" t="str">
        <f>IF(A4="","",IF(AND(ISERROR(FIND("arcass",A4))=TRUE,ISERROR(FIND("Fireplace",A4))=TRUE),"",IF(VALUE(C4)&lt;606,4*VLOOKUP("Plinth foot (2 Parts 80mm)",FurnitureData,5,FALSE),IF(VALUE(C4)&lt;1211,6*VLOOKUP("Plinth foot (2 Parts 80mm)",FurnitureData,5,FALSE),8*VLOOKUP("Plinth foot (2 Parts 80mm)",FurnitureData,5,FALSE)))))</f>
        <v/>
      </c>
      <c r="H4" s="115" t="str">
        <f>IF(OR(A4="",ISERROR(FIND("door",A4))=TRUE),"",VLOOKUP("Hinges &amp; plates (Hettich thick door)",FurnitureData,5,0)*5)</f>
        <v/>
      </c>
      <c r="I4" s="115" t="str">
        <f>IF(ISERROR(FIND("shelf",A4))=FALSE,(VLOOKUP("Shelf pegs",FurnitureData,5,0)/100)*4,"")</f>
        <v/>
      </c>
      <c r="J4" s="152" t="str">
        <f>IF(OR(ISERROR(FIND("fridge/freezer",A4))=FALSE,ISERROR(FIND("sink",A4))=FALSE,ISERROR(FIND("larder",A4))=FALSE),VLOOKUP("Deep shelf "&amp;C4,Wardrobes_etcData,18,0),IF(OR(ISERROR(FIND("single oven",A4))=FALSE,ISERROR(FIND("Base carcass",A4))=FALSE),2*VLOOKUP("Deep shelf "&amp;C4,Wardrobes_etcData,18,0),IF(AND(ISERROR(FIND("wall carcass",A4))=FALSE,ISERROR(FIND("Boiler",A4))=TRUE),2*VLOOKUP("Shallow shelf "&amp;C4,Wardrobes_etcData,18,0),IF(ISERROR(FIND("double oven",A4))=FALSE,3*VLOOKUP("Deep shelf "&amp;C4,Wardrobes_etcData,18,0),IF(ISERROR(FIND("Tower carcass",A4))=FALSE,6*VLOOKUP("Deep shelf "&amp;C4,Wardrobes_etcData,18,0),"")))))</f>
        <v/>
      </c>
      <c r="K4" s="152" t="str">
        <f>IF(ISERROR(FIND("sink",A4))=FALSE,VLOOKUP("Sink liner - Aluminium "&amp;RIGHT(A4,LEN(A4)-22)&amp;"mm",ExceptionalData,5,0),IF(ISERROR(FIND("bins",A4))=FALSE,VLOOKUP("Drawer runners and clip set for bin unit (500) Dynapro",FurnitureData,5,0)+(2*VLOOKUP("Bin (42L Anthracite)",FurnitureData,5,0)),IF(ISERROR(FIND("larder",A4))=FALSE,VLOOKUP("Pull out larder unit 600mm",FurnitureData,5,0),IF(AND(ISERROR(FIND("drawer box",A4))=FALSE,ISERROR(FIND("internal",A4))=TRUE),VLOOKUP("Drawer runners and clip set (550) Dynapro",FurnitureData,5,0),IF(ISERROR(FIND("internal drawer box",A4))=FALSE,VLOOKUP("Drawer runners and clip set (450) Dynapro",FurnitureData,5,0),IF(ISERROR(FIND("table",A4))=FALSE,VLOOKUP("Hairpin Leg (12mm Black "&amp;MID(A4,FIND("(",A4)+1,LEN(A4)-(FIND("(",A4))-1)&amp;"mm)",ExceptionalData,4,FALSE),""))))))</f>
        <v/>
      </c>
      <c r="L4" s="152">
        <f t="shared" si="3"/>
        <v>5.186509003</v>
      </c>
      <c r="M4" s="154">
        <f>IF(A4="","",IF(AND(ISERROR(FIND("drawer front",A4))=FALSE,WardrobeDoorStyle="Flat"),(((B4/1000)*(C4/1000))*2)+((((B4+C4)/1000)*2)*0.022),IF(AND(ISERROR(FIND("drawer front",A4))=FALSE,LEFT(WardrobeDoorStyle,5)="Panel"),(((B4/1000)*(C4/1000))*2)+((((B4+C4)/1000)*2)*0.022)+((((C4/1000)-0.16)*0.013)*2)+((((D4/1000)-0.16)*0.013)*2),IF(AND(ISERROR(FIND("drawer front",A4))=FALSE,WardrobeDoorStyle="In-frame flat"),((((B4-76)/1000)*((C4-38)/1000))*2)+(MID(WardrobeDoorMaterial,FIND("(",WardrobeDoorMaterial)+1,2)/1000)*((((B4-76)+(C4-38))/1000)*2)+(((B4/1000)*0.032)*2)+((((B4-76)/1000)*0.032)*2)+(((B4/1000)*0.019)*4)+(((C4/1000)*0.032)*2)+((((C4-38)/1000)*0.032)*2)+(((C4/1000)*0.038)*4),IF(AND(ISERROR(FIND("drawer front",A4))=FALSE,LEFT(WardrobeDoorStyle,14)="In-frame panel"),((((B4-76)/1000)*((C4-38)/1000))*2)+((MID(WardrobeDoorMaterial,FIND("(",WardrobeDoorMaterial)+1,2)/1000)*((((B4-76)+(C4-38))/1000)*2))+((((B4-236)/1000)+((C4-198)/1000)*2)*0.013)+(((B4/1000)*0.032)*2)+((((B4-76)/1000)*0.032)*2)+(((B4/1000)*0.019)*4)+(((C4/1000)*0.032)*2)+((((C4-38)/1000)*0.032)*2)+(((C4/1000)*0.038)*4),IF(ISERROR(FIND("drawer box",A4))=FALSE,((((B4/1000)*(D4/1000))+((B4/1000)*(C4/1000)))*4)+((((D4/1000)+(C4/1000))*0.016)*4)+(((C4/1000)*(D4/1000))*2),IF(OR(ISERROR(FIND("shelf",A4))=FALSE,ISERROR(FIND("Filler panel",A4))=FALSE),(((C4/1000)*(D4/1000))*2)+((((C4+D4)*2)/1000)*0.022),IF(ISERROR(FIND("Fireplace",A4))=FALSE,((B4/1000)*(C4/1000)),IF(ISERROR(FIND("Worktop",A4))=FALSE,(B4/1000)*(C4/1000),IF(ISERROR(FIND("table",A4))=FALSE,(B4/1000)*0.6,IF(ISERROR(FIND("arcass",A4))=FALSE,(((C4/1000)*(D4/1000))*2)+(((B4/1000)*(D4/1000))*2)+((B4/1000)*(C4/1000))+((((B4/1000)*0.025)+((C4/1000)*0.025))*2),IF(AND(ISERROR(FIND("door",A4))=FALSE,WardrobeDoorStyle="Flat"),(((B4/1000)*(C4/1000))*2)+(MID(WardrobeDoorMaterial,FIND("(",WardrobeDoorMaterial)+1,2)/1000)*(((B4+C4)/1000)*2),IF(AND(ISERROR(FIND("door",A4))=FALSE,LEFT(WardrobeDoorStyle,5)="Panel"),(((B4/1000)*(C4/1000))*2)+((MID(WardrobeDoorMaterial,FIND("(",WardrobeDoorMaterial)+1,2)/1000)*(((B4+C4)/1000)*2))+(((((B4-160)+(C4-160))*2)/1000)*(0.013)),IF(AND(ISERROR(FIND("door",A4))=FALSE,WardrobeDoorStyle="In-frame flat"),((((B4-76)/1000)*((C4-38)/1000))*2)+(MID(WardrobeDoorMaterial,FIND("(",WardrobeDoorMaterial)+1,2)/1000)*((((B4-76)+(C4-38))/1000)*2)+(((B4/1000)*0.032)*2)+((((B4-76)/1000)*0.032)*2)+(((B4/1000)*0.019)*4)+(((C4/1000)*0.032)*2)+((((C4-38)/1000)*0.032)*2)+(((C4/1000)*0.038)*4),IF(AND(ISERROR(FIND("door",A4))=FALSE,LEFT(WardrobeDoorStyle,14)="In-frame panel"),((((B4-76)/1000)*((C4-38)/1000))*2)+((MID(WardrobeDoorMaterial,FIND("(",WardrobeDoorMaterial)+1,2)/1000)*((((B4-76)+(C4-38))/1000)*2))+((((B4-236)/1000)+((C4-198)/1000)*2)*0.013)+(((B4/1000)*0.032)*2)+((((B4-76)/1000)*0.032)*2)+(((B4/1000)*0.019)*4)+(((C4/1000)*0.032)*2)+((((C4-38)/1000)*0.032)*2)+(((C4/1000)*0.038)*4),IF(ISERROR(FIND("Plinth",A4))=FALSE,((B4/1000)*(C4/1000))+(((C4/1000)*0.018)*2)+(((B4/1000)*0.018)*2),IF(ISERROR(FIND("Cornice",A4))=FALSE,(((C4/1000)*0.1)*2)+(((C4/1000)*0.044)*2)+(((B4/1000)*0.08)*2),IF(ISERROR(FIND("Office pod",A4))=FALSE,((2400/1000)*(1200/1000))*6,IF(ISERROR(FIND("panel",A4))=FALSE,((B4/1000)*(C4/1000))+(0.022*((B4/1000)+((C4/1000)*2)))+((B4/1000)*0.05),IF(ISERROR(FIND("Fillers",A4))=FALSE,((C4/1000)*0.06)+((C4/1000)*0.069)+((0.06*0.018)*2)+((0.06*0.009)*2)+((C4/1000)*0.009)+((C4/1000)*0.018),IF(ISERROR(FIND("Pelmet",A4))=FALSE,((C4/1000)*0.05)+((C4/1000)*0.068)+((0.05*0.018)*4)+(((C4/1000)*0.018))*2)))))))))))))))))))))</f>
        <v>0.42744</v>
      </c>
      <c r="N4" s="152">
        <f>IF(M4="","",IF(AND(ISERROR(FIND("carcass",A4))=TRUE,ISERROR(FIND("unit",A4))=TRUE,ISERROR(FIND("insert",A4))=TRUE,ISERROR(FIND("rack",A4))=TRUE,ISERROR(FIND("box",A4))=TRUE,ISERROR(FIND("shelf",A4))=TRUE),VLOOKUP(WardrobeDoorFinish,Finishing!$A$2:$K$10,9,0)*M4,IF(ISERROR(FIND("table",A4))=FALSE,VLOOKUP("Sayerlack AF0072 Interior Clear Self-Sealer",FinishingData,9,FALSE)*M4,VLOOKUP(WardrobeCarcassFinish,Finishing!$A$2:$K$40,9,0)*M4)))</f>
        <v>3.2058</v>
      </c>
      <c r="O4" s="159">
        <v>1.0</v>
      </c>
      <c r="P4" s="159">
        <v>1.0</v>
      </c>
      <c r="Q4" s="152">
        <f>IF(OR(O4="",P4=""),"",((O4*X4)*(VLOOKUP("Workshop",Labour!$A$3:$E$20,4,0)/8))+((P4*AE4)*(VLOOKUP("Finishing",Labour!$A$3:$E$20,4,0)/8)))</f>
        <v>99.75</v>
      </c>
      <c r="R4" s="152">
        <f t="shared" si="4"/>
        <v>108.142309</v>
      </c>
      <c r="S4" s="156">
        <f>IF(OR(O4="",P4=""),"",IF(OR(ISERROR(FIND("carcass",$A4))=FALSE,ISERROR(FIND("unit",$A4))=FALSE),VLOOKUP(WardrobeCarcassMaterial,FixedListsCarcassMaterial,2,0),0))</f>
        <v>0</v>
      </c>
      <c r="T4" s="156">
        <f>IF(OR(O4="",P4=""),"",IF(ISERROR(FIND("door",$A4))=FALSE,VLOOKUP(WardrobeDoorStyle,FixedListsDoorStyle,2,0),0))</f>
        <v>0</v>
      </c>
      <c r="U4" s="156">
        <f>IF(OR(O4="",P4=""),"",IF(ISERROR(FIND("door",$A4))=FALSE,VLOOKUP(WardrobeDoorMaterial,FixedListsDoorMaterial,2,0),0))</f>
        <v>0</v>
      </c>
      <c r="V4" s="156">
        <f>IF(OR(O4="",P4=""),"",IF(ISERROR(FIND("drawer",$A4))=FALSE,VLOOKUP(WardrobeDrawerType,FixedListsDrawerType,2,0),0))</f>
        <v>0</v>
      </c>
      <c r="W4" s="156">
        <f>IF(OR(O4="",P4=""),"",IF(S4&gt;0,VLOOKUP(WardrobeHandleType,FixedListsHandleType,2,FALSE),0))</f>
        <v>0</v>
      </c>
      <c r="X4" s="156">
        <f t="shared" si="5"/>
        <v>1</v>
      </c>
      <c r="Y4" s="156">
        <f>IF(OR(O4="",P4=""),"",IF(OR(ISERROR(FIND("carcass",$A4))=FALSE,ISERROR(FIND("unit",$A4))=FALSE),VLOOKUP(WardrobeCarcassMaterial,FixedListsCarcassMaterial,3,0),0))</f>
        <v>0</v>
      </c>
      <c r="Z4" s="156">
        <f>IF(OR(O4="",P4=""),"",IF(ISERROR(FIND("door",$A4))=FALSE,VLOOKUP(WardrobeDoorStyle,FixedListsDoorStyle,3,0),0))</f>
        <v>0</v>
      </c>
      <c r="AA4" s="156">
        <f>IF(OR(O4="",P4=""),"",IF(ISERROR(FIND("door",$A4))=FALSE,VLOOKUP(WardrobeDoorMaterial,FixedListsDoorMaterial,3,0),0))</f>
        <v>0</v>
      </c>
      <c r="AB4" s="156">
        <f>IF(OR(O4="",P4=""),"",IF(ISERROR(FIND("drawer",$A4))=FALSE,VLOOKUP(WardrobeDrawerType,FixedListsDrawerType,3,0),0))</f>
        <v>0</v>
      </c>
      <c r="AC4" s="156">
        <f>IF(OR(O4="",P4=""),"",IF(S4&gt;0,VLOOKUP(WardrobeHandleType,FixedListsHandleType,3,FALSE),0))</f>
        <v>0</v>
      </c>
      <c r="AD4" s="156">
        <f>IF(OR(O4="",P4=""),"",IF(OR(ISERROR(FIND("carcass",$A4))=FALSE,ISERROR(FIND("unit",$A4))=FALSE),VLOOKUP(WardrobeCarcassFinish,FixedListsFinishes,3,0),IF(OR(ISERROR(FIND("door",$A4))=FALSE,ISERROR(FIND("Plinth",$A4))=FALSE,ISERROR(FIND("Cornice",$A4))=FALSE,ISERROR(FIND("Fillers",$A4))=FALSE,ISERROR(FIND("Pelmet",$A4))=FALSE,ISERROR(FIND("panel",$A4))=FALSE,ISERROR(FIND("post",$A4))=FALSE),VLOOKUP(WardrobeDoorFinish,FixedListsFinishes,3,0),IF(OR(ISERROR(FIND("drawer",$A4))=FALSE,ISERROR(FIND("insert",$A4))=FALSE,ISERROR(FIND("rck",$A4))=FALSE),VLOOKUP(WardrobeCarcassFinish,FixedListsFinishes,3,0),0))))</f>
        <v>2</v>
      </c>
      <c r="AE4" s="156">
        <f t="shared" si="6"/>
        <v>2</v>
      </c>
      <c r="AF4" s="157" t="str">
        <f>IF(AND(WardrobeHandleType="Channel",OR(ISERROR(FIND("arcass",$A4))=FALSE,ISERROR(FIND("unit",$A4))=FALSE)),IF(ISERROR(FIND("Tower",$A4))=TRUE,IF(WardrobeHandleFinish="Match carcass",IF(ISERROR(FIND("Walnut",WardrobeCarcassMaterial))=FALSE,(0.035*0.075*($C4/1000))*VLOOKUP("Walnut (solid m3)",SolidData,4,FALSE),IF(ISERROR(FIND("Oak",WardrobeCarcassMaterial))=FALSE,(0.035*0.075*($C4/1000))*VLOOKUP("Oak (solid m3)",SolidData,4,FALSE),IF(ISERROR(FIND("ply",WardrobeCarcassMaterial))=FALSE,(0.1*($C4/1000))*VLOOKUP("Birch ply (24mm)",SheetsData,7,FALSE),IF(ISERROR(FIND("H/F",WardrobeCarcassMaterial))=FALSE,(0.1*($C4/1000))*VLOOKUP("H/F (22mm)",SheetsData,7,FALSE),"Carcass - not tower - new material")))),IF(WardrobeHandleFinish="Match door",IF(ISERROR(FIND("Walnut",WardrobeDoorMaterial))=FALSE,(0.035*0.075*($C4/1000))*VLOOKUP("Walnut (solid m3)",SolidData,4,FALSE),IF(ISERROR(FIND("Oak",WardrobeDoorMaterial))=FALSE,(0.035*0.075*($C4/1000))*VLOOKUP("Oak (solid m3)",SolidData,4,FALSE),IF(ISERROR(FIND("ply",WardrobeDoorMaterial))=FALSE,(0.1*($C4/1000))*VLOOKUP("Birch ply (24mm)",SheetsData,7,FALSE),IF(ISERROR(FIND("H/F",WardrobeCarcassMaterial))=FALSE,(0.1*($C4/1000))*VLOOKUP("H/F (22mm)",SheetsData,7,FALSE),"Door - not tower - new material")))),"Channel - not tower - handle set to other")),IF(ISERROR(FIND("Tower",$A4))=FALSE,IF(WardrobeHandleFinish="Match carcass",IF(ISERROR(FIND("Walnut",WardrobeCarcassMaterial))=FALSE,(0.035*0.075*($B4/1000))*VLOOKUP("Walnut (solid m3)",SolidData,4,FALSE),IF(ISERROR(FIND("Oak",WardrobeCarcassMaterial))=FALSE,(0.035*0.075*($B4/1000))*VLOOKUP("Oak (solid m3)",SolidData,4,FALSE),IF(ISERROR(FIND("ply",WardrobeCarcassMaterial))=FALSE,(0.1*($B4/1000))*VLOOKUP("Birch ply (24mm)",SheetsData,7,FALSE),IF(ISERROR(FIND("H/F",WardrobeCarcassMaterial))=FALSE,(0.1*($C4/1000))*VLOOKUP("H/F (22mm)",SheetsData,7,FALSE),"Carcass - tower - new material")))),IF(WardrobeHandleFinish="Match door",IF(ISERROR(FIND("Walnut",WardrobeDoorMaterial))=FALSE,(0.035*0.075*($B4/1000))*VLOOKUP("Walnut (solid m3)",SolidData,4,FALSE),IF(ISERROR(FIND("Oak",WardrobeDoorMaterial))=FALSE,(0.035*0.075*($B4/1000))*VLOOKUP("Oak (solid m3)",SolidData,4,FALSE),IF(ISERROR(FIND("ply",WardrobeDoorMaterial))=FALSE,(0.1*($B4/1000))*VLOOKUP("Birch ply (24mm)",SheetData,7,FALSE),IF(ISERROR(FIND("H/F",WardrobeCarcassMaterial))=FALSE,(0.1*($C4/1000))*VLOOKUP("H/F (22mm)",SheetsData,7,FALSE),"Door - tower - new material")))),"Channel - tower - handle set to other")))),"")</f>
        <v/>
      </c>
    </row>
    <row r="5">
      <c r="A5" s="151" t="s">
        <v>153</v>
      </c>
      <c r="B5" s="160" t="str">
        <f t="shared" si="1"/>
        <v>44</v>
      </c>
      <c r="C5" s="160" t="str">
        <f>IFERROR(__xludf.DUMMYFUNCTION("IF(A5="""","""",IF(ISERROR(FIND(""arcass"",A5))=FALSE,MID(A5,FIND(""*"",A5)+1,FIND(""*"",A5,FIND(""*"",A5)+1)-FIND(""*"",A5)-1),IF(ISERROR(FIND(""End panel"",A5))=FALSE,RIGHT(A5,3),IF(OR(ISERROR(FIND(""drawer"",A5))=FALSE,ISERROR(FIND(""door"",A5))=FALSE,"&amp;"ISERROR(FIND(""shelf"",A5))=FALSE,ISERROR(FIND(""panel"",A5))=FALSE,ISERROR(FIND(""Plinth"",A5))=FALSE,ISERROR(FIND(""Cornice"",A5))=FALSE,ISERROR(FIND(""Fillers"",A5))=FALSE,ISERROR(FIND(""Pelmet"",A5))=FALSE,ISERROR(FIND(""Fireplace up to 1600"",A5))=FA"&amp;"LSE),RIGHT(A5,LEN(A5)-LEN(regexextract(A5,"".* ""))),IF(ISERROR(FIND(""table"",A5))=FALSE,""560"",IF(ISERROR(FIND(""Office pod"",A5))=FALSE,""1600"",IF(ISERROR(FIND(""Fireplace over 1600"",A5))=FALSE,""2400"",IF(ISERROR(FIND(""Worktop"",A5))=FALSE,""650"""&amp;",""Whoops""))))))))"),"2400")</f>
        <v>2400</v>
      </c>
      <c r="D5" s="161" t="str">
        <f t="shared" si="2"/>
        <v/>
      </c>
      <c r="E5" s="152">
        <f>IF(OR(A5="",AND(ISERROR(FIND("drawer",A5))=FALSE,WardrobeDrawerType="")),"",IF(ISERROR(FIND("door",A5))=FALSE,IF(WardrobeDoorStyle="Flat",((B5/1000)*(C5/1000))*VLOOKUP(WardrobeDoorMaterial,SheetsData,8,0),IF(LEFT(WardrobeDoorStyle,5)="Panel",(((((B5/1000)*2)*0.08)+((((C5/1000)-0.16)*2)*0.08))*VLOOKUP("H/F (22mm)",SheetsData,8,0))+(((B5/1000)-0.14)*((C5/1000)-0.14)*VLOOKUP("H/F (9mm)",SheetsData,8,0)),IF(WardrobeDoorStyle="In-frame flat",((((((B5/1000)*0.019)*0.038)+((((C5-38)/1000)*0.038)*0.038))*2)*VLOOKUP("Tulip (solid m3)",SolidData,4,0))+(((B5-76)/1000)*((C5-38)/1000))*VLOOKUP("H/F (22mm)",SheetsData,8,0),IF(LEFT(WardrobeDoorStyle,14)="In-frame panel",(((((((B5/1000)*0.019)*0.038)+((((C5-38)/1000)*0.038)*0.038))*2)*VLOOKUP("Tulip (solid m3)",SolidData,4,0))+(((((((B5-76)/1000)*2)*0.08)+(((((C5-198)/1000)*2)*0.08)))*VLOOKUP("H/F (22mm)",SheetsData,8,0))+(((B5-216)/1000)*((C5-178)/1000)*VLOOKUP("H/F (9mm)",SheetsData,8,0)))))))),IF(AND(ISERROR(FIND("arcass",A5))=FALSE,ISERROR(FIND("ost corner",A5))=TRUE),IF(AND(VALUE(B5)&lt;1211,VALUE(C5)&lt;1211,VALUE(D5)&lt;606),1*VLOOKUP(WardrobeCarcassMaterial,SheetsData,5,FALSE),IF(AND(VALUE(B5)&lt;2421,VALUE(C5)&lt;2421,VALUE(D5)&lt;606),2*VLOOKUP(WardrobeCarcassMaterial,SheetsData,5,FALSE),IF(AND(VALUE(B5)&lt;2421,VALUE(C5)&lt;1211,VALUE(D5)&lt;1211),3*VLOOKUP(WardrobeCarcassMaterial,SheetsData,5,FALSE),IF(AND(VALUE(B5)&lt;2421,VALUE(C5)&lt;2421,VALUE(D5)&lt;1211),4*VLOOKUP(WardrobeCarcassMaterial,SheetsData,5,FALSE))))),IF(AND(ISERROR(FIND("arcass",A5))=FALSE,ISERROR(FIND("ost corner",A5))=FALSE),IF(AND(VALUE(B5)&lt;1211,VALUE(C5)&lt;1211,VALUE(D5)&lt;606),(1*VLOOKUP(WardrobeCarcassMaterial,SheetsData,5,FALSE))+(VLOOKUP("H/F (22mm)",SheetsData,7,FALSE)*1.44),IF(AND(VALUE(B5)&lt;2421,VALUE(C5)&lt;2421,VALUE(D5)&lt;606),(2*VLOOKUP(WardrobeCarcassMaterial,SheetsData,5,FALSE))+(VLOOKUP("H/F (22mm)",SheetsData,7,FALSE)*1.44),IF(AND(VALUE(B5)&lt;2421,VALUE(C5)&lt;1211,VALUE(D5)&lt;1211),(3*VLOOKUP(WardrobeCarcassMaterial,SheetsData,5,FALSE))+(VLOOKUP("H/F (22mm)",SheetsData,7,FALSE)*1.44),IF(AND(VALUE(B5)&lt;2421,VALUE(C5)&lt;2421,VALUE(D5)&lt;1211),(4*VLOOKUP(WardrobeCarcassMaterial,SheetsData,5,FALSE))+(VLOOKUP("H/F (22mm)",SheetsData,7,FALSE)*1.44))))),IF(ISERROR(FIND("drawer front",A5))=FALSE,((B5/1000)*(C5/1000))*VLOOKUP(WardrobeDoorMaterial,SheetsData,8,0),IF(AND(WardrobeDrawerType="Match carcass",ISERROR(FIND("drawer box",A5))=FALSE),(((((B5/1000)*(C5/1000))+((B5/1000)*(D5/1000)))*2)*VLOOKUP(WardrobeCarcassMaterial,SheetsData,8,0))+(((C5/1000)*(D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box",A5))=FALSE),(((((B5/1000)*(C5/1000))+((B5/1000)*(D5/1000)))*2)*(16/1000)*VLOOKUP(LEFT(WardrobeCarcassMaterial,FIND(" ",WardrobeCarcassMaterial))&amp;"(solid m3)",SolidData,4,0))+(((C5/1000)*(D5/1000))*VLOOKUP(LEFT(WardrobeCarcassMaterial,FIND("(",WardrobeCarcassMaterial)-1)&amp;IF(OR(ISERROR(FIND("ply",WardrobeCarcassMaterial))=FALSE,ISERROR(FIND("H/F",WardrobeCarcassMaterial))=FALSE),"(9mm)","(10mm)"),SheetsData,8,0)),IF(ISERROR(FIND("shelf",A5))=FALSE,((C5/1000)*(D5/1000))*VLOOKUP(WardrobeCarcassMaterial,SheetsData,7,FALSE),IF(ISERROR(FIND("Office pod",A5))=FALSE,3*VLOOKUP(WardrobeCarcassMaterial,SheetsData,5,0),IF(ISERROR(FIND(" panel",A5))=FALSE,((B5/1000)*(C5/1000))*VLOOKUP(WardrobeDoorMaterial,SheetsData,8,0),IF(ISERROR(FIND("Fillers",A5))=FALSE,(((0.06*(C5/1000))*2)*VLOOKUP("H/F (18mm)",SheetsData,8,0))+(((0.06*(C5/1000))*2)*VLOOKUP("H/F (9mm)",SheetsData,8,0)),IF(ISERROR(FIND("Cornice (stacked)",A5))=FALSE,((0.08*(C5/1000))*2)*VLOOKUP("H/F (22mm)",SheetsData,8,0),IF(OR(ISERROR(FIND("Plinth",A5))=FALSE,ISERROR(FIND("Cornice (flat)",A5))=FALSE),((B5/1000)*(C5/1000))*VLOOKUP("H/F (18mm)",SheetsData,8,0),IF(ISERROR(FIND("Pelmet",A5))=FALSE,((((B5/1000)*(C5/1000))*2)*VLOOKUP("H/F (18mm)",SheetsData,8,0)),IF(ISERROR(FIND("Fireplace",A5))=FALSE,IF(ISERROR(FIND("over 1600",A5))=FALSE,2*VLOOKUP(WardrobeCarcassMaterial,SheetsData,5,FALSE),VLOOKUP(WardrobeCarcassMaterial,SheetsData,5,FALSE)),IF(ISERROR(FIND("table",A5))=FALSE,((B5/1000)*0.6)*VLOOKUP("Birch ply (24mm)",SheetsData,7,FALSE),IF(ISERROR(FIND("Worktop",A5))=FALSE,((B5/1000)*(C5/1000))*VLOOKUP(WardrobeDoorMaterial,SheetsData,7,FALSE),"Check formula")))))))))))))))))</f>
        <v>7.088417092</v>
      </c>
      <c r="F5" s="152" t="str">
        <f>IFERROR(__xludf.DUMMYFUNCTION("IF(OR(A5="""",AND(ISERROR(FIND(""drawer box"",A5))=FALSE,WardrobeDrawerType=""Solid dovetail"")),"""",IF(ISERROR(FIND(""bins"",A5))=FALSE,VLOOKUP(""Base carcass 600"",Wardrobes_etcData,6,0),IF(OR(ISERROR(FIND(""larder"",A5))=FALSE,ISERROR(FIND(""unit"",A5"&amp;"))=FALSE),VLOOKUP(LEFT(A5,FIND("" "",A5))&amp;""carcass ""&amp;RIGHT(A5,LEN(A5)-len(regexextract(A5,"".* ""))),Wardrobes_etcData,6,0),IF(ISERROR(FIND(""drawer front"",A5))=FALSE,IF(ISERROR(FIND(""veneer"",WardrobeCarcassMaterial))=TRUE,0,(((B5+C5)/1000)*2)*VLOOKU"&amp;"P(""Edge banding (per M)"",SheetsData,5,0)),IF(ISERROR(FIND(""drawer box"",A5))=FALSE,IF(ISERROR(FIND(""veneer"",WardrobeCarcassMaterial))=TRUE,0,(((C5+D5)/1000)*2)*VLOOKUP(""Edge banding (per M)"",SheetsData,5,0)),IF(ISERROR(FIND(""shelf"",A5))=FALSE,IF("&amp;"ISERROR(FIND(""veneer"",WardrobeCarcassMaterial))=TRUE,0,(C5/1000)*VLOOKUP(""Edge banding (per M)"",SheetsData,5,0)),IF(AND(OR(ISERROR(FIND(""arcass"",A5))=FALSE,ISERROR(FIND(""Fireplace"",A5))=FALSE),ISERROR(FIND(""shelf"",A5))=TRUE),IF(ISERROR(FIND(""ve"&amp;"neer"",WardrobeCarcassMaterial))=TRUE,0,((2*(B5+C5))/1000)*VLOOKUP(""Edge banding (per M)"",SheetsData,5,0)),IF(ISERROR(FIND(""door"",A5))=TRUE,"""",IF(ISERROR(FIND(""veneer"",WardrobeDoorMaterial))=TRUE,"""",((2*(B5+C5))/1000)*VLOOKUP(""Edge banding (per"&amp;" M)"",SheetsData,5,0))))))))))"),"")</f>
        <v/>
      </c>
      <c r="G5" s="153" t="str">
        <f>IF(A5="","",IF(AND(ISERROR(FIND("arcass",A5))=TRUE,ISERROR(FIND("Fireplace",A5))=TRUE),"",IF(VALUE(C5)&lt;606,4*VLOOKUP("Plinth foot (2 Parts 80mm)",FurnitureData,5,FALSE),IF(VALUE(C5)&lt;1211,6*VLOOKUP("Plinth foot (2 Parts 80mm)",FurnitureData,5,FALSE),8*VLOOKUP("Plinth foot (2 Parts 80mm)",FurnitureData,5,FALSE)))))</f>
        <v/>
      </c>
      <c r="H5" s="115" t="str">
        <f>IF(OR(A5="",ISERROR(FIND("door",A5))=TRUE),"",VLOOKUP("Hinges &amp; plates (Hettich thick door)",FurnitureData,5,0)*5)</f>
        <v/>
      </c>
      <c r="I5" s="115" t="str">
        <f>IF(ISERROR(FIND("shelf",A5))=FALSE,(VLOOKUP("Shelf pegs",FurnitureData,5,0)/100)*4,"")</f>
        <v/>
      </c>
      <c r="J5" s="152" t="str">
        <f>IF(OR(ISERROR(FIND("fridge/freezer",A5))=FALSE,ISERROR(FIND("sink",A5))=FALSE,ISERROR(FIND("larder",A5))=FALSE),VLOOKUP("Deep shelf "&amp;C5,Wardrobes_etcData,18,0),IF(OR(ISERROR(FIND("single oven",A5))=FALSE,ISERROR(FIND("Base carcass",A5))=FALSE),2*VLOOKUP("Deep shelf "&amp;C5,Wardrobes_etcData,18,0),IF(AND(ISERROR(FIND("wall carcass",A5))=FALSE,ISERROR(FIND("Boiler",A5))=TRUE),2*VLOOKUP("Shallow shelf "&amp;C5,Wardrobes_etcData,18,0),IF(ISERROR(FIND("double oven",A5))=FALSE,3*VLOOKUP("Deep shelf "&amp;C5,Wardrobes_etcData,18,0),IF(ISERROR(FIND("Tower carcass",A5))=FALSE,6*VLOOKUP("Deep shelf "&amp;C5,Wardrobes_etcData,18,0),"")))))</f>
        <v/>
      </c>
      <c r="K5" s="152" t="str">
        <f>IF(ISERROR(FIND("sink",A5))=FALSE,VLOOKUP("Sink liner - Aluminium "&amp;RIGHT(A5,LEN(A5)-22)&amp;"mm",ExceptionalData,5,0),IF(ISERROR(FIND("bins",A5))=FALSE,VLOOKUP("Drawer runners and clip set for bin unit (500) Dynapro",FurnitureData,5,0)+(2*VLOOKUP("Bin (42L Anthracite)",FurnitureData,5,0)),IF(ISERROR(FIND("larder",A5))=FALSE,VLOOKUP("Pull out larder unit 600mm",FurnitureData,5,0),IF(AND(ISERROR(FIND("drawer box",A5))=FALSE,ISERROR(FIND("internal",A5))=TRUE),VLOOKUP("Drawer runners and clip set (550) Dynapro",FurnitureData,5,0),IF(ISERROR(FIND("internal drawer box",A5))=FALSE,VLOOKUP("Drawer runners and clip set (450) Dynapro",FurnitureData,5,0),IF(ISERROR(FIND("table",A5))=FALSE,VLOOKUP("Hairpin Leg (12mm Black "&amp;MID(A5,FIND("(",A5)+1,LEN(A5)-(FIND("(",A5))-1)&amp;"mm)",ExceptionalData,4,FALSE),""))))))</f>
        <v/>
      </c>
      <c r="L5" s="152">
        <f t="shared" si="3"/>
        <v>7.088417092</v>
      </c>
      <c r="M5" s="154">
        <f>IF(A5="","",IF(AND(ISERROR(FIND("drawer front",A5))=FALSE,WardrobeDoorStyle="Flat"),(((B5/1000)*(C5/1000))*2)+((((B5+C5)/1000)*2)*0.022),IF(AND(ISERROR(FIND("drawer front",A5))=FALSE,LEFT(WardrobeDoorStyle,5)="Panel"),(((B5/1000)*(C5/1000))*2)+((((B5+C5)/1000)*2)*0.022)+((((C5/1000)-0.16)*0.013)*2)+((((D5/1000)-0.16)*0.013)*2),IF(AND(ISERROR(FIND("drawer front",A5))=FALSE,WardrobeDoorStyle="In-frame flat"),((((B5-76)/1000)*((C5-38)/1000))*2)+(MID(WardrobeDoorMaterial,FIND("(",WardrobeDoorMaterial)+1,2)/1000)*((((B5-76)+(C5-38))/1000)*2)+(((B5/1000)*0.032)*2)+((((B5-76)/1000)*0.032)*2)+(((B5/1000)*0.019)*4)+(((C5/1000)*0.032)*2)+((((C5-38)/1000)*0.032)*2)+(((C5/1000)*0.038)*4),IF(AND(ISERROR(FIND("drawer front",A5))=FALSE,LEFT(WardrobeDoorStyle,14)="In-frame panel"),((((B5-76)/1000)*((C5-38)/1000))*2)+((MID(WardrobeDoorMaterial,FIND("(",WardrobeDoorMaterial)+1,2)/1000)*((((B5-76)+(C5-38))/1000)*2))+((((B5-236)/1000)+((C5-198)/1000)*2)*0.013)+(((B5/1000)*0.032)*2)+((((B5-76)/1000)*0.032)*2)+(((B5/1000)*0.019)*4)+(((C5/1000)*0.032)*2)+((((C5-38)/1000)*0.032)*2)+(((C5/1000)*0.038)*4),IF(ISERROR(FIND("drawer box",A5))=FALSE,((((B5/1000)*(D5/1000))+((B5/1000)*(C5/1000)))*4)+((((D5/1000)+(C5/1000))*0.016)*4)+(((C5/1000)*(D5/1000))*2),IF(OR(ISERROR(FIND("shelf",A5))=FALSE,ISERROR(FIND("Filler panel",A5))=FALSE),(((C5/1000)*(D5/1000))*2)+((((C5+D5)*2)/1000)*0.022),IF(ISERROR(FIND("Fireplace",A5))=FALSE,((B5/1000)*(C5/1000)),IF(ISERROR(FIND("Worktop",A5))=FALSE,(B5/1000)*(C5/1000),IF(ISERROR(FIND("table",A5))=FALSE,(B5/1000)*0.6,IF(ISERROR(FIND("arcass",A5))=FALSE,(((C5/1000)*(D5/1000))*2)+(((B5/1000)*(D5/1000))*2)+((B5/1000)*(C5/1000))+((((B5/1000)*0.025)+((C5/1000)*0.025))*2),IF(AND(ISERROR(FIND("door",A5))=FALSE,WardrobeDoorStyle="Flat"),(((B5/1000)*(C5/1000))*2)+(MID(WardrobeDoorMaterial,FIND("(",WardrobeDoorMaterial)+1,2)/1000)*(((B5+C5)/1000)*2),IF(AND(ISERROR(FIND("door",A5))=FALSE,LEFT(WardrobeDoorStyle,5)="Panel"),(((B5/1000)*(C5/1000))*2)+((MID(WardrobeDoorMaterial,FIND("(",WardrobeDoorMaterial)+1,2)/1000)*(((B5+C5)/1000)*2))+(((((B5-160)+(C5-160))*2)/1000)*(0.013)),IF(AND(ISERROR(FIND("door",A5))=FALSE,WardrobeDoorStyle="In-frame flat"),((((B5-76)/1000)*((C5-38)/1000))*2)+(MID(WardrobeDoorMaterial,FIND("(",WardrobeDoorMaterial)+1,2)/1000)*((((B5-76)+(C5-38))/1000)*2)+(((B5/1000)*0.032)*2)+((((B5-76)/1000)*0.032)*2)+(((B5/1000)*0.019)*4)+(((C5/1000)*0.032)*2)+((((C5-38)/1000)*0.032)*2)+(((C5/1000)*0.038)*4),IF(AND(ISERROR(FIND("door",A5))=FALSE,LEFT(WardrobeDoorStyle,14)="In-frame panel"),((((B5-76)/1000)*((C5-38)/1000))*2)+((MID(WardrobeDoorMaterial,FIND("(",WardrobeDoorMaterial)+1,2)/1000)*((((B5-76)+(C5-38))/1000)*2))+((((B5-236)/1000)+((C5-198)/1000)*2)*0.013)+(((B5/1000)*0.032)*2)+((((B5-76)/1000)*0.032)*2)+(((B5/1000)*0.019)*4)+(((C5/1000)*0.032)*2)+((((C5-38)/1000)*0.032)*2)+(((C5/1000)*0.038)*4),IF(ISERROR(FIND("Plinth",A5))=FALSE,((B5/1000)*(C5/1000))+(((C5/1000)*0.018)*2)+(((B5/1000)*0.018)*2),IF(ISERROR(FIND("Cornice",A5))=FALSE,(((C5/1000)*0.1)*2)+(((C5/1000)*0.044)*2)+(((B5/1000)*0.08)*2),IF(ISERROR(FIND("Office pod",A5))=FALSE,((2400/1000)*(1200/1000))*6,IF(ISERROR(FIND("panel",A5))=FALSE,((B5/1000)*(C5/1000))+(0.022*((B5/1000)+((C5/1000)*2)))+((B5/1000)*0.05),IF(ISERROR(FIND("Fillers",A5))=FALSE,((C5/1000)*0.06)+((C5/1000)*0.069)+((0.06*0.018)*2)+((0.06*0.009)*2)+((C5/1000)*0.009)+((C5/1000)*0.018),IF(ISERROR(FIND("Pelmet",A5))=FALSE,((C5/1000)*0.05)+((C5/1000)*0.068)+((0.05*0.018)*4)+(((C5/1000)*0.018))*2)))))))))))))))))))))</f>
        <v>0.69824</v>
      </c>
      <c r="N5" s="152">
        <f>IF(M5="","",IF(AND(ISERROR(FIND("carcass",A5))=TRUE,ISERROR(FIND("unit",A5))=TRUE,ISERROR(FIND("insert",A5))=TRUE,ISERROR(FIND("rack",A5))=TRUE,ISERROR(FIND("box",A5))=TRUE,ISERROR(FIND("shelf",A5))=TRUE),VLOOKUP(WardrobeDoorFinish,Finishing!$A$2:$K$10,9,0)*M5,IF(ISERROR(FIND("table",A5))=FALSE,VLOOKUP("Sayerlack AF0072 Interior Clear Self-Sealer",FinishingData,9,FALSE)*M5,VLOOKUP(WardrobeCarcassFinish,Finishing!$A$2:$K$40,9,0)*M5)))</f>
        <v>5.2368</v>
      </c>
      <c r="O5" s="159">
        <v>0.5</v>
      </c>
      <c r="P5" s="159">
        <v>0.5</v>
      </c>
      <c r="Q5" s="152">
        <f>IF(OR(O5="",P5=""),"",((O5*X5)*(VLOOKUP("Workshop",Labour!$A$3:$E$20,4,0)/8))+((P5*AE5)*(VLOOKUP("Finishing",Labour!$A$3:$E$20,4,0)/8)))</f>
        <v>49.875</v>
      </c>
      <c r="R5" s="152">
        <f t="shared" si="4"/>
        <v>62.20021709</v>
      </c>
      <c r="S5" s="156">
        <f>IF(OR(O5="",P5=""),"",IF(OR(ISERROR(FIND("carcass",$A5))=FALSE,ISERROR(FIND("unit",$A5))=FALSE),VLOOKUP(WardrobeCarcassMaterial,FixedListsCarcassMaterial,2,0),0))</f>
        <v>0</v>
      </c>
      <c r="T5" s="156">
        <f>IF(OR(O5="",P5=""),"",IF(ISERROR(FIND("door",$A5))=FALSE,VLOOKUP(WardrobeDoorStyle,FixedListsDoorStyle,2,0),0))</f>
        <v>0</v>
      </c>
      <c r="U5" s="156">
        <f>IF(OR(O5="",P5=""),"",IF(ISERROR(FIND("door",$A5))=FALSE,VLOOKUP(WardrobeDoorMaterial,FixedListsDoorMaterial,2,0),0))</f>
        <v>0</v>
      </c>
      <c r="V5" s="156">
        <f>IF(OR(O5="",P5=""),"",IF(ISERROR(FIND("drawer",$A5))=FALSE,VLOOKUP(WardrobeDrawerType,FixedListsDrawerType,2,0),0))</f>
        <v>0</v>
      </c>
      <c r="W5" s="156">
        <f>IF(OR(O5="",P5=""),"",IF(S5&gt;0,VLOOKUP(WardrobeHandleType,FixedListsHandleType,2,FALSE),0))</f>
        <v>0</v>
      </c>
      <c r="X5" s="156">
        <f t="shared" si="5"/>
        <v>1</v>
      </c>
      <c r="Y5" s="156">
        <f>IF(OR(O5="",P5=""),"",IF(OR(ISERROR(FIND("carcass",$A5))=FALSE,ISERROR(FIND("unit",$A5))=FALSE),VLOOKUP(WardrobeCarcassMaterial,FixedListsCarcassMaterial,3,0),0))</f>
        <v>0</v>
      </c>
      <c r="Z5" s="156">
        <f>IF(OR(O5="",P5=""),"",IF(ISERROR(FIND("door",$A5))=FALSE,VLOOKUP(WardrobeDoorStyle,FixedListsDoorStyle,3,0),0))</f>
        <v>0</v>
      </c>
      <c r="AA5" s="156">
        <f>IF(OR(O5="",P5=""),"",IF(ISERROR(FIND("door",$A5))=FALSE,VLOOKUP(WardrobeDoorMaterial,FixedListsDoorMaterial,3,0),0))</f>
        <v>0</v>
      </c>
      <c r="AB5" s="156">
        <f>IF(OR(O5="",P5=""),"",IF(ISERROR(FIND("drawer",$A5))=FALSE,VLOOKUP(WardrobeDrawerType,FixedListsDrawerType,3,0),0))</f>
        <v>0</v>
      </c>
      <c r="AC5" s="156">
        <f>IF(OR(O5="",P5=""),"",IF(S5&gt;0,VLOOKUP(WardrobeHandleType,FixedListsHandleType,3,FALSE),0))</f>
        <v>0</v>
      </c>
      <c r="AD5" s="156">
        <f>IF(OR(O5="",P5=""),"",IF(OR(ISERROR(FIND("carcass",$A5))=FALSE,ISERROR(FIND("unit",$A5))=FALSE),VLOOKUP(WardrobeCarcassFinish,FixedListsFinishes,3,0),IF(OR(ISERROR(FIND("door",$A5))=FALSE,ISERROR(FIND("Plinth",$A5))=FALSE,ISERROR(FIND("Cornice",$A5))=FALSE,ISERROR(FIND("Fillers",$A5))=FALSE,ISERROR(FIND("Pelmet",$A5))=FALSE,ISERROR(FIND("panel",$A5))=FALSE,ISERROR(FIND("post",$A5))=FALSE),VLOOKUP(WardrobeDoorFinish,FixedListsFinishes,3,0),IF(OR(ISERROR(FIND("drawer",$A5))=FALSE,ISERROR(FIND("insert",$A5))=FALSE,ISERROR(FIND("rck",$A5))=FALSE),VLOOKUP(WardrobeCarcassFinish,FixedListsFinishes,3,0),0))))</f>
        <v>2</v>
      </c>
      <c r="AE5" s="156">
        <f t="shared" si="6"/>
        <v>2</v>
      </c>
      <c r="AF5" s="157" t="str">
        <f>IF(AND(WardrobeHandleType="Channel",OR(ISERROR(FIND("arcass",$A5))=FALSE,ISERROR(FIND("unit",$A5))=FALSE)),IF(ISERROR(FIND("Tower",$A5))=TRUE,IF(WardrobeHandleFinish="Match carcass",IF(ISERROR(FIND("Walnut",WardrobeCarcassMaterial))=FALSE,(0.035*0.075*($C5/1000))*VLOOKUP("Walnut (solid m3)",SolidData,4,FALSE),IF(ISERROR(FIND("Oak",WardrobeCarcassMaterial))=FALSE,(0.035*0.075*($C5/1000))*VLOOKUP("Oak (solid m3)",SolidData,4,FALSE),IF(ISERROR(FIND("ply",WardrobeCarcassMaterial))=FALSE,(0.1*($C5/1000))*VLOOKUP("Birch ply (24mm)",SheetsData,7,FALSE),IF(ISERROR(FIND("H/F",WardrobeCarcassMaterial))=FALSE,(0.1*($C5/1000))*VLOOKUP("H/F (22mm)",SheetsData,7,FALSE),"Carcass - not tower - new material")))),IF(WardrobeHandleFinish="Match door",IF(ISERROR(FIND("Walnut",WardrobeDoorMaterial))=FALSE,(0.035*0.075*($C5/1000))*VLOOKUP("Walnut (solid m3)",SolidData,4,FALSE),IF(ISERROR(FIND("Oak",WardrobeDoorMaterial))=FALSE,(0.035*0.075*($C5/1000))*VLOOKUP("Oak (solid m3)",SolidData,4,FALSE),IF(ISERROR(FIND("ply",WardrobeDoorMaterial))=FALSE,(0.1*($C5/1000))*VLOOKUP("Birch ply (24mm)",SheetsData,7,FALSE),IF(ISERROR(FIND("H/F",WardrobeCarcassMaterial))=FALSE,(0.1*($C5/1000))*VLOOKUP("H/F (22mm)",SheetsData,7,FALSE),"Door - not tower - new material")))),"Channel - not tower - handle set to other")),IF(ISERROR(FIND("Tower",$A5))=FALSE,IF(WardrobeHandleFinish="Match carcass",IF(ISERROR(FIND("Walnut",WardrobeCarcassMaterial))=FALSE,(0.035*0.075*($B5/1000))*VLOOKUP("Walnut (solid m3)",SolidData,4,FALSE),IF(ISERROR(FIND("Oak",WardrobeCarcassMaterial))=FALSE,(0.035*0.075*($B5/1000))*VLOOKUP("Oak (solid m3)",SolidData,4,FALSE),IF(ISERROR(FIND("ply",WardrobeCarcassMaterial))=FALSE,(0.1*($B5/1000))*VLOOKUP("Birch ply (24mm)",SheetsData,7,FALSE),IF(ISERROR(FIND("H/F",WardrobeCarcassMaterial))=FALSE,(0.1*($C5/1000))*VLOOKUP("H/F (22mm)",SheetsData,7,FALSE),"Carcass - tower - new material")))),IF(WardrobeHandleFinish="Match door",IF(ISERROR(FIND("Walnut",WardrobeDoorMaterial))=FALSE,(0.035*0.075*($B5/1000))*VLOOKUP("Walnut (solid m3)",SolidData,4,FALSE),IF(ISERROR(FIND("Oak",WardrobeDoorMaterial))=FALSE,(0.035*0.075*($B5/1000))*VLOOKUP("Oak (solid m3)",SolidData,4,FALSE),IF(ISERROR(FIND("ply",WardrobeDoorMaterial))=FALSE,(0.1*($B5/1000))*VLOOKUP("Birch ply (24mm)",SheetData,7,FALSE),IF(ISERROR(FIND("H/F",WardrobeCarcassMaterial))=FALSE,(0.1*($C5/1000))*VLOOKUP("H/F (22mm)",SheetsData,7,FALSE),"Door - tower - new material")))),"Channel - tower - handle set to other")))),"")</f>
        <v/>
      </c>
    </row>
    <row r="6">
      <c r="A6" s="150" t="s">
        <v>217</v>
      </c>
      <c r="B6" s="160" t="str">
        <f t="shared" si="1"/>
        <v>2400</v>
      </c>
      <c r="C6" s="160" t="str">
        <f>IFERROR(__xludf.DUMMYFUNCTION("IF(A6="""","""",IF(ISERROR(FIND(""arcass"",A6))=FALSE,MID(A6,FIND(""*"",A6)+1,FIND(""*"",A6,FIND(""*"",A6)+1)-FIND(""*"",A6)-1),IF(ISERROR(FIND(""End panel"",A6))=FALSE,RIGHT(A6,3),IF(OR(ISERROR(FIND(""drawer"",A6))=FALSE,ISERROR(FIND(""door"",A6))=FALSE,"&amp;"ISERROR(FIND(""shelf"",A6))=FALSE,ISERROR(FIND(""panel"",A6))=FALSE,ISERROR(FIND(""Plinth"",A6))=FALSE,ISERROR(FIND(""Cornice"",A6))=FALSE,ISERROR(FIND(""Fillers"",A6))=FALSE,ISERROR(FIND(""Pelmet"",A6))=FALSE,ISERROR(FIND(""Fireplace up to 1600"",A6))=FA"&amp;"LSE),RIGHT(A6,LEN(A6)-LEN(regexextract(A6,"".* ""))),IF(ISERROR(FIND(""table"",A6))=FALSE,""560"",IF(ISERROR(FIND(""Office pod"",A6))=FALSE,""1600"",IF(ISERROR(FIND(""Fireplace over 1600"",A6))=FALSE,""2400"",IF(ISERROR(FIND(""Worktop"",A6))=FALSE,""650"""&amp;",""Whoops""))))))))"),"650")</f>
        <v>650</v>
      </c>
      <c r="D6" s="161" t="str">
        <f t="shared" si="2"/>
        <v/>
      </c>
      <c r="E6" s="152">
        <f>IF(OR(A6="",AND(ISERROR(FIND("drawer",A6))=FALSE,WardrobeDrawerType="")),"",IF(ISERROR(FIND("door",A6))=FALSE,IF(WardrobeDoorStyle="Flat",((B6/1000)*(C6/1000))*VLOOKUP(WardrobeDoorMaterial,SheetsData,8,0),IF(LEFT(WardrobeDoorStyle,5)="Panel",(((((B6/1000)*2)*0.08)+((((C6/1000)-0.16)*2)*0.08))*VLOOKUP("H/F (22mm)",SheetsData,8,0))+(((B6/1000)-0.14)*((C6/1000)-0.14)*VLOOKUP("H/F (9mm)",SheetsData,8,0)),IF(WardrobeDoorStyle="In-frame flat",((((((B6/1000)*0.019)*0.038)+((((C6-38)/1000)*0.038)*0.038))*2)*VLOOKUP("Tulip (solid m3)",SolidData,4,0))+(((B6-76)/1000)*((C6-38)/1000))*VLOOKUP("H/F (22mm)",SheetsData,8,0),IF(LEFT(WardrobeDoorStyle,14)="In-frame panel",(((((((B6/1000)*0.019)*0.038)+((((C6-38)/1000)*0.038)*0.038))*2)*VLOOKUP("Tulip (solid m3)",SolidData,4,0))+(((((((B6-76)/1000)*2)*0.08)+(((((C6-198)/1000)*2)*0.08)))*VLOOKUP("H/F (22mm)",SheetsData,8,0))+(((B6-216)/1000)*((C6-178)/1000)*VLOOKUP("H/F (9mm)",SheetsData,8,0)))))))),IF(AND(ISERROR(FIND("arcass",A6))=FALSE,ISERROR(FIND("ost corner",A6))=TRUE),IF(AND(VALUE(B6)&lt;1211,VALUE(C6)&lt;1211,VALUE(D6)&lt;606),1*VLOOKUP(WardrobeCarcassMaterial,SheetsData,5,FALSE),IF(AND(VALUE(B6)&lt;2421,VALUE(C6)&lt;2421,VALUE(D6)&lt;606),2*VLOOKUP(WardrobeCarcassMaterial,SheetsData,5,FALSE),IF(AND(VALUE(B6)&lt;2421,VALUE(C6)&lt;1211,VALUE(D6)&lt;1211),3*VLOOKUP(WardrobeCarcassMaterial,SheetsData,5,FALSE),IF(AND(VALUE(B6)&lt;2421,VALUE(C6)&lt;2421,VALUE(D6)&lt;1211),4*VLOOKUP(WardrobeCarcassMaterial,SheetsData,5,FALSE))))),IF(AND(ISERROR(FIND("arcass",A6))=FALSE,ISERROR(FIND("ost corner",A6))=FALSE),IF(AND(VALUE(B6)&lt;1211,VALUE(C6)&lt;1211,VALUE(D6)&lt;606),(1*VLOOKUP(WardrobeCarcassMaterial,SheetsData,5,FALSE))+(VLOOKUP("H/F (22mm)",SheetsData,7,FALSE)*1.44),IF(AND(VALUE(B6)&lt;2421,VALUE(C6)&lt;2421,VALUE(D6)&lt;606),(2*VLOOKUP(WardrobeCarcassMaterial,SheetsData,5,FALSE))+(VLOOKUP("H/F (22mm)",SheetsData,7,FALSE)*1.44),IF(AND(VALUE(B6)&lt;2421,VALUE(C6)&lt;1211,VALUE(D6)&lt;1211),(3*VLOOKUP(WardrobeCarcassMaterial,SheetsData,5,FALSE))+(VLOOKUP("H/F (22mm)",SheetsData,7,FALSE)*1.44),IF(AND(VALUE(B6)&lt;2421,VALUE(C6)&lt;2421,VALUE(D6)&lt;1211),(4*VLOOKUP(WardrobeCarcassMaterial,SheetsData,5,FALSE))+(VLOOKUP("H/F (22mm)",SheetsData,7,FALSE)*1.44))))),IF(ISERROR(FIND("drawer front",A6))=FALSE,((B6/1000)*(C6/1000))*VLOOKUP(WardrobeDoorMaterial,SheetsData,8,0),IF(AND(WardrobeDrawerType="Match carcass",ISERROR(FIND("drawer box",A6))=FALSE),(((((B6/1000)*(C6/1000))+((B6/1000)*(D6/1000)))*2)*VLOOKUP(WardrobeCarcassMaterial,SheetsData,8,0))+(((C6/1000)*(D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box",A6))=FALSE),(((((B6/1000)*(C6/1000))+((B6/1000)*(D6/1000)))*2)*(16/1000)*VLOOKUP(LEFT(WardrobeCarcassMaterial,FIND(" ",WardrobeCarcassMaterial))&amp;"(solid m3)",SolidData,4,0))+(((C6/1000)*(D6/1000))*VLOOKUP(LEFT(WardrobeCarcassMaterial,FIND("(",WardrobeCarcassMaterial)-1)&amp;IF(OR(ISERROR(FIND("ply",WardrobeCarcassMaterial))=FALSE,ISERROR(FIND("H/F",WardrobeCarcassMaterial))=FALSE),"(9mm)","(10mm)"),SheetsData,8,0)),IF(ISERROR(FIND("shelf",A6))=FALSE,((C6/1000)*(D6/1000))*VLOOKUP(WardrobeCarcassMaterial,SheetsData,7,FALSE),IF(ISERROR(FIND("Office pod",A6))=FALSE,3*VLOOKUP(WardrobeCarcassMaterial,SheetsData,5,0),IF(ISERROR(FIND(" panel",A6))=FALSE,((B6/1000)*(C6/1000))*VLOOKUP(WardrobeDoorMaterial,SheetsData,8,0),IF(ISERROR(FIND("Fillers",A6))=FALSE,(((0.06*(C6/1000))*2)*VLOOKUP("H/F (18mm)",SheetsData,8,0))+(((0.06*(C6/1000))*2)*VLOOKUP("H/F (9mm)",SheetsData,8,0)),IF(ISERROR(FIND("Cornice (stacked)",A6))=FALSE,((0.08*(C6/1000))*2)*VLOOKUP("H/F (22mm)",SheetsData,8,0),IF(OR(ISERROR(FIND("Plinth",A6))=FALSE,ISERROR(FIND("Cornice (flat)",A6))=FALSE),((B6/1000)*(C6/1000))*VLOOKUP("H/F (18mm)",SheetsData,8,0),IF(ISERROR(FIND("Pelmet",A6))=FALSE,((((B6/1000)*(C6/1000))*2)*VLOOKUP("H/F (18mm)",SheetsData,8,0)),IF(ISERROR(FIND("Fireplace",A6))=FALSE,IF(ISERROR(FIND("over 1600",A6))=FALSE,2*VLOOKUP(WardrobeCarcassMaterial,SheetsData,5,FALSE),VLOOKUP(WardrobeCarcassMaterial,SheetsData,5,FALSE)),IF(ISERROR(FIND("table",A6))=FALSE,((B6/1000)*0.6)*VLOOKUP("Birch ply (24mm)",SheetsData,7,FALSE),IF(ISERROR(FIND("Worktop",A6))=FALSE,((B6/1000)*(C6/1000))*VLOOKUP(WardrobeDoorMaterial,SheetsData,7,FALSE),"Check formula")))))))))))))))))</f>
        <v>28.79669444</v>
      </c>
      <c r="F6" s="152" t="str">
        <f>IFERROR(__xludf.DUMMYFUNCTION("IF(OR(A6="""",AND(ISERROR(FIND(""drawer box"",A6))=FALSE,WardrobeDrawerType=""Solid dovetail"")),"""",IF(ISERROR(FIND(""bins"",A6))=FALSE,VLOOKUP(""Base carcass 600"",Wardrobes_etcData,6,0),IF(OR(ISERROR(FIND(""larder"",A6))=FALSE,ISERROR(FIND(""unit"",A6"&amp;"))=FALSE),VLOOKUP(LEFT(A6,FIND("" "",A6))&amp;""carcass ""&amp;RIGHT(A6,LEN(A6)-len(regexextract(A6,"".* ""))),Wardrobes_etcData,6,0),IF(ISERROR(FIND(""drawer front"",A6))=FALSE,IF(ISERROR(FIND(""veneer"",WardrobeCarcassMaterial))=TRUE,0,(((B6+C6)/1000)*2)*VLOOKU"&amp;"P(""Edge banding (per M)"",SheetsData,5,0)),IF(ISERROR(FIND(""drawer box"",A6))=FALSE,IF(ISERROR(FIND(""veneer"",WardrobeCarcassMaterial))=TRUE,0,(((C6+D6)/1000)*2)*VLOOKUP(""Edge banding (per M)"",SheetsData,5,0)),IF(ISERROR(FIND(""shelf"",A6))=FALSE,IF("&amp;"ISERROR(FIND(""veneer"",WardrobeCarcassMaterial))=TRUE,0,(C6/1000)*VLOOKUP(""Edge banding (per M)"",SheetsData,5,0)),IF(AND(OR(ISERROR(FIND(""arcass"",A6))=FALSE,ISERROR(FIND(""Fireplace"",A6))=FALSE),ISERROR(FIND(""shelf"",A6))=TRUE),IF(ISERROR(FIND(""ve"&amp;"neer"",WardrobeCarcassMaterial))=TRUE,0,((2*(B6+C6))/1000)*VLOOKUP(""Edge banding (per M)"",SheetsData,5,0)),IF(ISERROR(FIND(""door"",A6))=TRUE,"""",IF(ISERROR(FIND(""veneer"",WardrobeDoorMaterial))=TRUE,"""",((2*(B6+C6))/1000)*VLOOKUP(""Edge banding (per"&amp;" M)"",SheetsData,5,0))))))))))"),"")</f>
        <v/>
      </c>
      <c r="G6" s="153" t="str">
        <f>IF(A6="","",IF(AND(ISERROR(FIND("arcass",A6))=TRUE,ISERROR(FIND("Fireplace",A6))=TRUE),"",IF(VALUE(C6)&lt;606,4*VLOOKUP("Plinth foot (2 Parts 80mm)",FurnitureData,5,FALSE),IF(VALUE(C6)&lt;1211,6*VLOOKUP("Plinth foot (2 Parts 80mm)",FurnitureData,5,FALSE),8*VLOOKUP("Plinth foot (2 Parts 80mm)",FurnitureData,5,FALSE)))))</f>
        <v/>
      </c>
      <c r="H6" s="115" t="str">
        <f>IF(OR(A6="",ISERROR(FIND("door",A6))=TRUE),"",VLOOKUP("Hinges &amp; plates (Hettich thick door)",FurnitureData,5,0)*5)</f>
        <v/>
      </c>
      <c r="I6" s="115" t="str">
        <f>IF(ISERROR(FIND("shelf",A6))=FALSE,(VLOOKUP("Shelf pegs",FurnitureData,5,0)/100)*4,"")</f>
        <v/>
      </c>
      <c r="J6" s="152" t="str">
        <f>IF(OR(ISERROR(FIND("fridge/freezer",A6))=FALSE,ISERROR(FIND("sink",A6))=FALSE,ISERROR(FIND("larder",A6))=FALSE),VLOOKUP("Deep shelf "&amp;C6,Wardrobes_etcData,18,0),IF(OR(ISERROR(FIND("single oven",A6))=FALSE,ISERROR(FIND("Base carcass",A6))=FALSE),2*VLOOKUP("Deep shelf "&amp;C6,Wardrobes_etcData,18,0),IF(AND(ISERROR(FIND("wall carcass",A6))=FALSE,ISERROR(FIND("Boiler",A6))=TRUE),2*VLOOKUP("Shallow shelf "&amp;C6,Wardrobes_etcData,18,0),IF(ISERROR(FIND("double oven",A6))=FALSE,3*VLOOKUP("Deep shelf "&amp;C6,Wardrobes_etcData,18,0),IF(ISERROR(FIND("Tower carcass",A6))=FALSE,6*VLOOKUP("Deep shelf "&amp;C6,Wardrobes_etcData,18,0),"")))))</f>
        <v/>
      </c>
      <c r="K6" s="152" t="str">
        <f>IF(ISERROR(FIND("sink",A6))=FALSE,VLOOKUP("Sink liner - Aluminium "&amp;RIGHT(A6,LEN(A6)-22)&amp;"mm",ExceptionalData,5,0),IF(ISERROR(FIND("bins",A6))=FALSE,VLOOKUP("Drawer runners and clip set for bin unit (500) Dynapro",FurnitureData,5,0)+(2*VLOOKUP("Bin (42L Anthracite)",FurnitureData,5,0)),IF(ISERROR(FIND("larder",A6))=FALSE,VLOOKUP("Pull out larder unit 600mm",FurnitureData,5,0),IF(AND(ISERROR(FIND("drawer box",A6))=FALSE,ISERROR(FIND("internal",A6))=TRUE),VLOOKUP("Drawer runners and clip set (550) Dynapro",FurnitureData,5,0),IF(ISERROR(FIND("internal drawer box",A6))=FALSE,VLOOKUP("Drawer runners and clip set (450) Dynapro",FurnitureData,5,0),IF(ISERROR(FIND("table",A6))=FALSE,VLOOKUP("Hairpin Leg (12mm Black "&amp;MID(A6,FIND("(",A6)+1,LEN(A6)-(FIND("(",A6))-1)&amp;"mm)",ExceptionalData,4,FALSE),""))))))</f>
        <v/>
      </c>
      <c r="L6" s="152">
        <f t="shared" si="3"/>
        <v>28.79669444</v>
      </c>
      <c r="M6" s="154">
        <f>IF(A6="","",IF(AND(ISERROR(FIND("drawer front",A6))=FALSE,WardrobeDoorStyle="Flat"),(((B6/1000)*(C6/1000))*2)+((((B6+C6)/1000)*2)*0.022),IF(AND(ISERROR(FIND("drawer front",A6))=FALSE,LEFT(WardrobeDoorStyle,5)="Panel"),(((B6/1000)*(C6/1000))*2)+((((B6+C6)/1000)*2)*0.022)+((((C6/1000)-0.16)*0.013)*2)+((((D6/1000)-0.16)*0.013)*2),IF(AND(ISERROR(FIND("drawer front",A6))=FALSE,WardrobeDoorStyle="In-frame flat"),((((B6-76)/1000)*((C6-38)/1000))*2)+(MID(WardrobeDoorMaterial,FIND("(",WardrobeDoorMaterial)+1,2)/1000)*((((B6-76)+(C6-38))/1000)*2)+(((B6/1000)*0.032)*2)+((((B6-76)/1000)*0.032)*2)+(((B6/1000)*0.019)*4)+(((C6/1000)*0.032)*2)+((((C6-38)/1000)*0.032)*2)+(((C6/1000)*0.038)*4),IF(AND(ISERROR(FIND("drawer front",A6))=FALSE,LEFT(WardrobeDoorStyle,14)="In-frame panel"),((((B6-76)/1000)*((C6-38)/1000))*2)+((MID(WardrobeDoorMaterial,FIND("(",WardrobeDoorMaterial)+1,2)/1000)*((((B6-76)+(C6-38))/1000)*2))+((((B6-236)/1000)+((C6-198)/1000)*2)*0.013)+(((B6/1000)*0.032)*2)+((((B6-76)/1000)*0.032)*2)+(((B6/1000)*0.019)*4)+(((C6/1000)*0.032)*2)+((((C6-38)/1000)*0.032)*2)+(((C6/1000)*0.038)*4),IF(ISERROR(FIND("drawer box",A6))=FALSE,((((B6/1000)*(D6/1000))+((B6/1000)*(C6/1000)))*4)+((((D6/1000)+(C6/1000))*0.016)*4)+(((C6/1000)*(D6/1000))*2),IF(OR(ISERROR(FIND("shelf",A6))=FALSE,ISERROR(FIND("Filler panel",A6))=FALSE),(((C6/1000)*(D6/1000))*2)+((((C6+D6)*2)/1000)*0.022),IF(ISERROR(FIND("Fireplace",A6))=FALSE,((B6/1000)*(C6/1000)),IF(ISERROR(FIND("Worktop",A6))=FALSE,(B6/1000)*(C6/1000),IF(ISERROR(FIND("table",A6))=FALSE,(B6/1000)*0.6,IF(ISERROR(FIND("arcass",A6))=FALSE,(((C6/1000)*(D6/1000))*2)+(((B6/1000)*(D6/1000))*2)+((B6/1000)*(C6/1000))+((((B6/1000)*0.025)+((C6/1000)*0.025))*2),IF(AND(ISERROR(FIND("door",A6))=FALSE,WardrobeDoorStyle="Flat"),(((B6/1000)*(C6/1000))*2)+(MID(WardrobeDoorMaterial,FIND("(",WardrobeDoorMaterial)+1,2)/1000)*(((B6+C6)/1000)*2),IF(AND(ISERROR(FIND("door",A6))=FALSE,LEFT(WardrobeDoorStyle,5)="Panel"),(((B6/1000)*(C6/1000))*2)+((MID(WardrobeDoorMaterial,FIND("(",WardrobeDoorMaterial)+1,2)/1000)*(((B6+C6)/1000)*2))+(((((B6-160)+(C6-160))*2)/1000)*(0.013)),IF(AND(ISERROR(FIND("door",A6))=FALSE,WardrobeDoorStyle="In-frame flat"),((((B6-76)/1000)*((C6-38)/1000))*2)+(MID(WardrobeDoorMaterial,FIND("(",WardrobeDoorMaterial)+1,2)/1000)*((((B6-76)+(C6-38))/1000)*2)+(((B6/1000)*0.032)*2)+((((B6-76)/1000)*0.032)*2)+(((B6/1000)*0.019)*4)+(((C6/1000)*0.032)*2)+((((C6-38)/1000)*0.032)*2)+(((C6/1000)*0.038)*4),IF(AND(ISERROR(FIND("door",A6))=FALSE,LEFT(WardrobeDoorStyle,14)="In-frame panel"),((((B6-76)/1000)*((C6-38)/1000))*2)+((MID(WardrobeDoorMaterial,FIND("(",WardrobeDoorMaterial)+1,2)/1000)*((((B6-76)+(C6-38))/1000)*2))+((((B6-236)/1000)+((C6-198)/1000)*2)*0.013)+(((B6/1000)*0.032)*2)+((((B6-76)/1000)*0.032)*2)+(((B6/1000)*0.019)*4)+(((C6/1000)*0.032)*2)+((((C6-38)/1000)*0.032)*2)+(((C6/1000)*0.038)*4),IF(ISERROR(FIND("Plinth",A6))=FALSE,((B6/1000)*(C6/1000))+(((C6/1000)*0.018)*2)+(((B6/1000)*0.018)*2),IF(ISERROR(FIND("Cornice",A6))=FALSE,(((C6/1000)*0.1)*2)+(((C6/1000)*0.044)*2)+(((B6/1000)*0.08)*2),IF(ISERROR(FIND("Office pod",A6))=FALSE,((2400/1000)*(1200/1000))*6,IF(ISERROR(FIND("panel",A6))=FALSE,((B6/1000)*(C6/1000))+(0.022*((B6/1000)+((C6/1000)*2)))+((B6/1000)*0.05),IF(ISERROR(FIND("Fillers",A6))=FALSE,((C6/1000)*0.06)+((C6/1000)*0.069)+((0.06*0.018)*2)+((0.06*0.009)*2)+((C6/1000)*0.009)+((C6/1000)*0.018),IF(ISERROR(FIND("Pelmet",A6))=FALSE,((C6/1000)*0.05)+((C6/1000)*0.068)+((0.05*0.018)*4)+(((C6/1000)*0.018))*2)))))))))))))))))))))</f>
        <v>1.7614</v>
      </c>
      <c r="N6" s="152">
        <f>IF(M6="","",IF(AND(ISERROR(FIND("carcass",A6))=TRUE,ISERROR(FIND("unit",A6))=TRUE,ISERROR(FIND("insert",A6))=TRUE,ISERROR(FIND("rack",A6))=TRUE,ISERROR(FIND("box",A6))=TRUE,ISERROR(FIND("shelf",A6))=TRUE),VLOOKUP(WardrobeDoorFinish,Finishing!$A$2:$K$10,9,0)*M6,IF(ISERROR(FIND("table",A6))=FALSE,VLOOKUP("Sayerlack AF0072 Interior Clear Self-Sealer",FinishingData,9,FALSE)*M6,VLOOKUP(WardrobeCarcassFinish,Finishing!$A$2:$K$40,9,0)*M6)))</f>
        <v>13.2105</v>
      </c>
      <c r="O6" s="159">
        <v>1.0</v>
      </c>
      <c r="P6" s="159">
        <v>2.0</v>
      </c>
      <c r="Q6" s="152">
        <f>IF(OR(O6="",P6=""),"",((O6*X6)*(VLOOKUP("Workshop",Labour!$A$3:$E$20,4,0)/8))+((P6*AE6)*(VLOOKUP("Finishing",Labour!$A$3:$E$20,4,0)/8)))</f>
        <v>155.75</v>
      </c>
      <c r="R6" s="152">
        <f t="shared" si="4"/>
        <v>197.7571944</v>
      </c>
      <c r="S6" s="156">
        <f>IF(OR(O6="",P6=""),"",IF(OR(ISERROR(FIND("carcass",$A6))=FALSE,ISERROR(FIND("unit",$A6))=FALSE),VLOOKUP(WardrobeCarcassMaterial,FixedListsCarcassMaterial,2,0),0))</f>
        <v>0</v>
      </c>
      <c r="T6" s="156">
        <f>IF(OR(O6="",P6=""),"",IF(ISERROR(FIND("door",$A6))=FALSE,VLOOKUP(WardrobeDoorStyle,FixedListsDoorStyle,2,0),0))</f>
        <v>0</v>
      </c>
      <c r="U6" s="156">
        <f>IF(OR(O6="",P6=""),"",IF(ISERROR(FIND("door",$A6))=FALSE,VLOOKUP(WardrobeDoorMaterial,FixedListsDoorMaterial,2,0),0))</f>
        <v>0</v>
      </c>
      <c r="V6" s="156">
        <f>IF(OR(O6="",P6=""),"",IF(ISERROR(FIND("drawer",$A6))=FALSE,VLOOKUP(WardrobeDrawerType,FixedListsDrawerType,2,0),0))</f>
        <v>0</v>
      </c>
      <c r="W6" s="156">
        <f>IF(OR(O6="",P6=""),"",IF(S6&gt;0,VLOOKUP(WardrobeHandleType,FixedListsHandleType,2,FALSE),0))</f>
        <v>0</v>
      </c>
      <c r="X6" s="156">
        <f t="shared" si="5"/>
        <v>1</v>
      </c>
      <c r="Y6" s="156">
        <f>IF(OR(O6="",P6=""),"",IF(OR(ISERROR(FIND("carcass",$A6))=FALSE,ISERROR(FIND("unit",$A6))=FALSE),VLOOKUP(WardrobeCarcassMaterial,FixedListsCarcassMaterial,3,0),0))</f>
        <v>0</v>
      </c>
      <c r="Z6" s="156">
        <f>IF(OR(O6="",P6=""),"",IF(ISERROR(FIND("door",$A6))=FALSE,VLOOKUP(WardrobeDoorStyle,FixedListsDoorStyle,3,0),0))</f>
        <v>0</v>
      </c>
      <c r="AA6" s="156">
        <f>IF(OR(O6="",P6=""),"",IF(ISERROR(FIND("door",$A6))=FALSE,VLOOKUP(WardrobeDoorMaterial,FixedListsDoorMaterial,3,0),0))</f>
        <v>0</v>
      </c>
      <c r="AB6" s="156">
        <f>IF(OR(O6="",P6=""),"",IF(ISERROR(FIND("drawer",$A6))=FALSE,VLOOKUP(WardrobeDrawerType,FixedListsDrawerType,3,0),0))</f>
        <v>0</v>
      </c>
      <c r="AC6" s="156">
        <f>IF(OR(O6="",P6=""),"",IF(S6&gt;0,VLOOKUP(WardrobeHandleType,FixedListsHandleType,3,FALSE),0))</f>
        <v>0</v>
      </c>
      <c r="AD6" s="156">
        <f>IF(OR(O6="",P6=""),"",IF(OR(ISERROR(FIND("carcass",$A6))=FALSE,ISERROR(FIND("unit",$A6))=FALSE),VLOOKUP(WardrobeCarcassFinish,FixedListsFinishes,3,0),IF(OR(ISERROR(FIND("door",$A6))=FALSE,ISERROR(FIND("Plinth",$A6))=FALSE,ISERROR(FIND("Cornice",$A6))=FALSE,ISERROR(FIND("Fillers",$A6))=FALSE,ISERROR(FIND("Pelmet",$A6))=FALSE,ISERROR(FIND("panel",$A6))=FALSE,ISERROR(FIND("post",$A6))=FALSE),VLOOKUP(WardrobeDoorFinish,FixedListsFinishes,3,0),IF(OR(ISERROR(FIND("drawer",$A6))=FALSE,ISERROR(FIND("insert",$A6))=FALSE,ISERROR(FIND("rck",$A6))=FALSE),VLOOKUP(WardrobeCarcassFinish,FixedListsFinishes,3,0),0))))</f>
        <v>2</v>
      </c>
      <c r="AE6" s="156">
        <f t="shared" si="6"/>
        <v>2</v>
      </c>
      <c r="AF6" s="157" t="str">
        <f>IF(AND(WardrobeHandleType="Channel",OR(ISERROR(FIND("arcass",$A6))=FALSE,ISERROR(FIND("unit",$A6))=FALSE)),IF(ISERROR(FIND("Tower",$A6))=TRUE,IF(WardrobeHandleFinish="Match carcass",IF(ISERROR(FIND("Walnut",WardrobeCarcassMaterial))=FALSE,(0.035*0.075*($C6/1000))*VLOOKUP("Walnut (solid m3)",SolidData,4,FALSE),IF(ISERROR(FIND("Oak",WardrobeCarcassMaterial))=FALSE,(0.035*0.075*($C6/1000))*VLOOKUP("Oak (solid m3)",SolidData,4,FALSE),IF(ISERROR(FIND("ply",WardrobeCarcassMaterial))=FALSE,(0.1*($C6/1000))*VLOOKUP("Birch ply (24mm)",SheetsData,7,FALSE),IF(ISERROR(FIND("H/F",WardrobeCarcassMaterial))=FALSE,(0.1*($C6/1000))*VLOOKUP("H/F (22mm)",SheetsData,7,FALSE),"Carcass - not tower - new material")))),IF(WardrobeHandleFinish="Match door",IF(ISERROR(FIND("Walnut",WardrobeDoorMaterial))=FALSE,(0.035*0.075*($C6/1000))*VLOOKUP("Walnut (solid m3)",SolidData,4,FALSE),IF(ISERROR(FIND("Oak",WardrobeDoorMaterial))=FALSE,(0.035*0.075*($C6/1000))*VLOOKUP("Oak (solid m3)",SolidData,4,FALSE),IF(ISERROR(FIND("ply",WardrobeDoorMaterial))=FALSE,(0.1*($C6/1000))*VLOOKUP("Birch ply (24mm)",SheetsData,7,FALSE),IF(ISERROR(FIND("H/F",WardrobeCarcassMaterial))=FALSE,(0.1*($C6/1000))*VLOOKUP("H/F (22mm)",SheetsData,7,FALSE),"Door - not tower - new material")))),"Channel - not tower - handle set to other")),IF(ISERROR(FIND("Tower",$A6))=FALSE,IF(WardrobeHandleFinish="Match carcass",IF(ISERROR(FIND("Walnut",WardrobeCarcassMaterial))=FALSE,(0.035*0.075*($B6/1000))*VLOOKUP("Walnut (solid m3)",SolidData,4,FALSE),IF(ISERROR(FIND("Oak",WardrobeCarcassMaterial))=FALSE,(0.035*0.075*($B6/1000))*VLOOKUP("Oak (solid m3)",SolidData,4,FALSE),IF(ISERROR(FIND("ply",WardrobeCarcassMaterial))=FALSE,(0.1*($B6/1000))*VLOOKUP("Birch ply (24mm)",SheetsData,7,FALSE),IF(ISERROR(FIND("H/F",WardrobeCarcassMaterial))=FALSE,(0.1*($C6/1000))*VLOOKUP("H/F (22mm)",SheetsData,7,FALSE),"Carcass - tower - new material")))),IF(WardrobeHandleFinish="Match door",IF(ISERROR(FIND("Walnut",WardrobeDoorMaterial))=FALSE,(0.035*0.075*($B6/1000))*VLOOKUP("Walnut (solid m3)",SolidData,4,FALSE),IF(ISERROR(FIND("Oak",WardrobeDoorMaterial))=FALSE,(0.035*0.075*($B6/1000))*VLOOKUP("Oak (solid m3)",SolidData,4,FALSE),IF(ISERROR(FIND("ply",WardrobeDoorMaterial))=FALSE,(0.1*($B6/1000))*VLOOKUP("Birch ply (24mm)",SheetData,7,FALSE),IF(ISERROR(FIND("H/F",WardrobeCarcassMaterial))=FALSE,(0.1*($C6/1000))*VLOOKUP("H/F (22mm)",SheetsData,7,FALSE),"Door - tower - new material")))),"Channel - tower - handle set to other")))),"")</f>
        <v/>
      </c>
    </row>
    <row r="7">
      <c r="A7" s="150" t="s">
        <v>157</v>
      </c>
      <c r="B7" s="160" t="str">
        <f t="shared" si="1"/>
        <v>80</v>
      </c>
      <c r="C7" s="160" t="str">
        <f>IFERROR(__xludf.DUMMYFUNCTION("IF(A7="""","""",IF(ISERROR(FIND(""arcass"",A7))=FALSE,MID(A7,FIND(""*"",A7)+1,FIND(""*"",A7,FIND(""*"",A7)+1)-FIND(""*"",A7)-1),IF(ISERROR(FIND(""End panel"",A7))=FALSE,RIGHT(A7,3),IF(OR(ISERROR(FIND(""drawer"",A7))=FALSE,ISERROR(FIND(""door"",A7))=FALSE,"&amp;"ISERROR(FIND(""shelf"",A7))=FALSE,ISERROR(FIND(""panel"",A7))=FALSE,ISERROR(FIND(""Plinth"",A7))=FALSE,ISERROR(FIND(""Cornice"",A7))=FALSE,ISERROR(FIND(""Fillers"",A7))=FALSE,ISERROR(FIND(""Pelmet"",A7))=FALSE,ISERROR(FIND(""Fireplace up to 1600"",A7))=FA"&amp;"LSE),RIGHT(A7,LEN(A7)-LEN(regexextract(A7,"".* ""))),IF(ISERROR(FIND(""table"",A7))=FALSE,""560"",IF(ISERROR(FIND(""Office pod"",A7))=FALSE,""1600"",IF(ISERROR(FIND(""Fireplace over 1600"",A7))=FALSE,""2400"",IF(ISERROR(FIND(""Worktop"",A7))=FALSE,""650"""&amp;",""Whoops""))))))))"),"2400")</f>
        <v>2400</v>
      </c>
      <c r="D7" s="161" t="str">
        <f t="shared" si="2"/>
        <v/>
      </c>
      <c r="E7" s="152">
        <f>IF(OR(A7="",AND(ISERROR(FIND("drawer",A7))=FALSE,WardrobeDrawerType="")),"",IF(ISERROR(FIND("door",A7))=FALSE,IF(WardrobeDoorStyle="Flat",((B7/1000)*(C7/1000))*VLOOKUP(WardrobeDoorMaterial,SheetsData,8,0),IF(LEFT(WardrobeDoorStyle,5)="Panel",(((((B7/1000)*2)*0.08)+((((C7/1000)-0.16)*2)*0.08))*VLOOKUP("H/F (22mm)",SheetsData,8,0))+(((B7/1000)-0.14)*((C7/1000)-0.14)*VLOOKUP("H/F (9mm)",SheetsData,8,0)),IF(WardrobeDoorStyle="In-frame flat",((((((B7/1000)*0.019)*0.038)+((((C7-38)/1000)*0.038)*0.038))*2)*VLOOKUP("Tulip (solid m3)",SolidData,4,0))+(((B7-76)/1000)*((C7-38)/1000))*VLOOKUP("H/F (22mm)",SheetsData,8,0),IF(LEFT(WardrobeDoorStyle,14)="In-frame panel",(((((((B7/1000)*0.019)*0.038)+((((C7-38)/1000)*0.038)*0.038))*2)*VLOOKUP("Tulip (solid m3)",SolidData,4,0))+(((((((B7-76)/1000)*2)*0.08)+(((((C7-198)/1000)*2)*0.08)))*VLOOKUP("H/F (22mm)",SheetsData,8,0))+(((B7-216)/1000)*((C7-178)/1000)*VLOOKUP("H/F (9mm)",SheetsData,8,0)))))))),IF(AND(ISERROR(FIND("arcass",A7))=FALSE,ISERROR(FIND("ost corner",A7))=TRUE),IF(AND(VALUE(B7)&lt;1211,VALUE(C7)&lt;1211,VALUE(D7)&lt;606),1*VLOOKUP(WardrobeCarcassMaterial,SheetsData,5,FALSE),IF(AND(VALUE(B7)&lt;2421,VALUE(C7)&lt;2421,VALUE(D7)&lt;606),2*VLOOKUP(WardrobeCarcassMaterial,SheetsData,5,FALSE),IF(AND(VALUE(B7)&lt;2421,VALUE(C7)&lt;1211,VALUE(D7)&lt;1211),3*VLOOKUP(WardrobeCarcassMaterial,SheetsData,5,FALSE),IF(AND(VALUE(B7)&lt;2421,VALUE(C7)&lt;2421,VALUE(D7)&lt;1211),4*VLOOKUP(WardrobeCarcassMaterial,SheetsData,5,FALSE))))),IF(AND(ISERROR(FIND("arcass",A7))=FALSE,ISERROR(FIND("ost corner",A7))=FALSE),IF(AND(VALUE(B7)&lt;1211,VALUE(C7)&lt;1211,VALUE(D7)&lt;606),(1*VLOOKUP(WardrobeCarcassMaterial,SheetsData,5,FALSE))+(VLOOKUP("H/F (22mm)",SheetsData,7,FALSE)*1.44),IF(AND(VALUE(B7)&lt;2421,VALUE(C7)&lt;2421,VALUE(D7)&lt;606),(2*VLOOKUP(WardrobeCarcassMaterial,SheetsData,5,FALSE))+(VLOOKUP("H/F (22mm)",SheetsData,7,FALSE)*1.44),IF(AND(VALUE(B7)&lt;2421,VALUE(C7)&lt;1211,VALUE(D7)&lt;1211),(3*VLOOKUP(WardrobeCarcassMaterial,SheetsData,5,FALSE))+(VLOOKUP("H/F (22mm)",SheetsData,7,FALSE)*1.44),IF(AND(VALUE(B7)&lt;2421,VALUE(C7)&lt;2421,VALUE(D7)&lt;1211),(4*VLOOKUP(WardrobeCarcassMaterial,SheetsData,5,FALSE))+(VLOOKUP("H/F (22mm)",SheetsData,7,FALSE)*1.44))))),IF(ISERROR(FIND("drawer front",A7))=FALSE,((B7/1000)*(C7/1000))*VLOOKUP(WardrobeDoorMaterial,SheetsData,8,0),IF(AND(WardrobeDrawerType="Match carcass",ISERROR(FIND("drawer box",A7))=FALSE),(((((B7/1000)*(C7/1000))+((B7/1000)*(D7/1000)))*2)*VLOOKUP(WardrobeCarcassMaterial,SheetsData,8,0))+(((C7/1000)*(D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box",A7))=FALSE),(((((B7/1000)*(C7/1000))+((B7/1000)*(D7/1000)))*2)*(16/1000)*VLOOKUP(LEFT(WardrobeCarcassMaterial,FIND(" ",WardrobeCarcassMaterial))&amp;"(solid m3)",SolidData,4,0))+(((C7/1000)*(D7/1000))*VLOOKUP(LEFT(WardrobeCarcassMaterial,FIND("(",WardrobeCarcassMaterial)-1)&amp;IF(OR(ISERROR(FIND("ply",WardrobeCarcassMaterial))=FALSE,ISERROR(FIND("H/F",WardrobeCarcassMaterial))=FALSE),"(9mm)","(10mm)"),SheetsData,8,0)),IF(ISERROR(FIND("shelf",A7))=FALSE,((C7/1000)*(D7/1000))*VLOOKUP(WardrobeCarcassMaterial,SheetsData,7,FALSE),IF(ISERROR(FIND("Office pod",A7))=FALSE,3*VLOOKUP(WardrobeCarcassMaterial,SheetsData,5,0),IF(ISERROR(FIND(" panel",A7))=FALSE,((B7/1000)*(C7/1000))*VLOOKUP(WardrobeDoorMaterial,SheetsData,8,0),IF(ISERROR(FIND("Fillers",A7))=FALSE,(((0.06*(C7/1000))*2)*VLOOKUP("H/F (18mm)",SheetsData,8,0))+(((0.06*(C7/1000))*2)*VLOOKUP("H/F (9mm)",SheetsData,8,0)),IF(ISERROR(FIND("Cornice (stacked)",A7))=FALSE,((0.08*(C7/1000))*2)*VLOOKUP("H/F (22mm)",SheetsData,8,0),IF(OR(ISERROR(FIND("Plinth",A7))=FALSE,ISERROR(FIND("Cornice (flat)",A7))=FALSE),((B7/1000)*(C7/1000))*VLOOKUP("H/F (18mm)",SheetsData,8,0),IF(ISERROR(FIND("Pelmet",A7))=FALSE,((((B7/1000)*(C7/1000))*2)*VLOOKUP("H/F (18mm)",SheetsData,8,0)),IF(ISERROR(FIND("Fireplace",A7))=FALSE,IF(ISERROR(FIND("over 1600",A7))=FALSE,2*VLOOKUP(WardrobeCarcassMaterial,SheetsData,5,FALSE),VLOOKUP(WardrobeCarcassMaterial,SheetsData,5,FALSE)),IF(ISERROR(FIND("table",A7))=FALSE,((B7/1000)*0.6)*VLOOKUP("Birch ply (24mm)",SheetsData,7,FALSE),IF(ISERROR(FIND("Worktop",A7))=FALSE,((B7/1000)*(C7/1000))*VLOOKUP(WardrobeDoorMaterial,SheetsData,7,FALSE),"Check formula")))))))))))))))))</f>
        <v>7.10615426</v>
      </c>
      <c r="F7" s="152" t="str">
        <f>IFERROR(__xludf.DUMMYFUNCTION("IF(OR(A7="""",AND(ISERROR(FIND(""drawer box"",A7))=FALSE,WardrobeDrawerType=""Solid dovetail"")),"""",IF(ISERROR(FIND(""bins"",A7))=FALSE,VLOOKUP(""Base carcass 600"",Wardrobes_etcData,6,0),IF(OR(ISERROR(FIND(""larder"",A7))=FALSE,ISERROR(FIND(""unit"",A7"&amp;"))=FALSE),VLOOKUP(LEFT(A7,FIND("" "",A7))&amp;""carcass ""&amp;RIGHT(A7,LEN(A7)-len(regexextract(A7,"".* ""))),Wardrobes_etcData,6,0),IF(ISERROR(FIND(""drawer front"",A7))=FALSE,IF(ISERROR(FIND(""veneer"",WardrobeCarcassMaterial))=TRUE,0,(((B7+C7)/1000)*2)*VLOOKU"&amp;"P(""Edge banding (per M)"",SheetsData,5,0)),IF(ISERROR(FIND(""drawer box"",A7))=FALSE,IF(ISERROR(FIND(""veneer"",WardrobeCarcassMaterial))=TRUE,0,(((C7+D7)/1000)*2)*VLOOKUP(""Edge banding (per M)"",SheetsData,5,0)),IF(ISERROR(FIND(""shelf"",A7))=FALSE,IF("&amp;"ISERROR(FIND(""veneer"",WardrobeCarcassMaterial))=TRUE,0,(C7/1000)*VLOOKUP(""Edge banding (per M)"",SheetsData,5,0)),IF(AND(OR(ISERROR(FIND(""arcass"",A7))=FALSE,ISERROR(FIND(""Fireplace"",A7))=FALSE),ISERROR(FIND(""shelf"",A7))=TRUE),IF(ISERROR(FIND(""ve"&amp;"neer"",WardrobeCarcassMaterial))=TRUE,0,((2*(B7+C7))/1000)*VLOOKUP(""Edge banding (per M)"",SheetsData,5,0)),IF(ISERROR(FIND(""door"",A7))=TRUE,"""",IF(ISERROR(FIND(""veneer"",WardrobeDoorMaterial))=TRUE,"""",((2*(B7+C7))/1000)*VLOOKUP(""Edge banding (per"&amp;" M)"",SheetsData,5,0))))))))))"),"")</f>
        <v/>
      </c>
      <c r="G7" s="153" t="str">
        <f>IF(A7="","",IF(AND(ISERROR(FIND("arcass",A7))=TRUE,ISERROR(FIND("Fireplace",A7))=TRUE),"",IF(VALUE(C7)&lt;606,4*VLOOKUP("Plinth foot (2 Parts 80mm)",FurnitureData,5,FALSE),IF(VALUE(C7)&lt;1211,6*VLOOKUP("Plinth foot (2 Parts 80mm)",FurnitureData,5,FALSE),8*VLOOKUP("Plinth foot (2 Parts 80mm)",FurnitureData,5,FALSE)))))</f>
        <v/>
      </c>
      <c r="H7" s="115" t="str">
        <f>IF(OR(A7="",ISERROR(FIND("door",A7))=TRUE),"",VLOOKUP("Hinges &amp; plates (Hettich thick door)",FurnitureData,5,0)*5)</f>
        <v/>
      </c>
      <c r="I7" s="115" t="str">
        <f>IF(ISERROR(FIND("shelf",A7))=FALSE,(VLOOKUP("Shelf pegs",FurnitureData,5,0)/100)*4,"")</f>
        <v/>
      </c>
      <c r="J7" s="152" t="str">
        <f>IF(OR(ISERROR(FIND("fridge/freezer",A7))=FALSE,ISERROR(FIND("sink",A7))=FALSE,ISERROR(FIND("larder",A7))=FALSE),VLOOKUP("Deep shelf "&amp;C7,Wardrobes_etcData,18,0),IF(OR(ISERROR(FIND("single oven",A7))=FALSE,ISERROR(FIND("Base carcass",A7))=FALSE),2*VLOOKUP("Deep shelf "&amp;C7,Wardrobes_etcData,18,0),IF(AND(ISERROR(FIND("wall carcass",A7))=FALSE,ISERROR(FIND("Boiler",A7))=TRUE),2*VLOOKUP("Shallow shelf "&amp;C7,Wardrobes_etcData,18,0),IF(ISERROR(FIND("double oven",A7))=FALSE,3*VLOOKUP("Deep shelf "&amp;C7,Wardrobes_etcData,18,0),IF(ISERROR(FIND("Tower carcass",A7))=FALSE,6*VLOOKUP("Deep shelf "&amp;C7,Wardrobes_etcData,18,0),"")))))</f>
        <v/>
      </c>
      <c r="K7" s="152" t="str">
        <f>IF(ISERROR(FIND("sink",A7))=FALSE,VLOOKUP("Sink liner - Aluminium "&amp;RIGHT(A7,LEN(A7)-22)&amp;"mm",ExceptionalData,5,0),IF(ISERROR(FIND("bins",A7))=FALSE,VLOOKUP("Drawer runners and clip set for bin unit (500) Dynapro",FurnitureData,5,0)+(2*VLOOKUP("Bin (42L Anthracite)",FurnitureData,5,0)),IF(ISERROR(FIND("larder",A7))=FALSE,VLOOKUP("Pull out larder unit 600mm",FurnitureData,5,0),IF(AND(ISERROR(FIND("drawer box",A7))=FALSE,ISERROR(FIND("internal",A7))=TRUE),VLOOKUP("Drawer runners and clip set (550) Dynapro",FurnitureData,5,0),IF(ISERROR(FIND("internal drawer box",A7))=FALSE,VLOOKUP("Drawer runners and clip set (450) Dynapro",FurnitureData,5,0),IF(ISERROR(FIND("table",A7))=FALSE,VLOOKUP("Hairpin Leg (12mm Black "&amp;MID(A7,FIND("(",A7)+1,LEN(A7)-(FIND("(",A7))-1)&amp;"mm)",ExceptionalData,4,FALSE),""))))))</f>
        <v/>
      </c>
      <c r="L7" s="152">
        <f t="shared" si="3"/>
        <v>7.10615426</v>
      </c>
      <c r="M7" s="154">
        <f>IF(A7="","",IF(AND(ISERROR(FIND("drawer front",A7))=FALSE,WardrobeDoorStyle="Flat"),(((B7/1000)*(C7/1000))*2)+((((B7+C7)/1000)*2)*0.022),IF(AND(ISERROR(FIND("drawer front",A7))=FALSE,LEFT(WardrobeDoorStyle,5)="Panel"),(((B7/1000)*(C7/1000))*2)+((((B7+C7)/1000)*2)*0.022)+((((C7/1000)-0.16)*0.013)*2)+((((D7/1000)-0.16)*0.013)*2),IF(AND(ISERROR(FIND("drawer front",A7))=FALSE,WardrobeDoorStyle="In-frame flat"),((((B7-76)/1000)*((C7-38)/1000))*2)+(MID(WardrobeDoorMaterial,FIND("(",WardrobeDoorMaterial)+1,2)/1000)*((((B7-76)+(C7-38))/1000)*2)+(((B7/1000)*0.032)*2)+((((B7-76)/1000)*0.032)*2)+(((B7/1000)*0.019)*4)+(((C7/1000)*0.032)*2)+((((C7-38)/1000)*0.032)*2)+(((C7/1000)*0.038)*4),IF(AND(ISERROR(FIND("drawer front",A7))=FALSE,LEFT(WardrobeDoorStyle,14)="In-frame panel"),((((B7-76)/1000)*((C7-38)/1000))*2)+((MID(WardrobeDoorMaterial,FIND("(",WardrobeDoorMaterial)+1,2)/1000)*((((B7-76)+(C7-38))/1000)*2))+((((B7-236)/1000)+((C7-198)/1000)*2)*0.013)+(((B7/1000)*0.032)*2)+((((B7-76)/1000)*0.032)*2)+(((B7/1000)*0.019)*4)+(((C7/1000)*0.032)*2)+((((C7-38)/1000)*0.032)*2)+(((C7/1000)*0.038)*4),IF(ISERROR(FIND("drawer box",A7))=FALSE,((((B7/1000)*(D7/1000))+((B7/1000)*(C7/1000)))*4)+((((D7/1000)+(C7/1000))*0.016)*4)+(((C7/1000)*(D7/1000))*2),IF(OR(ISERROR(FIND("shelf",A7))=FALSE,ISERROR(FIND("Filler panel",A7))=FALSE),(((C7/1000)*(D7/1000))*2)+((((C7+D7)*2)/1000)*0.022),IF(ISERROR(FIND("Fireplace",A7))=FALSE,((B7/1000)*(C7/1000)),IF(ISERROR(FIND("Worktop",A7))=FALSE,(B7/1000)*(C7/1000),IF(ISERROR(FIND("table",A7))=FALSE,(B7/1000)*0.6,IF(ISERROR(FIND("arcass",A7))=FALSE,(((C7/1000)*(D7/1000))*2)+(((B7/1000)*(D7/1000))*2)+((B7/1000)*(C7/1000))+((((B7/1000)*0.025)+((C7/1000)*0.025))*2),IF(AND(ISERROR(FIND("door",A7))=FALSE,WardrobeDoorStyle="Flat"),(((B7/1000)*(C7/1000))*2)+(MID(WardrobeDoorMaterial,FIND("(",WardrobeDoorMaterial)+1,2)/1000)*(((B7+C7)/1000)*2),IF(AND(ISERROR(FIND("door",A7))=FALSE,LEFT(WardrobeDoorStyle,5)="Panel"),(((B7/1000)*(C7/1000))*2)+((MID(WardrobeDoorMaterial,FIND("(",WardrobeDoorMaterial)+1,2)/1000)*(((B7+C7)/1000)*2))+(((((B7-160)+(C7-160))*2)/1000)*(0.013)),IF(AND(ISERROR(FIND("door",A7))=FALSE,WardrobeDoorStyle="In-frame flat"),((((B7-76)/1000)*((C7-38)/1000))*2)+(MID(WardrobeDoorMaterial,FIND("(",WardrobeDoorMaterial)+1,2)/1000)*((((B7-76)+(C7-38))/1000)*2)+(((B7/1000)*0.032)*2)+((((B7-76)/1000)*0.032)*2)+(((B7/1000)*0.019)*4)+(((C7/1000)*0.032)*2)+((((C7-38)/1000)*0.032)*2)+(((C7/1000)*0.038)*4),IF(AND(ISERROR(FIND("door",A7))=FALSE,LEFT(WardrobeDoorStyle,14)="In-frame panel"),((((B7-76)/1000)*((C7-38)/1000))*2)+((MID(WardrobeDoorMaterial,FIND("(",WardrobeDoorMaterial)+1,2)/1000)*((((B7-76)+(C7-38))/1000)*2))+((((B7-236)/1000)+((C7-198)/1000)*2)*0.013)+(((B7/1000)*0.032)*2)+((((B7-76)/1000)*0.032)*2)+(((B7/1000)*0.019)*4)+(((C7/1000)*0.032)*2)+((((C7-38)/1000)*0.032)*2)+(((C7/1000)*0.038)*4),IF(ISERROR(FIND("Plinth",A7))=FALSE,((B7/1000)*(C7/1000))+(((C7/1000)*0.018)*2)+(((B7/1000)*0.018)*2),IF(ISERROR(FIND("Cornice",A7))=FALSE,(((C7/1000)*0.1)*2)+(((C7/1000)*0.044)*2)+(((B7/1000)*0.08)*2),IF(ISERROR(FIND("Office pod",A7))=FALSE,((2400/1000)*(1200/1000))*6,IF(ISERROR(FIND("panel",A7))=FALSE,((B7/1000)*(C7/1000))+(0.022*((B7/1000)+((C7/1000)*2)))+((B7/1000)*0.05),IF(ISERROR(FIND("Fillers",A7))=FALSE,((C7/1000)*0.06)+((C7/1000)*0.069)+((0.06*0.018)*2)+((0.06*0.009)*2)+((C7/1000)*0.009)+((C7/1000)*0.018),IF(ISERROR(FIND("Pelmet",A7))=FALSE,((C7/1000)*0.05)+((C7/1000)*0.068)+((0.05*0.018)*4)+(((C7/1000)*0.018))*2)))))))))))))))))))))</f>
        <v>0.37764</v>
      </c>
      <c r="N7" s="152">
        <f>IF(M7="","",IF(AND(ISERROR(FIND("carcass",A7))=TRUE,ISERROR(FIND("unit",A7))=TRUE,ISERROR(FIND("insert",A7))=TRUE,ISERROR(FIND("rack",A7))=TRUE,ISERROR(FIND("box",A7))=TRUE,ISERROR(FIND("shelf",A7))=TRUE),VLOOKUP(WardrobeDoorFinish,Finishing!$A$2:$K$10,9,0)*M7,IF(ISERROR(FIND("table",A7))=FALSE,VLOOKUP("Sayerlack AF0072 Interior Clear Self-Sealer",FinishingData,9,FALSE)*M7,VLOOKUP(WardrobeCarcassFinish,Finishing!$A$2:$K$40,9,0)*M7)))</f>
        <v>2.8323</v>
      </c>
      <c r="O7" s="159">
        <v>1.0</v>
      </c>
      <c r="P7" s="159">
        <v>1.0</v>
      </c>
      <c r="Q7" s="152">
        <f>IF(OR(O7="",P7=""),"",((O7*X7)*(VLOOKUP("Workshop",Labour!$A$3:$E$20,4,0)/8))+((P7*AE7)*(VLOOKUP("Finishing",Labour!$A$3:$E$20,4,0)/8)))</f>
        <v>99.75</v>
      </c>
      <c r="R7" s="152">
        <f t="shared" si="4"/>
        <v>109.6884543</v>
      </c>
      <c r="S7" s="156">
        <f>IF(OR(O7="",P7=""),"",IF(OR(ISERROR(FIND("carcass",$A7))=FALSE,ISERROR(FIND("unit",$A7))=FALSE),VLOOKUP(WardrobeCarcassMaterial,FixedListsCarcassMaterial,2,0),0))</f>
        <v>0</v>
      </c>
      <c r="T7" s="156">
        <f>IF(OR(O7="",P7=""),"",IF(ISERROR(FIND("door",$A7))=FALSE,VLOOKUP(WardrobeDoorStyle,FixedListsDoorStyle,2,0),0))</f>
        <v>0</v>
      </c>
      <c r="U7" s="156">
        <f>IF(OR(O7="",P7=""),"",IF(ISERROR(FIND("door",$A7))=FALSE,VLOOKUP(WardrobeDoorMaterial,FixedListsDoorMaterial,2,0),0))</f>
        <v>0</v>
      </c>
      <c r="V7" s="156">
        <f>IF(OR(O7="",P7=""),"",IF(ISERROR(FIND("drawer",$A7))=FALSE,VLOOKUP(WardrobeDrawerType,FixedListsDrawerType,2,0),0))</f>
        <v>0</v>
      </c>
      <c r="W7" s="156">
        <f>IF(OR(O7="",P7=""),"",IF(S7&gt;0,VLOOKUP(WardrobeHandleType,FixedListsHandleType,2,FALSE),0))</f>
        <v>0</v>
      </c>
      <c r="X7" s="156">
        <f t="shared" si="5"/>
        <v>1</v>
      </c>
      <c r="Y7" s="156">
        <f>IF(OR(O7="",P7=""),"",IF(OR(ISERROR(FIND("carcass",$A7))=FALSE,ISERROR(FIND("unit",$A7))=FALSE),VLOOKUP(WardrobeCarcassMaterial,FixedListsCarcassMaterial,3,0),0))</f>
        <v>0</v>
      </c>
      <c r="Z7" s="156">
        <f>IF(OR(O7="",P7=""),"",IF(ISERROR(FIND("door",$A7))=FALSE,VLOOKUP(WardrobeDoorStyle,FixedListsDoorStyle,3,0),0))</f>
        <v>0</v>
      </c>
      <c r="AA7" s="156">
        <f>IF(OR(O7="",P7=""),"",IF(ISERROR(FIND("door",$A7))=FALSE,VLOOKUP(WardrobeDoorMaterial,FixedListsDoorMaterial,3,0),0))</f>
        <v>0</v>
      </c>
      <c r="AB7" s="156">
        <f>IF(OR(O7="",P7=""),"",IF(ISERROR(FIND("drawer",$A7))=FALSE,VLOOKUP(WardrobeDrawerType,FixedListsDrawerType,3,0),0))</f>
        <v>0</v>
      </c>
      <c r="AC7" s="156">
        <f>IF(OR(O7="",P7=""),"",IF(S7&gt;0,VLOOKUP(WardrobeHandleType,FixedListsHandleType,3,FALSE),0))</f>
        <v>0</v>
      </c>
      <c r="AD7" s="156">
        <f>IF(OR(O7="",P7=""),"",IF(OR(ISERROR(FIND("carcass",$A7))=FALSE,ISERROR(FIND("unit",$A7))=FALSE),VLOOKUP(WardrobeCarcassFinish,FixedListsFinishes,3,0),IF(OR(ISERROR(FIND("door",$A7))=FALSE,ISERROR(FIND("Plinth",$A7))=FALSE,ISERROR(FIND("Cornice",$A7))=FALSE,ISERROR(FIND("Fillers",$A7))=FALSE,ISERROR(FIND("Pelmet",$A7))=FALSE,ISERROR(FIND("panel",$A7))=FALSE,ISERROR(FIND("post",$A7))=FALSE),VLOOKUP(WardrobeDoorFinish,FixedListsFinishes,3,0),IF(OR(ISERROR(FIND("drawer",$A7))=FALSE,ISERROR(FIND("insert",$A7))=FALSE,ISERROR(FIND("rck",$A7))=FALSE),VLOOKUP(WardrobeCarcassFinish,FixedListsFinishes,3,0),0))))</f>
        <v>2</v>
      </c>
      <c r="AE7" s="156">
        <f t="shared" si="6"/>
        <v>2</v>
      </c>
      <c r="AF7" s="157" t="str">
        <f>IF(AND(WardrobeHandleType="Channel",OR(ISERROR(FIND("arcass",$A7))=FALSE,ISERROR(FIND("unit",$A7))=FALSE)),IF(ISERROR(FIND("Tower",$A7))=TRUE,IF(WardrobeHandleFinish="Match carcass",IF(ISERROR(FIND("Walnut",WardrobeCarcassMaterial))=FALSE,(0.035*0.075*($C7/1000))*VLOOKUP("Walnut (solid m3)",SolidData,4,FALSE),IF(ISERROR(FIND("Oak",WardrobeCarcassMaterial))=FALSE,(0.035*0.075*($C7/1000))*VLOOKUP("Oak (solid m3)",SolidData,4,FALSE),IF(ISERROR(FIND("ply",WardrobeCarcassMaterial))=FALSE,(0.1*($C7/1000))*VLOOKUP("Birch ply (24mm)",SheetsData,7,FALSE),IF(ISERROR(FIND("H/F",WardrobeCarcassMaterial))=FALSE,(0.1*($C7/1000))*VLOOKUP("H/F (22mm)",SheetsData,7,FALSE),"Carcass - not tower - new material")))),IF(WardrobeHandleFinish="Match door",IF(ISERROR(FIND("Walnut",WardrobeDoorMaterial))=FALSE,(0.035*0.075*($C7/1000))*VLOOKUP("Walnut (solid m3)",SolidData,4,FALSE),IF(ISERROR(FIND("Oak",WardrobeDoorMaterial))=FALSE,(0.035*0.075*($C7/1000))*VLOOKUP("Oak (solid m3)",SolidData,4,FALSE),IF(ISERROR(FIND("ply",WardrobeDoorMaterial))=FALSE,(0.1*($C7/1000))*VLOOKUP("Birch ply (24mm)",SheetsData,7,FALSE),IF(ISERROR(FIND("H/F",WardrobeCarcassMaterial))=FALSE,(0.1*($C7/1000))*VLOOKUP("H/F (22mm)",SheetsData,7,FALSE),"Door - not tower - new material")))),"Channel - not tower - handle set to other")),IF(ISERROR(FIND("Tower",$A7))=FALSE,IF(WardrobeHandleFinish="Match carcass",IF(ISERROR(FIND("Walnut",WardrobeCarcassMaterial))=FALSE,(0.035*0.075*($B7/1000))*VLOOKUP("Walnut (solid m3)",SolidData,4,FALSE),IF(ISERROR(FIND("Oak",WardrobeCarcassMaterial))=FALSE,(0.035*0.075*($B7/1000))*VLOOKUP("Oak (solid m3)",SolidData,4,FALSE),IF(ISERROR(FIND("ply",WardrobeCarcassMaterial))=FALSE,(0.1*($B7/1000))*VLOOKUP("Birch ply (24mm)",SheetsData,7,FALSE),IF(ISERROR(FIND("H/F",WardrobeCarcassMaterial))=FALSE,(0.1*($C7/1000))*VLOOKUP("H/F (22mm)",SheetsData,7,FALSE),"Carcass - tower - new material")))),IF(WardrobeHandleFinish="Match door",IF(ISERROR(FIND("Walnut",WardrobeDoorMaterial))=FALSE,(0.035*0.075*($B7/1000))*VLOOKUP("Walnut (solid m3)",SolidData,4,FALSE),IF(ISERROR(FIND("Oak",WardrobeDoorMaterial))=FALSE,(0.035*0.075*($B7/1000))*VLOOKUP("Oak (solid m3)",SolidData,4,FALSE),IF(ISERROR(FIND("ply",WardrobeDoorMaterial))=FALSE,(0.1*($B7/1000))*VLOOKUP("Birch ply (24mm)",SheetData,7,FALSE),IF(ISERROR(FIND("H/F",WardrobeCarcassMaterial))=FALSE,(0.1*($C7/1000))*VLOOKUP("H/F (22mm)",SheetsData,7,FALSE),"Door - tower - new material")))),"Channel - tower - handle set to other")))),"")</f>
        <v/>
      </c>
    </row>
    <row r="8">
      <c r="A8" s="151" t="s">
        <v>158</v>
      </c>
      <c r="B8" s="160" t="str">
        <f t="shared" si="1"/>
        <v>50</v>
      </c>
      <c r="C8" s="160" t="str">
        <f>IFERROR(__xludf.DUMMYFUNCTION("IF(A8="""","""",IF(ISERROR(FIND(""arcass"",A8))=FALSE,MID(A8,FIND(""*"",A8)+1,FIND(""*"",A8,FIND(""*"",A8)+1)-FIND(""*"",A8)-1),IF(ISERROR(FIND(""End panel"",A8))=FALSE,RIGHT(A8,3),IF(OR(ISERROR(FIND(""drawer"",A8))=FALSE,ISERROR(FIND(""door"",A8))=FALSE,"&amp;"ISERROR(FIND(""shelf"",A8))=FALSE,ISERROR(FIND(""panel"",A8))=FALSE,ISERROR(FIND(""Plinth"",A8))=FALSE,ISERROR(FIND(""Cornice"",A8))=FALSE,ISERROR(FIND(""Fillers"",A8))=FALSE,ISERROR(FIND(""Pelmet"",A8))=FALSE,ISERROR(FIND(""Fireplace up to 1600"",A8))=FA"&amp;"LSE),RIGHT(A8,LEN(A8)-LEN(regexextract(A8,"".* ""))),IF(ISERROR(FIND(""table"",A8))=FALSE,""560"",IF(ISERROR(FIND(""Office pod"",A8))=FALSE,""1600"",IF(ISERROR(FIND(""Fireplace over 1600"",A8))=FALSE,""2400"",IF(ISERROR(FIND(""Worktop"",A8))=FALSE,""650"""&amp;",""Whoops""))))))))"),"2400")</f>
        <v>2400</v>
      </c>
      <c r="D8" s="161" t="str">
        <f t="shared" si="2"/>
        <v/>
      </c>
      <c r="E8" s="152">
        <f>IF(OR(A8="",AND(ISERROR(FIND("drawer",A8))=FALSE,WardrobeDrawerType="")),"",IF(ISERROR(FIND("door",A8))=FALSE,IF(WardrobeDoorStyle="Flat",((B8/1000)*(C8/1000))*VLOOKUP(WardrobeDoorMaterial,SheetsData,8,0),IF(LEFT(WardrobeDoorStyle,5)="Panel",(((((B8/1000)*2)*0.08)+((((C8/1000)-0.16)*2)*0.08))*VLOOKUP("H/F (22mm)",SheetsData,8,0))+(((B8/1000)-0.14)*((C8/1000)-0.14)*VLOOKUP("H/F (9mm)",SheetsData,8,0)),IF(WardrobeDoorStyle="In-frame flat",((((((B8/1000)*0.019)*0.038)+((((C8-38)/1000)*0.038)*0.038))*2)*VLOOKUP("Tulip (solid m3)",SolidData,4,0))+(((B8-76)/1000)*((C8-38)/1000))*VLOOKUP("H/F (22mm)",SheetsData,8,0),IF(LEFT(WardrobeDoorStyle,14)="In-frame panel",(((((((B8/1000)*0.019)*0.038)+((((C8-38)/1000)*0.038)*0.038))*2)*VLOOKUP("Tulip (solid m3)",SolidData,4,0))+(((((((B8-76)/1000)*2)*0.08)+(((((C8-198)/1000)*2)*0.08)))*VLOOKUP("H/F (22mm)",SheetsData,8,0))+(((B8-216)/1000)*((C8-178)/1000)*VLOOKUP("H/F (9mm)",SheetsData,8,0)))))))),IF(AND(ISERROR(FIND("arcass",A8))=FALSE,ISERROR(FIND("ost corner",A8))=TRUE),IF(AND(VALUE(B8)&lt;1211,VALUE(C8)&lt;1211,VALUE(D8)&lt;606),1*VLOOKUP(WardrobeCarcassMaterial,SheetsData,5,FALSE),IF(AND(VALUE(B8)&lt;2421,VALUE(C8)&lt;2421,VALUE(D8)&lt;606),2*VLOOKUP(WardrobeCarcassMaterial,SheetsData,5,FALSE),IF(AND(VALUE(B8)&lt;2421,VALUE(C8)&lt;1211,VALUE(D8)&lt;1211),3*VLOOKUP(WardrobeCarcassMaterial,SheetsData,5,FALSE),IF(AND(VALUE(B8)&lt;2421,VALUE(C8)&lt;2421,VALUE(D8)&lt;1211),4*VLOOKUP(WardrobeCarcassMaterial,SheetsData,5,FALSE))))),IF(AND(ISERROR(FIND("arcass",A8))=FALSE,ISERROR(FIND("ost corner",A8))=FALSE),IF(AND(VALUE(B8)&lt;1211,VALUE(C8)&lt;1211,VALUE(D8)&lt;606),(1*VLOOKUP(WardrobeCarcassMaterial,SheetsData,5,FALSE))+(VLOOKUP("H/F (22mm)",SheetsData,7,FALSE)*1.44),IF(AND(VALUE(B8)&lt;2421,VALUE(C8)&lt;2421,VALUE(D8)&lt;606),(2*VLOOKUP(WardrobeCarcassMaterial,SheetsData,5,FALSE))+(VLOOKUP("H/F (22mm)",SheetsData,7,FALSE)*1.44),IF(AND(VALUE(B8)&lt;2421,VALUE(C8)&lt;1211,VALUE(D8)&lt;1211),(3*VLOOKUP(WardrobeCarcassMaterial,SheetsData,5,FALSE))+(VLOOKUP("H/F (22mm)",SheetsData,7,FALSE)*1.44),IF(AND(VALUE(B8)&lt;2421,VALUE(C8)&lt;2421,VALUE(D8)&lt;1211),(4*VLOOKUP(WardrobeCarcassMaterial,SheetsData,5,FALSE))+(VLOOKUP("H/F (22mm)",SheetsData,7,FALSE)*1.44))))),IF(ISERROR(FIND("drawer front",A8))=FALSE,((B8/1000)*(C8/1000))*VLOOKUP(WardrobeDoorMaterial,SheetsData,8,0),IF(AND(WardrobeDrawerType="Match carcass",ISERROR(FIND("drawer box",A8))=FALSE),(((((B8/1000)*(C8/1000))+((B8/1000)*(D8/1000)))*2)*VLOOKUP(WardrobeCarcassMaterial,SheetsData,8,0))+(((C8/1000)*(D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box",A8))=FALSE),(((((B8/1000)*(C8/1000))+((B8/1000)*(D8/1000)))*2)*(16/1000)*VLOOKUP(LEFT(WardrobeCarcassMaterial,FIND(" ",WardrobeCarcassMaterial))&amp;"(solid m3)",SolidData,4,0))+(((C8/1000)*(D8/1000))*VLOOKUP(LEFT(WardrobeCarcassMaterial,FIND("(",WardrobeCarcassMaterial)-1)&amp;IF(OR(ISERROR(FIND("ply",WardrobeCarcassMaterial))=FALSE,ISERROR(FIND("H/F",WardrobeCarcassMaterial))=FALSE),"(9mm)","(10mm)"),SheetsData,8,0)),IF(ISERROR(FIND("shelf",A8))=FALSE,((C8/1000)*(D8/1000))*VLOOKUP(WardrobeCarcassMaterial,SheetsData,7,FALSE),IF(ISERROR(FIND("Office pod",A8))=FALSE,3*VLOOKUP(WardrobeCarcassMaterial,SheetsData,5,0),IF(ISERROR(FIND(" panel",A8))=FALSE,((B8/1000)*(C8/1000))*VLOOKUP(WardrobeDoorMaterial,SheetsData,8,0),IF(ISERROR(FIND("Fillers",A8))=FALSE,(((0.06*(C8/1000))*2)*VLOOKUP("H/F (18mm)",SheetsData,8,0))+(((0.06*(C8/1000))*2)*VLOOKUP("H/F (9mm)",SheetsData,8,0)),IF(ISERROR(FIND("Cornice (stacked)",A8))=FALSE,((0.08*(C8/1000))*2)*VLOOKUP("H/F (22mm)",SheetsData,8,0),IF(OR(ISERROR(FIND("Plinth",A8))=FALSE,ISERROR(FIND("Cornice (flat)",A8))=FALSE),((B8/1000)*(C8/1000))*VLOOKUP("H/F (18mm)",SheetsData,8,0),IF(ISERROR(FIND("Pelmet",A8))=FALSE,((((B8/1000)*(C8/1000))*2)*VLOOKUP("H/F (18mm)",SheetsData,8,0)),IF(ISERROR(FIND("Fireplace",A8))=FALSE,IF(ISERROR(FIND("over 1600",A8))=FALSE,2*VLOOKUP(WardrobeCarcassMaterial,SheetsData,5,FALSE),VLOOKUP(WardrobeCarcassMaterial,SheetsData,5,FALSE)),IF(ISERROR(FIND("table",A8))=FALSE,((B8/1000)*0.6)*VLOOKUP("Birch ply (24mm)",SheetsData,7,FALSE),IF(ISERROR(FIND("Worktop",A8))=FALSE,((B8/1000)*(C8/1000))*VLOOKUP(WardrobeDoorMaterial,SheetsData,7,FALSE),"Check formula")))))))))))))))))</f>
        <v>3.704649288</v>
      </c>
      <c r="F8" s="152" t="str">
        <f>IFERROR(__xludf.DUMMYFUNCTION("IF(OR(A8="""",AND(ISERROR(FIND(""drawer box"",A8))=FALSE,WardrobeDrawerType=""Solid dovetail"")),"""",IF(ISERROR(FIND(""bins"",A8))=FALSE,VLOOKUP(""Base carcass 600"",Wardrobes_etcData,6,0),IF(OR(ISERROR(FIND(""larder"",A8))=FALSE,ISERROR(FIND(""unit"",A8"&amp;"))=FALSE),VLOOKUP(LEFT(A8,FIND("" "",A8))&amp;""carcass ""&amp;RIGHT(A8,LEN(A8)-len(regexextract(A8,"".* ""))),Wardrobes_etcData,6,0),IF(ISERROR(FIND(""drawer front"",A8))=FALSE,IF(ISERROR(FIND(""veneer"",WardrobeCarcassMaterial))=TRUE,0,(((B8+C8)/1000)*2)*VLOOKU"&amp;"P(""Edge banding (per M)"",SheetsData,5,0)),IF(ISERROR(FIND(""drawer box"",A8))=FALSE,IF(ISERROR(FIND(""veneer"",WardrobeCarcassMaterial))=TRUE,0,(((C8+D8)/1000)*2)*VLOOKUP(""Edge banding (per M)"",SheetsData,5,0)),IF(ISERROR(FIND(""shelf"",A8))=FALSE,IF("&amp;"ISERROR(FIND(""veneer"",WardrobeCarcassMaterial))=TRUE,0,(C8/1000)*VLOOKUP(""Edge banding (per M)"",SheetsData,5,0)),IF(AND(OR(ISERROR(FIND(""arcass"",A8))=FALSE,ISERROR(FIND(""Fireplace"",A8))=FALSE),ISERROR(FIND(""shelf"",A8))=TRUE),IF(ISERROR(FIND(""ve"&amp;"neer"",WardrobeCarcassMaterial))=TRUE,0,((2*(B8+C8))/1000)*VLOOKUP(""Edge banding (per M)"",SheetsData,5,0)),IF(ISERROR(FIND(""door"",A8))=TRUE,"""",IF(ISERROR(FIND(""veneer"",WardrobeDoorMaterial))=TRUE,"""",((2*(B8+C8))/1000)*VLOOKUP(""Edge banding (per"&amp;" M)"",SheetsData,5,0))))))))))"),"")</f>
        <v/>
      </c>
      <c r="G8" s="153" t="str">
        <f>IF(A8="","",IF(AND(ISERROR(FIND("arcass",A8))=TRUE,ISERROR(FIND("Fireplace",A8))=TRUE),"",IF(VALUE(C8)&lt;606,4*VLOOKUP("Plinth foot (2 Parts 80mm)",FurnitureData,5,FALSE),IF(VALUE(C8)&lt;1211,6*VLOOKUP("Plinth foot (2 Parts 80mm)",FurnitureData,5,FALSE),8*VLOOKUP("Plinth foot (2 Parts 80mm)",FurnitureData,5,FALSE)))))</f>
        <v/>
      </c>
      <c r="H8" s="115" t="str">
        <f>IF(OR(A8="",ISERROR(FIND("door",A8))=TRUE),"",VLOOKUP("Hinges &amp; plates (Hettich thick door)",FurnitureData,5,0)*5)</f>
        <v/>
      </c>
      <c r="I8" s="115" t="str">
        <f>IF(ISERROR(FIND("shelf",A8))=FALSE,(VLOOKUP("Shelf pegs",FurnitureData,5,0)/100)*4,"")</f>
        <v/>
      </c>
      <c r="J8" s="152" t="str">
        <f>IF(OR(ISERROR(FIND("fridge/freezer",A8))=FALSE,ISERROR(FIND("sink",A8))=FALSE,ISERROR(FIND("larder",A8))=FALSE),VLOOKUP("Deep shelf "&amp;C8,Wardrobes_etcData,18,0),IF(OR(ISERROR(FIND("single oven",A8))=FALSE,ISERROR(FIND("Base carcass",A8))=FALSE),2*VLOOKUP("Deep shelf "&amp;C8,Wardrobes_etcData,18,0),IF(AND(ISERROR(FIND("wall carcass",A8))=FALSE,ISERROR(FIND("Boiler",A8))=TRUE),2*VLOOKUP("Shallow shelf "&amp;C8,Wardrobes_etcData,18,0),IF(ISERROR(FIND("double oven",A8))=FALSE,3*VLOOKUP("Deep shelf "&amp;C8,Wardrobes_etcData,18,0),IF(ISERROR(FIND("Tower carcass",A8))=FALSE,6*VLOOKUP("Deep shelf "&amp;C8,Wardrobes_etcData,18,0),"")))))</f>
        <v/>
      </c>
      <c r="K8" s="152" t="str">
        <f>IF(ISERROR(FIND("sink",A8))=FALSE,VLOOKUP("Sink liner - Aluminium "&amp;RIGHT(A8,LEN(A8)-22)&amp;"mm",ExceptionalData,5,0),IF(ISERROR(FIND("bins",A8))=FALSE,VLOOKUP("Drawer runners and clip set for bin unit (500) Dynapro",FurnitureData,5,0)+(2*VLOOKUP("Bin (42L Anthracite)",FurnitureData,5,0)),IF(ISERROR(FIND("larder",A8))=FALSE,VLOOKUP("Pull out larder unit 600mm",FurnitureData,5,0),IF(AND(ISERROR(FIND("drawer box",A8))=FALSE,ISERROR(FIND("internal",A8))=TRUE),VLOOKUP("Drawer runners and clip set (550) Dynapro",FurnitureData,5,0),IF(ISERROR(FIND("internal drawer box",A8))=FALSE,VLOOKUP("Drawer runners and clip set (450) Dynapro",FurnitureData,5,0),IF(ISERROR(FIND("table",A8))=FALSE,VLOOKUP("Hairpin Leg (12mm Black "&amp;MID(A8,FIND("(",A8)+1,LEN(A8)-(FIND("(",A8))-1)&amp;"mm)",ExceptionalData,4,FALSE),""))))))</f>
        <v/>
      </c>
      <c r="L8" s="152">
        <f t="shared" si="3"/>
        <v>3.704649288</v>
      </c>
      <c r="M8" s="154">
        <f>IF(A8="","",IF(AND(ISERROR(FIND("drawer front",A8))=FALSE,WardrobeDoorStyle="Flat"),(((B8/1000)*(C8/1000))*2)+((((B8+C8)/1000)*2)*0.022),IF(AND(ISERROR(FIND("drawer front",A8))=FALSE,LEFT(WardrobeDoorStyle,5)="Panel"),(((B8/1000)*(C8/1000))*2)+((((B8+C8)/1000)*2)*0.022)+((((C8/1000)-0.16)*0.013)*2)+((((D8/1000)-0.16)*0.013)*2),IF(AND(ISERROR(FIND("drawer front",A8))=FALSE,WardrobeDoorStyle="In-frame flat"),((((B8-76)/1000)*((C8-38)/1000))*2)+(MID(WardrobeDoorMaterial,FIND("(",WardrobeDoorMaterial)+1,2)/1000)*((((B8-76)+(C8-38))/1000)*2)+(((B8/1000)*0.032)*2)+((((B8-76)/1000)*0.032)*2)+(((B8/1000)*0.019)*4)+(((C8/1000)*0.032)*2)+((((C8-38)/1000)*0.032)*2)+(((C8/1000)*0.038)*4),IF(AND(ISERROR(FIND("drawer front",A8))=FALSE,LEFT(WardrobeDoorStyle,14)="In-frame panel"),((((B8-76)/1000)*((C8-38)/1000))*2)+((MID(WardrobeDoorMaterial,FIND("(",WardrobeDoorMaterial)+1,2)/1000)*((((B8-76)+(C8-38))/1000)*2))+((((B8-236)/1000)+((C8-198)/1000)*2)*0.013)+(((B8/1000)*0.032)*2)+((((B8-76)/1000)*0.032)*2)+(((B8/1000)*0.019)*4)+(((C8/1000)*0.032)*2)+((((C8-38)/1000)*0.032)*2)+(((C8/1000)*0.038)*4),IF(ISERROR(FIND("drawer box",A8))=FALSE,((((B8/1000)*(D8/1000))+((B8/1000)*(C8/1000)))*4)+((((D8/1000)+(C8/1000))*0.016)*4)+(((C8/1000)*(D8/1000))*2),IF(OR(ISERROR(FIND("shelf",A8))=FALSE,ISERROR(FIND("Filler panel",A8))=FALSE),(((C8/1000)*(D8/1000))*2)+((((C8+D8)*2)/1000)*0.022),IF(ISERROR(FIND("Fireplace",A8))=FALSE,((B8/1000)*(C8/1000)),IF(ISERROR(FIND("Worktop",A8))=FALSE,(B8/1000)*(C8/1000),IF(ISERROR(FIND("table",A8))=FALSE,(B8/1000)*0.6,IF(ISERROR(FIND("arcass",A8))=FALSE,(((C8/1000)*(D8/1000))*2)+(((B8/1000)*(D8/1000))*2)+((B8/1000)*(C8/1000))+((((B8/1000)*0.025)+((C8/1000)*0.025))*2),IF(AND(ISERROR(FIND("door",A8))=FALSE,WardrobeDoorStyle="Flat"),(((B8/1000)*(C8/1000))*2)+(MID(WardrobeDoorMaterial,FIND("(",WardrobeDoorMaterial)+1,2)/1000)*(((B8+C8)/1000)*2),IF(AND(ISERROR(FIND("door",A8))=FALSE,LEFT(WardrobeDoorStyle,5)="Panel"),(((B8/1000)*(C8/1000))*2)+((MID(WardrobeDoorMaterial,FIND("(",WardrobeDoorMaterial)+1,2)/1000)*(((B8+C8)/1000)*2))+(((((B8-160)+(C8-160))*2)/1000)*(0.013)),IF(AND(ISERROR(FIND("door",A8))=FALSE,WardrobeDoorStyle="In-frame flat"),((((B8-76)/1000)*((C8-38)/1000))*2)+(MID(WardrobeDoorMaterial,FIND("(",WardrobeDoorMaterial)+1,2)/1000)*((((B8-76)+(C8-38))/1000)*2)+(((B8/1000)*0.032)*2)+((((B8-76)/1000)*0.032)*2)+(((B8/1000)*0.019)*4)+(((C8/1000)*0.032)*2)+((((C8-38)/1000)*0.032)*2)+(((C8/1000)*0.038)*4),IF(AND(ISERROR(FIND("door",A8))=FALSE,LEFT(WardrobeDoorStyle,14)="In-frame panel"),((((B8-76)/1000)*((C8-38)/1000))*2)+((MID(WardrobeDoorMaterial,FIND("(",WardrobeDoorMaterial)+1,2)/1000)*((((B8-76)+(C8-38))/1000)*2))+((((B8-236)/1000)+((C8-198)/1000)*2)*0.013)+(((B8/1000)*0.032)*2)+((((B8-76)/1000)*0.032)*2)+(((B8/1000)*0.019)*4)+(((C8/1000)*0.032)*2)+((((C8-38)/1000)*0.032)*2)+(((C8/1000)*0.038)*4),IF(ISERROR(FIND("Plinth",A8))=FALSE,((B8/1000)*(C8/1000))+(((C8/1000)*0.018)*2)+(((B8/1000)*0.018)*2),IF(ISERROR(FIND("Cornice",A8))=FALSE,(((C8/1000)*0.1)*2)+(((C8/1000)*0.044)*2)+(((B8/1000)*0.08)*2),IF(ISERROR(FIND("Office pod",A8))=FALSE,((2400/1000)*(1200/1000))*6,IF(ISERROR(FIND("panel",A8))=FALSE,((B8/1000)*(C8/1000))+(0.022*((B8/1000)+((C8/1000)*2)))+((B8/1000)*0.05),IF(ISERROR(FIND("Fillers",A8))=FALSE,((C8/1000)*0.06)+((C8/1000)*0.069)+((0.06*0.018)*2)+((0.06*0.009)*2)+((C8/1000)*0.009)+((C8/1000)*0.018),IF(ISERROR(FIND("Pelmet",A8))=FALSE,((C8/1000)*0.05)+((C8/1000)*0.068)+((0.05*0.018)*4)+(((C8/1000)*0.018))*2)))))))))))))))))))))</f>
        <v>0.3732</v>
      </c>
      <c r="N8" s="152">
        <f>IF(M8="","",IF(AND(ISERROR(FIND("carcass",A8))=TRUE,ISERROR(FIND("unit",A8))=TRUE,ISERROR(FIND("insert",A8))=TRUE,ISERROR(FIND("rack",A8))=TRUE,ISERROR(FIND("box",A8))=TRUE,ISERROR(FIND("shelf",A8))=TRUE),VLOOKUP(WardrobeDoorFinish,Finishing!$A$2:$K$10,9,0)*M8,IF(ISERROR(FIND("table",A8))=FALSE,VLOOKUP("Sayerlack AF0072 Interior Clear Self-Sealer",FinishingData,9,FALSE)*M8,VLOOKUP(WardrobeCarcassFinish,Finishing!$A$2:$K$40,9,0)*M8)))</f>
        <v>2.799</v>
      </c>
      <c r="O8" s="159">
        <v>1.0</v>
      </c>
      <c r="P8" s="159">
        <v>1.0</v>
      </c>
      <c r="Q8" s="152">
        <f>IF(OR(O8="",P8=""),"",((O8*X8)*(VLOOKUP("Workshop",Labour!$A$3:$E$20,4,0)/8))+((P8*AE8)*(VLOOKUP("Finishing",Labour!$A$3:$E$20,4,0)/8)))</f>
        <v>99.75</v>
      </c>
      <c r="R8" s="152">
        <f t="shared" si="4"/>
        <v>106.2536493</v>
      </c>
      <c r="S8" s="156">
        <f>IF(OR(O8="",P8=""),"",IF(OR(ISERROR(FIND("carcass",$A8))=FALSE,ISERROR(FIND("unit",$A8))=FALSE),VLOOKUP(WardrobeCarcassMaterial,FixedListsCarcassMaterial,2,0),0))</f>
        <v>0</v>
      </c>
      <c r="T8" s="156">
        <f>IF(OR(O8="",P8=""),"",IF(ISERROR(FIND("door",$A8))=FALSE,VLOOKUP(WardrobeDoorStyle,FixedListsDoorStyle,2,0),0))</f>
        <v>0</v>
      </c>
      <c r="U8" s="156">
        <f>IF(OR(O8="",P8=""),"",IF(ISERROR(FIND("door",$A8))=FALSE,VLOOKUP(WardrobeDoorMaterial,FixedListsDoorMaterial,2,0),0))</f>
        <v>0</v>
      </c>
      <c r="V8" s="156">
        <f>IF(OR(O8="",P8=""),"",IF(ISERROR(FIND("drawer",$A8))=FALSE,VLOOKUP(WardrobeDrawerType,FixedListsDrawerType,2,0),0))</f>
        <v>0</v>
      </c>
      <c r="W8" s="156">
        <f>IF(OR(O8="",P8=""),"",IF(S8&gt;0,VLOOKUP(WardrobeHandleType,FixedListsHandleType,2,FALSE),0))</f>
        <v>0</v>
      </c>
      <c r="X8" s="156">
        <f t="shared" si="5"/>
        <v>1</v>
      </c>
      <c r="Y8" s="156">
        <f>IF(OR(O8="",P8=""),"",IF(OR(ISERROR(FIND("carcass",$A8))=FALSE,ISERROR(FIND("unit",$A8))=FALSE),VLOOKUP(WardrobeCarcassMaterial,FixedListsCarcassMaterial,3,0),0))</f>
        <v>0</v>
      </c>
      <c r="Z8" s="156">
        <f>IF(OR(O8="",P8=""),"",IF(ISERROR(FIND("door",$A8))=FALSE,VLOOKUP(WardrobeDoorStyle,FixedListsDoorStyle,3,0),0))</f>
        <v>0</v>
      </c>
      <c r="AA8" s="156">
        <f>IF(OR(O8="",P8=""),"",IF(ISERROR(FIND("door",$A8))=FALSE,VLOOKUP(WardrobeDoorMaterial,FixedListsDoorMaterial,3,0),0))</f>
        <v>0</v>
      </c>
      <c r="AB8" s="156">
        <f>IF(OR(O8="",P8=""),"",IF(ISERROR(FIND("drawer",$A8))=FALSE,VLOOKUP(WardrobeDrawerType,FixedListsDrawerType,3,0),0))</f>
        <v>0</v>
      </c>
      <c r="AC8" s="156">
        <f>IF(OR(O8="",P8=""),"",IF(S8&gt;0,VLOOKUP(WardrobeHandleType,FixedListsHandleType,3,FALSE),0))</f>
        <v>0</v>
      </c>
      <c r="AD8" s="156">
        <f>IF(OR(O8="",P8=""),"",IF(OR(ISERROR(FIND("carcass",$A8))=FALSE,ISERROR(FIND("unit",$A8))=FALSE),VLOOKUP(WardrobeCarcassFinish,FixedListsFinishes,3,0),IF(OR(ISERROR(FIND("door",$A8))=FALSE,ISERROR(FIND("Plinth",$A8))=FALSE,ISERROR(FIND("Cornice",$A8))=FALSE,ISERROR(FIND("Fillers",$A8))=FALSE,ISERROR(FIND("Pelmet",$A8))=FALSE,ISERROR(FIND("panel",$A8))=FALSE,ISERROR(FIND("post",$A8))=FALSE),VLOOKUP(WardrobeDoorFinish,FixedListsFinishes,3,0),IF(OR(ISERROR(FIND("drawer",$A8))=FALSE,ISERROR(FIND("insert",$A8))=FALSE,ISERROR(FIND("rck",$A8))=FALSE),VLOOKUP(WardrobeCarcassFinish,FixedListsFinishes,3,0),0))))</f>
        <v>2</v>
      </c>
      <c r="AE8" s="156">
        <f t="shared" si="6"/>
        <v>2</v>
      </c>
      <c r="AF8" s="157" t="str">
        <f>IF(AND(WardrobeHandleType="Channel",OR(ISERROR(FIND("arcass",$A8))=FALSE,ISERROR(FIND("unit",$A8))=FALSE)),IF(ISERROR(FIND("Tower",$A8))=TRUE,IF(WardrobeHandleFinish="Match carcass",IF(ISERROR(FIND("Walnut",WardrobeCarcassMaterial))=FALSE,(0.035*0.075*($C8/1000))*VLOOKUP("Walnut (solid m3)",SolidData,4,FALSE),IF(ISERROR(FIND("Oak",WardrobeCarcassMaterial))=FALSE,(0.035*0.075*($C8/1000))*VLOOKUP("Oak (solid m3)",SolidData,4,FALSE),IF(ISERROR(FIND("ply",WardrobeCarcassMaterial))=FALSE,(0.1*($C8/1000))*VLOOKUP("Birch ply (24mm)",SheetsData,7,FALSE),IF(ISERROR(FIND("H/F",WardrobeCarcassMaterial))=FALSE,(0.1*($C8/1000))*VLOOKUP("H/F (22mm)",SheetsData,7,FALSE),"Carcass - not tower - new material")))),IF(WardrobeHandleFinish="Match door",IF(ISERROR(FIND("Walnut",WardrobeDoorMaterial))=FALSE,(0.035*0.075*($C8/1000))*VLOOKUP("Walnut (solid m3)",SolidData,4,FALSE),IF(ISERROR(FIND("Oak",WardrobeDoorMaterial))=FALSE,(0.035*0.075*($C8/1000))*VLOOKUP("Oak (solid m3)",SolidData,4,FALSE),IF(ISERROR(FIND("ply",WardrobeDoorMaterial))=FALSE,(0.1*($C8/1000))*VLOOKUP("Birch ply (24mm)",SheetsData,7,FALSE),IF(ISERROR(FIND("H/F",WardrobeCarcassMaterial))=FALSE,(0.1*($C8/1000))*VLOOKUP("H/F (22mm)",SheetsData,7,FALSE),"Door - not tower - new material")))),"Channel - not tower - handle set to other")),IF(ISERROR(FIND("Tower",$A8))=FALSE,IF(WardrobeHandleFinish="Match carcass",IF(ISERROR(FIND("Walnut",WardrobeCarcassMaterial))=FALSE,(0.035*0.075*($B8/1000))*VLOOKUP("Walnut (solid m3)",SolidData,4,FALSE),IF(ISERROR(FIND("Oak",WardrobeCarcassMaterial))=FALSE,(0.035*0.075*($B8/1000))*VLOOKUP("Oak (solid m3)",SolidData,4,FALSE),IF(ISERROR(FIND("ply",WardrobeCarcassMaterial))=FALSE,(0.1*($B8/1000))*VLOOKUP("Birch ply (24mm)",SheetsData,7,FALSE),IF(ISERROR(FIND("H/F",WardrobeCarcassMaterial))=FALSE,(0.1*($C8/1000))*VLOOKUP("H/F (22mm)",SheetsData,7,FALSE),"Carcass - tower - new material")))),IF(WardrobeHandleFinish="Match door",IF(ISERROR(FIND("Walnut",WardrobeDoorMaterial))=FALSE,(0.035*0.075*($B8/1000))*VLOOKUP("Walnut (solid m3)",SolidData,4,FALSE),IF(ISERROR(FIND("Oak",WardrobeDoorMaterial))=FALSE,(0.035*0.075*($B8/1000))*VLOOKUP("Oak (solid m3)",SolidData,4,FALSE),IF(ISERROR(FIND("ply",WardrobeDoorMaterial))=FALSE,(0.1*($B8/1000))*VLOOKUP("Birch ply (24mm)",SheetData,7,FALSE),IF(ISERROR(FIND("H/F",WardrobeCarcassMaterial))=FALSE,(0.1*($C8/1000))*VLOOKUP("H/F (22mm)",SheetsData,7,FALSE),"Door - tower - new material")))),"Channel - tower - handle set to other")))),"")</f>
        <v/>
      </c>
    </row>
    <row r="9">
      <c r="A9" s="150" t="s">
        <v>170</v>
      </c>
      <c r="B9" s="160" t="str">
        <f t="shared" si="1"/>
        <v>140</v>
      </c>
      <c r="C9" s="160" t="str">
        <f>IFERROR(__xludf.DUMMYFUNCTION("IF(A9="""","""",IF(ISERROR(FIND(""arcass"",A9))=FALSE,MID(A9,FIND(""*"",A9)+1,FIND(""*"",A9,FIND(""*"",A9)+1)-FIND(""*"",A9)-1),IF(ISERROR(FIND(""End panel"",A9))=FALSE,RIGHT(A9,3),IF(OR(ISERROR(FIND(""drawer"",A9))=FALSE,ISERROR(FIND(""door"",A9))=FALSE,"&amp;"ISERROR(FIND(""shelf"",A9))=FALSE,ISERROR(FIND(""panel"",A9))=FALSE,ISERROR(FIND(""Plinth"",A9))=FALSE,ISERROR(FIND(""Cornice"",A9))=FALSE,ISERROR(FIND(""Fillers"",A9))=FALSE,ISERROR(FIND(""Pelmet"",A9))=FALSE,ISERROR(FIND(""Fireplace up to 1600"",A9))=FA"&amp;"LSE),RIGHT(A9,LEN(A9)-LEN(regexextract(A9,"".* ""))),IF(ISERROR(FIND(""table"",A9))=FALSE,""560"",IF(ISERROR(FIND(""Office pod"",A9))=FALSE,""1600"",IF(ISERROR(FIND(""Fireplace over 1600"",A9))=FALSE,""2400"",IF(ISERROR(FIND(""Worktop"",A9))=FALSE,""650"""&amp;",""Whoops""))))))))"),"2400")</f>
        <v>2400</v>
      </c>
      <c r="D9" s="161" t="str">
        <f t="shared" si="2"/>
        <v/>
      </c>
      <c r="E9" s="152">
        <f>IF(OR(A9="",AND(ISERROR(FIND("drawer",A9))=FALSE,WardrobeDrawerType="")),"",IF(ISERROR(FIND("door",A9))=FALSE,IF(WardrobeDoorStyle="Flat",((B9/1000)*(C9/1000))*VLOOKUP(WardrobeDoorMaterial,SheetsData,8,0),IF(LEFT(WardrobeDoorStyle,5)="Panel",(((((B9/1000)*2)*0.08)+((((C9/1000)-0.16)*2)*0.08))*VLOOKUP("H/F (22mm)",SheetsData,8,0))+(((B9/1000)-0.14)*((C9/1000)-0.14)*VLOOKUP("H/F (9mm)",SheetsData,8,0)),IF(WardrobeDoorStyle="In-frame flat",((((((B9/1000)*0.019)*0.038)+((((C9-38)/1000)*0.038)*0.038))*2)*VLOOKUP("Tulip (solid m3)",SolidData,4,0))+(((B9-76)/1000)*((C9-38)/1000))*VLOOKUP("H/F (22mm)",SheetsData,8,0),IF(LEFT(WardrobeDoorStyle,14)="In-frame panel",(((((((B9/1000)*0.019)*0.038)+((((C9-38)/1000)*0.038)*0.038))*2)*VLOOKUP("Tulip (solid m3)",SolidData,4,0))+(((((((B9-76)/1000)*2)*0.08)+(((((C9-198)/1000)*2)*0.08)))*VLOOKUP("H/F (22mm)",SheetsData,8,0))+(((B9-216)/1000)*((C9-178)/1000)*VLOOKUP("H/F (9mm)",SheetsData,8,0)))))))),IF(AND(ISERROR(FIND("arcass",A9))=FALSE,ISERROR(FIND("ost corner",A9))=TRUE),IF(AND(VALUE(B9)&lt;1211,VALUE(C9)&lt;1211,VALUE(D9)&lt;606),1*VLOOKUP(WardrobeCarcassMaterial,SheetsData,5,FALSE),IF(AND(VALUE(B9)&lt;2421,VALUE(C9)&lt;2421,VALUE(D9)&lt;606),2*VLOOKUP(WardrobeCarcassMaterial,SheetsData,5,FALSE),IF(AND(VALUE(B9)&lt;2421,VALUE(C9)&lt;1211,VALUE(D9)&lt;1211),3*VLOOKUP(WardrobeCarcassMaterial,SheetsData,5,FALSE),IF(AND(VALUE(B9)&lt;2421,VALUE(C9)&lt;2421,VALUE(D9)&lt;1211),4*VLOOKUP(WardrobeCarcassMaterial,SheetsData,5,FALSE))))),IF(AND(ISERROR(FIND("arcass",A9))=FALSE,ISERROR(FIND("ost corner",A9))=FALSE),IF(AND(VALUE(B9)&lt;1211,VALUE(C9)&lt;1211,VALUE(D9)&lt;606),(1*VLOOKUP(WardrobeCarcassMaterial,SheetsData,5,FALSE))+(VLOOKUP("H/F (22mm)",SheetsData,7,FALSE)*1.44),IF(AND(VALUE(B9)&lt;2421,VALUE(C9)&lt;2421,VALUE(D9)&lt;606),(2*VLOOKUP(WardrobeCarcassMaterial,SheetsData,5,FALSE))+(VLOOKUP("H/F (22mm)",SheetsData,7,FALSE)*1.44),IF(AND(VALUE(B9)&lt;2421,VALUE(C9)&lt;1211,VALUE(D9)&lt;1211),(3*VLOOKUP(WardrobeCarcassMaterial,SheetsData,5,FALSE))+(VLOOKUP("H/F (22mm)",SheetsData,7,FALSE)*1.44),IF(AND(VALUE(B9)&lt;2421,VALUE(C9)&lt;2421,VALUE(D9)&lt;1211),(4*VLOOKUP(WardrobeCarcassMaterial,SheetsData,5,FALSE))+(VLOOKUP("H/F (22mm)",SheetsData,7,FALSE)*1.44))))),IF(ISERROR(FIND("drawer front",A9))=FALSE,((B9/1000)*(C9/1000))*VLOOKUP(WardrobeDoorMaterial,SheetsData,8,0),IF(AND(WardrobeDrawerType="Match carcass",ISERROR(FIND("drawer box",A9))=FALSE),(((((B9/1000)*(C9/1000))+((B9/1000)*(D9/1000)))*2)*VLOOKUP(WardrobeCarcassMaterial,SheetsData,8,0))+(((C9/1000)*(D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box",A9))=FALSE),(((((B9/1000)*(C9/1000))+((B9/1000)*(D9/1000)))*2)*(16/1000)*VLOOKUP(LEFT(WardrobeCarcassMaterial,FIND(" ",WardrobeCarcassMaterial))&amp;"(solid m3)",SolidData,4,0))+(((C9/1000)*(D9/1000))*VLOOKUP(LEFT(WardrobeCarcassMaterial,FIND("(",WardrobeCarcassMaterial)-1)&amp;IF(OR(ISERROR(FIND("ply",WardrobeCarcassMaterial))=FALSE,ISERROR(FIND("H/F",WardrobeCarcassMaterial))=FALSE),"(9mm)","(10mm)"),SheetsData,8,0)),IF(ISERROR(FIND("shelf",A9))=FALSE,((C9/1000)*(D9/1000))*VLOOKUP(WardrobeCarcassMaterial,SheetsData,7,FALSE),IF(ISERROR(FIND("Office pod",A9))=FALSE,3*VLOOKUP(WardrobeCarcassMaterial,SheetsData,5,0),IF(ISERROR(FIND(" panel",A9))=FALSE,((B9/1000)*(C9/1000))*VLOOKUP(WardrobeDoorMaterial,SheetsData,8,0),IF(ISERROR(FIND("Fillers",A9))=FALSE,(((0.06*(C9/1000))*2)*VLOOKUP("H/F (18mm)",SheetsData,8,0))+(((0.06*(C9/1000))*2)*VLOOKUP("H/F (9mm)",SheetsData,8,0)),IF(ISERROR(FIND("Cornice (stacked)",A9))=FALSE,((0.08*(C9/1000))*2)*VLOOKUP("H/F (22mm)",SheetsData,8,0),IF(OR(ISERROR(FIND("Plinth",A9))=FALSE,ISERROR(FIND("Cornice (flat)",A9))=FALSE),((B9/1000)*(C9/1000))*VLOOKUP("H/F (18mm)",SheetsData,8,0),IF(ISERROR(FIND("Pelmet",A9))=FALSE,((((B9/1000)*(C9/1000))*2)*VLOOKUP("H/F (18mm)",SheetsData,8,0)),IF(ISERROR(FIND("Fireplace",A9))=FALSE,IF(ISERROR(FIND("over 1600",A9))=FALSE,2*VLOOKUP(WardrobeCarcassMaterial,SheetsData,5,FALSE),VLOOKUP(WardrobeCarcassMaterial,SheetsData,5,FALSE)),IF(ISERROR(FIND("table",A9))=FALSE,((B9/1000)*0.6)*VLOOKUP("Birch ply (24mm)",SheetsData,7,FALSE),IF(ISERROR(FIND("Worktop",A9))=FALSE,((B9/1000)*(C9/1000))*VLOOKUP(WardrobeDoorMaterial,SheetsData,7,FALSE),"Check formula")))))))))))))))))</f>
        <v>5.186509003</v>
      </c>
      <c r="F9" s="152" t="str">
        <f>IFERROR(__xludf.DUMMYFUNCTION("IF(OR(A9="""",AND(ISERROR(FIND(""drawer box"",A9))=FALSE,WardrobeDrawerType=""Solid dovetail"")),"""",IF(ISERROR(FIND(""bins"",A9))=FALSE,VLOOKUP(""Base carcass 600"",Wardrobes_etcData,6,0),IF(OR(ISERROR(FIND(""larder"",A9))=FALSE,ISERROR(FIND(""unit"",A9"&amp;"))=FALSE),VLOOKUP(LEFT(A9,FIND("" "",A9))&amp;""carcass ""&amp;RIGHT(A9,LEN(A9)-len(regexextract(A9,"".* ""))),Wardrobes_etcData,6,0),IF(ISERROR(FIND(""drawer front"",A9))=FALSE,IF(ISERROR(FIND(""veneer"",WardrobeCarcassMaterial))=TRUE,0,(((B9+C9)/1000)*2)*VLOOKU"&amp;"P(""Edge banding (per M)"",SheetsData,5,0)),IF(ISERROR(FIND(""drawer box"",A9))=FALSE,IF(ISERROR(FIND(""veneer"",WardrobeCarcassMaterial))=TRUE,0,(((C9+D9)/1000)*2)*VLOOKUP(""Edge banding (per M)"",SheetsData,5,0)),IF(ISERROR(FIND(""shelf"",A9))=FALSE,IF("&amp;"ISERROR(FIND(""veneer"",WardrobeCarcassMaterial))=TRUE,0,(C9/1000)*VLOOKUP(""Edge banding (per M)"",SheetsData,5,0)),IF(AND(OR(ISERROR(FIND(""arcass"",A9))=FALSE,ISERROR(FIND(""Fireplace"",A9))=FALSE),ISERROR(FIND(""shelf"",A9))=TRUE),IF(ISERROR(FIND(""ve"&amp;"neer"",WardrobeCarcassMaterial))=TRUE,0,((2*(B9+C9))/1000)*VLOOKUP(""Edge banding (per M)"",SheetsData,5,0)),IF(ISERROR(FIND(""door"",A9))=TRUE,"""",IF(ISERROR(FIND(""veneer"",WardrobeDoorMaterial))=TRUE,"""",((2*(B9+C9))/1000)*VLOOKUP(""Edge banding (per"&amp;" M)"",SheetsData,5,0))))))))))"),"")</f>
        <v/>
      </c>
      <c r="G9" s="153" t="str">
        <f>IF(A9="","",IF(AND(ISERROR(FIND("arcass",A9))=TRUE,ISERROR(FIND("Fireplace",A9))=TRUE),"",IF(VALUE(C9)&lt;606,4*VLOOKUP("Plinth foot (2 Parts 80mm)",FurnitureData,5,FALSE),IF(VALUE(C9)&lt;1211,6*VLOOKUP("Plinth foot (2 Parts 80mm)",FurnitureData,5,FALSE),8*VLOOKUP("Plinth foot (2 Parts 80mm)",FurnitureData,5,FALSE)))))</f>
        <v/>
      </c>
      <c r="H9" s="115" t="str">
        <f>IF(OR(A9="",ISERROR(FIND("door",A9))=TRUE),"",VLOOKUP("Hinges &amp; plates (Hettich thick door)",FurnitureData,5,0)*5)</f>
        <v/>
      </c>
      <c r="I9" s="115" t="str">
        <f>IF(ISERROR(FIND("shelf",A9))=FALSE,(VLOOKUP("Shelf pegs",FurnitureData,5,0)/100)*4,"")</f>
        <v/>
      </c>
      <c r="J9" s="152" t="str">
        <f>IF(OR(ISERROR(FIND("fridge/freezer",A9))=FALSE,ISERROR(FIND("sink",A9))=FALSE,ISERROR(FIND("larder",A9))=FALSE),VLOOKUP("Deep shelf "&amp;C9,Wardrobes_etcData,18,0),IF(OR(ISERROR(FIND("single oven",A9))=FALSE,ISERROR(FIND("Base carcass",A9))=FALSE),2*VLOOKUP("Deep shelf "&amp;C9,Wardrobes_etcData,18,0),IF(AND(ISERROR(FIND("wall carcass",A9))=FALSE,ISERROR(FIND("Boiler",A9))=TRUE),2*VLOOKUP("Shallow shelf "&amp;C9,Wardrobes_etcData,18,0),IF(ISERROR(FIND("double oven",A9))=FALSE,3*VLOOKUP("Deep shelf "&amp;C9,Wardrobes_etcData,18,0),IF(ISERROR(FIND("Tower carcass",A9))=FALSE,6*VLOOKUP("Deep shelf "&amp;C9,Wardrobes_etcData,18,0),"")))))</f>
        <v/>
      </c>
      <c r="K9" s="152" t="str">
        <f>IF(ISERROR(FIND("sink",A9))=FALSE,VLOOKUP("Sink liner - Aluminium "&amp;RIGHT(A9,LEN(A9)-22)&amp;"mm",ExceptionalData,5,0),IF(ISERROR(FIND("bins",A9))=FALSE,VLOOKUP("Drawer runners and clip set for bin unit (500) Dynapro",FurnitureData,5,0)+(2*VLOOKUP("Bin (42L Anthracite)",FurnitureData,5,0)),IF(ISERROR(FIND("larder",A9))=FALSE,VLOOKUP("Pull out larder unit 600mm",FurnitureData,5,0),IF(AND(ISERROR(FIND("drawer box",A9))=FALSE,ISERROR(FIND("internal",A9))=TRUE),VLOOKUP("Drawer runners and clip set (550) Dynapro",FurnitureData,5,0),IF(ISERROR(FIND("internal drawer box",A9))=FALSE,VLOOKUP("Drawer runners and clip set (450) Dynapro",FurnitureData,5,0),IF(ISERROR(FIND("table",A9))=FALSE,VLOOKUP("Hairpin Leg (12mm Black "&amp;MID(A9,FIND("(",A9)+1,LEN(A9)-(FIND("(",A9))-1)&amp;"mm)",ExceptionalData,4,FALSE),""))))))</f>
        <v/>
      </c>
      <c r="L9" s="152">
        <f t="shared" si="3"/>
        <v>5.186509003</v>
      </c>
      <c r="M9" s="154">
        <f>IF(A9="","",IF(AND(ISERROR(FIND("drawer front",A9))=FALSE,WardrobeDoorStyle="Flat"),(((B9/1000)*(C9/1000))*2)+((((B9+C9)/1000)*2)*0.022),IF(AND(ISERROR(FIND("drawer front",A9))=FALSE,LEFT(WardrobeDoorStyle,5)="Panel"),(((B9/1000)*(C9/1000))*2)+((((B9+C9)/1000)*2)*0.022)+((((C9/1000)-0.16)*0.013)*2)+((((D9/1000)-0.16)*0.013)*2),IF(AND(ISERROR(FIND("drawer front",A9))=FALSE,WardrobeDoorStyle="In-frame flat"),((((B9-76)/1000)*((C9-38)/1000))*2)+(MID(WardrobeDoorMaterial,FIND("(",WardrobeDoorMaterial)+1,2)/1000)*((((B9-76)+(C9-38))/1000)*2)+(((B9/1000)*0.032)*2)+((((B9-76)/1000)*0.032)*2)+(((B9/1000)*0.019)*4)+(((C9/1000)*0.032)*2)+((((C9-38)/1000)*0.032)*2)+(((C9/1000)*0.038)*4),IF(AND(ISERROR(FIND("drawer front",A9))=FALSE,LEFT(WardrobeDoorStyle,14)="In-frame panel"),((((B9-76)/1000)*((C9-38)/1000))*2)+((MID(WardrobeDoorMaterial,FIND("(",WardrobeDoorMaterial)+1,2)/1000)*((((B9-76)+(C9-38))/1000)*2))+((((B9-236)/1000)+((C9-198)/1000)*2)*0.013)+(((B9/1000)*0.032)*2)+((((B9-76)/1000)*0.032)*2)+(((B9/1000)*0.019)*4)+(((C9/1000)*0.032)*2)+((((C9-38)/1000)*0.032)*2)+(((C9/1000)*0.038)*4),IF(ISERROR(FIND("drawer box",A9))=FALSE,((((B9/1000)*(D9/1000))+((B9/1000)*(C9/1000)))*4)+((((D9/1000)+(C9/1000))*0.016)*4)+(((C9/1000)*(D9/1000))*2),IF(OR(ISERROR(FIND("shelf",A9))=FALSE,ISERROR(FIND("Filler panel",A9))=FALSE),(((C9/1000)*(D9/1000))*2)+((((C9+D9)*2)/1000)*0.022),IF(ISERROR(FIND("Fireplace",A9))=FALSE,((B9/1000)*(C9/1000)),IF(ISERROR(FIND("Worktop",A9))=FALSE,(B9/1000)*(C9/1000),IF(ISERROR(FIND("table",A9))=FALSE,(B9/1000)*0.6,IF(ISERROR(FIND("arcass",A9))=FALSE,(((C9/1000)*(D9/1000))*2)+(((B9/1000)*(D9/1000))*2)+((B9/1000)*(C9/1000))+((((B9/1000)*0.025)+((C9/1000)*0.025))*2),IF(AND(ISERROR(FIND("door",A9))=FALSE,WardrobeDoorStyle="Flat"),(((B9/1000)*(C9/1000))*2)+(MID(WardrobeDoorMaterial,FIND("(",WardrobeDoorMaterial)+1,2)/1000)*(((B9+C9)/1000)*2),IF(AND(ISERROR(FIND("door",A9))=FALSE,LEFT(WardrobeDoorStyle,5)="Panel"),(((B9/1000)*(C9/1000))*2)+((MID(WardrobeDoorMaterial,FIND("(",WardrobeDoorMaterial)+1,2)/1000)*(((B9+C9)/1000)*2))+(((((B9-160)+(C9-160))*2)/1000)*(0.013)),IF(AND(ISERROR(FIND("door",A9))=FALSE,WardrobeDoorStyle="In-frame flat"),((((B9-76)/1000)*((C9-38)/1000))*2)+(MID(WardrobeDoorMaterial,FIND("(",WardrobeDoorMaterial)+1,2)/1000)*((((B9-76)+(C9-38))/1000)*2)+(((B9/1000)*0.032)*2)+((((B9-76)/1000)*0.032)*2)+(((B9/1000)*0.019)*4)+(((C9/1000)*0.032)*2)+((((C9-38)/1000)*0.032)*2)+(((C9/1000)*0.038)*4),IF(AND(ISERROR(FIND("door",A9))=FALSE,LEFT(WardrobeDoorStyle,14)="In-frame panel"),((((B9-76)/1000)*((C9-38)/1000))*2)+((MID(WardrobeDoorMaterial,FIND("(",WardrobeDoorMaterial)+1,2)/1000)*((((B9-76)+(C9-38))/1000)*2))+((((B9-236)/1000)+((C9-198)/1000)*2)*0.013)+(((B9/1000)*0.032)*2)+((((B9-76)/1000)*0.032)*2)+(((B9/1000)*0.019)*4)+(((C9/1000)*0.032)*2)+((((C9-38)/1000)*0.032)*2)+(((C9/1000)*0.038)*4),IF(ISERROR(FIND("Plinth",A9))=FALSE,((B9/1000)*(C9/1000))+(((C9/1000)*0.018)*2)+(((B9/1000)*0.018)*2),IF(ISERROR(FIND("Cornice",A9))=FALSE,(((C9/1000)*0.1)*2)+(((C9/1000)*0.044)*2)+(((B9/1000)*0.08)*2),IF(ISERROR(FIND("Office pod",A9))=FALSE,((2400/1000)*(1200/1000))*6,IF(ISERROR(FIND("panel",A9))=FALSE,((B9/1000)*(C9/1000))+(0.022*((B9/1000)+((C9/1000)*2)))+((B9/1000)*0.05),IF(ISERROR(FIND("Fillers",A9))=FALSE,((C9/1000)*0.06)+((C9/1000)*0.069)+((0.06*0.018)*2)+((0.06*0.009)*2)+((C9/1000)*0.009)+((C9/1000)*0.018),IF(ISERROR(FIND("Pelmet",A9))=FALSE,((C9/1000)*0.05)+((C9/1000)*0.068)+((0.05*0.018)*4)+(((C9/1000)*0.018))*2)))))))))))))))))))))</f>
        <v>0.7136</v>
      </c>
      <c r="N9" s="152">
        <f>IF(M9="","",IF(AND(ISERROR(FIND("carcass",A9))=TRUE,ISERROR(FIND("unit",A9))=TRUE,ISERROR(FIND("insert",A9))=TRUE,ISERROR(FIND("rack",A9))=TRUE,ISERROR(FIND("box",A9))=TRUE,ISERROR(FIND("shelf",A9))=TRUE),VLOOKUP(WardrobeDoorFinish,Finishing!$A$2:$K$10,9,0)*M9,IF(ISERROR(FIND("table",A9))=FALSE,VLOOKUP("Sayerlack AF0072 Interior Clear Self-Sealer",FinishingData,9,FALSE)*M9,VLOOKUP(WardrobeCarcassFinish,Finishing!$A$2:$K$40,9,0)*M9)))</f>
        <v>5.352</v>
      </c>
      <c r="O9" s="155">
        <v>0.5</v>
      </c>
      <c r="P9" s="155">
        <v>0.5</v>
      </c>
      <c r="Q9" s="152">
        <f>IF(OR(O9="",P9=""),"",((O9*X9)*(VLOOKUP("Workshop",Labour!$A$3:$E$20,4,0)/8))+((P9*AE9)*(VLOOKUP("Finishing",Labour!$A$3:$E$20,4,0)/8)))</f>
        <v>49.875</v>
      </c>
      <c r="R9" s="152">
        <f t="shared" si="4"/>
        <v>60.413509</v>
      </c>
      <c r="S9" s="156">
        <f>IF(OR(O9="",P9=""),"",IF(OR(ISERROR(FIND("carcass",$A9))=FALSE,ISERROR(FIND("unit",$A9))=FALSE),VLOOKUP(WardrobeCarcassMaterial,FixedListsCarcassMaterial,2,0),0))</f>
        <v>0</v>
      </c>
      <c r="T9" s="156">
        <f>IF(OR(O9="",P9=""),"",IF(ISERROR(FIND("door",$A9))=FALSE,VLOOKUP(WardrobeDoorStyle,FixedListsDoorStyle,2,0),0))</f>
        <v>0</v>
      </c>
      <c r="U9" s="156">
        <f>IF(OR(O9="",P9=""),"",IF(ISERROR(FIND("door",$A9))=FALSE,VLOOKUP(WardrobeDoorMaterial,FixedListsDoorMaterial,2,0),0))</f>
        <v>0</v>
      </c>
      <c r="V9" s="156">
        <f>IF(OR(O9="",P9=""),"",IF(ISERROR(FIND("drawer",$A9))=FALSE,VLOOKUP(WardrobeDrawerType,FixedListsDrawerType,2,0),0))</f>
        <v>0</v>
      </c>
      <c r="W9" s="156">
        <f>IF(OR(O9="",P9=""),"",IF(S9&gt;0,VLOOKUP(WardrobeHandleType,FixedListsHandleType,2,FALSE),0))</f>
        <v>0</v>
      </c>
      <c r="X9" s="156">
        <f t="shared" si="5"/>
        <v>1</v>
      </c>
      <c r="Y9" s="156">
        <f>IF(OR(O9="",P9=""),"",IF(OR(ISERROR(FIND("carcass",$A9))=FALSE,ISERROR(FIND("unit",$A9))=FALSE),VLOOKUP(WardrobeCarcassMaterial,FixedListsCarcassMaterial,3,0),0))</f>
        <v>0</v>
      </c>
      <c r="Z9" s="156">
        <f>IF(OR(O9="",P9=""),"",IF(ISERROR(FIND("door",$A9))=FALSE,VLOOKUP(WardrobeDoorStyle,FixedListsDoorStyle,3,0),0))</f>
        <v>0</v>
      </c>
      <c r="AA9" s="156">
        <f>IF(OR(O9="",P9=""),"",IF(ISERROR(FIND("door",$A9))=FALSE,VLOOKUP(WardrobeDoorMaterial,FixedListsDoorMaterial,3,0),0))</f>
        <v>0</v>
      </c>
      <c r="AB9" s="156">
        <f>IF(OR(O9="",P9=""),"",IF(ISERROR(FIND("drawer",$A9))=FALSE,VLOOKUP(WardrobeDrawerType,FixedListsDrawerType,3,0),0))</f>
        <v>0</v>
      </c>
      <c r="AC9" s="156">
        <f>IF(OR(O9="",P9=""),"",IF(S9&gt;0,VLOOKUP(WardrobeHandleType,FixedListsHandleType,3,FALSE),0))</f>
        <v>0</v>
      </c>
      <c r="AD9" s="156">
        <f>IF(OR(O9="",P9=""),"",IF(OR(ISERROR(FIND("carcass",$A9))=FALSE,ISERROR(FIND("unit",$A9))=FALSE),VLOOKUP(WardrobeCarcassFinish,FixedListsFinishes,3,0),IF(OR(ISERROR(FIND("door",$A9))=FALSE,ISERROR(FIND("Plinth",$A9))=FALSE,ISERROR(FIND("Cornice",$A9))=FALSE,ISERROR(FIND("Fillers",$A9))=FALSE,ISERROR(FIND("Pelmet",$A9))=FALSE,ISERROR(FIND("panel",$A9))=FALSE,ISERROR(FIND("post",$A9))=FALSE),VLOOKUP(WardrobeDoorFinish,FixedListsFinishes,3,0),IF(OR(ISERROR(FIND("drawer",$A9))=FALSE,ISERROR(FIND("insert",$A9))=FALSE,ISERROR(FIND("rck",$A9))=FALSE),VLOOKUP(WardrobeCarcassFinish,FixedListsFinishes,3,0),0))))</f>
        <v>2</v>
      </c>
      <c r="AE9" s="156">
        <f t="shared" si="6"/>
        <v>2</v>
      </c>
      <c r="AF9" s="157" t="str">
        <f>IF(AND(WardrobeHandleType="Channel",OR(ISERROR(FIND("arcass",$A9))=FALSE,ISERROR(FIND("unit",$A9))=FALSE)),IF(ISERROR(FIND("Tower",$A9))=TRUE,IF(WardrobeHandleFinish="Match carcass",IF(ISERROR(FIND("Walnut",WardrobeCarcassMaterial))=FALSE,(0.035*0.075*($C9/1000))*VLOOKUP("Walnut (solid m3)",SolidData,4,FALSE),IF(ISERROR(FIND("Oak",WardrobeCarcassMaterial))=FALSE,(0.035*0.075*($C9/1000))*VLOOKUP("Oak (solid m3)",SolidData,4,FALSE),IF(ISERROR(FIND("ply",WardrobeCarcassMaterial))=FALSE,(0.1*($C9/1000))*VLOOKUP("Birch ply (24mm)",SheetsData,7,FALSE),IF(ISERROR(FIND("H/F",WardrobeCarcassMaterial))=FALSE,(0.1*($C9/1000))*VLOOKUP("H/F (22mm)",SheetsData,7,FALSE),"Carcass - not tower - new material")))),IF(WardrobeHandleFinish="Match door",IF(ISERROR(FIND("Walnut",WardrobeDoorMaterial))=FALSE,(0.035*0.075*($C9/1000))*VLOOKUP("Walnut (solid m3)",SolidData,4,FALSE),IF(ISERROR(FIND("Oak",WardrobeDoorMaterial))=FALSE,(0.035*0.075*($C9/1000))*VLOOKUP("Oak (solid m3)",SolidData,4,FALSE),IF(ISERROR(FIND("ply",WardrobeDoorMaterial))=FALSE,(0.1*($C9/1000))*VLOOKUP("Birch ply (24mm)",SheetsData,7,FALSE),IF(ISERROR(FIND("H/F",WardrobeCarcassMaterial))=FALSE,(0.1*($C9/1000))*VLOOKUP("H/F (22mm)",SheetsData,7,FALSE),"Door - not tower - new material")))),"Channel - not tower - handle set to other")),IF(ISERROR(FIND("Tower",$A9))=FALSE,IF(WardrobeHandleFinish="Match carcass",IF(ISERROR(FIND("Walnut",WardrobeCarcassMaterial))=FALSE,(0.035*0.075*($B9/1000))*VLOOKUP("Walnut (solid m3)",SolidData,4,FALSE),IF(ISERROR(FIND("Oak",WardrobeCarcassMaterial))=FALSE,(0.035*0.075*($B9/1000))*VLOOKUP("Oak (solid m3)",SolidData,4,FALSE),IF(ISERROR(FIND("ply",WardrobeCarcassMaterial))=FALSE,(0.1*($B9/1000))*VLOOKUP("Birch ply (24mm)",SheetsData,7,FALSE),IF(ISERROR(FIND("H/F",WardrobeCarcassMaterial))=FALSE,(0.1*($C9/1000))*VLOOKUP("H/F (22mm)",SheetsData,7,FALSE),"Carcass - tower - new material")))),IF(WardrobeHandleFinish="Match door",IF(ISERROR(FIND("Walnut",WardrobeDoorMaterial))=FALSE,(0.035*0.075*($B9/1000))*VLOOKUP("Walnut (solid m3)",SolidData,4,FALSE),IF(ISERROR(FIND("Oak",WardrobeDoorMaterial))=FALSE,(0.035*0.075*($B9/1000))*VLOOKUP("Oak (solid m3)",SolidData,4,FALSE),IF(ISERROR(FIND("ply",WardrobeDoorMaterial))=FALSE,(0.1*($B9/1000))*VLOOKUP("Birch ply (24mm)",SheetData,7,FALSE),IF(ISERROR(FIND("H/F",WardrobeCarcassMaterial))=FALSE,(0.1*($C9/1000))*VLOOKUP("H/F (22mm)",SheetsData,7,FALSE),"Door - tower - new material")))),"Channel - tower - handle set to other")))),"")</f>
        <v/>
      </c>
    </row>
    <row r="10">
      <c r="A10" s="150" t="s">
        <v>218</v>
      </c>
      <c r="B10" s="160" t="str">
        <f t="shared" si="1"/>
        <v/>
      </c>
      <c r="C10" s="160" t="str">
        <f>IFERROR(__xludf.DUMMYFUNCTION("IF(A10="""","""",IF(ISERROR(FIND(""arcass"",A10))=FALSE,MID(A10,FIND(""*"",A10)+1,FIND(""*"",A10,FIND(""*"",A10)+1)-FIND(""*"",A10)-1),IF(ISERROR(FIND(""End panel"",A10))=FALSE,RIGHT(A10,3),IF(OR(ISERROR(FIND(""drawer"",A10))=FALSE,ISERROR(FIND(""door"",A"&amp;"10))=FALSE,ISERROR(FIND(""shelf"",A10))=FALSE,ISERROR(FIND(""panel"",A10))=FALSE,ISERROR(FIND(""Plinth"",A10))=FALSE,ISERROR(FIND(""Cornice"",A10))=FALSE,ISERROR(FIND(""Fillers"",A10))=FALSE,ISERROR(FIND(""Pelmet"",A10))=FALSE,ISERROR(FIND(""Fireplace up "&amp;"to 1600"",A10))=FALSE),RIGHT(A10,LEN(A10)-LEN(regexextract(A10,"".* ""))),IF(ISERROR(FIND(""table"",A10))=FALSE,""560"",IF(ISERROR(FIND(""Office pod"",A10))=FALSE,""1600"",IF(ISERROR(FIND(""Fireplace over 1600"",A10))=FALSE,""2400"",IF(ISERROR(FIND(""Work"&amp;"top"",A10))=FALSE,""650"",""Whoops""))))))))"),"2400")</f>
        <v>2400</v>
      </c>
      <c r="D10" s="161" t="str">
        <f t="shared" si="2"/>
        <v>600</v>
      </c>
      <c r="E10" s="152">
        <f>IF(OR(A10="",AND(ISERROR(FIND("drawer",A10))=FALSE,WardrobeDrawerType="")),"",IF(ISERROR(FIND("door",A10))=FALSE,IF(WardrobeDoorStyle="Flat",((B10/1000)*(C10/1000))*VLOOKUP(WardrobeDoorMaterial,SheetsData,8,0),IF(LEFT(WardrobeDoorStyle,5)="Panel",(((((B10/1000)*2)*0.08)+((((C10/1000)-0.16)*2)*0.08))*VLOOKUP("H/F (22mm)",SheetsData,8,0))+(((B10/1000)-0.14)*((C10/1000)-0.14)*VLOOKUP("H/F (9mm)",SheetsData,8,0)),IF(WardrobeDoorStyle="In-frame flat",((((((B10/1000)*0.019)*0.038)+((((C10-38)/1000)*0.038)*0.038))*2)*VLOOKUP("Tulip (solid m3)",SolidData,4,0))+(((B10-76)/1000)*((C10-38)/1000))*VLOOKUP("H/F (22mm)",SheetsData,8,0),IF(LEFT(WardrobeDoorStyle,14)="In-frame panel",(((((((B10/1000)*0.019)*0.038)+((((C10-38)/1000)*0.038)*0.038))*2)*VLOOKUP("Tulip (solid m3)",SolidData,4,0))+(((((((B10-76)/1000)*2)*0.08)+(((((C10-198)/1000)*2)*0.08)))*VLOOKUP("H/F (22mm)",SheetsData,8,0))+(((B10-216)/1000)*((C10-178)/1000)*VLOOKUP("H/F (9mm)",SheetsData,8,0)))))))),IF(AND(ISERROR(FIND("arcass",A10))=FALSE,ISERROR(FIND("ost corner",A10))=TRUE),IF(AND(VALUE(B10)&lt;1211,VALUE(C10)&lt;1211,VALUE(D10)&lt;606),1*VLOOKUP(WardrobeCarcassMaterial,SheetsData,5,FALSE),IF(AND(VALUE(B10)&lt;2421,VALUE(C10)&lt;2421,VALUE(D10)&lt;606),2*VLOOKUP(WardrobeCarcassMaterial,SheetsData,5,FALSE),IF(AND(VALUE(B10)&lt;2421,VALUE(C10)&lt;1211,VALUE(D10)&lt;1211),3*VLOOKUP(WardrobeCarcassMaterial,SheetsData,5,FALSE),IF(AND(VALUE(B10)&lt;2421,VALUE(C10)&lt;2421,VALUE(D10)&lt;1211),4*VLOOKUP(WardrobeCarcassMaterial,SheetsData,5,FALSE))))),IF(AND(ISERROR(FIND("arcass",A10))=FALSE,ISERROR(FIND("ost corner",A10))=FALSE),IF(AND(VALUE(B10)&lt;1211,VALUE(C10)&lt;1211,VALUE(D10)&lt;606),(1*VLOOKUP(WardrobeCarcassMaterial,SheetsData,5,FALSE))+(VLOOKUP("H/F (22mm)",SheetsData,7,FALSE)*1.44),IF(AND(VALUE(B10)&lt;2421,VALUE(C10)&lt;2421,VALUE(D10)&lt;606),(2*VLOOKUP(WardrobeCarcassMaterial,SheetsData,5,FALSE))+(VLOOKUP("H/F (22mm)",SheetsData,7,FALSE)*1.44),IF(AND(VALUE(B10)&lt;2421,VALUE(C10)&lt;1211,VALUE(D10)&lt;1211),(3*VLOOKUP(WardrobeCarcassMaterial,SheetsData,5,FALSE))+(VLOOKUP("H/F (22mm)",SheetsData,7,FALSE)*1.44),IF(AND(VALUE(B10)&lt;2421,VALUE(C10)&lt;2421,VALUE(D10)&lt;1211),(4*VLOOKUP(WardrobeCarcassMaterial,SheetsData,5,FALSE))+(VLOOKUP("H/F (22mm)",SheetsData,7,FALSE)*1.44))))),IF(ISERROR(FIND("drawer front",A10))=FALSE,((B10/1000)*(C10/1000))*VLOOKUP(WardrobeDoorMaterial,SheetsData,8,0),IF(AND(WardrobeDrawerType="Match carcass",ISERROR(FIND("drawer box",A10))=FALSE),(((((B10/1000)*(C10/1000))+((B10/1000)*(D10/1000)))*2)*VLOOKUP(WardrobeCarcassMaterial,SheetsData,8,0))+(((C10/1000)*(D10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box",A10))=FALSE),(((((B10/1000)*(C10/1000))+((B10/1000)*(D10/1000)))*2)*(16/1000)*VLOOKUP(LEFT(WardrobeCarcassMaterial,FIND(" ",WardrobeCarcassMaterial))&amp;"(solid m3)",SolidData,4,0))+(((C10/1000)*(D10/1000))*VLOOKUP(LEFT(WardrobeCarcassMaterial,FIND("(",WardrobeCarcassMaterial)-1)&amp;IF(OR(ISERROR(FIND("ply",WardrobeCarcassMaterial))=FALSE,ISERROR(FIND("H/F",WardrobeCarcassMaterial))=FALSE),"(9mm)","(10mm)"),SheetsData,8,0)),IF(ISERROR(FIND("shelf",A10))=FALSE,((C10/1000)*(D10/1000))*VLOOKUP(WardrobeCarcassMaterial,SheetsData,7,FALSE),IF(ISERROR(FIND("Office pod",A10))=FALSE,3*VLOOKUP(WardrobeCarcassMaterial,SheetsData,5,0),IF(ISERROR(FIND(" panel",A10))=FALSE,((B10/1000)*(C10/1000))*VLOOKUP(WardrobeDoorMaterial,SheetsData,8,0),IF(ISERROR(FIND("Fillers",A10))=FALSE,(((0.06*(C10/1000))*2)*VLOOKUP("H/F (18mm)",SheetsData,8,0))+(((0.06*(C10/1000))*2)*VLOOKUP("H/F (9mm)",SheetsData,8,0)),IF(ISERROR(FIND("Cornice (stacked)",A10))=FALSE,((0.08*(C10/1000))*2)*VLOOKUP("H/F (22mm)",SheetsData,8,0),IF(OR(ISERROR(FIND("Plinth",A10))=FALSE,ISERROR(FIND("Cornice (flat)",A10))=FALSE),((B10/1000)*(C10/1000))*VLOOKUP("H/F (18mm)",SheetsData,8,0),IF(ISERROR(FIND("Pelmet",A10))=FALSE,((((B10/1000)*(C10/1000))*2)*VLOOKUP("H/F (18mm)",SheetsData,8,0)),IF(ISERROR(FIND("Fireplace",A10))=FALSE,IF(ISERROR(FIND("over 1600",A10))=FALSE,2*VLOOKUP(WardrobeCarcassMaterial,SheetsData,5,FALSE),VLOOKUP(WardrobeCarcassMaterial,SheetsData,5,FALSE)),IF(ISERROR(FIND("table",A10))=FALSE,((B10/1000)*0.6)*VLOOKUP("Birch ply (24mm)",SheetsData,7,FALSE),IF(ISERROR(FIND("Worktop",A10))=FALSE,((B10/1000)*(C10/1000))*VLOOKUP(WardrobeDoorMaterial,SheetsData,7,FALSE),"Check formula")))))))))))))))))</f>
        <v>142.488</v>
      </c>
      <c r="F10" s="152">
        <f>IFERROR(__xludf.DUMMYFUNCTION("IF(OR(A10="""",AND(ISERROR(FIND(""drawer box"",A10))=FALSE,WardrobeDrawerType=""Solid dovetail"")),"""",IF(ISERROR(FIND(""bins"",A10))=FALSE,VLOOKUP(""Base carcass 600"",Wardrobes_etcData,6,0),IF(OR(ISERROR(FIND(""larder"",A10))=FALSE,ISERROR(FIND(""unit"&amp;""",A10))=FALSE),VLOOKUP(LEFT(A10,FIND("" "",A10))&amp;""carcass ""&amp;RIGHT(A10,LEN(A10)-len(regexextract(A10,"".* ""))),Wardrobes_etcData,6,0),IF(ISERROR(FIND(""drawer front"",A10))=FALSE,IF(ISERROR(FIND(""veneer"",WardrobeCarcassMaterial))=TRUE,0,(((B10+C10)/1"&amp;"000)*2)*VLOOKUP(""Edge banding (per M)"",SheetsData,5,0)),IF(ISERROR(FIND(""drawer box"",A10))=FALSE,IF(ISERROR(FIND(""veneer"",WardrobeCarcassMaterial))=TRUE,0,(((C10+D10)/1000)*2)*VLOOKUP(""Edge banding (per M)"",SheetsData,5,0)),IF(ISERROR(FIND(""shelf"&amp;""",A10))=FALSE,IF(ISERROR(FIND(""veneer"",WardrobeCarcassMaterial))=TRUE,0,(C10/1000)*VLOOKUP(""Edge banding (per M)"",SheetsData,5,0)),IF(AND(OR(ISERROR(FIND(""arcass"",A10))=FALSE,ISERROR(FIND(""Fireplace"",A10))=FALSE),ISERROR(FIND(""shelf"",A10))=TRUE"&amp;"),IF(ISERROR(FIND(""veneer"",WardrobeCarcassMaterial))=TRUE,0,((2*(B10+C10))/1000)*VLOOKUP(""Edge banding (per M)"",SheetsData,5,0)),IF(ISERROR(FIND(""door"",A10))=TRUE,"""",IF(ISERROR(FIND(""veneer"",WardrobeDoorMaterial))=TRUE,"""",((2*(B10+C10))/1000)*"&amp;"VLOOKUP(""Edge banding (per M)"",SheetsData,5,0))))))))))"),0.0)</f>
        <v>0</v>
      </c>
      <c r="G10" s="153" t="str">
        <f>IF(A10="","",IF(AND(ISERROR(FIND("arcass",A10))=TRUE,ISERROR(FIND("Fireplace",A10))=TRUE),"",IF(VALUE(C10)&lt;606,4*VLOOKUP("Plinth foot (2 Parts 80mm)",FurnitureData,5,FALSE),IF(VALUE(C10)&lt;1211,6*VLOOKUP("Plinth foot (2 Parts 80mm)",FurnitureData,5,FALSE),8*VLOOKUP("Plinth foot (2 Parts 80mm)",FurnitureData,5,FALSE)))))</f>
        <v/>
      </c>
      <c r="H10" s="115" t="str">
        <f>IF(OR(A10="",ISERROR(FIND("door",A10))=TRUE),"",VLOOKUP("Hinges &amp; plates (Hettich thick door)",FurnitureData,5,0)*5)</f>
        <v/>
      </c>
      <c r="I10" s="153">
        <f>IF(ISERROR(FIND("shelf",A10))=FALSE,(VLOOKUP("Shelf pegs",FurnitureData,5,0)/100)*4,"")</f>
        <v>0.2624</v>
      </c>
      <c r="J10" s="152" t="str">
        <f>IF(OR(ISERROR(FIND("fridge/freezer",A10))=FALSE,ISERROR(FIND("sink",A10))=FALSE,ISERROR(FIND("larder",A10))=FALSE),VLOOKUP("Deep shelf "&amp;C10,Wardrobes_etcData,18,0),IF(OR(ISERROR(FIND("single oven",A10))=FALSE,ISERROR(FIND("Base carcass",A10))=FALSE),2*VLOOKUP("Deep shelf "&amp;C10,Wardrobes_etcData,18,0),IF(AND(ISERROR(FIND("wall carcass",A10))=FALSE,ISERROR(FIND("Boiler",A10))=TRUE),2*VLOOKUP("Shallow shelf "&amp;C10,Wardrobes_etcData,18,0),IF(ISERROR(FIND("double oven",A10))=FALSE,3*VLOOKUP("Deep shelf "&amp;C10,Wardrobes_etcData,18,0),IF(ISERROR(FIND("Tower carcass",A10))=FALSE,6*VLOOKUP("Deep shelf "&amp;C10,Wardrobes_etcData,18,0),"")))))</f>
        <v/>
      </c>
      <c r="K10" s="152" t="str">
        <f>IF(ISERROR(FIND("sink",A10))=FALSE,VLOOKUP("Sink liner - Aluminium "&amp;RIGHT(A10,LEN(A10)-22)&amp;"mm",ExceptionalData,5,0),IF(ISERROR(FIND("bins",A10))=FALSE,VLOOKUP("Drawer runners and clip set for bin unit (500) Dynapro",FurnitureData,5,0)+(2*VLOOKUP("Bin (42L Anthracite)",FurnitureData,5,0)),IF(ISERROR(FIND("larder",A10))=FALSE,VLOOKUP("Pull out larder unit 600mm",FurnitureData,5,0),IF(AND(ISERROR(FIND("drawer box",A10))=FALSE,ISERROR(FIND("internal",A10))=TRUE),VLOOKUP("Drawer runners and clip set (550) Dynapro",FurnitureData,5,0),IF(ISERROR(FIND("internal drawer box",A10))=FALSE,VLOOKUP("Drawer runners and clip set (450) Dynapro",FurnitureData,5,0),IF(ISERROR(FIND("table",A10))=FALSE,VLOOKUP("Hairpin Leg (12mm Black "&amp;MID(A10,FIND("(",A10)+1,LEN(A10)-(FIND("(",A10))-1)&amp;"mm)",ExceptionalData,4,FALSE),""))))))</f>
        <v/>
      </c>
      <c r="L10" s="152">
        <f t="shared" si="3"/>
        <v>142.7504</v>
      </c>
      <c r="M10" s="154">
        <f>IF(A10="","",IF(AND(ISERROR(FIND("drawer front",A10))=FALSE,WardrobeDoorStyle="Flat"),(((B10/1000)*(C10/1000))*2)+((((B10+C10)/1000)*2)*0.022),IF(AND(ISERROR(FIND("drawer front",A10))=FALSE,LEFT(WardrobeDoorStyle,5)="Panel"),(((B10/1000)*(C10/1000))*2)+((((B10+C10)/1000)*2)*0.022)+((((C10/1000)-0.16)*0.013)*2)+((((D10/1000)-0.16)*0.013)*2),IF(AND(ISERROR(FIND("drawer front",A10))=FALSE,WardrobeDoorStyle="In-frame flat"),((((B10-76)/1000)*((C10-38)/1000))*2)+(MID(WardrobeDoorMaterial,FIND("(",WardrobeDoorMaterial)+1,2)/1000)*((((B10-76)+(C10-38))/1000)*2)+(((B10/1000)*0.032)*2)+((((B10-76)/1000)*0.032)*2)+(((B10/1000)*0.019)*4)+(((C10/1000)*0.032)*2)+((((C10-38)/1000)*0.032)*2)+(((C10/1000)*0.038)*4),IF(AND(ISERROR(FIND("drawer front",A10))=FALSE,LEFT(WardrobeDoorStyle,14)="In-frame panel"),((((B10-76)/1000)*((C10-38)/1000))*2)+((MID(WardrobeDoorMaterial,FIND("(",WardrobeDoorMaterial)+1,2)/1000)*((((B10-76)+(C10-38))/1000)*2))+((((B10-236)/1000)+((C10-198)/1000)*2)*0.013)+(((B10/1000)*0.032)*2)+((((B10-76)/1000)*0.032)*2)+(((B10/1000)*0.019)*4)+(((C10/1000)*0.032)*2)+((((C10-38)/1000)*0.032)*2)+(((C10/1000)*0.038)*4),IF(ISERROR(FIND("drawer box",A10))=FALSE,((((B10/1000)*(D10/1000))+((B10/1000)*(C10/1000)))*4)+((((D10/1000)+(C10/1000))*0.016)*4)+(((C10/1000)*(D10/1000))*2),IF(OR(ISERROR(FIND("shelf",A10))=FALSE,ISERROR(FIND("Filler panel",A10))=FALSE),(((C10/1000)*(D10/1000))*2)+((((C10+D10)*2)/1000)*0.022),IF(ISERROR(FIND("Fireplace",A10))=FALSE,((B10/1000)*(C10/1000)),IF(ISERROR(FIND("Worktop",A10))=FALSE,(B10/1000)*(C10/1000),IF(ISERROR(FIND("table",A10))=FALSE,(B10/1000)*0.6,IF(ISERROR(FIND("arcass",A10))=FALSE,(((C10/1000)*(D10/1000))*2)+(((B10/1000)*(D10/1000))*2)+((B10/1000)*(C10/1000))+((((B10/1000)*0.025)+((C10/1000)*0.025))*2),IF(AND(ISERROR(FIND("door",A10))=FALSE,WardrobeDoorStyle="Flat"),(((B10/1000)*(C10/1000))*2)+(MID(WardrobeDoorMaterial,FIND("(",WardrobeDoorMaterial)+1,2)/1000)*(((B10+C10)/1000)*2),IF(AND(ISERROR(FIND("door",A10))=FALSE,LEFT(WardrobeDoorStyle,5)="Panel"),(((B10/1000)*(C10/1000))*2)+((MID(WardrobeDoorMaterial,FIND("(",WardrobeDoorMaterial)+1,2)/1000)*(((B10+C10)/1000)*2))+(((((B10-160)+(C10-160))*2)/1000)*(0.013)),IF(AND(ISERROR(FIND("door",A10))=FALSE,WardrobeDoorStyle="In-frame flat"),((((B10-76)/1000)*((C10-38)/1000))*2)+(MID(WardrobeDoorMaterial,FIND("(",WardrobeDoorMaterial)+1,2)/1000)*((((B10-76)+(C10-38))/1000)*2)+(((B10/1000)*0.032)*2)+((((B10-76)/1000)*0.032)*2)+(((B10/1000)*0.019)*4)+(((C10/1000)*0.032)*2)+((((C10-38)/1000)*0.032)*2)+(((C10/1000)*0.038)*4),IF(AND(ISERROR(FIND("door",A10))=FALSE,LEFT(WardrobeDoorStyle,14)="In-frame panel"),((((B10-76)/1000)*((C10-38)/1000))*2)+((MID(WardrobeDoorMaterial,FIND("(",WardrobeDoorMaterial)+1,2)/1000)*((((B10-76)+(C10-38))/1000)*2))+((((B10-236)/1000)+((C10-198)/1000)*2)*0.013)+(((B10/1000)*0.032)*2)+((((B10-76)/1000)*0.032)*2)+(((B10/1000)*0.019)*4)+(((C10/1000)*0.032)*2)+((((C10-38)/1000)*0.032)*2)+(((C10/1000)*0.038)*4),IF(ISERROR(FIND("Plinth",A10))=FALSE,((B10/1000)*(C10/1000))+(((C10/1000)*0.018)*2)+(((B10/1000)*0.018)*2),IF(ISERROR(FIND("Cornice",A10))=FALSE,(((C10/1000)*0.1)*2)+(((C10/1000)*0.044)*2)+(((B10/1000)*0.08)*2),IF(ISERROR(FIND("Office pod",A10))=FALSE,((2400/1000)*(1200/1000))*6,IF(ISERROR(FIND("panel",A10))=FALSE,((B10/1000)*(C10/1000))+(0.022*((B10/1000)+((C10/1000)*2)))+((B10/1000)*0.05),IF(ISERROR(FIND("Fillers",A10))=FALSE,((C10/1000)*0.06)+((C10/1000)*0.069)+((0.06*0.018)*2)+((0.06*0.009)*2)+((C10/1000)*0.009)+((C10/1000)*0.018),IF(ISERROR(FIND("Pelmet",A10))=FALSE,((C10/1000)*0.05)+((C10/1000)*0.068)+((0.05*0.018)*4)+(((C10/1000)*0.018))*2)))))))))))))))))))))</f>
        <v>3.012</v>
      </c>
      <c r="N10" s="152">
        <f>IF(M10="","",IF(AND(ISERROR(FIND("carcass",A10))=TRUE,ISERROR(FIND("unit",A10))=TRUE,ISERROR(FIND("insert",A10))=TRUE,ISERROR(FIND("rack",A10))=TRUE,ISERROR(FIND("box",A10))=TRUE,ISERROR(FIND("shelf",A10))=TRUE),VLOOKUP(WardrobeDoorFinish,Finishing!$A$2:$K$10,9,0)*M10,IF(ISERROR(FIND("table",A10))=FALSE,VLOOKUP("Sayerlack AF0072 Interior Clear Self-Sealer",FinishingData,9,FALSE)*M10,VLOOKUP(WardrobeCarcassFinish,Finishing!$A$2:$K$40,9,0)*M10)))</f>
        <v>11.295</v>
      </c>
      <c r="O10" s="159">
        <v>1.0</v>
      </c>
      <c r="P10" s="159">
        <v>1.0</v>
      </c>
      <c r="Q10" s="152">
        <f>IF(OR(O10="",P10=""),"",((O10*X10)*(VLOOKUP("Workshop",Labour!$A$3:$E$20,4,0)/8))+((P10*AE10)*(VLOOKUP("Finishing",Labour!$A$3:$E$20,4,0)/8)))</f>
        <v>71.75</v>
      </c>
      <c r="R10" s="152">
        <f t="shared" si="4"/>
        <v>225.7954</v>
      </c>
      <c r="S10" s="156">
        <f>IF(OR(O10="",P10=""),"",IF(OR(ISERROR(FIND("carcass",$A10))=FALSE,ISERROR(FIND("unit",$A10))=FALSE),VLOOKUP(WardrobeCarcassMaterial,FixedListsCarcassMaterial,2,0),0))</f>
        <v>0</v>
      </c>
      <c r="T10" s="156">
        <f>IF(OR(O10="",P10=""),"",IF(ISERROR(FIND("door",$A10))=FALSE,VLOOKUP(WardrobeDoorStyle,FixedListsDoorStyle,2,0),0))</f>
        <v>0</v>
      </c>
      <c r="U10" s="156">
        <f>IF(OR(O10="",P10=""),"",IF(ISERROR(FIND("door",$A10))=FALSE,VLOOKUP(WardrobeDoorMaterial,FixedListsDoorMaterial,2,0),0))</f>
        <v>0</v>
      </c>
      <c r="V10" s="156">
        <f>IF(OR(O10="",P10=""),"",IF(ISERROR(FIND("drawer",$A10))=FALSE,VLOOKUP(WardrobeDrawerType,FixedListsDrawerType,2,0),0))</f>
        <v>0</v>
      </c>
      <c r="W10" s="156">
        <f>IF(OR(O10="",P10=""),"",IF(S10&gt;0,VLOOKUP(WardrobeHandleType,FixedListsHandleType,2,FALSE),0))</f>
        <v>0</v>
      </c>
      <c r="X10" s="156">
        <f t="shared" si="5"/>
        <v>1</v>
      </c>
      <c r="Y10" s="156">
        <f>IF(OR(O10="",P10=""),"",IF(OR(ISERROR(FIND("carcass",$A10))=FALSE,ISERROR(FIND("unit",$A10))=FALSE),VLOOKUP(WardrobeCarcassMaterial,FixedListsCarcassMaterial,3,0),0))</f>
        <v>0</v>
      </c>
      <c r="Z10" s="156">
        <f>IF(OR(O10="",P10=""),"",IF(ISERROR(FIND("door",$A10))=FALSE,VLOOKUP(WardrobeDoorStyle,FixedListsDoorStyle,3,0),0))</f>
        <v>0</v>
      </c>
      <c r="AA10" s="156">
        <f>IF(OR(O10="",P10=""),"",IF(ISERROR(FIND("door",$A10))=FALSE,VLOOKUP(WardrobeDoorMaterial,FixedListsDoorMaterial,3,0),0))</f>
        <v>0</v>
      </c>
      <c r="AB10" s="156">
        <f>IF(OR(O10="",P10=""),"",IF(ISERROR(FIND("drawer",$A10))=FALSE,VLOOKUP(WardrobeDrawerType,FixedListsDrawerType,3,0),0))</f>
        <v>0</v>
      </c>
      <c r="AC10" s="156">
        <f>IF(OR(O10="",P10=""),"",IF(S10&gt;0,VLOOKUP(WardrobeHandleType,FixedListsHandleType,3,FALSE),0))</f>
        <v>0</v>
      </c>
      <c r="AD10" s="156">
        <f>IF(OR(O10="",P10=""),"",IF(OR(ISERROR(FIND("carcass",$A10))=FALSE,ISERROR(FIND("unit",$A10))=FALSE),VLOOKUP(WardrobeCarcassFinish,FixedListsFinishes,3,0),IF(OR(ISERROR(FIND("door",$A10))=FALSE,ISERROR(FIND("Plinth",$A10))=FALSE,ISERROR(FIND("Cornice",$A10))=FALSE,ISERROR(FIND("Fillers",$A10))=FALSE,ISERROR(FIND("Pelmet",$A10))=FALSE,ISERROR(FIND("panel",$A10))=FALSE,ISERROR(FIND("post",$A10))=FALSE),VLOOKUP(WardrobeDoorFinish,FixedListsFinishes,3,0),IF(OR(ISERROR(FIND("drawer",$A10))=FALSE,ISERROR(FIND("insert",$A10))=FALSE,ISERROR(FIND("rck",$A10))=FALSE),VLOOKUP(WardrobeCarcassFinish,FixedListsFinishes,3,0),0))))</f>
        <v>0</v>
      </c>
      <c r="AE10" s="156">
        <f t="shared" si="6"/>
        <v>1</v>
      </c>
      <c r="AF10" s="157" t="str">
        <f>IF(AND(WardrobeHandleType="Channel",OR(ISERROR(FIND("arcass",$A10))=FALSE,ISERROR(FIND("unit",$A10))=FALSE)),IF(ISERROR(FIND("Tower",$A10))=TRUE,IF(WardrobeHandleFinish="Match carcass",IF(ISERROR(FIND("Walnut",WardrobeCarcassMaterial))=FALSE,(0.035*0.075*($C10/1000))*VLOOKUP("Walnut (solid m3)",SolidData,4,FALSE),IF(ISERROR(FIND("Oak",WardrobeCarcassMaterial))=FALSE,(0.035*0.075*($C10/1000))*VLOOKUP("Oak (solid m3)",SolidData,4,FALSE),IF(ISERROR(FIND("ply",WardrobeCarcassMaterial))=FALSE,(0.1*($C10/1000))*VLOOKUP("Birch ply (24mm)",SheetsData,7,FALSE),IF(ISERROR(FIND("H/F",WardrobeCarcassMaterial))=FALSE,(0.1*($C10/1000))*VLOOKUP("H/F (22mm)",SheetsData,7,FALSE),"Carcass - not tower - new material")))),IF(WardrobeHandleFinish="Match door",IF(ISERROR(FIND("Walnut",WardrobeDoorMaterial))=FALSE,(0.035*0.075*($C10/1000))*VLOOKUP("Walnut (solid m3)",SolidData,4,FALSE),IF(ISERROR(FIND("Oak",WardrobeDoorMaterial))=FALSE,(0.035*0.075*($C10/1000))*VLOOKUP("Oak (solid m3)",SolidData,4,FALSE),IF(ISERROR(FIND("ply",WardrobeDoorMaterial))=FALSE,(0.1*($C10/1000))*VLOOKUP("Birch ply (24mm)",SheetsData,7,FALSE),IF(ISERROR(FIND("H/F",WardrobeCarcassMaterial))=FALSE,(0.1*($C10/1000))*VLOOKUP("H/F (22mm)",SheetsData,7,FALSE),"Door - not tower - new material")))),"Channel - not tower - handle set to other")),IF(ISERROR(FIND("Tower",$A10))=FALSE,IF(WardrobeHandleFinish="Match carcass",IF(ISERROR(FIND("Walnut",WardrobeCarcassMaterial))=FALSE,(0.035*0.075*($B10/1000))*VLOOKUP("Walnut (solid m3)",SolidData,4,FALSE),IF(ISERROR(FIND("Oak",WardrobeCarcassMaterial))=FALSE,(0.035*0.075*($B10/1000))*VLOOKUP("Oak (solid m3)",SolidData,4,FALSE),IF(ISERROR(FIND("ply",WardrobeCarcassMaterial))=FALSE,(0.1*($B10/1000))*VLOOKUP("Birch ply (24mm)",SheetsData,7,FALSE),IF(ISERROR(FIND("H/F",WardrobeCarcassMaterial))=FALSE,(0.1*($C10/1000))*VLOOKUP("H/F (22mm)",SheetsData,7,FALSE),"Carcass - tower - new material")))),IF(WardrobeHandleFinish="Match door",IF(ISERROR(FIND("Walnut",WardrobeDoorMaterial))=FALSE,(0.035*0.075*($B10/1000))*VLOOKUP("Walnut (solid m3)",SolidData,4,FALSE),IF(ISERROR(FIND("Oak",WardrobeDoorMaterial))=FALSE,(0.035*0.075*($B10/1000))*VLOOKUP("Oak (solid m3)",SolidData,4,FALSE),IF(ISERROR(FIND("ply",WardrobeDoorMaterial))=FALSE,(0.1*($B10/1000))*VLOOKUP("Birch ply (24mm)",SheetData,7,FALSE),IF(ISERROR(FIND("H/F",WardrobeCarcassMaterial))=FALSE,(0.1*($C10/1000))*VLOOKUP("H/F (22mm)",SheetsData,7,FALSE),"Door - tower - new material")))),"Channel - tower - handle set to other")))),"")</f>
        <v/>
      </c>
    </row>
    <row r="11">
      <c r="A11" s="150" t="s">
        <v>219</v>
      </c>
      <c r="B11" s="160" t="str">
        <f t="shared" si="1"/>
        <v/>
      </c>
      <c r="C11" s="160" t="str">
        <f>IFERROR(__xludf.DUMMYFUNCTION("IF(A11="""","""",IF(ISERROR(FIND(""arcass"",A11))=FALSE,MID(A11,FIND(""*"",A11)+1,FIND(""*"",A11,FIND(""*"",A11)+1)-FIND(""*"",A11)-1),IF(ISERROR(FIND(""End panel"",A11))=FALSE,RIGHT(A11,3),IF(OR(ISERROR(FIND(""drawer"",A11))=FALSE,ISERROR(FIND(""door"",A"&amp;"11))=FALSE,ISERROR(FIND(""shelf"",A11))=FALSE,ISERROR(FIND(""panel"",A11))=FALSE,ISERROR(FIND(""Plinth"",A11))=FALSE,ISERROR(FIND(""Cornice"",A11))=FALSE,ISERROR(FIND(""Fillers"",A11))=FALSE,ISERROR(FIND(""Pelmet"",A11))=FALSE,ISERROR(FIND(""Fireplace up "&amp;"to 1600"",A11))=FALSE),RIGHT(A11,LEN(A11)-LEN(regexextract(A11,"".* ""))),IF(ISERROR(FIND(""table"",A11))=FALSE,""560"",IF(ISERROR(FIND(""Office pod"",A11))=FALSE,""1600"",IF(ISERROR(FIND(""Fireplace over 1600"",A11))=FALSE,""2400"",IF(ISERROR(FIND(""Work"&amp;"top"",A11))=FALSE,""650"",""Whoops""))))))))"),"1200")</f>
        <v>1200</v>
      </c>
      <c r="D11" s="161" t="str">
        <f t="shared" si="2"/>
        <v>600</v>
      </c>
      <c r="E11" s="152">
        <f>IF(OR(A11="",AND(ISERROR(FIND("drawer",A11))=FALSE,WardrobeDrawerType="")),"",IF(ISERROR(FIND("door",A11))=FALSE,IF(WardrobeDoorStyle="Flat",((B11/1000)*(C11/1000))*VLOOKUP(WardrobeDoorMaterial,SheetsData,8,0),IF(LEFT(WardrobeDoorStyle,5)="Panel",(((((B11/1000)*2)*0.08)+((((C11/1000)-0.16)*2)*0.08))*VLOOKUP("H/F (22mm)",SheetsData,8,0))+(((B11/1000)-0.14)*((C11/1000)-0.14)*VLOOKUP("H/F (9mm)",SheetsData,8,0)),IF(WardrobeDoorStyle="In-frame flat",((((((B11/1000)*0.019)*0.038)+((((C11-38)/1000)*0.038)*0.038))*2)*VLOOKUP("Tulip (solid m3)",SolidData,4,0))+(((B11-76)/1000)*((C11-38)/1000))*VLOOKUP("H/F (22mm)",SheetsData,8,0),IF(LEFT(WardrobeDoorStyle,14)="In-frame panel",(((((((B11/1000)*0.019)*0.038)+((((C11-38)/1000)*0.038)*0.038))*2)*VLOOKUP("Tulip (solid m3)",SolidData,4,0))+(((((((B11-76)/1000)*2)*0.08)+(((((C11-198)/1000)*2)*0.08)))*VLOOKUP("H/F (22mm)",SheetsData,8,0))+(((B11-216)/1000)*((C11-178)/1000)*VLOOKUP("H/F (9mm)",SheetsData,8,0)))))))),IF(AND(ISERROR(FIND("arcass",A11))=FALSE,ISERROR(FIND("ost corner",A11))=TRUE),IF(AND(VALUE(B11)&lt;1211,VALUE(C11)&lt;1211,VALUE(D11)&lt;606),1*VLOOKUP(WardrobeCarcassMaterial,SheetsData,5,FALSE),IF(AND(VALUE(B11)&lt;2421,VALUE(C11)&lt;2421,VALUE(D11)&lt;606),2*VLOOKUP(WardrobeCarcassMaterial,SheetsData,5,FALSE),IF(AND(VALUE(B11)&lt;2421,VALUE(C11)&lt;1211,VALUE(D11)&lt;1211),3*VLOOKUP(WardrobeCarcassMaterial,SheetsData,5,FALSE),IF(AND(VALUE(B11)&lt;2421,VALUE(C11)&lt;2421,VALUE(D11)&lt;1211),4*VLOOKUP(WardrobeCarcassMaterial,SheetsData,5,FALSE))))),IF(AND(ISERROR(FIND("arcass",A11))=FALSE,ISERROR(FIND("ost corner",A11))=FALSE),IF(AND(VALUE(B11)&lt;1211,VALUE(C11)&lt;1211,VALUE(D11)&lt;606),(1*VLOOKUP(WardrobeCarcassMaterial,SheetsData,5,FALSE))+(VLOOKUP("H/F (22mm)",SheetsData,7,FALSE)*1.44),IF(AND(VALUE(B11)&lt;2421,VALUE(C11)&lt;2421,VALUE(D11)&lt;606),(2*VLOOKUP(WardrobeCarcassMaterial,SheetsData,5,FALSE))+(VLOOKUP("H/F (22mm)",SheetsData,7,FALSE)*1.44),IF(AND(VALUE(B11)&lt;2421,VALUE(C11)&lt;1211,VALUE(D11)&lt;1211),(3*VLOOKUP(WardrobeCarcassMaterial,SheetsData,5,FALSE))+(VLOOKUP("H/F (22mm)",SheetsData,7,FALSE)*1.44),IF(AND(VALUE(B11)&lt;2421,VALUE(C11)&lt;2421,VALUE(D11)&lt;1211),(4*VLOOKUP(WardrobeCarcassMaterial,SheetsData,5,FALSE))+(VLOOKUP("H/F (22mm)",SheetsData,7,FALSE)*1.44))))),IF(ISERROR(FIND("drawer front",A11))=FALSE,((B11/1000)*(C11/1000))*VLOOKUP(WardrobeDoorMaterial,SheetsData,8,0),IF(AND(WardrobeDrawerType="Match carcass",ISERROR(FIND("drawer box",A11))=FALSE),(((((B11/1000)*(C11/1000))+((B11/1000)*(D11/1000)))*2)*VLOOKUP(WardrobeCarcassMaterial,SheetsData,8,0))+(((C11/1000)*(D11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box",A11))=FALSE),(((((B11/1000)*(C11/1000))+((B11/1000)*(D11/1000)))*2)*(16/1000)*VLOOKUP(LEFT(WardrobeCarcassMaterial,FIND(" ",WardrobeCarcassMaterial))&amp;"(solid m3)",SolidData,4,0))+(((C11/1000)*(D11/1000))*VLOOKUP(LEFT(WardrobeCarcassMaterial,FIND("(",WardrobeCarcassMaterial)-1)&amp;IF(OR(ISERROR(FIND("ply",WardrobeCarcassMaterial))=FALSE,ISERROR(FIND("H/F",WardrobeCarcassMaterial))=FALSE),"(9mm)","(10mm)"),SheetsData,8,0)),IF(ISERROR(FIND("shelf",A11))=FALSE,((C11/1000)*(D11/1000))*VLOOKUP(WardrobeCarcassMaterial,SheetsData,7,FALSE),IF(ISERROR(FIND("Office pod",A11))=FALSE,3*VLOOKUP(WardrobeCarcassMaterial,SheetsData,5,0),IF(ISERROR(FIND(" panel",A11))=FALSE,((B11/1000)*(C11/1000))*VLOOKUP(WardrobeDoorMaterial,SheetsData,8,0),IF(ISERROR(FIND("Fillers",A11))=FALSE,(((0.06*(C11/1000))*2)*VLOOKUP("H/F (18mm)",SheetsData,8,0))+(((0.06*(C11/1000))*2)*VLOOKUP("H/F (9mm)",SheetsData,8,0)),IF(ISERROR(FIND("Cornice (stacked)",A11))=FALSE,((0.08*(C11/1000))*2)*VLOOKUP("H/F (22mm)",SheetsData,8,0),IF(OR(ISERROR(FIND("Plinth",A11))=FALSE,ISERROR(FIND("Cornice (flat)",A11))=FALSE),((B11/1000)*(C11/1000))*VLOOKUP("H/F (18mm)",SheetsData,8,0),IF(ISERROR(FIND("Pelmet",A11))=FALSE,((((B11/1000)*(C11/1000))*2)*VLOOKUP("H/F (18mm)",SheetsData,8,0)),IF(ISERROR(FIND("Fireplace",A11))=FALSE,IF(ISERROR(FIND("over 1600",A11))=FALSE,2*VLOOKUP(WardrobeCarcassMaterial,SheetsData,5,FALSE),VLOOKUP(WardrobeCarcassMaterial,SheetsData,5,FALSE)),IF(ISERROR(FIND("table",A11))=FALSE,((B11/1000)*0.6)*VLOOKUP("Birch ply (24mm)",SheetsData,7,FALSE),IF(ISERROR(FIND("Worktop",A11))=FALSE,((B11/1000)*(C11/1000))*VLOOKUP(WardrobeDoorMaterial,SheetsData,7,FALSE),"Check formula")))))))))))))))))</f>
        <v>71.244</v>
      </c>
      <c r="F11" s="152">
        <f>IFERROR(__xludf.DUMMYFUNCTION("IF(OR(A11="""",AND(ISERROR(FIND(""drawer box"",A11))=FALSE,WardrobeDrawerType=""Solid dovetail"")),"""",IF(ISERROR(FIND(""bins"",A11))=FALSE,VLOOKUP(""Base carcass 600"",Wardrobes_etcData,6,0),IF(OR(ISERROR(FIND(""larder"",A11))=FALSE,ISERROR(FIND(""unit"&amp;""",A11))=FALSE),VLOOKUP(LEFT(A11,FIND("" "",A11))&amp;""carcass ""&amp;RIGHT(A11,LEN(A11)-len(regexextract(A11,"".* ""))),Wardrobes_etcData,6,0),IF(ISERROR(FIND(""drawer front"",A11))=FALSE,IF(ISERROR(FIND(""veneer"",WardrobeCarcassMaterial))=TRUE,0,(((B11+C11)/1"&amp;"000)*2)*VLOOKUP(""Edge banding (per M)"",SheetsData,5,0)),IF(ISERROR(FIND(""drawer box"",A11))=FALSE,IF(ISERROR(FIND(""veneer"",WardrobeCarcassMaterial))=TRUE,0,(((C11+D11)/1000)*2)*VLOOKUP(""Edge banding (per M)"",SheetsData,5,0)),IF(ISERROR(FIND(""shelf"&amp;""",A11))=FALSE,IF(ISERROR(FIND(""veneer"",WardrobeCarcassMaterial))=TRUE,0,(C11/1000)*VLOOKUP(""Edge banding (per M)"",SheetsData,5,0)),IF(AND(OR(ISERROR(FIND(""arcass"",A11))=FALSE,ISERROR(FIND(""Fireplace"",A11))=FALSE),ISERROR(FIND(""shelf"",A11))=TRUE"&amp;"),IF(ISERROR(FIND(""veneer"",WardrobeCarcassMaterial))=TRUE,0,((2*(B11+C11))/1000)*VLOOKUP(""Edge banding (per M)"",SheetsData,5,0)),IF(ISERROR(FIND(""door"",A11))=TRUE,"""",IF(ISERROR(FIND(""veneer"",WardrobeDoorMaterial))=TRUE,"""",((2*(B11+C11))/1000)*"&amp;"VLOOKUP(""Edge banding (per M)"",SheetsData,5,0))))))))))"),0.0)</f>
        <v>0</v>
      </c>
      <c r="G11" s="153" t="str">
        <f>IF(A11="","",IF(AND(ISERROR(FIND("arcass",A11))=TRUE,ISERROR(FIND("Fireplace",A11))=TRUE),"",IF(VALUE(C11)&lt;606,4*VLOOKUP("Plinth foot (2 Parts 80mm)",FurnitureData,5,FALSE),IF(VALUE(C11)&lt;1211,6*VLOOKUP("Plinth foot (2 Parts 80mm)",FurnitureData,5,FALSE),8*VLOOKUP("Plinth foot (2 Parts 80mm)",FurnitureData,5,FALSE)))))</f>
        <v/>
      </c>
      <c r="H11" s="115" t="str">
        <f>IF(OR(A11="",ISERROR(FIND("door",A11))=TRUE),"",VLOOKUP("Hinges &amp; plates (Hettich thick door)",FurnitureData,5,0)*5)</f>
        <v/>
      </c>
      <c r="I11" s="153">
        <f>IF(ISERROR(FIND("shelf",A11))=FALSE,(VLOOKUP("Shelf pegs",FurnitureData,5,0)/100)*4,"")</f>
        <v>0.2624</v>
      </c>
      <c r="J11" s="152" t="str">
        <f>IF(OR(ISERROR(FIND("fridge/freezer",A11))=FALSE,ISERROR(FIND("sink",A11))=FALSE,ISERROR(FIND("larder",A11))=FALSE),VLOOKUP("Deep shelf "&amp;C11,Wardrobes_etcData,18,0),IF(OR(ISERROR(FIND("single oven",A11))=FALSE,ISERROR(FIND("Base carcass",A11))=FALSE),2*VLOOKUP("Deep shelf "&amp;C11,Wardrobes_etcData,18,0),IF(AND(ISERROR(FIND("wall carcass",A11))=FALSE,ISERROR(FIND("Boiler",A11))=TRUE),2*VLOOKUP("Shallow shelf "&amp;C11,Wardrobes_etcData,18,0),IF(ISERROR(FIND("double oven",A11))=FALSE,3*VLOOKUP("Deep shelf "&amp;C11,Wardrobes_etcData,18,0),IF(ISERROR(FIND("Tower carcass",A11))=FALSE,6*VLOOKUP("Deep shelf "&amp;C11,Wardrobes_etcData,18,0),"")))))</f>
        <v/>
      </c>
      <c r="K11" s="152" t="str">
        <f>IF(ISERROR(FIND("sink",A11))=FALSE,VLOOKUP("Sink liner - Aluminium "&amp;RIGHT(A11,LEN(A11)-22)&amp;"mm",ExceptionalData,5,0),IF(ISERROR(FIND("bins",A11))=FALSE,VLOOKUP("Drawer runners and clip set for bin unit (500) Dynapro",FurnitureData,5,0)+(2*VLOOKUP("Bin (42L Anthracite)",FurnitureData,5,0)),IF(ISERROR(FIND("larder",A11))=FALSE,VLOOKUP("Pull out larder unit 600mm",FurnitureData,5,0),IF(AND(ISERROR(FIND("drawer box",A11))=FALSE,ISERROR(FIND("internal",A11))=TRUE),VLOOKUP("Drawer runners and clip set (550) Dynapro",FurnitureData,5,0),IF(ISERROR(FIND("internal drawer box",A11))=FALSE,VLOOKUP("Drawer runners and clip set (450) Dynapro",FurnitureData,5,0),IF(ISERROR(FIND("table",A11))=FALSE,VLOOKUP("Hairpin Leg (12mm Black "&amp;MID(A11,FIND("(",A11)+1,LEN(A11)-(FIND("(",A11))-1)&amp;"mm)",ExceptionalData,4,FALSE),""))))))</f>
        <v/>
      </c>
      <c r="L11" s="152">
        <f t="shared" si="3"/>
        <v>71.5064</v>
      </c>
      <c r="M11" s="154">
        <f>IF(A11="","",IF(AND(ISERROR(FIND("drawer front",A11))=FALSE,WardrobeDoorStyle="Flat"),(((B11/1000)*(C11/1000))*2)+((((B11+C11)/1000)*2)*0.022),IF(AND(ISERROR(FIND("drawer front",A11))=FALSE,LEFT(WardrobeDoorStyle,5)="Panel"),(((B11/1000)*(C11/1000))*2)+((((B11+C11)/1000)*2)*0.022)+((((C11/1000)-0.16)*0.013)*2)+((((D11/1000)-0.16)*0.013)*2),IF(AND(ISERROR(FIND("drawer front",A11))=FALSE,WardrobeDoorStyle="In-frame flat"),((((B11-76)/1000)*((C11-38)/1000))*2)+(MID(WardrobeDoorMaterial,FIND("(",WardrobeDoorMaterial)+1,2)/1000)*((((B11-76)+(C11-38))/1000)*2)+(((B11/1000)*0.032)*2)+((((B11-76)/1000)*0.032)*2)+(((B11/1000)*0.019)*4)+(((C11/1000)*0.032)*2)+((((C11-38)/1000)*0.032)*2)+(((C11/1000)*0.038)*4),IF(AND(ISERROR(FIND("drawer front",A11))=FALSE,LEFT(WardrobeDoorStyle,14)="In-frame panel"),((((B11-76)/1000)*((C11-38)/1000))*2)+((MID(WardrobeDoorMaterial,FIND("(",WardrobeDoorMaterial)+1,2)/1000)*((((B11-76)+(C11-38))/1000)*2))+((((B11-236)/1000)+((C11-198)/1000)*2)*0.013)+(((B11/1000)*0.032)*2)+((((B11-76)/1000)*0.032)*2)+(((B11/1000)*0.019)*4)+(((C11/1000)*0.032)*2)+((((C11-38)/1000)*0.032)*2)+(((C11/1000)*0.038)*4),IF(ISERROR(FIND("drawer box",A11))=FALSE,((((B11/1000)*(D11/1000))+((B11/1000)*(C11/1000)))*4)+((((D11/1000)+(C11/1000))*0.016)*4)+(((C11/1000)*(D11/1000))*2),IF(OR(ISERROR(FIND("shelf",A11))=FALSE,ISERROR(FIND("Filler panel",A11))=FALSE),(((C11/1000)*(D11/1000))*2)+((((C11+D11)*2)/1000)*0.022),IF(ISERROR(FIND("Fireplace",A11))=FALSE,((B11/1000)*(C11/1000)),IF(ISERROR(FIND("Worktop",A11))=FALSE,(B11/1000)*(C11/1000),IF(ISERROR(FIND("table",A11))=FALSE,(B11/1000)*0.6,IF(ISERROR(FIND("arcass",A11))=FALSE,(((C11/1000)*(D11/1000))*2)+(((B11/1000)*(D11/1000))*2)+((B11/1000)*(C11/1000))+((((B11/1000)*0.025)+((C11/1000)*0.025))*2),IF(AND(ISERROR(FIND("door",A11))=FALSE,WardrobeDoorStyle="Flat"),(((B11/1000)*(C11/1000))*2)+(MID(WardrobeDoorMaterial,FIND("(",WardrobeDoorMaterial)+1,2)/1000)*(((B11+C11)/1000)*2),IF(AND(ISERROR(FIND("door",A11))=FALSE,LEFT(WardrobeDoorStyle,5)="Panel"),(((B11/1000)*(C11/1000))*2)+((MID(WardrobeDoorMaterial,FIND("(",WardrobeDoorMaterial)+1,2)/1000)*(((B11+C11)/1000)*2))+(((((B11-160)+(C11-160))*2)/1000)*(0.013)),IF(AND(ISERROR(FIND("door",A11))=FALSE,WardrobeDoorStyle="In-frame flat"),((((B11-76)/1000)*((C11-38)/1000))*2)+(MID(WardrobeDoorMaterial,FIND("(",WardrobeDoorMaterial)+1,2)/1000)*((((B11-76)+(C11-38))/1000)*2)+(((B11/1000)*0.032)*2)+((((B11-76)/1000)*0.032)*2)+(((B11/1000)*0.019)*4)+(((C11/1000)*0.032)*2)+((((C11-38)/1000)*0.032)*2)+(((C11/1000)*0.038)*4),IF(AND(ISERROR(FIND("door",A11))=FALSE,LEFT(WardrobeDoorStyle,14)="In-frame panel"),((((B11-76)/1000)*((C11-38)/1000))*2)+((MID(WardrobeDoorMaterial,FIND("(",WardrobeDoorMaterial)+1,2)/1000)*((((B11-76)+(C11-38))/1000)*2))+((((B11-236)/1000)+((C11-198)/1000)*2)*0.013)+(((B11/1000)*0.032)*2)+((((B11-76)/1000)*0.032)*2)+(((B11/1000)*0.019)*4)+(((C11/1000)*0.032)*2)+((((C11-38)/1000)*0.032)*2)+(((C11/1000)*0.038)*4),IF(ISERROR(FIND("Plinth",A11))=FALSE,((B11/1000)*(C11/1000))+(((C11/1000)*0.018)*2)+(((B11/1000)*0.018)*2),IF(ISERROR(FIND("Cornice",A11))=FALSE,(((C11/1000)*0.1)*2)+(((C11/1000)*0.044)*2)+(((B11/1000)*0.08)*2),IF(ISERROR(FIND("Office pod",A11))=FALSE,((2400/1000)*(1200/1000))*6,IF(ISERROR(FIND("panel",A11))=FALSE,((B11/1000)*(C11/1000))+(0.022*((B11/1000)+((C11/1000)*2)))+((B11/1000)*0.05),IF(ISERROR(FIND("Fillers",A11))=FALSE,((C11/1000)*0.06)+((C11/1000)*0.069)+((0.06*0.018)*2)+((0.06*0.009)*2)+((C11/1000)*0.009)+((C11/1000)*0.018),IF(ISERROR(FIND("Pelmet",A11))=FALSE,((C11/1000)*0.05)+((C11/1000)*0.068)+((0.05*0.018)*4)+(((C11/1000)*0.018))*2)))))))))))))))))))))</f>
        <v>1.5192</v>
      </c>
      <c r="N11" s="152">
        <f>IF(M11="","",IF(AND(ISERROR(FIND("carcass",A11))=TRUE,ISERROR(FIND("unit",A11))=TRUE,ISERROR(FIND("insert",A11))=TRUE,ISERROR(FIND("rack",A11))=TRUE,ISERROR(FIND("box",A11))=TRUE,ISERROR(FIND("shelf",A11))=TRUE),VLOOKUP(WardrobeDoorFinish,Finishing!$A$2:$K$10,9,0)*M11,IF(ISERROR(FIND("table",A11))=FALSE,VLOOKUP("Sayerlack AF0072 Interior Clear Self-Sealer",FinishingData,9,FALSE)*M11,VLOOKUP(WardrobeCarcassFinish,Finishing!$A$2:$K$40,9,0)*M11)))</f>
        <v>5.697</v>
      </c>
      <c r="O11" s="159">
        <v>1.0</v>
      </c>
      <c r="P11" s="159">
        <v>1.0</v>
      </c>
      <c r="Q11" s="152">
        <f>IF(OR(O11="",P11=""),"",((O11*X11)*(VLOOKUP("Workshop",Labour!$A$3:$E$20,4,0)/8))+((P11*AE11)*(VLOOKUP("Finishing",Labour!$A$3:$E$20,4,0)/8)))</f>
        <v>71.75</v>
      </c>
      <c r="R11" s="152">
        <f t="shared" si="4"/>
        <v>148.9534</v>
      </c>
      <c r="S11" s="156">
        <f>IF(OR(O11="",P11=""),"",IF(OR(ISERROR(FIND("carcass",$A11))=FALSE,ISERROR(FIND("unit",$A11))=FALSE),VLOOKUP(WardrobeCarcassMaterial,FixedListsCarcassMaterial,2,0),0))</f>
        <v>0</v>
      </c>
      <c r="T11" s="156">
        <f>IF(OR(O11="",P11=""),"",IF(ISERROR(FIND("door",$A11))=FALSE,VLOOKUP(WardrobeDoorStyle,FixedListsDoorStyle,2,0),0))</f>
        <v>0</v>
      </c>
      <c r="U11" s="156">
        <f>IF(OR(O11="",P11=""),"",IF(ISERROR(FIND("door",$A11))=FALSE,VLOOKUP(WardrobeDoorMaterial,FixedListsDoorMaterial,2,0),0))</f>
        <v>0</v>
      </c>
      <c r="V11" s="156">
        <f>IF(OR(O11="",P11=""),"",IF(ISERROR(FIND("drawer",$A11))=FALSE,VLOOKUP(WardrobeDrawerType,FixedListsDrawerType,2,0),0))</f>
        <v>0</v>
      </c>
      <c r="W11" s="156">
        <f>IF(OR(O11="",P11=""),"",IF(S11&gt;0,VLOOKUP(WardrobeHandleType,FixedListsHandleType,2,FALSE),0))</f>
        <v>0</v>
      </c>
      <c r="X11" s="156">
        <f t="shared" si="5"/>
        <v>1</v>
      </c>
      <c r="Y11" s="156">
        <f>IF(OR(O11="",P11=""),"",IF(OR(ISERROR(FIND("carcass",$A11))=FALSE,ISERROR(FIND("unit",$A11))=FALSE),VLOOKUP(WardrobeCarcassMaterial,FixedListsCarcassMaterial,3,0),0))</f>
        <v>0</v>
      </c>
      <c r="Z11" s="156">
        <f>IF(OR(O11="",P11=""),"",IF(ISERROR(FIND("door",$A11))=FALSE,VLOOKUP(WardrobeDoorStyle,FixedListsDoorStyle,3,0),0))</f>
        <v>0</v>
      </c>
      <c r="AA11" s="156">
        <f>IF(OR(O11="",P11=""),"",IF(ISERROR(FIND("door",$A11))=FALSE,VLOOKUP(WardrobeDoorMaterial,FixedListsDoorMaterial,3,0),0))</f>
        <v>0</v>
      </c>
      <c r="AB11" s="156">
        <f>IF(OR(O11="",P11=""),"",IF(ISERROR(FIND("drawer",$A11))=FALSE,VLOOKUP(WardrobeDrawerType,FixedListsDrawerType,3,0),0))</f>
        <v>0</v>
      </c>
      <c r="AC11" s="156">
        <f>IF(OR(O11="",P11=""),"",IF(S11&gt;0,VLOOKUP(WardrobeHandleType,FixedListsHandleType,3,FALSE),0))</f>
        <v>0</v>
      </c>
      <c r="AD11" s="156">
        <f>IF(OR(O11="",P11=""),"",IF(OR(ISERROR(FIND("carcass",$A11))=FALSE,ISERROR(FIND("unit",$A11))=FALSE),VLOOKUP(WardrobeCarcassFinish,FixedListsFinishes,3,0),IF(OR(ISERROR(FIND("door",$A11))=FALSE,ISERROR(FIND("Plinth",$A11))=FALSE,ISERROR(FIND("Cornice",$A11))=FALSE,ISERROR(FIND("Fillers",$A11))=FALSE,ISERROR(FIND("Pelmet",$A11))=FALSE,ISERROR(FIND("panel",$A11))=FALSE,ISERROR(FIND("post",$A11))=FALSE),VLOOKUP(WardrobeDoorFinish,FixedListsFinishes,3,0),IF(OR(ISERROR(FIND("drawer",$A11))=FALSE,ISERROR(FIND("insert",$A11))=FALSE,ISERROR(FIND("rck",$A11))=FALSE),VLOOKUP(WardrobeCarcassFinish,FixedListsFinishes,3,0),0))))</f>
        <v>0</v>
      </c>
      <c r="AE11" s="156">
        <f t="shared" si="6"/>
        <v>1</v>
      </c>
      <c r="AF11" s="157" t="str">
        <f>IF(AND(WardrobeHandleType="Channel",OR(ISERROR(FIND("arcass",$A11))=FALSE,ISERROR(FIND("unit",$A11))=FALSE)),IF(ISERROR(FIND("Tower",$A11))=TRUE,IF(WardrobeHandleFinish="Match carcass",IF(ISERROR(FIND("Walnut",WardrobeCarcassMaterial))=FALSE,(0.035*0.075*($C11/1000))*VLOOKUP("Walnut (solid m3)",SolidData,4,FALSE),IF(ISERROR(FIND("Oak",WardrobeCarcassMaterial))=FALSE,(0.035*0.075*($C11/1000))*VLOOKUP("Oak (solid m3)",SolidData,4,FALSE),IF(ISERROR(FIND("ply",WardrobeCarcassMaterial))=FALSE,(0.1*($C11/1000))*VLOOKUP("Birch ply (24mm)",SheetsData,7,FALSE),IF(ISERROR(FIND("H/F",WardrobeCarcassMaterial))=FALSE,(0.1*($C11/1000))*VLOOKUP("H/F (22mm)",SheetsData,7,FALSE),"Carcass - not tower - new material")))),IF(WardrobeHandleFinish="Match door",IF(ISERROR(FIND("Walnut",WardrobeDoorMaterial))=FALSE,(0.035*0.075*($C11/1000))*VLOOKUP("Walnut (solid m3)",SolidData,4,FALSE),IF(ISERROR(FIND("Oak",WardrobeDoorMaterial))=FALSE,(0.035*0.075*($C11/1000))*VLOOKUP("Oak (solid m3)",SolidData,4,FALSE),IF(ISERROR(FIND("ply",WardrobeDoorMaterial))=FALSE,(0.1*($C11/1000))*VLOOKUP("Birch ply (24mm)",SheetsData,7,FALSE),IF(ISERROR(FIND("H/F",WardrobeCarcassMaterial))=FALSE,(0.1*($C11/1000))*VLOOKUP("H/F (22mm)",SheetsData,7,FALSE),"Door - not tower - new material")))),"Channel - not tower - handle set to other")),IF(ISERROR(FIND("Tower",$A11))=FALSE,IF(WardrobeHandleFinish="Match carcass",IF(ISERROR(FIND("Walnut",WardrobeCarcassMaterial))=FALSE,(0.035*0.075*($B11/1000))*VLOOKUP("Walnut (solid m3)",SolidData,4,FALSE),IF(ISERROR(FIND("Oak",WardrobeCarcassMaterial))=FALSE,(0.035*0.075*($B11/1000))*VLOOKUP("Oak (solid m3)",SolidData,4,FALSE),IF(ISERROR(FIND("ply",WardrobeCarcassMaterial))=FALSE,(0.1*($B11/1000))*VLOOKUP("Birch ply (24mm)",SheetsData,7,FALSE),IF(ISERROR(FIND("H/F",WardrobeCarcassMaterial))=FALSE,(0.1*($C11/1000))*VLOOKUP("H/F (22mm)",SheetsData,7,FALSE),"Carcass - tower - new material")))),IF(WardrobeHandleFinish="Match door",IF(ISERROR(FIND("Walnut",WardrobeDoorMaterial))=FALSE,(0.035*0.075*($B11/1000))*VLOOKUP("Walnut (solid m3)",SolidData,4,FALSE),IF(ISERROR(FIND("Oak",WardrobeDoorMaterial))=FALSE,(0.035*0.075*($B11/1000))*VLOOKUP("Oak (solid m3)",SolidData,4,FALSE),IF(ISERROR(FIND("ply",WardrobeDoorMaterial))=FALSE,(0.1*($B11/1000))*VLOOKUP("Birch ply (24mm)",SheetData,7,FALSE),IF(ISERROR(FIND("H/F",WardrobeCarcassMaterial))=FALSE,(0.1*($C11/1000))*VLOOKUP("H/F (22mm)",SheetsData,7,FALSE),"Door - tower - new material")))),"Channel - tower - handle set to other")))),"")</f>
        <v/>
      </c>
    </row>
    <row r="12">
      <c r="A12" s="150" t="s">
        <v>220</v>
      </c>
      <c r="B12" s="160" t="str">
        <f t="shared" si="1"/>
        <v/>
      </c>
      <c r="C12" s="160" t="str">
        <f>IFERROR(__xludf.DUMMYFUNCTION("IF(A12="""","""",IF(ISERROR(FIND(""arcass"",A12))=FALSE,MID(A12,FIND(""*"",A12)+1,FIND(""*"",A12,FIND(""*"",A12)+1)-FIND(""*"",A12)-1),IF(ISERROR(FIND(""End panel"",A12))=FALSE,RIGHT(A12,3),IF(OR(ISERROR(FIND(""drawer"",A12))=FALSE,ISERROR(FIND(""door"",A"&amp;"12))=FALSE,ISERROR(FIND(""shelf"",A12))=FALSE,ISERROR(FIND(""panel"",A12))=FALSE,ISERROR(FIND(""Plinth"",A12))=FALSE,ISERROR(FIND(""Cornice"",A12))=FALSE,ISERROR(FIND(""Fillers"",A12))=FALSE,ISERROR(FIND(""Pelmet"",A12))=FALSE,ISERROR(FIND(""Fireplace up "&amp;"to 1600"",A12))=FALSE),RIGHT(A12,LEN(A12)-LEN(regexextract(A12,"".* ""))),IF(ISERROR(FIND(""table"",A12))=FALSE,""560"",IF(ISERROR(FIND(""Office pod"",A12))=FALSE,""1600"",IF(ISERROR(FIND(""Fireplace over 1600"",A12))=FALSE,""2400"",IF(ISERROR(FIND(""Work"&amp;"top"",A12))=FALSE,""650"",""Whoops""))))))))"),"600")</f>
        <v>600</v>
      </c>
      <c r="D12" s="161" t="str">
        <f t="shared" si="2"/>
        <v>600</v>
      </c>
      <c r="E12" s="152">
        <f>IF(OR(A12="",AND(ISERROR(FIND("drawer",A12))=FALSE,WardrobeDrawerType="")),"",IF(ISERROR(FIND("door",A12))=FALSE,IF(WardrobeDoorStyle="Flat",((B12/1000)*(C12/1000))*VLOOKUP(WardrobeDoorMaterial,SheetsData,8,0),IF(LEFT(WardrobeDoorStyle,5)="Panel",(((((B12/1000)*2)*0.08)+((((C12/1000)-0.16)*2)*0.08))*VLOOKUP("H/F (22mm)",SheetsData,8,0))+(((B12/1000)-0.14)*((C12/1000)-0.14)*VLOOKUP("H/F (9mm)",SheetsData,8,0)),IF(WardrobeDoorStyle="In-frame flat",((((((B12/1000)*0.019)*0.038)+((((C12-38)/1000)*0.038)*0.038))*2)*VLOOKUP("Tulip (solid m3)",SolidData,4,0))+(((B12-76)/1000)*((C12-38)/1000))*VLOOKUP("H/F (22mm)",SheetsData,8,0),IF(LEFT(WardrobeDoorStyle,14)="In-frame panel",(((((((B12/1000)*0.019)*0.038)+((((C12-38)/1000)*0.038)*0.038))*2)*VLOOKUP("Tulip (solid m3)",SolidData,4,0))+(((((((B12-76)/1000)*2)*0.08)+(((((C12-198)/1000)*2)*0.08)))*VLOOKUP("H/F (22mm)",SheetsData,8,0))+(((B12-216)/1000)*((C12-178)/1000)*VLOOKUP("H/F (9mm)",SheetsData,8,0)))))))),IF(AND(ISERROR(FIND("arcass",A12))=FALSE,ISERROR(FIND("ost corner",A12))=TRUE),IF(AND(VALUE(B12)&lt;1211,VALUE(C12)&lt;1211,VALUE(D12)&lt;606),1*VLOOKUP(WardrobeCarcassMaterial,SheetsData,5,FALSE),IF(AND(VALUE(B12)&lt;2421,VALUE(C12)&lt;2421,VALUE(D12)&lt;606),2*VLOOKUP(WardrobeCarcassMaterial,SheetsData,5,FALSE),IF(AND(VALUE(B12)&lt;2421,VALUE(C12)&lt;1211,VALUE(D12)&lt;1211),3*VLOOKUP(WardrobeCarcassMaterial,SheetsData,5,FALSE),IF(AND(VALUE(B12)&lt;2421,VALUE(C12)&lt;2421,VALUE(D12)&lt;1211),4*VLOOKUP(WardrobeCarcassMaterial,SheetsData,5,FALSE))))),IF(AND(ISERROR(FIND("arcass",A12))=FALSE,ISERROR(FIND("ost corner",A12))=FALSE),IF(AND(VALUE(B12)&lt;1211,VALUE(C12)&lt;1211,VALUE(D12)&lt;606),(1*VLOOKUP(WardrobeCarcassMaterial,SheetsData,5,FALSE))+(VLOOKUP("H/F (22mm)",SheetsData,7,FALSE)*1.44),IF(AND(VALUE(B12)&lt;2421,VALUE(C12)&lt;2421,VALUE(D12)&lt;606),(2*VLOOKUP(WardrobeCarcassMaterial,SheetsData,5,FALSE))+(VLOOKUP("H/F (22mm)",SheetsData,7,FALSE)*1.44),IF(AND(VALUE(B12)&lt;2421,VALUE(C12)&lt;1211,VALUE(D12)&lt;1211),(3*VLOOKUP(WardrobeCarcassMaterial,SheetsData,5,FALSE))+(VLOOKUP("H/F (22mm)",SheetsData,7,FALSE)*1.44),IF(AND(VALUE(B12)&lt;2421,VALUE(C12)&lt;2421,VALUE(D12)&lt;1211),(4*VLOOKUP(WardrobeCarcassMaterial,SheetsData,5,FALSE))+(VLOOKUP("H/F (22mm)",SheetsData,7,FALSE)*1.44))))),IF(ISERROR(FIND("drawer front",A12))=FALSE,((B12/1000)*(C12/1000))*VLOOKUP(WardrobeDoorMaterial,SheetsData,8,0),IF(AND(WardrobeDrawerType="Match carcass",ISERROR(FIND("drawer box",A12))=FALSE),(((((B12/1000)*(C12/1000))+((B12/1000)*(D12/1000)))*2)*VLOOKUP(WardrobeCarcassMaterial,SheetsData,8,0))+(((C12/1000)*(D12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box",A12))=FALSE),(((((B12/1000)*(C12/1000))+((B12/1000)*(D12/1000)))*2)*(16/1000)*VLOOKUP(LEFT(WardrobeCarcassMaterial,FIND(" ",WardrobeCarcassMaterial))&amp;"(solid m3)",SolidData,4,0))+(((C12/1000)*(D12/1000))*VLOOKUP(LEFT(WardrobeCarcassMaterial,FIND("(",WardrobeCarcassMaterial)-1)&amp;IF(OR(ISERROR(FIND("ply",WardrobeCarcassMaterial))=FALSE,ISERROR(FIND("H/F",WardrobeCarcassMaterial))=FALSE),"(9mm)","(10mm)"),SheetsData,8,0)),IF(ISERROR(FIND("shelf",A12))=FALSE,((C12/1000)*(D12/1000))*VLOOKUP(WardrobeCarcassMaterial,SheetsData,7,FALSE),IF(ISERROR(FIND("Office pod",A12))=FALSE,3*VLOOKUP(WardrobeCarcassMaterial,SheetsData,5,0),IF(ISERROR(FIND(" panel",A12))=FALSE,((B12/1000)*(C12/1000))*VLOOKUP(WardrobeDoorMaterial,SheetsData,8,0),IF(ISERROR(FIND("Fillers",A12))=FALSE,(((0.06*(C12/1000))*2)*VLOOKUP("H/F (18mm)",SheetsData,8,0))+(((0.06*(C12/1000))*2)*VLOOKUP("H/F (9mm)",SheetsData,8,0)),IF(ISERROR(FIND("Cornice (stacked)",A12))=FALSE,((0.08*(C12/1000))*2)*VLOOKUP("H/F (22mm)",SheetsData,8,0),IF(OR(ISERROR(FIND("Plinth",A12))=FALSE,ISERROR(FIND("Cornice (flat)",A12))=FALSE),((B12/1000)*(C12/1000))*VLOOKUP("H/F (18mm)",SheetsData,8,0),IF(ISERROR(FIND("Pelmet",A12))=FALSE,((((B12/1000)*(C12/1000))*2)*VLOOKUP("H/F (18mm)",SheetsData,8,0)),IF(ISERROR(FIND("Fireplace",A12))=FALSE,IF(ISERROR(FIND("over 1600",A12))=FALSE,2*VLOOKUP(WardrobeCarcassMaterial,SheetsData,5,FALSE),VLOOKUP(WardrobeCarcassMaterial,SheetsData,5,FALSE)),IF(ISERROR(FIND("table",A12))=FALSE,((B12/1000)*0.6)*VLOOKUP("Birch ply (24mm)",SheetsData,7,FALSE),IF(ISERROR(FIND("Worktop",A12))=FALSE,((B12/1000)*(C12/1000))*VLOOKUP(WardrobeDoorMaterial,SheetsData,7,FALSE),"Check formula")))))))))))))))))</f>
        <v>35.622</v>
      </c>
      <c r="F12" s="152">
        <f>IFERROR(__xludf.DUMMYFUNCTION("IF(OR(A12="""",AND(ISERROR(FIND(""drawer box"",A12))=FALSE,WardrobeDrawerType=""Solid dovetail"")),"""",IF(ISERROR(FIND(""bins"",A12))=FALSE,VLOOKUP(""Base carcass 600"",Wardrobes_etcData,6,0),IF(OR(ISERROR(FIND(""larder"",A12))=FALSE,ISERROR(FIND(""unit"&amp;""",A12))=FALSE),VLOOKUP(LEFT(A12,FIND("" "",A12))&amp;""carcass ""&amp;RIGHT(A12,LEN(A12)-len(regexextract(A12,"".* ""))),Wardrobes_etcData,6,0),IF(ISERROR(FIND(""drawer front"",A12))=FALSE,IF(ISERROR(FIND(""veneer"",WardrobeCarcassMaterial))=TRUE,0,(((B12+C12)/1"&amp;"000)*2)*VLOOKUP(""Edge banding (per M)"",SheetsData,5,0)),IF(ISERROR(FIND(""drawer box"",A12))=FALSE,IF(ISERROR(FIND(""veneer"",WardrobeCarcassMaterial))=TRUE,0,(((C12+D12)/1000)*2)*VLOOKUP(""Edge banding (per M)"",SheetsData,5,0)),IF(ISERROR(FIND(""shelf"&amp;""",A12))=FALSE,IF(ISERROR(FIND(""veneer"",WardrobeCarcassMaterial))=TRUE,0,(C12/1000)*VLOOKUP(""Edge banding (per M)"",SheetsData,5,0)),IF(AND(OR(ISERROR(FIND(""arcass"",A12))=FALSE,ISERROR(FIND(""Fireplace"",A12))=FALSE),ISERROR(FIND(""shelf"",A12))=TRUE"&amp;"),IF(ISERROR(FIND(""veneer"",WardrobeCarcassMaterial))=TRUE,0,((2*(B12+C12))/1000)*VLOOKUP(""Edge banding (per M)"",SheetsData,5,0)),IF(ISERROR(FIND(""door"",A12))=TRUE,"""",IF(ISERROR(FIND(""veneer"",WardrobeDoorMaterial))=TRUE,"""",((2*(B12+C12))/1000)*"&amp;"VLOOKUP(""Edge banding (per M)"",SheetsData,5,0))))))))))"),0.0)</f>
        <v>0</v>
      </c>
      <c r="G12" s="153" t="str">
        <f>IF(A12="","",IF(AND(ISERROR(FIND("arcass",A12))=TRUE,ISERROR(FIND("Fireplace",A12))=TRUE),"",IF(VALUE(C12)&lt;606,4*VLOOKUP("Plinth foot (2 Parts 80mm)",FurnitureData,5,FALSE),IF(VALUE(C12)&lt;1211,6*VLOOKUP("Plinth foot (2 Parts 80mm)",FurnitureData,5,FALSE),8*VLOOKUP("Plinth foot (2 Parts 80mm)",FurnitureData,5,FALSE)))))</f>
        <v/>
      </c>
      <c r="H12" s="115" t="str">
        <f>IF(OR(A12="",ISERROR(FIND("door",A12))=TRUE),"",VLOOKUP("Hinges &amp; plates (Hettich thick door)",FurnitureData,5,0)*5)</f>
        <v/>
      </c>
      <c r="I12" s="153">
        <f>IF(ISERROR(FIND("shelf",A12))=FALSE,(VLOOKUP("Shelf pegs",FurnitureData,5,0)/100)*4,"")</f>
        <v>0.2624</v>
      </c>
      <c r="J12" s="152" t="str">
        <f>IF(OR(ISERROR(FIND("fridge/freezer",A12))=FALSE,ISERROR(FIND("sink",A12))=FALSE,ISERROR(FIND("larder",A12))=FALSE),VLOOKUP("Deep shelf "&amp;C12,Wardrobes_etcData,18,0),IF(OR(ISERROR(FIND("single oven",A12))=FALSE,ISERROR(FIND("Base carcass",A12))=FALSE),2*VLOOKUP("Deep shelf "&amp;C12,Wardrobes_etcData,18,0),IF(AND(ISERROR(FIND("wall carcass",A12))=FALSE,ISERROR(FIND("Boiler",A12))=TRUE),2*VLOOKUP("Shallow shelf "&amp;C12,Wardrobes_etcData,18,0),IF(ISERROR(FIND("double oven",A12))=FALSE,3*VLOOKUP("Deep shelf "&amp;C12,Wardrobes_etcData,18,0),IF(ISERROR(FIND("Tower carcass",A12))=FALSE,6*VLOOKUP("Deep shelf "&amp;C12,Wardrobes_etcData,18,0),"")))))</f>
        <v/>
      </c>
      <c r="K12" s="152" t="str">
        <f>IF(ISERROR(FIND("sink",A12))=FALSE,VLOOKUP("Sink liner - Aluminium "&amp;RIGHT(A12,LEN(A12)-22)&amp;"mm",ExceptionalData,5,0),IF(ISERROR(FIND("bins",A12))=FALSE,VLOOKUP("Drawer runners and clip set for bin unit (500) Dynapro",FurnitureData,5,0)+(2*VLOOKUP("Bin (42L Anthracite)",FurnitureData,5,0)),IF(ISERROR(FIND("larder",A12))=FALSE,VLOOKUP("Pull out larder unit 600mm",FurnitureData,5,0),IF(AND(ISERROR(FIND("drawer box",A12))=FALSE,ISERROR(FIND("internal",A12))=TRUE),VLOOKUP("Drawer runners and clip set (550) Dynapro",FurnitureData,5,0),IF(ISERROR(FIND("internal drawer box",A12))=FALSE,VLOOKUP("Drawer runners and clip set (450) Dynapro",FurnitureData,5,0),IF(ISERROR(FIND("table",A12))=FALSE,VLOOKUP("Hairpin Leg (12mm Black "&amp;MID(A12,FIND("(",A12)+1,LEN(A12)-(FIND("(",A12))-1)&amp;"mm)",ExceptionalData,4,FALSE),""))))))</f>
        <v/>
      </c>
      <c r="L12" s="152">
        <f t="shared" si="3"/>
        <v>35.8844</v>
      </c>
      <c r="M12" s="154">
        <f>IF(A12="","",IF(AND(ISERROR(FIND("drawer front",A12))=FALSE,WardrobeDoorStyle="Flat"),(((B12/1000)*(C12/1000))*2)+((((B12+C12)/1000)*2)*0.022),IF(AND(ISERROR(FIND("drawer front",A12))=FALSE,LEFT(WardrobeDoorStyle,5)="Panel"),(((B12/1000)*(C12/1000))*2)+((((B12+C12)/1000)*2)*0.022)+((((C12/1000)-0.16)*0.013)*2)+((((D12/1000)-0.16)*0.013)*2),IF(AND(ISERROR(FIND("drawer front",A12))=FALSE,WardrobeDoorStyle="In-frame flat"),((((B12-76)/1000)*((C12-38)/1000))*2)+(MID(WardrobeDoorMaterial,FIND("(",WardrobeDoorMaterial)+1,2)/1000)*((((B12-76)+(C12-38))/1000)*2)+(((B12/1000)*0.032)*2)+((((B12-76)/1000)*0.032)*2)+(((B12/1000)*0.019)*4)+(((C12/1000)*0.032)*2)+((((C12-38)/1000)*0.032)*2)+(((C12/1000)*0.038)*4),IF(AND(ISERROR(FIND("drawer front",A12))=FALSE,LEFT(WardrobeDoorStyle,14)="In-frame panel"),((((B12-76)/1000)*((C12-38)/1000))*2)+((MID(WardrobeDoorMaterial,FIND("(",WardrobeDoorMaterial)+1,2)/1000)*((((B12-76)+(C12-38))/1000)*2))+((((B12-236)/1000)+((C12-198)/1000)*2)*0.013)+(((B12/1000)*0.032)*2)+((((B12-76)/1000)*0.032)*2)+(((B12/1000)*0.019)*4)+(((C12/1000)*0.032)*2)+((((C12-38)/1000)*0.032)*2)+(((C12/1000)*0.038)*4),IF(ISERROR(FIND("drawer box",A12))=FALSE,((((B12/1000)*(D12/1000))+((B12/1000)*(C12/1000)))*4)+((((D12/1000)+(C12/1000))*0.016)*4)+(((C12/1000)*(D12/1000))*2),IF(OR(ISERROR(FIND("shelf",A12))=FALSE,ISERROR(FIND("Filler panel",A12))=FALSE),(((C12/1000)*(D12/1000))*2)+((((C12+D12)*2)/1000)*0.022),IF(ISERROR(FIND("Fireplace",A12))=FALSE,((B12/1000)*(C12/1000)),IF(ISERROR(FIND("Worktop",A12))=FALSE,(B12/1000)*(C12/1000),IF(ISERROR(FIND("table",A12))=FALSE,(B12/1000)*0.6,IF(ISERROR(FIND("arcass",A12))=FALSE,(((C12/1000)*(D12/1000))*2)+(((B12/1000)*(D12/1000))*2)+((B12/1000)*(C12/1000))+((((B12/1000)*0.025)+((C12/1000)*0.025))*2),IF(AND(ISERROR(FIND("door",A12))=FALSE,WardrobeDoorStyle="Flat"),(((B12/1000)*(C12/1000))*2)+(MID(WardrobeDoorMaterial,FIND("(",WardrobeDoorMaterial)+1,2)/1000)*(((B12+C12)/1000)*2),IF(AND(ISERROR(FIND("door",A12))=FALSE,LEFT(WardrobeDoorStyle,5)="Panel"),(((B12/1000)*(C12/1000))*2)+((MID(WardrobeDoorMaterial,FIND("(",WardrobeDoorMaterial)+1,2)/1000)*(((B12+C12)/1000)*2))+(((((B12-160)+(C12-160))*2)/1000)*(0.013)),IF(AND(ISERROR(FIND("door",A12))=FALSE,WardrobeDoorStyle="In-frame flat"),((((B12-76)/1000)*((C12-38)/1000))*2)+(MID(WardrobeDoorMaterial,FIND("(",WardrobeDoorMaterial)+1,2)/1000)*((((B12-76)+(C12-38))/1000)*2)+(((B12/1000)*0.032)*2)+((((B12-76)/1000)*0.032)*2)+(((B12/1000)*0.019)*4)+(((C12/1000)*0.032)*2)+((((C12-38)/1000)*0.032)*2)+(((C12/1000)*0.038)*4),IF(AND(ISERROR(FIND("door",A12))=FALSE,LEFT(WardrobeDoorStyle,14)="In-frame panel"),((((B12-76)/1000)*((C12-38)/1000))*2)+((MID(WardrobeDoorMaterial,FIND("(",WardrobeDoorMaterial)+1,2)/1000)*((((B12-76)+(C12-38))/1000)*2))+((((B12-236)/1000)+((C12-198)/1000)*2)*0.013)+(((B12/1000)*0.032)*2)+((((B12-76)/1000)*0.032)*2)+(((B12/1000)*0.019)*4)+(((C12/1000)*0.032)*2)+((((C12-38)/1000)*0.032)*2)+(((C12/1000)*0.038)*4),IF(ISERROR(FIND("Plinth",A12))=FALSE,((B12/1000)*(C12/1000))+(((C12/1000)*0.018)*2)+(((B12/1000)*0.018)*2),IF(ISERROR(FIND("Cornice",A12))=FALSE,(((C12/1000)*0.1)*2)+(((C12/1000)*0.044)*2)+(((B12/1000)*0.08)*2),IF(ISERROR(FIND("Office pod",A12))=FALSE,((2400/1000)*(1200/1000))*6,IF(ISERROR(FIND("panel",A12))=FALSE,((B12/1000)*(C12/1000))+(0.022*((B12/1000)+((C12/1000)*2)))+((B12/1000)*0.05),IF(ISERROR(FIND("Fillers",A12))=FALSE,((C12/1000)*0.06)+((C12/1000)*0.069)+((0.06*0.018)*2)+((0.06*0.009)*2)+((C12/1000)*0.009)+((C12/1000)*0.018),IF(ISERROR(FIND("Pelmet",A12))=FALSE,((C12/1000)*0.05)+((C12/1000)*0.068)+((0.05*0.018)*4)+(((C12/1000)*0.018))*2)))))))))))))))))))))</f>
        <v>0.7728</v>
      </c>
      <c r="N12" s="152">
        <f>IF(M12="","",IF(AND(ISERROR(FIND("carcass",A12))=TRUE,ISERROR(FIND("unit",A12))=TRUE,ISERROR(FIND("insert",A12))=TRUE,ISERROR(FIND("rack",A12))=TRUE,ISERROR(FIND("box",A12))=TRUE,ISERROR(FIND("shelf",A12))=TRUE),VLOOKUP(WardrobeDoorFinish,Finishing!$A$2:$K$10,9,0)*M12,IF(ISERROR(FIND("table",A12))=FALSE,VLOOKUP("Sayerlack AF0072 Interior Clear Self-Sealer",FinishingData,9,FALSE)*M12,VLOOKUP(WardrobeCarcassFinish,Finishing!$A$2:$K$40,9,0)*M12)))</f>
        <v>2.898</v>
      </c>
      <c r="O12" s="159">
        <v>0.5</v>
      </c>
      <c r="P12" s="159">
        <v>0.5</v>
      </c>
      <c r="Q12" s="152">
        <f>IF(OR(O12="",P12=""),"",((O12*X12)*(VLOOKUP("Workshop",Labour!$A$3:$E$20,4,0)/8))+((P12*AE12)*(VLOOKUP("Finishing",Labour!$A$3:$E$20,4,0)/8)))</f>
        <v>35.875</v>
      </c>
      <c r="R12" s="152">
        <f t="shared" si="4"/>
        <v>74.6574</v>
      </c>
      <c r="S12" s="156">
        <f>IF(OR(O12="",P12=""),"",IF(OR(ISERROR(FIND("carcass",$A12))=FALSE,ISERROR(FIND("unit",$A12))=FALSE),VLOOKUP(WardrobeCarcassMaterial,FixedListsCarcassMaterial,2,0),0))</f>
        <v>0</v>
      </c>
      <c r="T12" s="156">
        <f>IF(OR(O12="",P12=""),"",IF(ISERROR(FIND("door",$A12))=FALSE,VLOOKUP(WardrobeDoorStyle,FixedListsDoorStyle,2,0),0))</f>
        <v>0</v>
      </c>
      <c r="U12" s="156">
        <f>IF(OR(O12="",P12=""),"",IF(ISERROR(FIND("door",$A12))=FALSE,VLOOKUP(WardrobeDoorMaterial,FixedListsDoorMaterial,2,0),0))</f>
        <v>0</v>
      </c>
      <c r="V12" s="156">
        <f>IF(OR(O12="",P12=""),"",IF(ISERROR(FIND("drawer",$A12))=FALSE,VLOOKUP(WardrobeDrawerType,FixedListsDrawerType,2,0),0))</f>
        <v>0</v>
      </c>
      <c r="W12" s="156">
        <f>IF(OR(O12="",P12=""),"",IF(S12&gt;0,VLOOKUP(WardrobeHandleType,FixedListsHandleType,2,FALSE),0))</f>
        <v>0</v>
      </c>
      <c r="X12" s="156">
        <f t="shared" si="5"/>
        <v>1</v>
      </c>
      <c r="Y12" s="156">
        <f>IF(OR(O12="",P12=""),"",IF(OR(ISERROR(FIND("carcass",$A12))=FALSE,ISERROR(FIND("unit",$A12))=FALSE),VLOOKUP(WardrobeCarcassMaterial,FixedListsCarcassMaterial,3,0),0))</f>
        <v>0</v>
      </c>
      <c r="Z12" s="156">
        <f>IF(OR(O12="",P12=""),"",IF(ISERROR(FIND("door",$A12))=FALSE,VLOOKUP(WardrobeDoorStyle,FixedListsDoorStyle,3,0),0))</f>
        <v>0</v>
      </c>
      <c r="AA12" s="156">
        <f>IF(OR(O12="",P12=""),"",IF(ISERROR(FIND("door",$A12))=FALSE,VLOOKUP(WardrobeDoorMaterial,FixedListsDoorMaterial,3,0),0))</f>
        <v>0</v>
      </c>
      <c r="AB12" s="156">
        <f>IF(OR(O12="",P12=""),"",IF(ISERROR(FIND("drawer",$A12))=FALSE,VLOOKUP(WardrobeDrawerType,FixedListsDrawerType,3,0),0))</f>
        <v>0</v>
      </c>
      <c r="AC12" s="156">
        <f>IF(OR(O12="",P12=""),"",IF(S12&gt;0,VLOOKUP(WardrobeHandleType,FixedListsHandleType,3,FALSE),0))</f>
        <v>0</v>
      </c>
      <c r="AD12" s="156">
        <f>IF(OR(O12="",P12=""),"",IF(OR(ISERROR(FIND("carcass",$A12))=FALSE,ISERROR(FIND("unit",$A12))=FALSE),VLOOKUP(WardrobeCarcassFinish,FixedListsFinishes,3,0),IF(OR(ISERROR(FIND("door",$A12))=FALSE,ISERROR(FIND("Plinth",$A12))=FALSE,ISERROR(FIND("Cornice",$A12))=FALSE,ISERROR(FIND("Fillers",$A12))=FALSE,ISERROR(FIND("Pelmet",$A12))=FALSE,ISERROR(FIND("panel",$A12))=FALSE,ISERROR(FIND("post",$A12))=FALSE),VLOOKUP(WardrobeDoorFinish,FixedListsFinishes,3,0),IF(OR(ISERROR(FIND("drawer",$A12))=FALSE,ISERROR(FIND("insert",$A12))=FALSE,ISERROR(FIND("rck",$A12))=FALSE),VLOOKUP(WardrobeCarcassFinish,FixedListsFinishes,3,0),0))))</f>
        <v>0</v>
      </c>
      <c r="AE12" s="156">
        <f t="shared" si="6"/>
        <v>1</v>
      </c>
      <c r="AF12" s="157" t="str">
        <f>IF(AND(WardrobeHandleType="Channel",OR(ISERROR(FIND("arcass",$A12))=FALSE,ISERROR(FIND("unit",$A12))=FALSE)),IF(ISERROR(FIND("Tower",$A12))=TRUE,IF(WardrobeHandleFinish="Match carcass",IF(ISERROR(FIND("Walnut",WardrobeCarcassMaterial))=FALSE,(0.035*0.075*($C12/1000))*VLOOKUP("Walnut (solid m3)",SolidData,4,FALSE),IF(ISERROR(FIND("Oak",WardrobeCarcassMaterial))=FALSE,(0.035*0.075*($C12/1000))*VLOOKUP("Oak (solid m3)",SolidData,4,FALSE),IF(ISERROR(FIND("ply",WardrobeCarcassMaterial))=FALSE,(0.1*($C12/1000))*VLOOKUP("Birch ply (24mm)",SheetsData,7,FALSE),IF(ISERROR(FIND("H/F",WardrobeCarcassMaterial))=FALSE,(0.1*($C12/1000))*VLOOKUP("H/F (22mm)",SheetsData,7,FALSE),"Carcass - not tower - new material")))),IF(WardrobeHandleFinish="Match door",IF(ISERROR(FIND("Walnut",WardrobeDoorMaterial))=FALSE,(0.035*0.075*($C12/1000))*VLOOKUP("Walnut (solid m3)",SolidData,4,FALSE),IF(ISERROR(FIND("Oak",WardrobeDoorMaterial))=FALSE,(0.035*0.075*($C12/1000))*VLOOKUP("Oak (solid m3)",SolidData,4,FALSE),IF(ISERROR(FIND("ply",WardrobeDoorMaterial))=FALSE,(0.1*($C12/1000))*VLOOKUP("Birch ply (24mm)",SheetsData,7,FALSE),IF(ISERROR(FIND("H/F",WardrobeCarcassMaterial))=FALSE,(0.1*($C12/1000))*VLOOKUP("H/F (22mm)",SheetsData,7,FALSE),"Door - not tower - new material")))),"Channel - not tower - handle set to other")),IF(ISERROR(FIND("Tower",$A12))=FALSE,IF(WardrobeHandleFinish="Match carcass",IF(ISERROR(FIND("Walnut",WardrobeCarcassMaterial))=FALSE,(0.035*0.075*($B12/1000))*VLOOKUP("Walnut (solid m3)",SolidData,4,FALSE),IF(ISERROR(FIND("Oak",WardrobeCarcassMaterial))=FALSE,(0.035*0.075*($B12/1000))*VLOOKUP("Oak (solid m3)",SolidData,4,FALSE),IF(ISERROR(FIND("ply",WardrobeCarcassMaterial))=FALSE,(0.1*($B12/1000))*VLOOKUP("Birch ply (24mm)",SheetsData,7,FALSE),IF(ISERROR(FIND("H/F",WardrobeCarcassMaterial))=FALSE,(0.1*($C12/1000))*VLOOKUP("H/F (22mm)",SheetsData,7,FALSE),"Carcass - tower - new material")))),IF(WardrobeHandleFinish="Match door",IF(ISERROR(FIND("Walnut",WardrobeDoorMaterial))=FALSE,(0.035*0.075*($B12/1000))*VLOOKUP("Walnut (solid m3)",SolidData,4,FALSE),IF(ISERROR(FIND("Oak",WardrobeDoorMaterial))=FALSE,(0.035*0.075*($B12/1000))*VLOOKUP("Oak (solid m3)",SolidData,4,FALSE),IF(ISERROR(FIND("ply",WardrobeDoorMaterial))=FALSE,(0.1*($B12/1000))*VLOOKUP("Birch ply (24mm)",SheetData,7,FALSE),IF(ISERROR(FIND("H/F",WardrobeCarcassMaterial))=FALSE,(0.1*($C12/1000))*VLOOKUP("H/F (22mm)",SheetsData,7,FALSE),"Door - tower - new material")))),"Channel - tower - handle set to other")))),"")</f>
        <v/>
      </c>
    </row>
    <row r="13">
      <c r="A13" s="150" t="s">
        <v>221</v>
      </c>
      <c r="B13" s="160" t="str">
        <f t="shared" si="1"/>
        <v/>
      </c>
      <c r="C13" s="160" t="str">
        <f>IFERROR(__xludf.DUMMYFUNCTION("IF(A13="""","""",IF(ISERROR(FIND(""arcass"",A13))=FALSE,MID(A13,FIND(""*"",A13)+1,FIND(""*"",A13,FIND(""*"",A13)+1)-FIND(""*"",A13)-1),IF(ISERROR(FIND(""End panel"",A13))=FALSE,RIGHT(A13,3),IF(OR(ISERROR(FIND(""drawer"",A13))=FALSE,ISERROR(FIND(""door"",A"&amp;"13))=FALSE,ISERROR(FIND(""shelf"",A13))=FALSE,ISERROR(FIND(""panel"",A13))=FALSE,ISERROR(FIND(""Plinth"",A13))=FALSE,ISERROR(FIND(""Cornice"",A13))=FALSE,ISERROR(FIND(""Fillers"",A13))=FALSE,ISERROR(FIND(""Pelmet"",A13))=FALSE,ISERROR(FIND(""Fireplace up "&amp;"to 1600"",A13))=FALSE),RIGHT(A13,LEN(A13)-LEN(regexextract(A13,"".* ""))),IF(ISERROR(FIND(""table"",A13))=FALSE,""560"",IF(ISERROR(FIND(""Office pod"",A13))=FALSE,""1600"",IF(ISERROR(FIND(""Fireplace over 1600"",A13))=FALSE,""2400"",IF(ISERROR(FIND(""Work"&amp;"top"",A13))=FALSE,""650"",""Whoops""))))))))"),"400")</f>
        <v>400</v>
      </c>
      <c r="D13" s="161" t="str">
        <f t="shared" si="2"/>
        <v>600</v>
      </c>
      <c r="E13" s="152">
        <f>IF(OR(A13="",AND(ISERROR(FIND("drawer",A13))=FALSE,WardrobeDrawerType="")),"",IF(ISERROR(FIND("door",A13))=FALSE,IF(WardrobeDoorStyle="Flat",((B13/1000)*(C13/1000))*VLOOKUP(WardrobeDoorMaterial,SheetsData,8,0),IF(LEFT(WardrobeDoorStyle,5)="Panel",(((((B13/1000)*2)*0.08)+((((C13/1000)-0.16)*2)*0.08))*VLOOKUP("H/F (22mm)",SheetsData,8,0))+(((B13/1000)-0.14)*((C13/1000)-0.14)*VLOOKUP("H/F (9mm)",SheetsData,8,0)),IF(WardrobeDoorStyle="In-frame flat",((((((B13/1000)*0.019)*0.038)+((((C13-38)/1000)*0.038)*0.038))*2)*VLOOKUP("Tulip (solid m3)",SolidData,4,0))+(((B13-76)/1000)*((C13-38)/1000))*VLOOKUP("H/F (22mm)",SheetsData,8,0),IF(LEFT(WardrobeDoorStyle,14)="In-frame panel",(((((((B13/1000)*0.019)*0.038)+((((C13-38)/1000)*0.038)*0.038))*2)*VLOOKUP("Tulip (solid m3)",SolidData,4,0))+(((((((B13-76)/1000)*2)*0.08)+(((((C13-198)/1000)*2)*0.08)))*VLOOKUP("H/F (22mm)",SheetsData,8,0))+(((B13-216)/1000)*((C13-178)/1000)*VLOOKUP("H/F (9mm)",SheetsData,8,0)))))))),IF(AND(ISERROR(FIND("arcass",A13))=FALSE,ISERROR(FIND("ost corner",A13))=TRUE),IF(AND(VALUE(B13)&lt;1211,VALUE(C13)&lt;1211,VALUE(D13)&lt;606),1*VLOOKUP(WardrobeCarcassMaterial,SheetsData,5,FALSE),IF(AND(VALUE(B13)&lt;2421,VALUE(C13)&lt;2421,VALUE(D13)&lt;606),2*VLOOKUP(WardrobeCarcassMaterial,SheetsData,5,FALSE),IF(AND(VALUE(B13)&lt;2421,VALUE(C13)&lt;1211,VALUE(D13)&lt;1211),3*VLOOKUP(WardrobeCarcassMaterial,SheetsData,5,FALSE),IF(AND(VALUE(B13)&lt;2421,VALUE(C13)&lt;2421,VALUE(D13)&lt;1211),4*VLOOKUP(WardrobeCarcassMaterial,SheetsData,5,FALSE))))),IF(AND(ISERROR(FIND("arcass",A13))=FALSE,ISERROR(FIND("ost corner",A13))=FALSE),IF(AND(VALUE(B13)&lt;1211,VALUE(C13)&lt;1211,VALUE(D13)&lt;606),(1*VLOOKUP(WardrobeCarcassMaterial,SheetsData,5,FALSE))+(VLOOKUP("H/F (22mm)",SheetsData,7,FALSE)*1.44),IF(AND(VALUE(B13)&lt;2421,VALUE(C13)&lt;2421,VALUE(D13)&lt;606),(2*VLOOKUP(WardrobeCarcassMaterial,SheetsData,5,FALSE))+(VLOOKUP("H/F (22mm)",SheetsData,7,FALSE)*1.44),IF(AND(VALUE(B13)&lt;2421,VALUE(C13)&lt;1211,VALUE(D13)&lt;1211),(3*VLOOKUP(WardrobeCarcassMaterial,SheetsData,5,FALSE))+(VLOOKUP("H/F (22mm)",SheetsData,7,FALSE)*1.44),IF(AND(VALUE(B13)&lt;2421,VALUE(C13)&lt;2421,VALUE(D13)&lt;1211),(4*VLOOKUP(WardrobeCarcassMaterial,SheetsData,5,FALSE))+(VLOOKUP("H/F (22mm)",SheetsData,7,FALSE)*1.44))))),IF(ISERROR(FIND("drawer front",A13))=FALSE,((B13/1000)*(C13/1000))*VLOOKUP(WardrobeDoorMaterial,SheetsData,8,0),IF(AND(WardrobeDrawerType="Match carcass",ISERROR(FIND("drawer box",A13))=FALSE),(((((B13/1000)*(C13/1000))+((B13/1000)*(D13/1000)))*2)*VLOOKUP(WardrobeCarcassMaterial,SheetsData,8,0))+(((C13/1000)*(D13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box",A13))=FALSE),(((((B13/1000)*(C13/1000))+((B13/1000)*(D13/1000)))*2)*(16/1000)*VLOOKUP(LEFT(WardrobeCarcassMaterial,FIND(" ",WardrobeCarcassMaterial))&amp;"(solid m3)",SolidData,4,0))+(((C13/1000)*(D13/1000))*VLOOKUP(LEFT(WardrobeCarcassMaterial,FIND("(",WardrobeCarcassMaterial)-1)&amp;IF(OR(ISERROR(FIND("ply",WardrobeCarcassMaterial))=FALSE,ISERROR(FIND("H/F",WardrobeCarcassMaterial))=FALSE),"(9mm)","(10mm)"),SheetsData,8,0)),IF(ISERROR(FIND("shelf",A13))=FALSE,((C13/1000)*(D13/1000))*VLOOKUP(WardrobeCarcassMaterial,SheetsData,7,FALSE),IF(ISERROR(FIND("Office pod",A13))=FALSE,3*VLOOKUP(WardrobeCarcassMaterial,SheetsData,5,0),IF(ISERROR(FIND(" panel",A13))=FALSE,((B13/1000)*(C13/1000))*VLOOKUP(WardrobeDoorMaterial,SheetsData,8,0),IF(ISERROR(FIND("Fillers",A13))=FALSE,(((0.06*(C13/1000))*2)*VLOOKUP("H/F (18mm)",SheetsData,8,0))+(((0.06*(C13/1000))*2)*VLOOKUP("H/F (9mm)",SheetsData,8,0)),IF(ISERROR(FIND("Cornice (stacked)",A13))=FALSE,((0.08*(C13/1000))*2)*VLOOKUP("H/F (22mm)",SheetsData,8,0),IF(OR(ISERROR(FIND("Plinth",A13))=FALSE,ISERROR(FIND("Cornice (flat)",A13))=FALSE),((B13/1000)*(C13/1000))*VLOOKUP("H/F (18mm)",SheetsData,8,0),IF(ISERROR(FIND("Pelmet",A13))=FALSE,((((B13/1000)*(C13/1000))*2)*VLOOKUP("H/F (18mm)",SheetsData,8,0)),IF(ISERROR(FIND("Fireplace",A13))=FALSE,IF(ISERROR(FIND("over 1600",A13))=FALSE,2*VLOOKUP(WardrobeCarcassMaterial,SheetsData,5,FALSE),VLOOKUP(WardrobeCarcassMaterial,SheetsData,5,FALSE)),IF(ISERROR(FIND("table",A13))=FALSE,((B13/1000)*0.6)*VLOOKUP("Birch ply (24mm)",SheetsData,7,FALSE),IF(ISERROR(FIND("Worktop",A13))=FALSE,((B13/1000)*(C13/1000))*VLOOKUP(WardrobeDoorMaterial,SheetsData,7,FALSE),"Check formula")))))))))))))))))</f>
        <v>23.748</v>
      </c>
      <c r="F13" s="152">
        <f>IFERROR(__xludf.DUMMYFUNCTION("IF(OR(A13="""",AND(ISERROR(FIND(""drawer box"",A13))=FALSE,WardrobeDrawerType=""Solid dovetail"")),"""",IF(ISERROR(FIND(""bins"",A13))=FALSE,VLOOKUP(""Base carcass 600"",Wardrobes_etcData,6,0),IF(OR(ISERROR(FIND(""larder"",A13))=FALSE,ISERROR(FIND(""unit"&amp;""",A13))=FALSE),VLOOKUP(LEFT(A13,FIND("" "",A13))&amp;""carcass ""&amp;RIGHT(A13,LEN(A13)-len(regexextract(A13,"".* ""))),Wardrobes_etcData,6,0),IF(ISERROR(FIND(""drawer front"",A13))=FALSE,IF(ISERROR(FIND(""veneer"",WardrobeCarcassMaterial))=TRUE,0,(((B13+C13)/1"&amp;"000)*2)*VLOOKUP(""Edge banding (per M)"",SheetsData,5,0)),IF(ISERROR(FIND(""drawer box"",A13))=FALSE,IF(ISERROR(FIND(""veneer"",WardrobeCarcassMaterial))=TRUE,0,(((C13+D13)/1000)*2)*VLOOKUP(""Edge banding (per M)"",SheetsData,5,0)),IF(ISERROR(FIND(""shelf"&amp;""",A13))=FALSE,IF(ISERROR(FIND(""veneer"",WardrobeCarcassMaterial))=TRUE,0,(C13/1000)*VLOOKUP(""Edge banding (per M)"",SheetsData,5,0)),IF(AND(OR(ISERROR(FIND(""arcass"",A13))=FALSE,ISERROR(FIND(""Fireplace"",A13))=FALSE),ISERROR(FIND(""shelf"",A13))=TRUE"&amp;"),IF(ISERROR(FIND(""veneer"",WardrobeCarcassMaterial))=TRUE,0,((2*(B13+C13))/1000)*VLOOKUP(""Edge banding (per M)"",SheetsData,5,0)),IF(ISERROR(FIND(""door"",A13))=TRUE,"""",IF(ISERROR(FIND(""veneer"",WardrobeDoorMaterial))=TRUE,"""",((2*(B13+C13))/1000)*"&amp;"VLOOKUP(""Edge banding (per M)"",SheetsData,5,0))))))))))"),0.0)</f>
        <v>0</v>
      </c>
      <c r="G13" s="153" t="str">
        <f>IF(A13="","",IF(AND(ISERROR(FIND("arcass",A13))=TRUE,ISERROR(FIND("Fireplace",A13))=TRUE),"",IF(VALUE(C13)&lt;606,4*VLOOKUP("Plinth foot (2 Parts 80mm)",FurnitureData,5,FALSE),IF(VALUE(C13)&lt;1211,6*VLOOKUP("Plinth foot (2 Parts 80mm)",FurnitureData,5,FALSE),8*VLOOKUP("Plinth foot (2 Parts 80mm)",FurnitureData,5,FALSE)))))</f>
        <v/>
      </c>
      <c r="H13" s="115" t="str">
        <f>IF(OR(A13="",ISERROR(FIND("door",A13))=TRUE),"",VLOOKUP("Hinges &amp; plates (Hettich thick door)",FurnitureData,5,0)*5)</f>
        <v/>
      </c>
      <c r="I13" s="153">
        <f>IF(ISERROR(FIND("shelf",A13))=FALSE,(VLOOKUP("Shelf pegs",FurnitureData,5,0)/100)*4,"")</f>
        <v>0.2624</v>
      </c>
      <c r="J13" s="152" t="str">
        <f>IF(OR(ISERROR(FIND("fridge/freezer",A13))=FALSE,ISERROR(FIND("sink",A13))=FALSE,ISERROR(FIND("larder",A13))=FALSE),VLOOKUP("Deep shelf "&amp;C13,Wardrobes_etcData,18,0),IF(OR(ISERROR(FIND("single oven",A13))=FALSE,ISERROR(FIND("Base carcass",A13))=FALSE),2*VLOOKUP("Deep shelf "&amp;C13,Wardrobes_etcData,18,0),IF(AND(ISERROR(FIND("wall carcass",A13))=FALSE,ISERROR(FIND("Boiler",A13))=TRUE),2*VLOOKUP("Shallow shelf "&amp;C13,Wardrobes_etcData,18,0),IF(ISERROR(FIND("double oven",A13))=FALSE,3*VLOOKUP("Deep shelf "&amp;C13,Wardrobes_etcData,18,0),IF(ISERROR(FIND("Tower carcass",A13))=FALSE,6*VLOOKUP("Deep shelf "&amp;C13,Wardrobes_etcData,18,0),"")))))</f>
        <v/>
      </c>
      <c r="K13" s="152" t="str">
        <f>IF(ISERROR(FIND("sink",A13))=FALSE,VLOOKUP("Sink liner - Aluminium "&amp;RIGHT(A13,LEN(A13)-22)&amp;"mm",ExceptionalData,5,0),IF(ISERROR(FIND("bins",A13))=FALSE,VLOOKUP("Drawer runners and clip set for bin unit (500) Dynapro",FurnitureData,5,0)+(2*VLOOKUP("Bin (42L Anthracite)",FurnitureData,5,0)),IF(ISERROR(FIND("larder",A13))=FALSE,VLOOKUP("Pull out larder unit 600mm",FurnitureData,5,0),IF(AND(ISERROR(FIND("drawer box",A13))=FALSE,ISERROR(FIND("internal",A13))=TRUE),VLOOKUP("Drawer runners and clip set (550) Dynapro",FurnitureData,5,0),IF(ISERROR(FIND("internal drawer box",A13))=FALSE,VLOOKUP("Drawer runners and clip set (450) Dynapro",FurnitureData,5,0),IF(ISERROR(FIND("table",A13))=FALSE,VLOOKUP("Hairpin Leg (12mm Black "&amp;MID(A13,FIND("(",A13)+1,LEN(A13)-(FIND("(",A13))-1)&amp;"mm)",ExceptionalData,4,FALSE),""))))))</f>
        <v/>
      </c>
      <c r="L13" s="152">
        <f t="shared" si="3"/>
        <v>24.0104</v>
      </c>
      <c r="M13" s="154">
        <f>IF(A13="","",IF(AND(ISERROR(FIND("drawer front",A13))=FALSE,WardrobeDoorStyle="Flat"),(((B13/1000)*(C13/1000))*2)+((((B13+C13)/1000)*2)*0.022),IF(AND(ISERROR(FIND("drawer front",A13))=FALSE,LEFT(WardrobeDoorStyle,5)="Panel"),(((B13/1000)*(C13/1000))*2)+((((B13+C13)/1000)*2)*0.022)+((((C13/1000)-0.16)*0.013)*2)+((((D13/1000)-0.16)*0.013)*2),IF(AND(ISERROR(FIND("drawer front",A13))=FALSE,WardrobeDoorStyle="In-frame flat"),((((B13-76)/1000)*((C13-38)/1000))*2)+(MID(WardrobeDoorMaterial,FIND("(",WardrobeDoorMaterial)+1,2)/1000)*((((B13-76)+(C13-38))/1000)*2)+(((B13/1000)*0.032)*2)+((((B13-76)/1000)*0.032)*2)+(((B13/1000)*0.019)*4)+(((C13/1000)*0.032)*2)+((((C13-38)/1000)*0.032)*2)+(((C13/1000)*0.038)*4),IF(AND(ISERROR(FIND("drawer front",A13))=FALSE,LEFT(WardrobeDoorStyle,14)="In-frame panel"),((((B13-76)/1000)*((C13-38)/1000))*2)+((MID(WardrobeDoorMaterial,FIND("(",WardrobeDoorMaterial)+1,2)/1000)*((((B13-76)+(C13-38))/1000)*2))+((((B13-236)/1000)+((C13-198)/1000)*2)*0.013)+(((B13/1000)*0.032)*2)+((((B13-76)/1000)*0.032)*2)+(((B13/1000)*0.019)*4)+(((C13/1000)*0.032)*2)+((((C13-38)/1000)*0.032)*2)+(((C13/1000)*0.038)*4),IF(ISERROR(FIND("drawer box",A13))=FALSE,((((B13/1000)*(D13/1000))+((B13/1000)*(C13/1000)))*4)+((((D13/1000)+(C13/1000))*0.016)*4)+(((C13/1000)*(D13/1000))*2),IF(OR(ISERROR(FIND("shelf",A13))=FALSE,ISERROR(FIND("Filler panel",A13))=FALSE),(((C13/1000)*(D13/1000))*2)+((((C13+D13)*2)/1000)*0.022),IF(ISERROR(FIND("Fireplace",A13))=FALSE,((B13/1000)*(C13/1000)),IF(ISERROR(FIND("Worktop",A13))=FALSE,(B13/1000)*(C13/1000),IF(ISERROR(FIND("table",A13))=FALSE,(B13/1000)*0.6,IF(ISERROR(FIND("arcass",A13))=FALSE,(((C13/1000)*(D13/1000))*2)+(((B13/1000)*(D13/1000))*2)+((B13/1000)*(C13/1000))+((((B13/1000)*0.025)+((C13/1000)*0.025))*2),IF(AND(ISERROR(FIND("door",A13))=FALSE,WardrobeDoorStyle="Flat"),(((B13/1000)*(C13/1000))*2)+(MID(WardrobeDoorMaterial,FIND("(",WardrobeDoorMaterial)+1,2)/1000)*(((B13+C13)/1000)*2),IF(AND(ISERROR(FIND("door",A13))=FALSE,LEFT(WardrobeDoorStyle,5)="Panel"),(((B13/1000)*(C13/1000))*2)+((MID(WardrobeDoorMaterial,FIND("(",WardrobeDoorMaterial)+1,2)/1000)*(((B13+C13)/1000)*2))+(((((B13-160)+(C13-160))*2)/1000)*(0.013)),IF(AND(ISERROR(FIND("door",A13))=FALSE,WardrobeDoorStyle="In-frame flat"),((((B13-76)/1000)*((C13-38)/1000))*2)+(MID(WardrobeDoorMaterial,FIND("(",WardrobeDoorMaterial)+1,2)/1000)*((((B13-76)+(C13-38))/1000)*2)+(((B13/1000)*0.032)*2)+((((B13-76)/1000)*0.032)*2)+(((B13/1000)*0.019)*4)+(((C13/1000)*0.032)*2)+((((C13-38)/1000)*0.032)*2)+(((C13/1000)*0.038)*4),IF(AND(ISERROR(FIND("door",A13))=FALSE,LEFT(WardrobeDoorStyle,14)="In-frame panel"),((((B13-76)/1000)*((C13-38)/1000))*2)+((MID(WardrobeDoorMaterial,FIND("(",WardrobeDoorMaterial)+1,2)/1000)*((((B13-76)+(C13-38))/1000)*2))+((((B13-236)/1000)+((C13-198)/1000)*2)*0.013)+(((B13/1000)*0.032)*2)+((((B13-76)/1000)*0.032)*2)+(((B13/1000)*0.019)*4)+(((C13/1000)*0.032)*2)+((((C13-38)/1000)*0.032)*2)+(((C13/1000)*0.038)*4),IF(ISERROR(FIND("Plinth",A13))=FALSE,((B13/1000)*(C13/1000))+(((C13/1000)*0.018)*2)+(((B13/1000)*0.018)*2),IF(ISERROR(FIND("Cornice",A13))=FALSE,(((C13/1000)*0.1)*2)+(((C13/1000)*0.044)*2)+(((B13/1000)*0.08)*2),IF(ISERROR(FIND("Office pod",A13))=FALSE,((2400/1000)*(1200/1000))*6,IF(ISERROR(FIND("panel",A13))=FALSE,((B13/1000)*(C13/1000))+(0.022*((B13/1000)+((C13/1000)*2)))+((B13/1000)*0.05),IF(ISERROR(FIND("Fillers",A13))=FALSE,((C13/1000)*0.06)+((C13/1000)*0.069)+((0.06*0.018)*2)+((0.06*0.009)*2)+((C13/1000)*0.009)+((C13/1000)*0.018),IF(ISERROR(FIND("Pelmet",A13))=FALSE,((C13/1000)*0.05)+((C13/1000)*0.068)+((0.05*0.018)*4)+(((C13/1000)*0.018))*2)))))))))))))))))))))</f>
        <v>0.524</v>
      </c>
      <c r="N13" s="152">
        <f>IF(M13="","",IF(AND(ISERROR(FIND("carcass",A13))=TRUE,ISERROR(FIND("unit",A13))=TRUE,ISERROR(FIND("insert",A13))=TRUE,ISERROR(FIND("rack",A13))=TRUE,ISERROR(FIND("box",A13))=TRUE,ISERROR(FIND("shelf",A13))=TRUE),VLOOKUP(WardrobeDoorFinish,Finishing!$A$2:$K$10,9,0)*M13,IF(ISERROR(FIND("table",A13))=FALSE,VLOOKUP("Sayerlack AF0072 Interior Clear Self-Sealer",FinishingData,9,FALSE)*M13,VLOOKUP(WardrobeCarcassFinish,Finishing!$A$2:$K$40,9,0)*M13)))</f>
        <v>1.965</v>
      </c>
      <c r="O13" s="159">
        <v>0.5</v>
      </c>
      <c r="P13" s="159">
        <v>0.5</v>
      </c>
      <c r="Q13" s="152">
        <f>IF(OR(O13="",P13=""),"",((O13*X13)*(VLOOKUP("Workshop",Labour!$A$3:$E$20,4,0)/8))+((P13*AE13)*(VLOOKUP("Finishing",Labour!$A$3:$E$20,4,0)/8)))</f>
        <v>35.875</v>
      </c>
      <c r="R13" s="152">
        <f t="shared" si="4"/>
        <v>61.8504</v>
      </c>
      <c r="S13" s="156">
        <f>IF(OR(O13="",P13=""),"",IF(OR(ISERROR(FIND("carcass",$A13))=FALSE,ISERROR(FIND("unit",$A13))=FALSE),VLOOKUP(WardrobeCarcassMaterial,FixedListsCarcassMaterial,2,0),0))</f>
        <v>0</v>
      </c>
      <c r="T13" s="156">
        <f>IF(OR(O13="",P13=""),"",IF(ISERROR(FIND("door",$A13))=FALSE,VLOOKUP(WardrobeDoorStyle,FixedListsDoorStyle,2,0),0))</f>
        <v>0</v>
      </c>
      <c r="U13" s="156">
        <f>IF(OR(O13="",P13=""),"",IF(ISERROR(FIND("door",$A13))=FALSE,VLOOKUP(WardrobeDoorMaterial,FixedListsDoorMaterial,2,0),0))</f>
        <v>0</v>
      </c>
      <c r="V13" s="156">
        <f>IF(OR(O13="",P13=""),"",IF(ISERROR(FIND("drawer",$A13))=FALSE,VLOOKUP(WardrobeDrawerType,FixedListsDrawerType,2,0),0))</f>
        <v>0</v>
      </c>
      <c r="W13" s="156">
        <f>IF(OR(O13="",P13=""),"",IF(S13&gt;0,VLOOKUP(WardrobeHandleType,FixedListsHandleType,2,FALSE),0))</f>
        <v>0</v>
      </c>
      <c r="X13" s="156">
        <f t="shared" si="5"/>
        <v>1</v>
      </c>
      <c r="Y13" s="156">
        <f>IF(OR(O13="",P13=""),"",IF(OR(ISERROR(FIND("carcass",$A13))=FALSE,ISERROR(FIND("unit",$A13))=FALSE),VLOOKUP(WardrobeCarcassMaterial,FixedListsCarcassMaterial,3,0),0))</f>
        <v>0</v>
      </c>
      <c r="Z13" s="156">
        <f>IF(OR(O13="",P13=""),"",IF(ISERROR(FIND("door",$A13))=FALSE,VLOOKUP(WardrobeDoorStyle,FixedListsDoorStyle,3,0),0))</f>
        <v>0</v>
      </c>
      <c r="AA13" s="156">
        <f>IF(OR(O13="",P13=""),"",IF(ISERROR(FIND("door",$A13))=FALSE,VLOOKUP(WardrobeDoorMaterial,FixedListsDoorMaterial,3,0),0))</f>
        <v>0</v>
      </c>
      <c r="AB13" s="156">
        <f>IF(OR(O13="",P13=""),"",IF(ISERROR(FIND("drawer",$A13))=FALSE,VLOOKUP(WardrobeDrawerType,FixedListsDrawerType,3,0),0))</f>
        <v>0</v>
      </c>
      <c r="AC13" s="156">
        <f>IF(OR(O13="",P13=""),"",IF(S13&gt;0,VLOOKUP(WardrobeHandleType,FixedListsHandleType,3,FALSE),0))</f>
        <v>0</v>
      </c>
      <c r="AD13" s="156">
        <f>IF(OR(O13="",P13=""),"",IF(OR(ISERROR(FIND("carcass",$A13))=FALSE,ISERROR(FIND("unit",$A13))=FALSE),VLOOKUP(WardrobeCarcassFinish,FixedListsFinishes,3,0),IF(OR(ISERROR(FIND("door",$A13))=FALSE,ISERROR(FIND("Plinth",$A13))=FALSE,ISERROR(FIND("Cornice",$A13))=FALSE,ISERROR(FIND("Fillers",$A13))=FALSE,ISERROR(FIND("Pelmet",$A13))=FALSE,ISERROR(FIND("panel",$A13))=FALSE,ISERROR(FIND("post",$A13))=FALSE),VLOOKUP(WardrobeDoorFinish,FixedListsFinishes,3,0),IF(OR(ISERROR(FIND("drawer",$A13))=FALSE,ISERROR(FIND("insert",$A13))=FALSE,ISERROR(FIND("rck",$A13))=FALSE),VLOOKUP(WardrobeCarcassFinish,FixedListsFinishes,3,0),0))))</f>
        <v>0</v>
      </c>
      <c r="AE13" s="156">
        <f t="shared" si="6"/>
        <v>1</v>
      </c>
      <c r="AF13" s="157" t="str">
        <f>IF(AND(WardrobeHandleType="Channel",OR(ISERROR(FIND("arcass",$A13))=FALSE,ISERROR(FIND("unit",$A13))=FALSE)),IF(ISERROR(FIND("Tower",$A13))=TRUE,IF(WardrobeHandleFinish="Match carcass",IF(ISERROR(FIND("Walnut",WardrobeCarcassMaterial))=FALSE,(0.035*0.075*($C13/1000))*VLOOKUP("Walnut (solid m3)",SolidData,4,FALSE),IF(ISERROR(FIND("Oak",WardrobeCarcassMaterial))=FALSE,(0.035*0.075*($C13/1000))*VLOOKUP("Oak (solid m3)",SolidData,4,FALSE),IF(ISERROR(FIND("ply",WardrobeCarcassMaterial))=FALSE,(0.1*($C13/1000))*VLOOKUP("Birch ply (24mm)",SheetsData,7,FALSE),IF(ISERROR(FIND("H/F",WardrobeCarcassMaterial))=FALSE,(0.1*($C13/1000))*VLOOKUP("H/F (22mm)",SheetsData,7,FALSE),"Carcass - not tower - new material")))),IF(WardrobeHandleFinish="Match door",IF(ISERROR(FIND("Walnut",WardrobeDoorMaterial))=FALSE,(0.035*0.075*($C13/1000))*VLOOKUP("Walnut (solid m3)",SolidData,4,FALSE),IF(ISERROR(FIND("Oak",WardrobeDoorMaterial))=FALSE,(0.035*0.075*($C13/1000))*VLOOKUP("Oak (solid m3)",SolidData,4,FALSE),IF(ISERROR(FIND("ply",WardrobeDoorMaterial))=FALSE,(0.1*($C13/1000))*VLOOKUP("Birch ply (24mm)",SheetsData,7,FALSE),IF(ISERROR(FIND("H/F",WardrobeCarcassMaterial))=FALSE,(0.1*($C13/1000))*VLOOKUP("H/F (22mm)",SheetsData,7,FALSE),"Door - not tower - new material")))),"Channel - not tower - handle set to other")),IF(ISERROR(FIND("Tower",$A13))=FALSE,IF(WardrobeHandleFinish="Match carcass",IF(ISERROR(FIND("Walnut",WardrobeCarcassMaterial))=FALSE,(0.035*0.075*($B13/1000))*VLOOKUP("Walnut (solid m3)",SolidData,4,FALSE),IF(ISERROR(FIND("Oak",WardrobeCarcassMaterial))=FALSE,(0.035*0.075*($B13/1000))*VLOOKUP("Oak (solid m3)",SolidData,4,FALSE),IF(ISERROR(FIND("ply",WardrobeCarcassMaterial))=FALSE,(0.1*($B13/1000))*VLOOKUP("Birch ply (24mm)",SheetsData,7,FALSE),IF(ISERROR(FIND("H/F",WardrobeCarcassMaterial))=FALSE,(0.1*($C13/1000))*VLOOKUP("H/F (22mm)",SheetsData,7,FALSE),"Carcass - tower - new material")))),IF(WardrobeHandleFinish="Match door",IF(ISERROR(FIND("Walnut",WardrobeDoorMaterial))=FALSE,(0.035*0.075*($B13/1000))*VLOOKUP("Walnut (solid m3)",SolidData,4,FALSE),IF(ISERROR(FIND("Oak",WardrobeDoorMaterial))=FALSE,(0.035*0.075*($B13/1000))*VLOOKUP("Oak (solid m3)",SolidData,4,FALSE),IF(ISERROR(FIND("ply",WardrobeDoorMaterial))=FALSE,(0.1*($B13/1000))*VLOOKUP("Birch ply (24mm)",SheetData,7,FALSE),IF(ISERROR(FIND("H/F",WardrobeCarcassMaterial))=FALSE,(0.1*($C13/1000))*VLOOKUP("H/F (22mm)",SheetsData,7,FALSE),"Door - tower - new material")))),"Channel - tower - handle set to other")))),"")</f>
        <v/>
      </c>
    </row>
    <row r="14">
      <c r="A14" s="150" t="s">
        <v>222</v>
      </c>
      <c r="B14" s="160" t="str">
        <f t="shared" si="1"/>
        <v/>
      </c>
      <c r="C14" s="160" t="str">
        <f>IFERROR(__xludf.DUMMYFUNCTION("IF(A14="""","""",IF(ISERROR(FIND(""arcass"",A14))=FALSE,MID(A14,FIND(""*"",A14)+1,FIND(""*"",A14,FIND(""*"",A14)+1)-FIND(""*"",A14)-1),IF(ISERROR(FIND(""End panel"",A14))=FALSE,RIGHT(A14,3),IF(OR(ISERROR(FIND(""drawer"",A14))=FALSE,ISERROR(FIND(""door"",A"&amp;"14))=FALSE,ISERROR(FIND(""shelf"",A14))=FALSE,ISERROR(FIND(""panel"",A14))=FALSE,ISERROR(FIND(""Plinth"",A14))=FALSE,ISERROR(FIND(""Cornice"",A14))=FALSE,ISERROR(FIND(""Fillers"",A14))=FALSE,ISERROR(FIND(""Pelmet"",A14))=FALSE,ISERROR(FIND(""Fireplace up "&amp;"to 1600"",A14))=FALSE),RIGHT(A14,LEN(A14)-LEN(regexextract(A14,"".* ""))),IF(ISERROR(FIND(""table"",A14))=FALSE,""560"",IF(ISERROR(FIND(""Office pod"",A14))=FALSE,""1600"",IF(ISERROR(FIND(""Fireplace over 1600"",A14))=FALSE,""2400"",IF(ISERROR(FIND(""Work"&amp;"top"",A14))=FALSE,""650"",""Whoops""))))))))"),"300")</f>
        <v>300</v>
      </c>
      <c r="D14" s="161" t="str">
        <f t="shared" si="2"/>
        <v>600</v>
      </c>
      <c r="E14" s="152">
        <f>IF(OR(A14="",AND(ISERROR(FIND("drawer",A14))=FALSE,WardrobeDrawerType="")),"",IF(ISERROR(FIND("door",A14))=FALSE,IF(WardrobeDoorStyle="Flat",((B14/1000)*(C14/1000))*VLOOKUP(WardrobeDoorMaterial,SheetsData,8,0),IF(LEFT(WardrobeDoorStyle,5)="Panel",(((((B14/1000)*2)*0.08)+((((C14/1000)-0.16)*2)*0.08))*VLOOKUP("H/F (22mm)",SheetsData,8,0))+(((B14/1000)-0.14)*((C14/1000)-0.14)*VLOOKUP("H/F (9mm)",SheetsData,8,0)),IF(WardrobeDoorStyle="In-frame flat",((((((B14/1000)*0.019)*0.038)+((((C14-38)/1000)*0.038)*0.038))*2)*VLOOKUP("Tulip (solid m3)",SolidData,4,0))+(((B14-76)/1000)*((C14-38)/1000))*VLOOKUP("H/F (22mm)",SheetsData,8,0),IF(LEFT(WardrobeDoorStyle,14)="In-frame panel",(((((((B14/1000)*0.019)*0.038)+((((C14-38)/1000)*0.038)*0.038))*2)*VLOOKUP("Tulip (solid m3)",SolidData,4,0))+(((((((B14-76)/1000)*2)*0.08)+(((((C14-198)/1000)*2)*0.08)))*VLOOKUP("H/F (22mm)",SheetsData,8,0))+(((B14-216)/1000)*((C14-178)/1000)*VLOOKUP("H/F (9mm)",SheetsData,8,0)))))))),IF(AND(ISERROR(FIND("arcass",A14))=FALSE,ISERROR(FIND("ost corner",A14))=TRUE),IF(AND(VALUE(B14)&lt;1211,VALUE(C14)&lt;1211,VALUE(D14)&lt;606),1*VLOOKUP(WardrobeCarcassMaterial,SheetsData,5,FALSE),IF(AND(VALUE(B14)&lt;2421,VALUE(C14)&lt;2421,VALUE(D14)&lt;606),2*VLOOKUP(WardrobeCarcassMaterial,SheetsData,5,FALSE),IF(AND(VALUE(B14)&lt;2421,VALUE(C14)&lt;1211,VALUE(D14)&lt;1211),3*VLOOKUP(WardrobeCarcassMaterial,SheetsData,5,FALSE),IF(AND(VALUE(B14)&lt;2421,VALUE(C14)&lt;2421,VALUE(D14)&lt;1211),4*VLOOKUP(WardrobeCarcassMaterial,SheetsData,5,FALSE))))),IF(AND(ISERROR(FIND("arcass",A14))=FALSE,ISERROR(FIND("ost corner",A14))=FALSE),IF(AND(VALUE(B14)&lt;1211,VALUE(C14)&lt;1211,VALUE(D14)&lt;606),(1*VLOOKUP(WardrobeCarcassMaterial,SheetsData,5,FALSE))+(VLOOKUP("H/F (22mm)",SheetsData,7,FALSE)*1.44),IF(AND(VALUE(B14)&lt;2421,VALUE(C14)&lt;2421,VALUE(D14)&lt;606),(2*VLOOKUP(WardrobeCarcassMaterial,SheetsData,5,FALSE))+(VLOOKUP("H/F (22mm)",SheetsData,7,FALSE)*1.44),IF(AND(VALUE(B14)&lt;2421,VALUE(C14)&lt;1211,VALUE(D14)&lt;1211),(3*VLOOKUP(WardrobeCarcassMaterial,SheetsData,5,FALSE))+(VLOOKUP("H/F (22mm)",SheetsData,7,FALSE)*1.44),IF(AND(VALUE(B14)&lt;2421,VALUE(C14)&lt;2421,VALUE(D14)&lt;1211),(4*VLOOKUP(WardrobeCarcassMaterial,SheetsData,5,FALSE))+(VLOOKUP("H/F (22mm)",SheetsData,7,FALSE)*1.44))))),IF(ISERROR(FIND("drawer front",A14))=FALSE,((B14/1000)*(C14/1000))*VLOOKUP(WardrobeDoorMaterial,SheetsData,8,0),IF(AND(WardrobeDrawerType="Match carcass",ISERROR(FIND("drawer box",A14))=FALSE),(((((B14/1000)*(C14/1000))+((B14/1000)*(D14/1000)))*2)*VLOOKUP(WardrobeCarcassMaterial,SheetsData,8,0))+(((C14/1000)*(D14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box",A14))=FALSE),(((((B14/1000)*(C14/1000))+((B14/1000)*(D14/1000)))*2)*(16/1000)*VLOOKUP(LEFT(WardrobeCarcassMaterial,FIND(" ",WardrobeCarcassMaterial))&amp;"(solid m3)",SolidData,4,0))+(((C14/1000)*(D14/1000))*VLOOKUP(LEFT(WardrobeCarcassMaterial,FIND("(",WardrobeCarcassMaterial)-1)&amp;IF(OR(ISERROR(FIND("ply",WardrobeCarcassMaterial))=FALSE,ISERROR(FIND("H/F",WardrobeCarcassMaterial))=FALSE),"(9mm)","(10mm)"),SheetsData,8,0)),IF(ISERROR(FIND("shelf",A14))=FALSE,((C14/1000)*(D14/1000))*VLOOKUP(WardrobeCarcassMaterial,SheetsData,7,FALSE),IF(ISERROR(FIND("Office pod",A14))=FALSE,3*VLOOKUP(WardrobeCarcassMaterial,SheetsData,5,0),IF(ISERROR(FIND(" panel",A14))=FALSE,((B14/1000)*(C14/1000))*VLOOKUP(WardrobeDoorMaterial,SheetsData,8,0),IF(ISERROR(FIND("Fillers",A14))=FALSE,(((0.06*(C14/1000))*2)*VLOOKUP("H/F (18mm)",SheetsData,8,0))+(((0.06*(C14/1000))*2)*VLOOKUP("H/F (9mm)",SheetsData,8,0)),IF(ISERROR(FIND("Cornice (stacked)",A14))=FALSE,((0.08*(C14/1000))*2)*VLOOKUP("H/F (22mm)",SheetsData,8,0),IF(OR(ISERROR(FIND("Plinth",A14))=FALSE,ISERROR(FIND("Cornice (flat)",A14))=FALSE),((B14/1000)*(C14/1000))*VLOOKUP("H/F (18mm)",SheetsData,8,0),IF(ISERROR(FIND("Pelmet",A14))=FALSE,((((B14/1000)*(C14/1000))*2)*VLOOKUP("H/F (18mm)",SheetsData,8,0)),IF(ISERROR(FIND("Fireplace",A14))=FALSE,IF(ISERROR(FIND("over 1600",A14))=FALSE,2*VLOOKUP(WardrobeCarcassMaterial,SheetsData,5,FALSE),VLOOKUP(WardrobeCarcassMaterial,SheetsData,5,FALSE)),IF(ISERROR(FIND("table",A14))=FALSE,((B14/1000)*0.6)*VLOOKUP("Birch ply (24mm)",SheetsData,7,FALSE),IF(ISERROR(FIND("Worktop",A14))=FALSE,((B14/1000)*(C14/1000))*VLOOKUP(WardrobeDoorMaterial,SheetsData,7,FALSE),"Check formula")))))))))))))))))</f>
        <v>17.811</v>
      </c>
      <c r="F14" s="152">
        <f>IFERROR(__xludf.DUMMYFUNCTION("IF(OR(A14="""",AND(ISERROR(FIND(""drawer box"",A14))=FALSE,WardrobeDrawerType=""Solid dovetail"")),"""",IF(ISERROR(FIND(""bins"",A14))=FALSE,VLOOKUP(""Base carcass 600"",Wardrobes_etcData,6,0),IF(OR(ISERROR(FIND(""larder"",A14))=FALSE,ISERROR(FIND(""unit"&amp;""",A14))=FALSE),VLOOKUP(LEFT(A14,FIND("" "",A14))&amp;""carcass ""&amp;RIGHT(A14,LEN(A14)-len(regexextract(A14,"".* ""))),Wardrobes_etcData,6,0),IF(ISERROR(FIND(""drawer front"",A14))=FALSE,IF(ISERROR(FIND(""veneer"",WardrobeCarcassMaterial))=TRUE,0,(((B14+C14)/1"&amp;"000)*2)*VLOOKUP(""Edge banding (per M)"",SheetsData,5,0)),IF(ISERROR(FIND(""drawer box"",A14))=FALSE,IF(ISERROR(FIND(""veneer"",WardrobeCarcassMaterial))=TRUE,0,(((C14+D14)/1000)*2)*VLOOKUP(""Edge banding (per M)"",SheetsData,5,0)),IF(ISERROR(FIND(""shelf"&amp;""",A14))=FALSE,IF(ISERROR(FIND(""veneer"",WardrobeCarcassMaterial))=TRUE,0,(C14/1000)*VLOOKUP(""Edge banding (per M)"",SheetsData,5,0)),IF(AND(OR(ISERROR(FIND(""arcass"",A14))=FALSE,ISERROR(FIND(""Fireplace"",A14))=FALSE),ISERROR(FIND(""shelf"",A14))=TRUE"&amp;"),IF(ISERROR(FIND(""veneer"",WardrobeCarcassMaterial))=TRUE,0,((2*(B14+C14))/1000)*VLOOKUP(""Edge banding (per M)"",SheetsData,5,0)),IF(ISERROR(FIND(""door"",A14))=TRUE,"""",IF(ISERROR(FIND(""veneer"",WardrobeDoorMaterial))=TRUE,"""",((2*(B14+C14))/1000)*"&amp;"VLOOKUP(""Edge banding (per M)"",SheetsData,5,0))))))))))"),0.0)</f>
        <v>0</v>
      </c>
      <c r="G14" s="153" t="str">
        <f>IF(A14="","",IF(AND(ISERROR(FIND("arcass",A14))=TRUE,ISERROR(FIND("Fireplace",A14))=TRUE),"",IF(VALUE(C14)&lt;606,4*VLOOKUP("Plinth foot (2 Parts 80mm)",FurnitureData,5,FALSE),IF(VALUE(C14)&lt;1211,6*VLOOKUP("Plinth foot (2 Parts 80mm)",FurnitureData,5,FALSE),8*VLOOKUP("Plinth foot (2 Parts 80mm)",FurnitureData,5,FALSE)))))</f>
        <v/>
      </c>
      <c r="H14" s="115" t="str">
        <f>IF(OR(A14="",ISERROR(FIND("door",A14))=TRUE),"",VLOOKUP("Hinges &amp; plates (Hettich thick door)",FurnitureData,5,0)*5)</f>
        <v/>
      </c>
      <c r="I14" s="153">
        <f>IF(ISERROR(FIND("shelf",A14))=FALSE,(VLOOKUP("Shelf pegs",FurnitureData,5,0)/100)*4,"")</f>
        <v>0.2624</v>
      </c>
      <c r="J14" s="152" t="str">
        <f>IF(OR(ISERROR(FIND("fridge/freezer",A14))=FALSE,ISERROR(FIND("sink",A14))=FALSE,ISERROR(FIND("larder",A14))=FALSE),VLOOKUP("Deep shelf "&amp;C14,Wardrobes_etcData,18,0),IF(OR(ISERROR(FIND("single oven",A14))=FALSE,ISERROR(FIND("Base carcass",A14))=FALSE),2*VLOOKUP("Deep shelf "&amp;C14,Wardrobes_etcData,18,0),IF(AND(ISERROR(FIND("wall carcass",A14))=FALSE,ISERROR(FIND("Boiler",A14))=TRUE),2*VLOOKUP("Shallow shelf "&amp;C14,Wardrobes_etcData,18,0),IF(ISERROR(FIND("double oven",A14))=FALSE,3*VLOOKUP("Deep shelf "&amp;C14,Wardrobes_etcData,18,0),IF(ISERROR(FIND("Tower carcass",A14))=FALSE,6*VLOOKUP("Deep shelf "&amp;C14,Wardrobes_etcData,18,0),"")))))</f>
        <v/>
      </c>
      <c r="K14" s="152" t="str">
        <f>IF(ISERROR(FIND("sink",A14))=FALSE,VLOOKUP("Sink liner - Aluminium "&amp;RIGHT(A14,LEN(A14)-22)&amp;"mm",ExceptionalData,5,0),IF(ISERROR(FIND("bins",A14))=FALSE,VLOOKUP("Drawer runners and clip set for bin unit (500) Dynapro",FurnitureData,5,0)+(2*VLOOKUP("Bin (42L Anthracite)",FurnitureData,5,0)),IF(ISERROR(FIND("larder",A14))=FALSE,VLOOKUP("Pull out larder unit 600mm",FurnitureData,5,0),IF(AND(ISERROR(FIND("drawer box",A14))=FALSE,ISERROR(FIND("internal",A14))=TRUE),VLOOKUP("Drawer runners and clip set (550) Dynapro",FurnitureData,5,0),IF(ISERROR(FIND("internal drawer box",A14))=FALSE,VLOOKUP("Drawer runners and clip set (450) Dynapro",FurnitureData,5,0),IF(ISERROR(FIND("table",A14))=FALSE,VLOOKUP("Hairpin Leg (12mm Black "&amp;MID(A14,FIND("(",A14)+1,LEN(A14)-(FIND("(",A14))-1)&amp;"mm)",ExceptionalData,4,FALSE),""))))))</f>
        <v/>
      </c>
      <c r="L14" s="152">
        <f t="shared" si="3"/>
        <v>18.0734</v>
      </c>
      <c r="M14" s="154">
        <f>IF(A14="","",IF(AND(ISERROR(FIND("drawer front",A14))=FALSE,WardrobeDoorStyle="Flat"),(((B14/1000)*(C14/1000))*2)+((((B14+C14)/1000)*2)*0.022),IF(AND(ISERROR(FIND("drawer front",A14))=FALSE,LEFT(WardrobeDoorStyle,5)="Panel"),(((B14/1000)*(C14/1000))*2)+((((B14+C14)/1000)*2)*0.022)+((((C14/1000)-0.16)*0.013)*2)+((((D14/1000)-0.16)*0.013)*2),IF(AND(ISERROR(FIND("drawer front",A14))=FALSE,WardrobeDoorStyle="In-frame flat"),((((B14-76)/1000)*((C14-38)/1000))*2)+(MID(WardrobeDoorMaterial,FIND("(",WardrobeDoorMaterial)+1,2)/1000)*((((B14-76)+(C14-38))/1000)*2)+(((B14/1000)*0.032)*2)+((((B14-76)/1000)*0.032)*2)+(((B14/1000)*0.019)*4)+(((C14/1000)*0.032)*2)+((((C14-38)/1000)*0.032)*2)+(((C14/1000)*0.038)*4),IF(AND(ISERROR(FIND("drawer front",A14))=FALSE,LEFT(WardrobeDoorStyle,14)="In-frame panel"),((((B14-76)/1000)*((C14-38)/1000))*2)+((MID(WardrobeDoorMaterial,FIND("(",WardrobeDoorMaterial)+1,2)/1000)*((((B14-76)+(C14-38))/1000)*2))+((((B14-236)/1000)+((C14-198)/1000)*2)*0.013)+(((B14/1000)*0.032)*2)+((((B14-76)/1000)*0.032)*2)+(((B14/1000)*0.019)*4)+(((C14/1000)*0.032)*2)+((((C14-38)/1000)*0.032)*2)+(((C14/1000)*0.038)*4),IF(ISERROR(FIND("drawer box",A14))=FALSE,((((B14/1000)*(D14/1000))+((B14/1000)*(C14/1000)))*4)+((((D14/1000)+(C14/1000))*0.016)*4)+(((C14/1000)*(D14/1000))*2),IF(OR(ISERROR(FIND("shelf",A14))=FALSE,ISERROR(FIND("Filler panel",A14))=FALSE),(((C14/1000)*(D14/1000))*2)+((((C14+D14)*2)/1000)*0.022),IF(ISERROR(FIND("Fireplace",A14))=FALSE,((B14/1000)*(C14/1000)),IF(ISERROR(FIND("Worktop",A14))=FALSE,(B14/1000)*(C14/1000),IF(ISERROR(FIND("table",A14))=FALSE,(B14/1000)*0.6,IF(ISERROR(FIND("arcass",A14))=FALSE,(((C14/1000)*(D14/1000))*2)+(((B14/1000)*(D14/1000))*2)+((B14/1000)*(C14/1000))+((((B14/1000)*0.025)+((C14/1000)*0.025))*2),IF(AND(ISERROR(FIND("door",A14))=FALSE,WardrobeDoorStyle="Flat"),(((B14/1000)*(C14/1000))*2)+(MID(WardrobeDoorMaterial,FIND("(",WardrobeDoorMaterial)+1,2)/1000)*(((B14+C14)/1000)*2),IF(AND(ISERROR(FIND("door",A14))=FALSE,LEFT(WardrobeDoorStyle,5)="Panel"),(((B14/1000)*(C14/1000))*2)+((MID(WardrobeDoorMaterial,FIND("(",WardrobeDoorMaterial)+1,2)/1000)*(((B14+C14)/1000)*2))+(((((B14-160)+(C14-160))*2)/1000)*(0.013)),IF(AND(ISERROR(FIND("door",A14))=FALSE,WardrobeDoorStyle="In-frame flat"),((((B14-76)/1000)*((C14-38)/1000))*2)+(MID(WardrobeDoorMaterial,FIND("(",WardrobeDoorMaterial)+1,2)/1000)*((((B14-76)+(C14-38))/1000)*2)+(((B14/1000)*0.032)*2)+((((B14-76)/1000)*0.032)*2)+(((B14/1000)*0.019)*4)+(((C14/1000)*0.032)*2)+((((C14-38)/1000)*0.032)*2)+(((C14/1000)*0.038)*4),IF(AND(ISERROR(FIND("door",A14))=FALSE,LEFT(WardrobeDoorStyle,14)="In-frame panel"),((((B14-76)/1000)*((C14-38)/1000))*2)+((MID(WardrobeDoorMaterial,FIND("(",WardrobeDoorMaterial)+1,2)/1000)*((((B14-76)+(C14-38))/1000)*2))+((((B14-236)/1000)+((C14-198)/1000)*2)*0.013)+(((B14/1000)*0.032)*2)+((((B14-76)/1000)*0.032)*2)+(((B14/1000)*0.019)*4)+(((C14/1000)*0.032)*2)+((((C14-38)/1000)*0.032)*2)+(((C14/1000)*0.038)*4),IF(ISERROR(FIND("Plinth",A14))=FALSE,((B14/1000)*(C14/1000))+(((C14/1000)*0.018)*2)+(((B14/1000)*0.018)*2),IF(ISERROR(FIND("Cornice",A14))=FALSE,(((C14/1000)*0.1)*2)+(((C14/1000)*0.044)*2)+(((B14/1000)*0.08)*2),IF(ISERROR(FIND("Office pod",A14))=FALSE,((2400/1000)*(1200/1000))*6,IF(ISERROR(FIND("panel",A14))=FALSE,((B14/1000)*(C14/1000))+(0.022*((B14/1000)+((C14/1000)*2)))+((B14/1000)*0.05),IF(ISERROR(FIND("Fillers",A14))=FALSE,((C14/1000)*0.06)+((C14/1000)*0.069)+((0.06*0.018)*2)+((0.06*0.009)*2)+((C14/1000)*0.009)+((C14/1000)*0.018),IF(ISERROR(FIND("Pelmet",A14))=FALSE,((C14/1000)*0.05)+((C14/1000)*0.068)+((0.05*0.018)*4)+(((C14/1000)*0.018))*2)))))))))))))))))))))</f>
        <v>0.3996</v>
      </c>
      <c r="N14" s="152">
        <f>IF(M14="","",IF(AND(ISERROR(FIND("carcass",A14))=TRUE,ISERROR(FIND("unit",A14))=TRUE,ISERROR(FIND("insert",A14))=TRUE,ISERROR(FIND("rack",A14))=TRUE,ISERROR(FIND("box",A14))=TRUE,ISERROR(FIND("shelf",A14))=TRUE),VLOOKUP(WardrobeDoorFinish,Finishing!$A$2:$K$10,9,0)*M14,IF(ISERROR(FIND("table",A14))=FALSE,VLOOKUP("Sayerlack AF0072 Interior Clear Self-Sealer",FinishingData,9,FALSE)*M14,VLOOKUP(WardrobeCarcassFinish,Finishing!$A$2:$K$40,9,0)*M14)))</f>
        <v>1.4985</v>
      </c>
      <c r="O14" s="159">
        <v>0.5</v>
      </c>
      <c r="P14" s="159">
        <v>0.5</v>
      </c>
      <c r="Q14" s="152">
        <f>IF(OR(O14="",P14=""),"",((O14*X14)*(VLOOKUP("Workshop",Labour!$A$3:$E$20,4,0)/8))+((P14*AE14)*(VLOOKUP("Finishing",Labour!$A$3:$E$20,4,0)/8)))</f>
        <v>35.875</v>
      </c>
      <c r="R14" s="152">
        <f t="shared" si="4"/>
        <v>55.4469</v>
      </c>
      <c r="S14" s="156">
        <f>IF(OR(O14="",P14=""),"",IF(OR(ISERROR(FIND("carcass",$A14))=FALSE,ISERROR(FIND("unit",$A14))=FALSE),VLOOKUP(WardrobeCarcassMaterial,FixedListsCarcassMaterial,2,0),0))</f>
        <v>0</v>
      </c>
      <c r="T14" s="156">
        <f>IF(OR(O14="",P14=""),"",IF(ISERROR(FIND("door",$A14))=FALSE,VLOOKUP(WardrobeDoorStyle,FixedListsDoorStyle,2,0),0))</f>
        <v>0</v>
      </c>
      <c r="U14" s="156">
        <f>IF(OR(O14="",P14=""),"",IF(ISERROR(FIND("door",$A14))=FALSE,VLOOKUP(WardrobeDoorMaterial,FixedListsDoorMaterial,2,0),0))</f>
        <v>0</v>
      </c>
      <c r="V14" s="156">
        <f>IF(OR(O14="",P14=""),"",IF(ISERROR(FIND("drawer",$A14))=FALSE,VLOOKUP(WardrobeDrawerType,FixedListsDrawerType,2,0),0))</f>
        <v>0</v>
      </c>
      <c r="W14" s="156">
        <f>IF(OR(O14="",P14=""),"",IF(S14&gt;0,VLOOKUP(WardrobeHandleType,FixedListsHandleType,2,FALSE),0))</f>
        <v>0</v>
      </c>
      <c r="X14" s="156">
        <f t="shared" si="5"/>
        <v>1</v>
      </c>
      <c r="Y14" s="156">
        <f>IF(OR(O14="",P14=""),"",IF(OR(ISERROR(FIND("carcass",$A14))=FALSE,ISERROR(FIND("unit",$A14))=FALSE),VLOOKUP(WardrobeCarcassMaterial,FixedListsCarcassMaterial,3,0),0))</f>
        <v>0</v>
      </c>
      <c r="Z14" s="156">
        <f>IF(OR(O14="",P14=""),"",IF(ISERROR(FIND("door",$A14))=FALSE,VLOOKUP(WardrobeDoorStyle,FixedListsDoorStyle,3,0),0))</f>
        <v>0</v>
      </c>
      <c r="AA14" s="156">
        <f>IF(OR(O14="",P14=""),"",IF(ISERROR(FIND("door",$A14))=FALSE,VLOOKUP(WardrobeDoorMaterial,FixedListsDoorMaterial,3,0),0))</f>
        <v>0</v>
      </c>
      <c r="AB14" s="156">
        <f>IF(OR(O14="",P14=""),"",IF(ISERROR(FIND("drawer",$A14))=FALSE,VLOOKUP(WardrobeDrawerType,FixedListsDrawerType,3,0),0))</f>
        <v>0</v>
      </c>
      <c r="AC14" s="156">
        <f>IF(OR(O14="",P14=""),"",IF(S14&gt;0,VLOOKUP(WardrobeHandleType,FixedListsHandleType,3,FALSE),0))</f>
        <v>0</v>
      </c>
      <c r="AD14" s="156">
        <f>IF(OR(O14="",P14=""),"",IF(OR(ISERROR(FIND("carcass",$A14))=FALSE,ISERROR(FIND("unit",$A14))=FALSE),VLOOKUP(WardrobeCarcassFinish,FixedListsFinishes,3,0),IF(OR(ISERROR(FIND("door",$A14))=FALSE,ISERROR(FIND("Plinth",$A14))=FALSE,ISERROR(FIND("Cornice",$A14))=FALSE,ISERROR(FIND("Fillers",$A14))=FALSE,ISERROR(FIND("Pelmet",$A14))=FALSE,ISERROR(FIND("panel",$A14))=FALSE,ISERROR(FIND("post",$A14))=FALSE),VLOOKUP(WardrobeDoorFinish,FixedListsFinishes,3,0),IF(OR(ISERROR(FIND("drawer",$A14))=FALSE,ISERROR(FIND("insert",$A14))=FALSE,ISERROR(FIND("rck",$A14))=FALSE),VLOOKUP(WardrobeCarcassFinish,FixedListsFinishes,3,0),0))))</f>
        <v>0</v>
      </c>
      <c r="AE14" s="156">
        <f t="shared" si="6"/>
        <v>1</v>
      </c>
      <c r="AF14" s="157" t="str">
        <f>IF(AND(WardrobeHandleType="Channel",OR(ISERROR(FIND("arcass",$A14))=FALSE,ISERROR(FIND("unit",$A14))=FALSE)),IF(ISERROR(FIND("Tower",$A14))=TRUE,IF(WardrobeHandleFinish="Match carcass",IF(ISERROR(FIND("Walnut",WardrobeCarcassMaterial))=FALSE,(0.035*0.075*($C14/1000))*VLOOKUP("Walnut (solid m3)",SolidData,4,FALSE),IF(ISERROR(FIND("Oak",WardrobeCarcassMaterial))=FALSE,(0.035*0.075*($C14/1000))*VLOOKUP("Oak (solid m3)",SolidData,4,FALSE),IF(ISERROR(FIND("ply",WardrobeCarcassMaterial))=FALSE,(0.1*($C14/1000))*VLOOKUP("Birch ply (24mm)",SheetsData,7,FALSE),IF(ISERROR(FIND("H/F",WardrobeCarcassMaterial))=FALSE,(0.1*($C14/1000))*VLOOKUP("H/F (22mm)",SheetsData,7,FALSE),"Carcass - not tower - new material")))),IF(WardrobeHandleFinish="Match door",IF(ISERROR(FIND("Walnut",WardrobeDoorMaterial))=FALSE,(0.035*0.075*($C14/1000))*VLOOKUP("Walnut (solid m3)",SolidData,4,FALSE),IF(ISERROR(FIND("Oak",WardrobeDoorMaterial))=FALSE,(0.035*0.075*($C14/1000))*VLOOKUP("Oak (solid m3)",SolidData,4,FALSE),IF(ISERROR(FIND("ply",WardrobeDoorMaterial))=FALSE,(0.1*($C14/1000))*VLOOKUP("Birch ply (24mm)",SheetsData,7,FALSE),IF(ISERROR(FIND("H/F",WardrobeCarcassMaterial))=FALSE,(0.1*($C14/1000))*VLOOKUP("H/F (22mm)",SheetsData,7,FALSE),"Door - not tower - new material")))),"Channel - not tower - handle set to other")),IF(ISERROR(FIND("Tower",$A14))=FALSE,IF(WardrobeHandleFinish="Match carcass",IF(ISERROR(FIND("Walnut",WardrobeCarcassMaterial))=FALSE,(0.035*0.075*($B14/1000))*VLOOKUP("Walnut (solid m3)",SolidData,4,FALSE),IF(ISERROR(FIND("Oak",WardrobeCarcassMaterial))=FALSE,(0.035*0.075*($B14/1000))*VLOOKUP("Oak (solid m3)",SolidData,4,FALSE),IF(ISERROR(FIND("ply",WardrobeCarcassMaterial))=FALSE,(0.1*($B14/1000))*VLOOKUP("Birch ply (24mm)",SheetsData,7,FALSE),IF(ISERROR(FIND("H/F",WardrobeCarcassMaterial))=FALSE,(0.1*($C14/1000))*VLOOKUP("H/F (22mm)",SheetsData,7,FALSE),"Carcass - tower - new material")))),IF(WardrobeHandleFinish="Match door",IF(ISERROR(FIND("Walnut",WardrobeDoorMaterial))=FALSE,(0.035*0.075*($B14/1000))*VLOOKUP("Walnut (solid m3)",SolidData,4,FALSE),IF(ISERROR(FIND("Oak",WardrobeDoorMaterial))=FALSE,(0.035*0.075*($B14/1000))*VLOOKUP("Oak (solid m3)",SolidData,4,FALSE),IF(ISERROR(FIND("ply",WardrobeDoorMaterial))=FALSE,(0.1*($B14/1000))*VLOOKUP("Birch ply (24mm)",SheetData,7,FALSE),IF(ISERROR(FIND("H/F",WardrobeCarcassMaterial))=FALSE,(0.1*($C14/1000))*VLOOKUP("H/F (22mm)",SheetsData,7,FALSE),"Door - tower - new material")))),"Channel - tower - handle set to other")))),"")</f>
        <v/>
      </c>
    </row>
    <row r="15">
      <c r="A15" s="150" t="s">
        <v>223</v>
      </c>
      <c r="B15" s="160" t="str">
        <f t="shared" si="1"/>
        <v>2420</v>
      </c>
      <c r="C15" s="160" t="str">
        <f>IFERROR(__xludf.DUMMYFUNCTION("IF(A15="""","""",IF(ISERROR(FIND(""arcass"",A15))=FALSE,MID(A15,FIND(""*"",A15)+1,FIND(""*"",A15,FIND(""*"",A15)+1)-FIND(""*"",A15)-1),IF(ISERROR(FIND(""End panel"",A15))=FALSE,RIGHT(A15,3),IF(OR(ISERROR(FIND(""drawer"",A15))=FALSE,ISERROR(FIND(""door"",A"&amp;"15))=FALSE,ISERROR(FIND(""shelf"",A15))=FALSE,ISERROR(FIND(""panel"",A15))=FALSE,ISERROR(FIND(""Plinth"",A15))=FALSE,ISERROR(FIND(""Cornice"",A15))=FALSE,ISERROR(FIND(""Fillers"",A15))=FALSE,ISERROR(FIND(""Pelmet"",A15))=FALSE,ISERROR(FIND(""Fireplace up "&amp;"to 1600"",A15))=FALSE),RIGHT(A15,LEN(A15)-LEN(regexextract(A15,"".* ""))),IF(ISERROR(FIND(""table"",A15))=FALSE,""560"",IF(ISERROR(FIND(""Office pod"",A15))=FALSE,""1600"",IF(ISERROR(FIND(""Fireplace over 1600"",A15))=FALSE,""2400"",IF(ISERROR(FIND(""Work"&amp;"top"",A15))=FALSE,""650"",""Whoops""))))))))"),"1200")</f>
        <v>1200</v>
      </c>
      <c r="D15" s="161" t="str">
        <f t="shared" si="2"/>
        <v/>
      </c>
      <c r="E15" s="152">
        <f>IF(OR(A15="",AND(ISERROR(FIND("drawer",A15))=FALSE,WardrobeDrawerType="")),"",IF(ISERROR(FIND("door",A15))=FALSE,IF(WardrobeDoorStyle="Flat",((B15/1000)*(C15/1000))*VLOOKUP(WardrobeDoorMaterial,SheetsData,8,0),IF(LEFT(WardrobeDoorStyle,5)="Panel",(((((B15/1000)*2)*0.08)+((((C15/1000)-0.16)*2)*0.08))*VLOOKUP("H/F (22mm)",SheetsData,8,0))+(((B15/1000)-0.14)*((C15/1000)-0.14)*VLOOKUP("H/F (9mm)",SheetsData,8,0)),IF(WardrobeDoorStyle="In-frame flat",((((((B15/1000)*0.019)*0.038)+((((C15-38)/1000)*0.038)*0.038))*2)*VLOOKUP("Tulip (solid m3)",SolidData,4,0))+(((B15-76)/1000)*((C15-38)/1000))*VLOOKUP("H/F (22mm)",SheetsData,8,0),IF(LEFT(WardrobeDoorStyle,14)="In-frame panel",(((((((B15/1000)*0.019)*0.038)+((((C15-38)/1000)*0.038)*0.038))*2)*VLOOKUP("Tulip (solid m3)",SolidData,4,0))+(((((((B15-76)/1000)*2)*0.08)+(((((C15-198)/1000)*2)*0.08)))*VLOOKUP("H/F (22mm)",SheetsData,8,0))+(((B15-216)/1000)*((C15-178)/1000)*VLOOKUP("H/F (9mm)",SheetsData,8,0)))))))),IF(AND(ISERROR(FIND("arcass",A15))=FALSE,ISERROR(FIND("ost corner",A15))=TRUE),IF(AND(VALUE(B15)&lt;1211,VALUE(C15)&lt;1211,VALUE(D15)&lt;606),1*VLOOKUP(WardrobeCarcassMaterial,SheetsData,5,FALSE),IF(AND(VALUE(B15)&lt;2421,VALUE(C15)&lt;2421,VALUE(D15)&lt;606),2*VLOOKUP(WardrobeCarcassMaterial,SheetsData,5,FALSE),IF(AND(VALUE(B15)&lt;2421,VALUE(C15)&lt;1211,VALUE(D15)&lt;1211),3*VLOOKUP(WardrobeCarcassMaterial,SheetsData,5,FALSE),IF(AND(VALUE(B15)&lt;2421,VALUE(C15)&lt;2421,VALUE(D15)&lt;1211),4*VLOOKUP(WardrobeCarcassMaterial,SheetsData,5,FALSE))))),IF(AND(ISERROR(FIND("arcass",A15))=FALSE,ISERROR(FIND("ost corner",A15))=FALSE),IF(AND(VALUE(B15)&lt;1211,VALUE(C15)&lt;1211,VALUE(D15)&lt;606),(1*VLOOKUP(WardrobeCarcassMaterial,SheetsData,5,FALSE))+(VLOOKUP("H/F (22mm)",SheetsData,7,FALSE)*1.44),IF(AND(VALUE(B15)&lt;2421,VALUE(C15)&lt;2421,VALUE(D15)&lt;606),(2*VLOOKUP(WardrobeCarcassMaterial,SheetsData,5,FALSE))+(VLOOKUP("H/F (22mm)",SheetsData,7,FALSE)*1.44),IF(AND(VALUE(B15)&lt;2421,VALUE(C15)&lt;1211,VALUE(D15)&lt;1211),(3*VLOOKUP(WardrobeCarcassMaterial,SheetsData,5,FALSE))+(VLOOKUP("H/F (22mm)",SheetsData,7,FALSE)*1.44),IF(AND(VALUE(B15)&lt;2421,VALUE(C15)&lt;2421,VALUE(D15)&lt;1211),(4*VLOOKUP(WardrobeCarcassMaterial,SheetsData,5,FALSE))+(VLOOKUP("H/F (22mm)",SheetsData,7,FALSE)*1.44))))),IF(ISERROR(FIND("drawer front",A15))=FALSE,((B15/1000)*(C15/1000))*VLOOKUP(WardrobeDoorMaterial,SheetsData,8,0),IF(AND(WardrobeDrawerType="Match carcass",ISERROR(FIND("drawer box",A15))=FALSE),(((((B15/1000)*(C15/1000))+((B15/1000)*(D15/1000)))*2)*VLOOKUP(WardrobeCarcassMaterial,SheetsData,8,0))+(((C15/1000)*(D15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box",A15))=FALSE),(((((B15/1000)*(C15/1000))+((B15/1000)*(D15/1000)))*2)*(16/1000)*VLOOKUP(LEFT(WardrobeCarcassMaterial,FIND(" ",WardrobeCarcassMaterial))&amp;"(solid m3)",SolidData,4,0))+(((C15/1000)*(D15/1000))*VLOOKUP(LEFT(WardrobeCarcassMaterial,FIND("(",WardrobeCarcassMaterial)-1)&amp;IF(OR(ISERROR(FIND("ply",WardrobeCarcassMaterial))=FALSE,ISERROR(FIND("H/F",WardrobeCarcassMaterial))=FALSE),"(9mm)","(10mm)"),SheetsData,8,0)),IF(ISERROR(FIND("shelf",A15))=FALSE,((C15/1000)*(D15/1000))*VLOOKUP(WardrobeCarcassMaterial,SheetsData,7,FALSE),IF(ISERROR(FIND("Office pod",A15))=FALSE,3*VLOOKUP(WardrobeCarcassMaterial,SheetsData,5,0),IF(ISERROR(FIND(" panel",A15))=FALSE,((B15/1000)*(C15/1000))*VLOOKUP(WardrobeDoorMaterial,SheetsData,8,0),IF(ISERROR(FIND("Fillers",A15))=FALSE,(((0.06*(C15/1000))*2)*VLOOKUP("H/F (18mm)",SheetsData,8,0))+(((0.06*(C15/1000))*2)*VLOOKUP("H/F (9mm)",SheetsData,8,0)),IF(ISERROR(FIND("Cornice (stacked)",A15))=FALSE,((0.08*(C15/1000))*2)*VLOOKUP("H/F (22mm)",SheetsData,8,0),IF(OR(ISERROR(FIND("Plinth",A15))=FALSE,ISERROR(FIND("Cornice (flat)",A15))=FALSE),((B15/1000)*(C15/1000))*VLOOKUP("H/F (18mm)",SheetsData,8,0),IF(ISERROR(FIND("Pelmet",A15))=FALSE,((((B15/1000)*(C15/1000))*2)*VLOOKUP("H/F (18mm)",SheetsData,8,0)),IF(ISERROR(FIND("Fireplace",A15))=FALSE,IF(ISERROR(FIND("over 1600",A15))=FALSE,2*VLOOKUP(WardrobeCarcassMaterial,SheetsData,5,FALSE),VLOOKUP(WardrobeCarcassMaterial,SheetsData,5,FALSE)),IF(ISERROR(FIND("table",A15))=FALSE,((B15/1000)*0.6)*VLOOKUP("Birch ply (24mm)",SheetsData,7,FALSE),IF(ISERROR(FIND("Worktop",A15))=FALSE,((B15/1000)*(C15/1000))*VLOOKUP(WardrobeDoorMaterial,SheetsData,7,FALSE),"Check formula")))))))))))))))))</f>
        <v>32.54579414</v>
      </c>
      <c r="F15" s="152" t="str">
        <f>IFERROR(__xludf.DUMMYFUNCTION("IF(OR(A15="""",AND(ISERROR(FIND(""drawer box"",A15))=FALSE,WardrobeDrawerType=""Solid dovetail"")),"""",IF(ISERROR(FIND(""bins"",A15))=FALSE,VLOOKUP(""Base carcass 600"",Wardrobes_etcData,6,0),IF(OR(ISERROR(FIND(""larder"",A15))=FALSE,ISERROR(FIND(""unit"&amp;""",A15))=FALSE),VLOOKUP(LEFT(A15,FIND("" "",A15))&amp;""carcass ""&amp;RIGHT(A15,LEN(A15)-len(regexextract(A15,"".* ""))),Wardrobes_etcData,6,0),IF(ISERROR(FIND(""drawer front"",A15))=FALSE,IF(ISERROR(FIND(""veneer"",WardrobeCarcassMaterial))=TRUE,0,(((B15+C15)/1"&amp;"000)*2)*VLOOKUP(""Edge banding (per M)"",SheetsData,5,0)),IF(ISERROR(FIND(""drawer box"",A15))=FALSE,IF(ISERROR(FIND(""veneer"",WardrobeCarcassMaterial))=TRUE,0,(((C15+D15)/1000)*2)*VLOOKUP(""Edge banding (per M)"",SheetsData,5,0)),IF(ISERROR(FIND(""shelf"&amp;""",A15))=FALSE,IF(ISERROR(FIND(""veneer"",WardrobeCarcassMaterial))=TRUE,0,(C15/1000)*VLOOKUP(""Edge banding (per M)"",SheetsData,5,0)),IF(AND(OR(ISERROR(FIND(""arcass"",A15))=FALSE,ISERROR(FIND(""Fireplace"",A15))=FALSE),ISERROR(FIND(""shelf"",A15))=TRUE"&amp;"),IF(ISERROR(FIND(""veneer"",WardrobeCarcassMaterial))=TRUE,0,((2*(B15+C15))/1000)*VLOOKUP(""Edge banding (per M)"",SheetsData,5,0)),IF(ISERROR(FIND(""door"",A15))=TRUE,"""",IF(ISERROR(FIND(""veneer"",WardrobeDoorMaterial))=TRUE,"""",((2*(B15+C15))/1000)*"&amp;"VLOOKUP(""Edge banding (per M)"",SheetsData,5,0))))))))))"),"")</f>
        <v/>
      </c>
      <c r="G15" s="153" t="str">
        <f>IF(A15="","",IF(AND(ISERROR(FIND("arcass",A15))=TRUE,ISERROR(FIND("Fireplace",A15))=TRUE),"",IF(VALUE(C15)&lt;606,4*VLOOKUP("Plinth foot (2 Parts 80mm)",FurnitureData,5,FALSE),IF(VALUE(C15)&lt;1211,6*VLOOKUP("Plinth foot (2 Parts 80mm)",FurnitureData,5,FALSE),8*VLOOKUP("Plinth foot (2 Parts 80mm)",FurnitureData,5,FALSE)))))</f>
        <v/>
      </c>
      <c r="H15" s="153">
        <f>IF(OR(A15="",ISERROR(FIND("door",A15))=TRUE),"",VLOOKUP("Hinges &amp; plates (Hettich thick door)",FurnitureData,5,0)*5)</f>
        <v>17.35</v>
      </c>
      <c r="I15" s="115" t="str">
        <f>IF(ISERROR(FIND("shelf",A15))=FALSE,(VLOOKUP("Shelf pegs",FurnitureData,5,0)/100)*4,"")</f>
        <v/>
      </c>
      <c r="J15" s="152" t="str">
        <f>IF(OR(ISERROR(FIND("fridge/freezer",A15))=FALSE,ISERROR(FIND("sink",A15))=FALSE,ISERROR(FIND("larder",A15))=FALSE),VLOOKUP("Deep shelf "&amp;C15,Wardrobes_etcData,18,0),IF(OR(ISERROR(FIND("single oven",A15))=FALSE,ISERROR(FIND("Base carcass",A15))=FALSE),2*VLOOKUP("Deep shelf "&amp;C15,Wardrobes_etcData,18,0),IF(AND(ISERROR(FIND("wall carcass",A15))=FALSE,ISERROR(FIND("Boiler",A15))=TRUE),2*VLOOKUP("Shallow shelf "&amp;C15,Wardrobes_etcData,18,0),IF(ISERROR(FIND("double oven",A15))=FALSE,3*VLOOKUP("Deep shelf "&amp;C15,Wardrobes_etcData,18,0),IF(ISERROR(FIND("Tower carcass",A15))=FALSE,6*VLOOKUP("Deep shelf "&amp;C15,Wardrobes_etcData,18,0),"")))))</f>
        <v/>
      </c>
      <c r="K15" s="152" t="str">
        <f>IF(ISERROR(FIND("sink",A15))=FALSE,VLOOKUP("Sink liner - Aluminium "&amp;RIGHT(A15,LEN(A15)-22)&amp;"mm",ExceptionalData,5,0),IF(ISERROR(FIND("bins",A15))=FALSE,VLOOKUP("Drawer runners and clip set for bin unit (500) Dynapro",FurnitureData,5,0)+(2*VLOOKUP("Bin (42L Anthracite)",FurnitureData,5,0)),IF(ISERROR(FIND("larder",A15))=FALSE,VLOOKUP("Pull out larder unit 600mm",FurnitureData,5,0),IF(AND(ISERROR(FIND("drawer box",A15))=FALSE,ISERROR(FIND("internal",A15))=TRUE),VLOOKUP("Drawer runners and clip set (550) Dynapro",FurnitureData,5,0),IF(ISERROR(FIND("internal drawer box",A15))=FALSE,VLOOKUP("Drawer runners and clip set (450) Dynapro",FurnitureData,5,0),IF(ISERROR(FIND("table",A15))=FALSE,VLOOKUP("Hairpin Leg (12mm Black "&amp;MID(A15,FIND("(",A15)+1,LEN(A15)-(FIND("(",A15))-1)&amp;"mm)",ExceptionalData,4,FALSE),""))))))</f>
        <v/>
      </c>
      <c r="L15" s="152">
        <f t="shared" si="3"/>
        <v>49.89579414</v>
      </c>
      <c r="M15" s="154">
        <f>IF(A15="","",IF(AND(ISERROR(FIND("drawer front",A15))=FALSE,WardrobeDoorStyle="Flat"),(((B15/1000)*(C15/1000))*2)+((((B15+C15)/1000)*2)*0.022),IF(AND(ISERROR(FIND("drawer front",A15))=FALSE,LEFT(WardrobeDoorStyle,5)="Panel"),(((B15/1000)*(C15/1000))*2)+((((B15+C15)/1000)*2)*0.022)+((((C15/1000)-0.16)*0.013)*2)+((((D15/1000)-0.16)*0.013)*2),IF(AND(ISERROR(FIND("drawer front",A15))=FALSE,WardrobeDoorStyle="In-frame flat"),((((B15-76)/1000)*((C15-38)/1000))*2)+(MID(WardrobeDoorMaterial,FIND("(",WardrobeDoorMaterial)+1,2)/1000)*((((B15-76)+(C15-38))/1000)*2)+(((B15/1000)*0.032)*2)+((((B15-76)/1000)*0.032)*2)+(((B15/1000)*0.019)*4)+(((C15/1000)*0.032)*2)+((((C15-38)/1000)*0.032)*2)+(((C15/1000)*0.038)*4),IF(AND(ISERROR(FIND("drawer front",A15))=FALSE,LEFT(WardrobeDoorStyle,14)="In-frame panel"),((((B15-76)/1000)*((C15-38)/1000))*2)+((MID(WardrobeDoorMaterial,FIND("(",WardrobeDoorMaterial)+1,2)/1000)*((((B15-76)+(C15-38))/1000)*2))+((((B15-236)/1000)+((C15-198)/1000)*2)*0.013)+(((B15/1000)*0.032)*2)+((((B15-76)/1000)*0.032)*2)+(((B15/1000)*0.019)*4)+(((C15/1000)*0.032)*2)+((((C15-38)/1000)*0.032)*2)+(((C15/1000)*0.038)*4),IF(ISERROR(FIND("drawer box",A15))=FALSE,((((B15/1000)*(D15/1000))+((B15/1000)*(C15/1000)))*4)+((((D15/1000)+(C15/1000))*0.016)*4)+(((C15/1000)*(D15/1000))*2),IF(OR(ISERROR(FIND("shelf",A15))=FALSE,ISERROR(FIND("Filler panel",A15))=FALSE),(((C15/1000)*(D15/1000))*2)+((((C15+D15)*2)/1000)*0.022),IF(ISERROR(FIND("Fireplace",A15))=FALSE,((B15/1000)*(C15/1000)),IF(ISERROR(FIND("Worktop",A15))=FALSE,(B15/1000)*(C15/1000),IF(ISERROR(FIND("table",A15))=FALSE,(B15/1000)*0.6,IF(ISERROR(FIND("arcass",A15))=FALSE,(((C15/1000)*(D15/1000))*2)+(((B15/1000)*(D15/1000))*2)+((B15/1000)*(C15/1000))+((((B15/1000)*0.025)+((C15/1000)*0.025))*2),IF(AND(ISERROR(FIND("door",A15))=FALSE,WardrobeDoorStyle="Flat"),(((B15/1000)*(C15/1000))*2)+(MID(WardrobeDoorMaterial,FIND("(",WardrobeDoorMaterial)+1,2)/1000)*(((B15+C15)/1000)*2),IF(AND(ISERROR(FIND("door",A15))=FALSE,LEFT(WardrobeDoorStyle,5)="Panel"),(((B15/1000)*(C15/1000))*2)+((MID(WardrobeDoorMaterial,FIND("(",WardrobeDoorMaterial)+1,2)/1000)*(((B15+C15)/1000)*2))+(((((B15-160)+(C15-160))*2)/1000)*(0.013)),IF(AND(ISERROR(FIND("door",A15))=FALSE,WardrobeDoorStyle="In-frame flat"),((((B15-76)/1000)*((C15-38)/1000))*2)+(MID(WardrobeDoorMaterial,FIND("(",WardrobeDoorMaterial)+1,2)/1000)*((((B15-76)+(C15-38))/1000)*2)+(((B15/1000)*0.032)*2)+((((B15-76)/1000)*0.032)*2)+(((B15/1000)*0.019)*4)+(((C15/1000)*0.032)*2)+((((C15-38)/1000)*0.032)*2)+(((C15/1000)*0.038)*4),IF(AND(ISERROR(FIND("door",A15))=FALSE,LEFT(WardrobeDoorStyle,14)="In-frame panel"),((((B15-76)/1000)*((C15-38)/1000))*2)+((MID(WardrobeDoorMaterial,FIND("(",WardrobeDoorMaterial)+1,2)/1000)*((((B15-76)+(C15-38))/1000)*2))+((((B15-236)/1000)+((C15-198)/1000)*2)*0.013)+(((B15/1000)*0.032)*2)+((((B15-76)/1000)*0.032)*2)+(((B15/1000)*0.019)*4)+(((C15/1000)*0.032)*2)+((((C15-38)/1000)*0.032)*2)+(((C15/1000)*0.038)*4),IF(ISERROR(FIND("Plinth",A15))=FALSE,((B15/1000)*(C15/1000))+(((C15/1000)*0.018)*2)+(((B15/1000)*0.018)*2),IF(ISERROR(FIND("Cornice",A15))=FALSE,(((C15/1000)*0.1)*2)+(((C15/1000)*0.044)*2)+(((B15/1000)*0.08)*2),IF(ISERROR(FIND("Office pod",A15))=FALSE,((2400/1000)*(1200/1000))*6,IF(ISERROR(FIND("panel",A15))=FALSE,((B15/1000)*(C15/1000))+(0.022*((B15/1000)+((C15/1000)*2)))+((B15/1000)*0.05),IF(ISERROR(FIND("Fillers",A15))=FALSE,((C15/1000)*0.06)+((C15/1000)*0.069)+((0.06*0.018)*2)+((0.06*0.009)*2)+((C15/1000)*0.009)+((C15/1000)*0.018),IF(ISERROR(FIND("Pelmet",A15))=FALSE,((C15/1000)*0.05)+((C15/1000)*0.068)+((0.05*0.018)*4)+(((C15/1000)*0.018))*2)))))))))))))))))))))</f>
        <v>6.05308</v>
      </c>
      <c r="N15" s="152">
        <f>IF(M15="","",IF(AND(ISERROR(FIND("carcass",A15))=TRUE,ISERROR(FIND("unit",A15))=TRUE,ISERROR(FIND("insert",A15))=TRUE,ISERROR(FIND("rack",A15))=TRUE,ISERROR(FIND("box",A15))=TRUE,ISERROR(FIND("shelf",A15))=TRUE),VLOOKUP(WardrobeDoorFinish,Finishing!$A$2:$K$10,9,0)*M15,IF(ISERROR(FIND("table",A15))=FALSE,VLOOKUP("Sayerlack AF0072 Interior Clear Self-Sealer",FinishingData,9,FALSE)*M15,VLOOKUP(WardrobeCarcassFinish,Finishing!$A$2:$K$40,9,0)*M15)))</f>
        <v>45.3981</v>
      </c>
      <c r="O15" s="159">
        <v>2.0</v>
      </c>
      <c r="P15" s="159">
        <v>2.5</v>
      </c>
      <c r="Q15" s="152">
        <f>IF(OR(O15="",P15=""),"",((O15*X15)*(VLOOKUP("Workshop",Labour!$A$3:$E$20,4,0)/8))+((P15*AE15)*(VLOOKUP("Finishing",Labour!$A$3:$E$20,4,0)/8)))</f>
        <v>516.25</v>
      </c>
      <c r="R15" s="152">
        <f t="shared" si="4"/>
        <v>611.5438941</v>
      </c>
      <c r="S15" s="156">
        <f>IF(OR(O15="",P15=""),"",IF(OR(ISERROR(FIND("carcass",$A15))=FALSE,ISERROR(FIND("unit",$A15))=FALSE),VLOOKUP(WardrobeCarcassMaterial,FixedListsCarcassMaterial,2,0),0))</f>
        <v>0</v>
      </c>
      <c r="T15" s="156">
        <f>IF(OR(O15="",P15=""),"",IF(ISERROR(FIND("door",$A15))=FALSE,VLOOKUP(WardrobeDoorStyle,FixedListsDoorStyle,2,0),0))</f>
        <v>1.5</v>
      </c>
      <c r="U15" s="156">
        <f>IF(OR(O15="",P15=""),"",IF(ISERROR(FIND("door",$A15))=FALSE,VLOOKUP(WardrobeDoorMaterial,FixedListsDoorMaterial,2,0),0))</f>
        <v>1</v>
      </c>
      <c r="V15" s="156">
        <f>IF(OR(O15="",P15=""),"",IF(ISERROR(FIND("drawer",$A15))=FALSE,VLOOKUP(WardrobeDrawerType,FixedListsDrawerType,2,0),0))</f>
        <v>0</v>
      </c>
      <c r="W15" s="156">
        <f>IF(OR(O15="",P15=""),"",IF(S15&gt;0,VLOOKUP(WardrobeHandleType,FixedListsHandleType,2,FALSE),0))</f>
        <v>0</v>
      </c>
      <c r="X15" s="156">
        <f t="shared" si="5"/>
        <v>1.5</v>
      </c>
      <c r="Y15" s="156">
        <f>IF(OR(O15="",P15=""),"",IF(OR(ISERROR(FIND("carcass",$A15))=FALSE,ISERROR(FIND("unit",$A15))=FALSE),VLOOKUP(WardrobeCarcassMaterial,FixedListsCarcassMaterial,3,0),0))</f>
        <v>0</v>
      </c>
      <c r="Z15" s="156">
        <f>IF(OR(O15="",P15=""),"",IF(ISERROR(FIND("door",$A15))=FALSE,VLOOKUP(WardrobeDoorStyle,FixedListsDoorStyle,3,0),0))</f>
        <v>1.5</v>
      </c>
      <c r="AA15" s="156">
        <f>IF(OR(O15="",P15=""),"",IF(ISERROR(FIND("door",$A15))=FALSE,VLOOKUP(WardrobeDoorMaterial,FixedListsDoorMaterial,3,0),0))</f>
        <v>2</v>
      </c>
      <c r="AB15" s="156">
        <f>IF(OR(O15="",P15=""),"",IF(ISERROR(FIND("drawer",$A15))=FALSE,VLOOKUP(WardrobeDrawerType,FixedListsDrawerType,3,0),0))</f>
        <v>0</v>
      </c>
      <c r="AC15" s="156">
        <f>IF(OR(O15="",P15=""),"",IF(S15&gt;0,VLOOKUP(WardrobeHandleType,FixedListsHandleType,3,FALSE),0))</f>
        <v>0</v>
      </c>
      <c r="AD15" s="156">
        <f>IF(OR(O15="",P15=""),"",IF(OR(ISERROR(FIND("carcass",$A15))=FALSE,ISERROR(FIND("unit",$A15))=FALSE),VLOOKUP(WardrobeCarcassFinish,FixedListsFinishes,3,0),IF(OR(ISERROR(FIND("door",$A15))=FALSE,ISERROR(FIND("Plinth",$A15))=FALSE,ISERROR(FIND("Cornice",$A15))=FALSE,ISERROR(FIND("Fillers",$A15))=FALSE,ISERROR(FIND("Pelmet",$A15))=FALSE,ISERROR(FIND("panel",$A15))=FALSE,ISERROR(FIND("post",$A15))=FALSE),VLOOKUP(WardrobeDoorFinish,FixedListsFinishes,3,0),IF(OR(ISERROR(FIND("drawer",$A15))=FALSE,ISERROR(FIND("insert",$A15))=FALSE,ISERROR(FIND("rck",$A15))=FALSE),VLOOKUP(WardrobeCarcassFinish,FixedListsFinishes,3,0),0))))</f>
        <v>2</v>
      </c>
      <c r="AE15" s="156">
        <f t="shared" si="6"/>
        <v>5.5</v>
      </c>
      <c r="AF15" s="157" t="str">
        <f>IF(AND(WardrobeHandleType="Channel",OR(ISERROR(FIND("arcass",$A15))=FALSE,ISERROR(FIND("unit",$A15))=FALSE)),IF(ISERROR(FIND("Tower",$A15))=TRUE,IF(WardrobeHandleFinish="Match carcass",IF(ISERROR(FIND("Walnut",WardrobeCarcassMaterial))=FALSE,(0.035*0.075*($C15/1000))*VLOOKUP("Walnut (solid m3)",SolidData,4,FALSE),IF(ISERROR(FIND("Oak",WardrobeCarcassMaterial))=FALSE,(0.035*0.075*($C15/1000))*VLOOKUP("Oak (solid m3)",SolidData,4,FALSE),IF(ISERROR(FIND("ply",WardrobeCarcassMaterial))=FALSE,(0.1*($C15/1000))*VLOOKUP("Birch ply (24mm)",SheetsData,7,FALSE),IF(ISERROR(FIND("H/F",WardrobeCarcassMaterial))=FALSE,(0.1*($C15/1000))*VLOOKUP("H/F (22mm)",SheetsData,7,FALSE),"Carcass - not tower - new material")))),IF(WardrobeHandleFinish="Match door",IF(ISERROR(FIND("Walnut",WardrobeDoorMaterial))=FALSE,(0.035*0.075*($C15/1000))*VLOOKUP("Walnut (solid m3)",SolidData,4,FALSE),IF(ISERROR(FIND("Oak",WardrobeDoorMaterial))=FALSE,(0.035*0.075*($C15/1000))*VLOOKUP("Oak (solid m3)",SolidData,4,FALSE),IF(ISERROR(FIND("ply",WardrobeDoorMaterial))=FALSE,(0.1*($C15/1000))*VLOOKUP("Birch ply (24mm)",SheetsData,7,FALSE),IF(ISERROR(FIND("H/F",WardrobeCarcassMaterial))=FALSE,(0.1*($C15/1000))*VLOOKUP("H/F (22mm)",SheetsData,7,FALSE),"Door - not tower - new material")))),"Channel - not tower - handle set to other")),IF(ISERROR(FIND("Tower",$A15))=FALSE,IF(WardrobeHandleFinish="Match carcass",IF(ISERROR(FIND("Walnut",WardrobeCarcassMaterial))=FALSE,(0.035*0.075*($B15/1000))*VLOOKUP("Walnut (solid m3)",SolidData,4,FALSE),IF(ISERROR(FIND("Oak",WardrobeCarcassMaterial))=FALSE,(0.035*0.075*($B15/1000))*VLOOKUP("Oak (solid m3)",SolidData,4,FALSE),IF(ISERROR(FIND("ply",WardrobeCarcassMaterial))=FALSE,(0.1*($B15/1000))*VLOOKUP("Birch ply (24mm)",SheetsData,7,FALSE),IF(ISERROR(FIND("H/F",WardrobeCarcassMaterial))=FALSE,(0.1*($C15/1000))*VLOOKUP("H/F (22mm)",SheetsData,7,FALSE),"Carcass - tower - new material")))),IF(WardrobeHandleFinish="Match door",IF(ISERROR(FIND("Walnut",WardrobeDoorMaterial))=FALSE,(0.035*0.075*($B15/1000))*VLOOKUP("Walnut (solid m3)",SolidData,4,FALSE),IF(ISERROR(FIND("Oak",WardrobeDoorMaterial))=FALSE,(0.035*0.075*($B15/1000))*VLOOKUP("Oak (solid m3)",SolidData,4,FALSE),IF(ISERROR(FIND("ply",WardrobeDoorMaterial))=FALSE,(0.1*($B15/1000))*VLOOKUP("Birch ply (24mm)",SheetData,7,FALSE),IF(ISERROR(FIND("H/F",WardrobeCarcassMaterial))=FALSE,(0.1*($C15/1000))*VLOOKUP("H/F (22mm)",SheetsData,7,FALSE),"Door - tower - new material")))),"Channel - tower - handle set to other")))),"")</f>
        <v/>
      </c>
    </row>
    <row r="16">
      <c r="A16" s="150" t="s">
        <v>224</v>
      </c>
      <c r="B16" s="160" t="str">
        <f t="shared" si="1"/>
        <v>2420</v>
      </c>
      <c r="C16" s="160" t="str">
        <f>IFERROR(__xludf.DUMMYFUNCTION("IF(A16="""","""",IF(ISERROR(FIND(""arcass"",A16))=FALSE,MID(A16,FIND(""*"",A16)+1,FIND(""*"",A16,FIND(""*"",A16)+1)-FIND(""*"",A16)-1),IF(ISERROR(FIND(""End panel"",A16))=FALSE,RIGHT(A16,3),IF(OR(ISERROR(FIND(""drawer"",A16))=FALSE,ISERROR(FIND(""door"",A"&amp;"16))=FALSE,ISERROR(FIND(""shelf"",A16))=FALSE,ISERROR(FIND(""panel"",A16))=FALSE,ISERROR(FIND(""Plinth"",A16))=FALSE,ISERROR(FIND(""Cornice"",A16))=FALSE,ISERROR(FIND(""Fillers"",A16))=FALSE,ISERROR(FIND(""Pelmet"",A16))=FALSE,ISERROR(FIND(""Fireplace up "&amp;"to 1600"",A16))=FALSE),RIGHT(A16,LEN(A16)-LEN(regexextract(A16,"".* ""))),IF(ISERROR(FIND(""table"",A16))=FALSE,""560"",IF(ISERROR(FIND(""Office pod"",A16))=FALSE,""1600"",IF(ISERROR(FIND(""Fireplace over 1600"",A16))=FALSE,""2400"",IF(ISERROR(FIND(""Work"&amp;"top"",A16))=FALSE,""650"",""Whoops""))))))))"),"600")</f>
        <v>600</v>
      </c>
      <c r="D16" s="161" t="str">
        <f t="shared" si="2"/>
        <v/>
      </c>
      <c r="E16" s="152">
        <f>IF(OR(A16="",AND(ISERROR(FIND("drawer",A16))=FALSE,WardrobeDrawerType="")),"",IF(ISERROR(FIND("door",A16))=FALSE,IF(WardrobeDoorStyle="Flat",((B16/1000)*(C16/1000))*VLOOKUP(WardrobeDoorMaterial,SheetsData,8,0),IF(LEFT(WardrobeDoorStyle,5)="Panel",(((((B16/1000)*2)*0.08)+((((C16/1000)-0.16)*2)*0.08))*VLOOKUP("H/F (22mm)",SheetsData,8,0))+(((B16/1000)-0.14)*((C16/1000)-0.14)*VLOOKUP("H/F (9mm)",SheetsData,8,0)),IF(WardrobeDoorStyle="In-frame flat",((((((B16/1000)*0.019)*0.038)+((((C16-38)/1000)*0.038)*0.038))*2)*VLOOKUP("Tulip (solid m3)",SolidData,4,0))+(((B16-76)/1000)*((C16-38)/1000))*VLOOKUP("H/F (22mm)",SheetsData,8,0),IF(LEFT(WardrobeDoorStyle,14)="In-frame panel",(((((((B16/1000)*0.019)*0.038)+((((C16-38)/1000)*0.038)*0.038))*2)*VLOOKUP("Tulip (solid m3)",SolidData,4,0))+(((((((B16-76)/1000)*2)*0.08)+(((((C16-198)/1000)*2)*0.08)))*VLOOKUP("H/F (22mm)",SheetsData,8,0))+(((B16-216)/1000)*((C16-178)/1000)*VLOOKUP("H/F (9mm)",SheetsData,8,0)))))))),IF(AND(ISERROR(FIND("arcass",A16))=FALSE,ISERROR(FIND("ost corner",A16))=TRUE),IF(AND(VALUE(B16)&lt;1211,VALUE(C16)&lt;1211,VALUE(D16)&lt;606),1*VLOOKUP(WardrobeCarcassMaterial,SheetsData,5,FALSE),IF(AND(VALUE(B16)&lt;2421,VALUE(C16)&lt;2421,VALUE(D16)&lt;606),2*VLOOKUP(WardrobeCarcassMaterial,SheetsData,5,FALSE),IF(AND(VALUE(B16)&lt;2421,VALUE(C16)&lt;1211,VALUE(D16)&lt;1211),3*VLOOKUP(WardrobeCarcassMaterial,SheetsData,5,FALSE),IF(AND(VALUE(B16)&lt;2421,VALUE(C16)&lt;2421,VALUE(D16)&lt;1211),4*VLOOKUP(WardrobeCarcassMaterial,SheetsData,5,FALSE))))),IF(AND(ISERROR(FIND("arcass",A16))=FALSE,ISERROR(FIND("ost corner",A16))=FALSE),IF(AND(VALUE(B16)&lt;1211,VALUE(C16)&lt;1211,VALUE(D16)&lt;606),(1*VLOOKUP(WardrobeCarcassMaterial,SheetsData,5,FALSE))+(VLOOKUP("H/F (22mm)",SheetsData,7,FALSE)*1.44),IF(AND(VALUE(B16)&lt;2421,VALUE(C16)&lt;2421,VALUE(D16)&lt;606),(2*VLOOKUP(WardrobeCarcassMaterial,SheetsData,5,FALSE))+(VLOOKUP("H/F (22mm)",SheetsData,7,FALSE)*1.44),IF(AND(VALUE(B16)&lt;2421,VALUE(C16)&lt;1211,VALUE(D16)&lt;1211),(3*VLOOKUP(WardrobeCarcassMaterial,SheetsData,5,FALSE))+(VLOOKUP("H/F (22mm)",SheetsData,7,FALSE)*1.44),IF(AND(VALUE(B16)&lt;2421,VALUE(C16)&lt;2421,VALUE(D16)&lt;1211),(4*VLOOKUP(WardrobeCarcassMaterial,SheetsData,5,FALSE))+(VLOOKUP("H/F (22mm)",SheetsData,7,FALSE)*1.44))))),IF(ISERROR(FIND("drawer front",A16))=FALSE,((B16/1000)*(C16/1000))*VLOOKUP(WardrobeDoorMaterial,SheetsData,8,0),IF(AND(WardrobeDrawerType="Match carcass",ISERROR(FIND("drawer box",A16))=FALSE),(((((B16/1000)*(C16/1000))+((B16/1000)*(D16/1000)))*2)*VLOOKUP(WardrobeCarcassMaterial,SheetsData,8,0))+(((C16/1000)*(D16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box",A16))=FALSE),(((((B16/1000)*(C16/1000))+((B16/1000)*(D16/1000)))*2)*(16/1000)*VLOOKUP(LEFT(WardrobeCarcassMaterial,FIND(" ",WardrobeCarcassMaterial))&amp;"(solid m3)",SolidData,4,0))+(((C16/1000)*(D16/1000))*VLOOKUP(LEFT(WardrobeCarcassMaterial,FIND("(",WardrobeCarcassMaterial)-1)&amp;IF(OR(ISERROR(FIND("ply",WardrobeCarcassMaterial))=FALSE,ISERROR(FIND("H/F",WardrobeCarcassMaterial))=FALSE),"(9mm)","(10mm)"),SheetsData,8,0)),IF(ISERROR(FIND("shelf",A16))=FALSE,((C16/1000)*(D16/1000))*VLOOKUP(WardrobeCarcassMaterial,SheetsData,7,FALSE),IF(ISERROR(FIND("Office pod",A16))=FALSE,3*VLOOKUP(WardrobeCarcassMaterial,SheetsData,5,0),IF(ISERROR(FIND(" panel",A16))=FALSE,((B16/1000)*(C16/1000))*VLOOKUP(WardrobeDoorMaterial,SheetsData,8,0),IF(ISERROR(FIND("Fillers",A16))=FALSE,(((0.06*(C16/1000))*2)*VLOOKUP("H/F (18mm)",SheetsData,8,0))+(((0.06*(C16/1000))*2)*VLOOKUP("H/F (9mm)",SheetsData,8,0)),IF(ISERROR(FIND("Cornice (stacked)",A16))=FALSE,((0.08*(C16/1000))*2)*VLOOKUP("H/F (22mm)",SheetsData,8,0),IF(OR(ISERROR(FIND("Plinth",A16))=FALSE,ISERROR(FIND("Cornice (flat)",A16))=FALSE),((B16/1000)*(C16/1000))*VLOOKUP("H/F (18mm)",SheetsData,8,0),IF(ISERROR(FIND("Pelmet",A16))=FALSE,((((B16/1000)*(C16/1000))*2)*VLOOKUP("H/F (18mm)",SheetsData,8,0)),IF(ISERROR(FIND("Fireplace",A16))=FALSE,IF(ISERROR(FIND("over 1600",A16))=FALSE,2*VLOOKUP(WardrobeCarcassMaterial,SheetsData,5,FALSE),VLOOKUP(WardrobeCarcassMaterial,SheetsData,5,FALSE)),IF(ISERROR(FIND("table",A16))=FALSE,((B16/1000)*0.6)*VLOOKUP("Birch ply (24mm)",SheetsData,7,FALSE),IF(ISERROR(FIND("Worktop",A16))=FALSE,((B16/1000)*(C16/1000))*VLOOKUP(WardrobeDoorMaterial,SheetsData,7,FALSE),"Check formula")))))))))))))))))</f>
        <v>18.13595808</v>
      </c>
      <c r="F16" s="152" t="str">
        <f>IFERROR(__xludf.DUMMYFUNCTION("IF(OR(A16="""",AND(ISERROR(FIND(""drawer box"",A16))=FALSE,WardrobeDrawerType=""Solid dovetail"")),"""",IF(ISERROR(FIND(""bins"",A16))=FALSE,VLOOKUP(""Base carcass 600"",Wardrobes_etcData,6,0),IF(OR(ISERROR(FIND(""larder"",A16))=FALSE,ISERROR(FIND(""unit"&amp;""",A16))=FALSE),VLOOKUP(LEFT(A16,FIND("" "",A16))&amp;""carcass ""&amp;RIGHT(A16,LEN(A16)-len(regexextract(A16,"".* ""))),Wardrobes_etcData,6,0),IF(ISERROR(FIND(""drawer front"",A16))=FALSE,IF(ISERROR(FIND(""veneer"",WardrobeCarcassMaterial))=TRUE,0,(((B16+C16)/1"&amp;"000)*2)*VLOOKUP(""Edge banding (per M)"",SheetsData,5,0)),IF(ISERROR(FIND(""drawer box"",A16))=FALSE,IF(ISERROR(FIND(""veneer"",WardrobeCarcassMaterial))=TRUE,0,(((C16+D16)/1000)*2)*VLOOKUP(""Edge banding (per M)"",SheetsData,5,0)),IF(ISERROR(FIND(""shelf"&amp;""",A16))=FALSE,IF(ISERROR(FIND(""veneer"",WardrobeCarcassMaterial))=TRUE,0,(C16/1000)*VLOOKUP(""Edge banding (per M)"",SheetsData,5,0)),IF(AND(OR(ISERROR(FIND(""arcass"",A16))=FALSE,ISERROR(FIND(""Fireplace"",A16))=FALSE),ISERROR(FIND(""shelf"",A16))=TRUE"&amp;"),IF(ISERROR(FIND(""veneer"",WardrobeCarcassMaterial))=TRUE,0,((2*(B16+C16))/1000)*VLOOKUP(""Edge banding (per M)"",SheetsData,5,0)),IF(ISERROR(FIND(""door"",A16))=TRUE,"""",IF(ISERROR(FIND(""veneer"",WardrobeDoorMaterial))=TRUE,"""",((2*(B16+C16))/1000)*"&amp;"VLOOKUP(""Edge banding (per M)"",SheetsData,5,0))))))))))"),"")</f>
        <v/>
      </c>
      <c r="G16" s="153" t="str">
        <f>IF(A16="","",IF(AND(ISERROR(FIND("arcass",A16))=TRUE,ISERROR(FIND("Fireplace",A16))=TRUE),"",IF(VALUE(C16)&lt;606,4*VLOOKUP("Plinth foot (2 Parts 80mm)",FurnitureData,5,FALSE),IF(VALUE(C16)&lt;1211,6*VLOOKUP("Plinth foot (2 Parts 80mm)",FurnitureData,5,FALSE),8*VLOOKUP("Plinth foot (2 Parts 80mm)",FurnitureData,5,FALSE)))))</f>
        <v/>
      </c>
      <c r="H16" s="153">
        <f>IF(OR(A16="",ISERROR(FIND("door",A16))=TRUE),"",VLOOKUP("Hinges &amp; plates (Hettich thick door)",FurnitureData,5,0)*5)</f>
        <v>17.35</v>
      </c>
      <c r="I16" s="115" t="str">
        <f>IF(ISERROR(FIND("shelf",A16))=FALSE,(VLOOKUP("Shelf pegs",FurnitureData,5,0)/100)*4,"")</f>
        <v/>
      </c>
      <c r="J16" s="152" t="str">
        <f>IF(OR(ISERROR(FIND("fridge/freezer",A16))=FALSE,ISERROR(FIND("sink",A16))=FALSE,ISERROR(FIND("larder",A16))=FALSE),VLOOKUP("Deep shelf "&amp;C16,Wardrobes_etcData,18,0),IF(OR(ISERROR(FIND("single oven",A16))=FALSE,ISERROR(FIND("Base carcass",A16))=FALSE),2*VLOOKUP("Deep shelf "&amp;C16,Wardrobes_etcData,18,0),IF(AND(ISERROR(FIND("wall carcass",A16))=FALSE,ISERROR(FIND("Boiler",A16))=TRUE),2*VLOOKUP("Shallow shelf "&amp;C16,Wardrobes_etcData,18,0),IF(ISERROR(FIND("double oven",A16))=FALSE,3*VLOOKUP("Deep shelf "&amp;C16,Wardrobes_etcData,18,0),IF(ISERROR(FIND("Tower carcass",A16))=FALSE,6*VLOOKUP("Deep shelf "&amp;C16,Wardrobes_etcData,18,0),"")))))</f>
        <v/>
      </c>
      <c r="K16" s="152" t="str">
        <f>IF(ISERROR(FIND("sink",A16))=FALSE,VLOOKUP("Sink liner - Aluminium "&amp;RIGHT(A16,LEN(A16)-22)&amp;"mm",ExceptionalData,5,0),IF(ISERROR(FIND("bins",A16))=FALSE,VLOOKUP("Drawer runners and clip set for bin unit (500) Dynapro",FurnitureData,5,0)+(2*VLOOKUP("Bin (42L Anthracite)",FurnitureData,5,0)),IF(ISERROR(FIND("larder",A16))=FALSE,VLOOKUP("Pull out larder unit 600mm",FurnitureData,5,0),IF(AND(ISERROR(FIND("drawer box",A16))=FALSE,ISERROR(FIND("internal",A16))=TRUE),VLOOKUP("Drawer runners and clip set (550) Dynapro",FurnitureData,5,0),IF(ISERROR(FIND("internal drawer box",A16))=FALSE,VLOOKUP("Drawer runners and clip set (450) Dynapro",FurnitureData,5,0),IF(ISERROR(FIND("table",A16))=FALSE,VLOOKUP("Hairpin Leg (12mm Black "&amp;MID(A16,FIND("(",A16)+1,LEN(A16)-(FIND("(",A16))-1)&amp;"mm)",ExceptionalData,4,FALSE),""))))))</f>
        <v/>
      </c>
      <c r="L16" s="152">
        <f t="shared" si="3"/>
        <v>35.48595808</v>
      </c>
      <c r="M16" s="154">
        <f>IF(A16="","",IF(AND(ISERROR(FIND("drawer front",A16))=FALSE,WardrobeDoorStyle="Flat"),(((B16/1000)*(C16/1000))*2)+((((B16+C16)/1000)*2)*0.022),IF(AND(ISERROR(FIND("drawer front",A16))=FALSE,LEFT(WardrobeDoorStyle,5)="Panel"),(((B16/1000)*(C16/1000))*2)+((((B16+C16)/1000)*2)*0.022)+((((C16/1000)-0.16)*0.013)*2)+((((D16/1000)-0.16)*0.013)*2),IF(AND(ISERROR(FIND("drawer front",A16))=FALSE,WardrobeDoorStyle="In-frame flat"),((((B16-76)/1000)*((C16-38)/1000))*2)+(MID(WardrobeDoorMaterial,FIND("(",WardrobeDoorMaterial)+1,2)/1000)*((((B16-76)+(C16-38))/1000)*2)+(((B16/1000)*0.032)*2)+((((B16-76)/1000)*0.032)*2)+(((B16/1000)*0.019)*4)+(((C16/1000)*0.032)*2)+((((C16-38)/1000)*0.032)*2)+(((C16/1000)*0.038)*4),IF(AND(ISERROR(FIND("drawer front",A16))=FALSE,LEFT(WardrobeDoorStyle,14)="In-frame panel"),((((B16-76)/1000)*((C16-38)/1000))*2)+((MID(WardrobeDoorMaterial,FIND("(",WardrobeDoorMaterial)+1,2)/1000)*((((B16-76)+(C16-38))/1000)*2))+((((B16-236)/1000)+((C16-198)/1000)*2)*0.013)+(((B16/1000)*0.032)*2)+((((B16-76)/1000)*0.032)*2)+(((B16/1000)*0.019)*4)+(((C16/1000)*0.032)*2)+((((C16-38)/1000)*0.032)*2)+(((C16/1000)*0.038)*4),IF(ISERROR(FIND("drawer box",A16))=FALSE,((((B16/1000)*(D16/1000))+((B16/1000)*(C16/1000)))*4)+((((D16/1000)+(C16/1000))*0.016)*4)+(((C16/1000)*(D16/1000))*2),IF(OR(ISERROR(FIND("shelf",A16))=FALSE,ISERROR(FIND("Filler panel",A16))=FALSE),(((C16/1000)*(D16/1000))*2)+((((C16+D16)*2)/1000)*0.022),IF(ISERROR(FIND("Fireplace",A16))=FALSE,((B16/1000)*(C16/1000)),IF(ISERROR(FIND("Worktop",A16))=FALSE,(B16/1000)*(C16/1000),IF(ISERROR(FIND("table",A16))=FALSE,(B16/1000)*0.6,IF(ISERROR(FIND("arcass",A16))=FALSE,(((C16/1000)*(D16/1000))*2)+(((B16/1000)*(D16/1000))*2)+((B16/1000)*(C16/1000))+((((B16/1000)*0.025)+((C16/1000)*0.025))*2),IF(AND(ISERROR(FIND("door",A16))=FALSE,WardrobeDoorStyle="Flat"),(((B16/1000)*(C16/1000))*2)+(MID(WardrobeDoorMaterial,FIND("(",WardrobeDoorMaterial)+1,2)/1000)*(((B16+C16)/1000)*2),IF(AND(ISERROR(FIND("door",A16))=FALSE,LEFT(WardrobeDoorStyle,5)="Panel"),(((B16/1000)*(C16/1000))*2)+((MID(WardrobeDoorMaterial,FIND("(",WardrobeDoorMaterial)+1,2)/1000)*(((B16+C16)/1000)*2))+(((((B16-160)+(C16-160))*2)/1000)*(0.013)),IF(AND(ISERROR(FIND("door",A16))=FALSE,WardrobeDoorStyle="In-frame flat"),((((B16-76)/1000)*((C16-38)/1000))*2)+(MID(WardrobeDoorMaterial,FIND("(",WardrobeDoorMaterial)+1,2)/1000)*((((B16-76)+(C16-38))/1000)*2)+(((B16/1000)*0.032)*2)+((((B16-76)/1000)*0.032)*2)+(((B16/1000)*0.019)*4)+(((C16/1000)*0.032)*2)+((((C16-38)/1000)*0.032)*2)+(((C16/1000)*0.038)*4),IF(AND(ISERROR(FIND("door",A16))=FALSE,LEFT(WardrobeDoorStyle,14)="In-frame panel"),((((B16-76)/1000)*((C16-38)/1000))*2)+((MID(WardrobeDoorMaterial,FIND("(",WardrobeDoorMaterial)+1,2)/1000)*((((B16-76)+(C16-38))/1000)*2))+((((B16-236)/1000)+((C16-198)/1000)*2)*0.013)+(((B16/1000)*0.032)*2)+((((B16-76)/1000)*0.032)*2)+(((B16/1000)*0.019)*4)+(((C16/1000)*0.032)*2)+((((C16-38)/1000)*0.032)*2)+(((C16/1000)*0.038)*4),IF(ISERROR(FIND("Plinth",A16))=FALSE,((B16/1000)*(C16/1000))+(((C16/1000)*0.018)*2)+(((B16/1000)*0.018)*2),IF(ISERROR(FIND("Cornice",A16))=FALSE,(((C16/1000)*0.1)*2)+(((C16/1000)*0.044)*2)+(((B16/1000)*0.08)*2),IF(ISERROR(FIND("Office pod",A16))=FALSE,((2400/1000)*(1200/1000))*6,IF(ISERROR(FIND("panel",A16))=FALSE,((B16/1000)*(C16/1000))+(0.022*((B16/1000)+((C16/1000)*2)))+((B16/1000)*0.05),IF(ISERROR(FIND("Fillers",A16))=FALSE,((C16/1000)*0.06)+((C16/1000)*0.069)+((0.06*0.018)*2)+((0.06*0.009)*2)+((C16/1000)*0.009)+((C16/1000)*0.018),IF(ISERROR(FIND("Pelmet",A16))=FALSE,((C16/1000)*0.05)+((C16/1000)*0.068)+((0.05*0.018)*4)+(((C16/1000)*0.018))*2)))))))))))))))))))))</f>
        <v>3.10708</v>
      </c>
      <c r="N16" s="152">
        <f>IF(M16="","",IF(AND(ISERROR(FIND("carcass",A16))=TRUE,ISERROR(FIND("unit",A16))=TRUE,ISERROR(FIND("insert",A16))=TRUE,ISERROR(FIND("rack",A16))=TRUE,ISERROR(FIND("box",A16))=TRUE,ISERROR(FIND("shelf",A16))=TRUE),VLOOKUP(WardrobeDoorFinish,Finishing!$A$2:$K$10,9,0)*M16,IF(ISERROR(FIND("table",A16))=FALSE,VLOOKUP("Sayerlack AF0072 Interior Clear Self-Sealer",FinishingData,9,FALSE)*M16,VLOOKUP(WardrobeCarcassFinish,Finishing!$A$2:$K$40,9,0)*M16)))</f>
        <v>23.3031</v>
      </c>
      <c r="O16" s="159">
        <v>1.5</v>
      </c>
      <c r="P16" s="159">
        <v>2.0</v>
      </c>
      <c r="Q16" s="152">
        <f>IF(OR(O16="",P16=""),"",((O16*X16)*(VLOOKUP("Workshop",Labour!$A$3:$E$20,4,0)/8))+((P16*AE16)*(VLOOKUP("Finishing",Labour!$A$3:$E$20,4,0)/8)))</f>
        <v>406.4375</v>
      </c>
      <c r="R16" s="152">
        <f t="shared" si="4"/>
        <v>465.2265581</v>
      </c>
      <c r="S16" s="156">
        <f>IF(OR(O16="",P16=""),"",IF(OR(ISERROR(FIND("carcass",$A16))=FALSE,ISERROR(FIND("unit",$A16))=FALSE),VLOOKUP(WardrobeCarcassMaterial,FixedListsCarcassMaterial,2,0),0))</f>
        <v>0</v>
      </c>
      <c r="T16" s="156">
        <f>IF(OR(O16="",P16=""),"",IF(ISERROR(FIND("door",$A16))=FALSE,VLOOKUP(WardrobeDoorStyle,FixedListsDoorStyle,2,0),0))</f>
        <v>1.5</v>
      </c>
      <c r="U16" s="156">
        <f>IF(OR(O16="",P16=""),"",IF(ISERROR(FIND("door",$A16))=FALSE,VLOOKUP(WardrobeDoorMaterial,FixedListsDoorMaterial,2,0),0))</f>
        <v>1</v>
      </c>
      <c r="V16" s="156">
        <f>IF(OR(O16="",P16=""),"",IF(ISERROR(FIND("drawer",$A16))=FALSE,VLOOKUP(WardrobeDrawerType,FixedListsDrawerType,2,0),0))</f>
        <v>0</v>
      </c>
      <c r="W16" s="156">
        <f>IF(OR(O16="",P16=""),"",IF(S16&gt;0,VLOOKUP(WardrobeHandleType,FixedListsHandleType,2,FALSE),0))</f>
        <v>0</v>
      </c>
      <c r="X16" s="156">
        <f t="shared" si="5"/>
        <v>1.5</v>
      </c>
      <c r="Y16" s="156">
        <f>IF(OR(O16="",P16=""),"",IF(OR(ISERROR(FIND("carcass",$A16))=FALSE,ISERROR(FIND("unit",$A16))=FALSE),VLOOKUP(WardrobeCarcassMaterial,FixedListsCarcassMaterial,3,0),0))</f>
        <v>0</v>
      </c>
      <c r="Z16" s="156">
        <f>IF(OR(O16="",P16=""),"",IF(ISERROR(FIND("door",$A16))=FALSE,VLOOKUP(WardrobeDoorStyle,FixedListsDoorStyle,3,0),0))</f>
        <v>1.5</v>
      </c>
      <c r="AA16" s="156">
        <f>IF(OR(O16="",P16=""),"",IF(ISERROR(FIND("door",$A16))=FALSE,VLOOKUP(WardrobeDoorMaterial,FixedListsDoorMaterial,3,0),0))</f>
        <v>2</v>
      </c>
      <c r="AB16" s="156">
        <f>IF(OR(O16="",P16=""),"",IF(ISERROR(FIND("drawer",$A16))=FALSE,VLOOKUP(WardrobeDrawerType,FixedListsDrawerType,3,0),0))</f>
        <v>0</v>
      </c>
      <c r="AC16" s="156">
        <f>IF(OR(O16="",P16=""),"",IF(S16&gt;0,VLOOKUP(WardrobeHandleType,FixedListsHandleType,3,FALSE),0))</f>
        <v>0</v>
      </c>
      <c r="AD16" s="156">
        <f>IF(OR(O16="",P16=""),"",IF(OR(ISERROR(FIND("carcass",$A16))=FALSE,ISERROR(FIND("unit",$A16))=FALSE),VLOOKUP(WardrobeCarcassFinish,FixedListsFinishes,3,0),IF(OR(ISERROR(FIND("door",$A16))=FALSE,ISERROR(FIND("Plinth",$A16))=FALSE,ISERROR(FIND("Cornice",$A16))=FALSE,ISERROR(FIND("Fillers",$A16))=FALSE,ISERROR(FIND("Pelmet",$A16))=FALSE,ISERROR(FIND("panel",$A16))=FALSE,ISERROR(FIND("post",$A16))=FALSE),VLOOKUP(WardrobeDoorFinish,FixedListsFinishes,3,0),IF(OR(ISERROR(FIND("drawer",$A16))=FALSE,ISERROR(FIND("insert",$A16))=FALSE,ISERROR(FIND("rck",$A16))=FALSE),VLOOKUP(WardrobeCarcassFinish,FixedListsFinishes,3,0),0))))</f>
        <v>2</v>
      </c>
      <c r="AE16" s="156">
        <f t="shared" si="6"/>
        <v>5.5</v>
      </c>
      <c r="AF16" s="157" t="str">
        <f>IF(AND(WardrobeHandleType="Channel",OR(ISERROR(FIND("arcass",$A16))=FALSE,ISERROR(FIND("unit",$A16))=FALSE)),IF(ISERROR(FIND("Tower",$A16))=TRUE,IF(WardrobeHandleFinish="Match carcass",IF(ISERROR(FIND("Walnut",WardrobeCarcassMaterial))=FALSE,(0.035*0.075*($C16/1000))*VLOOKUP("Walnut (solid m3)",SolidData,4,FALSE),IF(ISERROR(FIND("Oak",WardrobeCarcassMaterial))=FALSE,(0.035*0.075*($C16/1000))*VLOOKUP("Oak (solid m3)",SolidData,4,FALSE),IF(ISERROR(FIND("ply",WardrobeCarcassMaterial))=FALSE,(0.1*($C16/1000))*VLOOKUP("Birch ply (24mm)",SheetsData,7,FALSE),IF(ISERROR(FIND("H/F",WardrobeCarcassMaterial))=FALSE,(0.1*($C16/1000))*VLOOKUP("H/F (22mm)",SheetsData,7,FALSE),"Carcass - not tower - new material")))),IF(WardrobeHandleFinish="Match door",IF(ISERROR(FIND("Walnut",WardrobeDoorMaterial))=FALSE,(0.035*0.075*($C16/1000))*VLOOKUP("Walnut (solid m3)",SolidData,4,FALSE),IF(ISERROR(FIND("Oak",WardrobeDoorMaterial))=FALSE,(0.035*0.075*($C16/1000))*VLOOKUP("Oak (solid m3)",SolidData,4,FALSE),IF(ISERROR(FIND("ply",WardrobeDoorMaterial))=FALSE,(0.1*($C16/1000))*VLOOKUP("Birch ply (24mm)",SheetsData,7,FALSE),IF(ISERROR(FIND("H/F",WardrobeCarcassMaterial))=FALSE,(0.1*($C16/1000))*VLOOKUP("H/F (22mm)",SheetsData,7,FALSE),"Door - not tower - new material")))),"Channel - not tower - handle set to other")),IF(ISERROR(FIND("Tower",$A16))=FALSE,IF(WardrobeHandleFinish="Match carcass",IF(ISERROR(FIND("Walnut",WardrobeCarcassMaterial))=FALSE,(0.035*0.075*($B16/1000))*VLOOKUP("Walnut (solid m3)",SolidData,4,FALSE),IF(ISERROR(FIND("Oak",WardrobeCarcassMaterial))=FALSE,(0.035*0.075*($B16/1000))*VLOOKUP("Oak (solid m3)",SolidData,4,FALSE),IF(ISERROR(FIND("ply",WardrobeCarcassMaterial))=FALSE,(0.1*($B16/1000))*VLOOKUP("Birch ply (24mm)",SheetsData,7,FALSE),IF(ISERROR(FIND("H/F",WardrobeCarcassMaterial))=FALSE,(0.1*($C16/1000))*VLOOKUP("H/F (22mm)",SheetsData,7,FALSE),"Carcass - tower - new material")))),IF(WardrobeHandleFinish="Match door",IF(ISERROR(FIND("Walnut",WardrobeDoorMaterial))=FALSE,(0.035*0.075*($B16/1000))*VLOOKUP("Walnut (solid m3)",SolidData,4,FALSE),IF(ISERROR(FIND("Oak",WardrobeDoorMaterial))=FALSE,(0.035*0.075*($B16/1000))*VLOOKUP("Oak (solid m3)",SolidData,4,FALSE),IF(ISERROR(FIND("ply",WardrobeDoorMaterial))=FALSE,(0.1*($B16/1000))*VLOOKUP("Birch ply (24mm)",SheetData,7,FALSE),IF(ISERROR(FIND("H/F",WardrobeCarcassMaterial))=FALSE,(0.1*($C16/1000))*VLOOKUP("H/F (22mm)",SheetsData,7,FALSE),"Door - tower - new material")))),"Channel - tower - handle set to other")))),"")</f>
        <v/>
      </c>
    </row>
    <row r="17">
      <c r="A17" s="150" t="s">
        <v>225</v>
      </c>
      <c r="B17" s="160" t="str">
        <f t="shared" si="1"/>
        <v>2420</v>
      </c>
      <c r="C17" s="160" t="str">
        <f>IFERROR(__xludf.DUMMYFUNCTION("IF(A17="""","""",IF(ISERROR(FIND(""arcass"",A17))=FALSE,MID(A17,FIND(""*"",A17)+1,FIND(""*"",A17,FIND(""*"",A17)+1)-FIND(""*"",A17)-1),IF(ISERROR(FIND(""End panel"",A17))=FALSE,RIGHT(A17,3),IF(OR(ISERROR(FIND(""drawer"",A17))=FALSE,ISERROR(FIND(""door"",A"&amp;"17))=FALSE,ISERROR(FIND(""shelf"",A17))=FALSE,ISERROR(FIND(""panel"",A17))=FALSE,ISERROR(FIND(""Plinth"",A17))=FALSE,ISERROR(FIND(""Cornice"",A17))=FALSE,ISERROR(FIND(""Fillers"",A17))=FALSE,ISERROR(FIND(""Pelmet"",A17))=FALSE,ISERROR(FIND(""Fireplace up "&amp;"to 1600"",A17))=FALSE),RIGHT(A17,LEN(A17)-LEN(regexextract(A17,"".* ""))),IF(ISERROR(FIND(""table"",A17))=FALSE,""560"",IF(ISERROR(FIND(""Office pod"",A17))=FALSE,""1600"",IF(ISERROR(FIND(""Fireplace over 1600"",A17))=FALSE,""2400"",IF(ISERROR(FIND(""Work"&amp;"top"",A17))=FALSE,""650"",""Whoops""))))))))"),"400")</f>
        <v>400</v>
      </c>
      <c r="D17" s="161" t="str">
        <f t="shared" si="2"/>
        <v/>
      </c>
      <c r="E17" s="152">
        <f>IF(OR(A17="",AND(ISERROR(FIND("drawer",A17))=FALSE,WardrobeDrawerType="")),"",IF(ISERROR(FIND("door",A17))=FALSE,IF(WardrobeDoorStyle="Flat",((B17/1000)*(C17/1000))*VLOOKUP(WardrobeDoorMaterial,SheetsData,8,0),IF(LEFT(WardrobeDoorStyle,5)="Panel",(((((B17/1000)*2)*0.08)+((((C17/1000)-0.16)*2)*0.08))*VLOOKUP("H/F (22mm)",SheetsData,8,0))+(((B17/1000)-0.14)*((C17/1000)-0.14)*VLOOKUP("H/F (9mm)",SheetsData,8,0)),IF(WardrobeDoorStyle="In-frame flat",((((((B17/1000)*0.019)*0.038)+((((C17-38)/1000)*0.038)*0.038))*2)*VLOOKUP("Tulip (solid m3)",SolidData,4,0))+(((B17-76)/1000)*((C17-38)/1000))*VLOOKUP("H/F (22mm)",SheetsData,8,0),IF(LEFT(WardrobeDoorStyle,14)="In-frame panel",(((((((B17/1000)*0.019)*0.038)+((((C17-38)/1000)*0.038)*0.038))*2)*VLOOKUP("Tulip (solid m3)",SolidData,4,0))+(((((((B17-76)/1000)*2)*0.08)+(((((C17-198)/1000)*2)*0.08)))*VLOOKUP("H/F (22mm)",SheetsData,8,0))+(((B17-216)/1000)*((C17-178)/1000)*VLOOKUP("H/F (9mm)",SheetsData,8,0)))))))),IF(AND(ISERROR(FIND("arcass",A17))=FALSE,ISERROR(FIND("ost corner",A17))=TRUE),IF(AND(VALUE(B17)&lt;1211,VALUE(C17)&lt;1211,VALUE(D17)&lt;606),1*VLOOKUP(WardrobeCarcassMaterial,SheetsData,5,FALSE),IF(AND(VALUE(B17)&lt;2421,VALUE(C17)&lt;2421,VALUE(D17)&lt;606),2*VLOOKUP(WardrobeCarcassMaterial,SheetsData,5,FALSE),IF(AND(VALUE(B17)&lt;2421,VALUE(C17)&lt;1211,VALUE(D17)&lt;1211),3*VLOOKUP(WardrobeCarcassMaterial,SheetsData,5,FALSE),IF(AND(VALUE(B17)&lt;2421,VALUE(C17)&lt;2421,VALUE(D17)&lt;1211),4*VLOOKUP(WardrobeCarcassMaterial,SheetsData,5,FALSE))))),IF(AND(ISERROR(FIND("arcass",A17))=FALSE,ISERROR(FIND("ost corner",A17))=FALSE),IF(AND(VALUE(B17)&lt;1211,VALUE(C17)&lt;1211,VALUE(D17)&lt;606),(1*VLOOKUP(WardrobeCarcassMaterial,SheetsData,5,FALSE))+(VLOOKUP("H/F (22mm)",SheetsData,7,FALSE)*1.44),IF(AND(VALUE(B17)&lt;2421,VALUE(C17)&lt;2421,VALUE(D17)&lt;606),(2*VLOOKUP(WardrobeCarcassMaterial,SheetsData,5,FALSE))+(VLOOKUP("H/F (22mm)",SheetsData,7,FALSE)*1.44),IF(AND(VALUE(B17)&lt;2421,VALUE(C17)&lt;1211,VALUE(D17)&lt;1211),(3*VLOOKUP(WardrobeCarcassMaterial,SheetsData,5,FALSE))+(VLOOKUP("H/F (22mm)",SheetsData,7,FALSE)*1.44),IF(AND(VALUE(B17)&lt;2421,VALUE(C17)&lt;2421,VALUE(D17)&lt;1211),(4*VLOOKUP(WardrobeCarcassMaterial,SheetsData,5,FALSE))+(VLOOKUP("H/F (22mm)",SheetsData,7,FALSE)*1.44))))),IF(ISERROR(FIND("drawer front",A17))=FALSE,((B17/1000)*(C17/1000))*VLOOKUP(WardrobeDoorMaterial,SheetsData,8,0),IF(AND(WardrobeDrawerType="Match carcass",ISERROR(FIND("drawer box",A17))=FALSE),(((((B17/1000)*(C17/1000))+((B17/1000)*(D17/1000)))*2)*VLOOKUP(WardrobeCarcassMaterial,SheetsData,8,0))+(((C17/1000)*(D17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box",A17))=FALSE),(((((B17/1000)*(C17/1000))+((B17/1000)*(D17/1000)))*2)*(16/1000)*VLOOKUP(LEFT(WardrobeCarcassMaterial,FIND(" ",WardrobeCarcassMaterial))&amp;"(solid m3)",SolidData,4,0))+(((C17/1000)*(D17/1000))*VLOOKUP(LEFT(WardrobeCarcassMaterial,FIND("(",WardrobeCarcassMaterial)-1)&amp;IF(OR(ISERROR(FIND("ply",WardrobeCarcassMaterial))=FALSE,ISERROR(FIND("H/F",WardrobeCarcassMaterial))=FALSE),"(9mm)","(10mm)"),SheetsData,8,0)),IF(ISERROR(FIND("shelf",A17))=FALSE,((C17/1000)*(D17/1000))*VLOOKUP(WardrobeCarcassMaterial,SheetsData,7,FALSE),IF(ISERROR(FIND("Office pod",A17))=FALSE,3*VLOOKUP(WardrobeCarcassMaterial,SheetsData,5,0),IF(ISERROR(FIND(" panel",A17))=FALSE,((B17/1000)*(C17/1000))*VLOOKUP(WardrobeDoorMaterial,SheetsData,8,0),IF(ISERROR(FIND("Fillers",A17))=FALSE,(((0.06*(C17/1000))*2)*VLOOKUP("H/F (18mm)",SheetsData,8,0))+(((0.06*(C17/1000))*2)*VLOOKUP("H/F (9mm)",SheetsData,8,0)),IF(ISERROR(FIND("Cornice (stacked)",A17))=FALSE,((0.08*(C17/1000))*2)*VLOOKUP("H/F (22mm)",SheetsData,8,0),IF(OR(ISERROR(FIND("Plinth",A17))=FALSE,ISERROR(FIND("Cornice (flat)",A17))=FALSE),((B17/1000)*(C17/1000))*VLOOKUP("H/F (18mm)",SheetsData,8,0),IF(ISERROR(FIND("Pelmet",A17))=FALSE,((((B17/1000)*(C17/1000))*2)*VLOOKUP("H/F (18mm)",SheetsData,8,0)),IF(ISERROR(FIND("Fireplace",A17))=FALSE,IF(ISERROR(FIND("over 1600",A17))=FALSE,2*VLOOKUP(WardrobeCarcassMaterial,SheetsData,5,FALSE),VLOOKUP(WardrobeCarcassMaterial,SheetsData,5,FALSE)),IF(ISERROR(FIND("table",A17))=FALSE,((B17/1000)*0.6)*VLOOKUP("Birch ply (24mm)",SheetsData,7,FALSE),IF(ISERROR(FIND("Worktop",A17))=FALSE,((B17/1000)*(C17/1000))*VLOOKUP(WardrobeDoorMaterial,SheetsData,7,FALSE),"Check formula")))))))))))))))))</f>
        <v>13.33267939</v>
      </c>
      <c r="F17" s="152" t="str">
        <f>IFERROR(__xludf.DUMMYFUNCTION("IF(OR(A17="""",AND(ISERROR(FIND(""drawer box"",A17))=FALSE,WardrobeDrawerType=""Solid dovetail"")),"""",IF(ISERROR(FIND(""bins"",A17))=FALSE,VLOOKUP(""Base carcass 600"",Wardrobes_etcData,6,0),IF(OR(ISERROR(FIND(""larder"",A17))=FALSE,ISERROR(FIND(""unit"&amp;""",A17))=FALSE),VLOOKUP(LEFT(A17,FIND("" "",A17))&amp;""carcass ""&amp;RIGHT(A17,LEN(A17)-len(regexextract(A17,"".* ""))),Wardrobes_etcData,6,0),IF(ISERROR(FIND(""drawer front"",A17))=FALSE,IF(ISERROR(FIND(""veneer"",WardrobeCarcassMaterial))=TRUE,0,(((B17+C17)/1"&amp;"000)*2)*VLOOKUP(""Edge banding (per M)"",SheetsData,5,0)),IF(ISERROR(FIND(""drawer box"",A17))=FALSE,IF(ISERROR(FIND(""veneer"",WardrobeCarcassMaterial))=TRUE,0,(((C17+D17)/1000)*2)*VLOOKUP(""Edge banding (per M)"",SheetsData,5,0)),IF(ISERROR(FIND(""shelf"&amp;""",A17))=FALSE,IF(ISERROR(FIND(""veneer"",WardrobeCarcassMaterial))=TRUE,0,(C17/1000)*VLOOKUP(""Edge banding (per M)"",SheetsData,5,0)),IF(AND(OR(ISERROR(FIND(""arcass"",A17))=FALSE,ISERROR(FIND(""Fireplace"",A17))=FALSE),ISERROR(FIND(""shelf"",A17))=TRUE"&amp;"),IF(ISERROR(FIND(""veneer"",WardrobeCarcassMaterial))=TRUE,0,((2*(B17+C17))/1000)*VLOOKUP(""Edge banding (per M)"",SheetsData,5,0)),IF(ISERROR(FIND(""door"",A17))=TRUE,"""",IF(ISERROR(FIND(""veneer"",WardrobeDoorMaterial))=TRUE,"""",((2*(B17+C17))/1000)*"&amp;"VLOOKUP(""Edge banding (per M)"",SheetsData,5,0))))))))))"),"")</f>
        <v/>
      </c>
      <c r="G17" s="153" t="str">
        <f>IF(A17="","",IF(AND(ISERROR(FIND("arcass",A17))=TRUE,ISERROR(FIND("Fireplace",A17))=TRUE),"",IF(VALUE(C17)&lt;606,4*VLOOKUP("Plinth foot (2 Parts 80mm)",FurnitureData,5,FALSE),IF(VALUE(C17)&lt;1211,6*VLOOKUP("Plinth foot (2 Parts 80mm)",FurnitureData,5,FALSE),8*VLOOKUP("Plinth foot (2 Parts 80mm)",FurnitureData,5,FALSE)))))</f>
        <v/>
      </c>
      <c r="H17" s="153">
        <f>IF(OR(A17="",ISERROR(FIND("door",A17))=TRUE),"",VLOOKUP("Hinges &amp; plates (Hettich thick door)",FurnitureData,5,0)*5)</f>
        <v>17.35</v>
      </c>
      <c r="I17" s="115" t="str">
        <f>IF(ISERROR(FIND("shelf",A17))=FALSE,(VLOOKUP("Shelf pegs",FurnitureData,5,0)/100)*4,"")</f>
        <v/>
      </c>
      <c r="J17" s="152" t="str">
        <f>IF(OR(ISERROR(FIND("fridge/freezer",A17))=FALSE,ISERROR(FIND("sink",A17))=FALSE,ISERROR(FIND("larder",A17))=FALSE),VLOOKUP("Deep shelf "&amp;C17,Wardrobes_etcData,18,0),IF(OR(ISERROR(FIND("single oven",A17))=FALSE,ISERROR(FIND("Base carcass",A17))=FALSE),2*VLOOKUP("Deep shelf "&amp;C17,Wardrobes_etcData,18,0),IF(AND(ISERROR(FIND("wall carcass",A17))=FALSE,ISERROR(FIND("Boiler",A17))=TRUE),2*VLOOKUP("Shallow shelf "&amp;C17,Wardrobes_etcData,18,0),IF(ISERROR(FIND("double oven",A17))=FALSE,3*VLOOKUP("Deep shelf "&amp;C17,Wardrobes_etcData,18,0),IF(ISERROR(FIND("Tower carcass",A17))=FALSE,6*VLOOKUP("Deep shelf "&amp;C17,Wardrobes_etcData,18,0),"")))))</f>
        <v/>
      </c>
      <c r="K17" s="152" t="str">
        <f>IF(ISERROR(FIND("sink",A17))=FALSE,VLOOKUP("Sink liner - Aluminium "&amp;RIGHT(A17,LEN(A17)-22)&amp;"mm",ExceptionalData,5,0),IF(ISERROR(FIND("bins",A17))=FALSE,VLOOKUP("Drawer runners and clip set for bin unit (500) Dynapro",FurnitureData,5,0)+(2*VLOOKUP("Bin (42L Anthracite)",FurnitureData,5,0)),IF(ISERROR(FIND("larder",A17))=FALSE,VLOOKUP("Pull out larder unit 600mm",FurnitureData,5,0),IF(AND(ISERROR(FIND("drawer box",A17))=FALSE,ISERROR(FIND("internal",A17))=TRUE),VLOOKUP("Drawer runners and clip set (550) Dynapro",FurnitureData,5,0),IF(ISERROR(FIND("internal drawer box",A17))=FALSE,VLOOKUP("Drawer runners and clip set (450) Dynapro",FurnitureData,5,0),IF(ISERROR(FIND("table",A17))=FALSE,VLOOKUP("Hairpin Leg (12mm Black "&amp;MID(A17,FIND("(",A17)+1,LEN(A17)-(FIND("(",A17))-1)&amp;"mm)",ExceptionalData,4,FALSE),""))))))</f>
        <v/>
      </c>
      <c r="L17" s="152">
        <f t="shared" si="3"/>
        <v>30.68267939</v>
      </c>
      <c r="M17" s="154">
        <f>IF(A17="","",IF(AND(ISERROR(FIND("drawer front",A17))=FALSE,WardrobeDoorStyle="Flat"),(((B17/1000)*(C17/1000))*2)+((((B17+C17)/1000)*2)*0.022),IF(AND(ISERROR(FIND("drawer front",A17))=FALSE,LEFT(WardrobeDoorStyle,5)="Panel"),(((B17/1000)*(C17/1000))*2)+((((B17+C17)/1000)*2)*0.022)+((((C17/1000)-0.16)*0.013)*2)+((((D17/1000)-0.16)*0.013)*2),IF(AND(ISERROR(FIND("drawer front",A17))=FALSE,WardrobeDoorStyle="In-frame flat"),((((B17-76)/1000)*((C17-38)/1000))*2)+(MID(WardrobeDoorMaterial,FIND("(",WardrobeDoorMaterial)+1,2)/1000)*((((B17-76)+(C17-38))/1000)*2)+(((B17/1000)*0.032)*2)+((((B17-76)/1000)*0.032)*2)+(((B17/1000)*0.019)*4)+(((C17/1000)*0.032)*2)+((((C17-38)/1000)*0.032)*2)+(((C17/1000)*0.038)*4),IF(AND(ISERROR(FIND("drawer front",A17))=FALSE,LEFT(WardrobeDoorStyle,14)="In-frame panel"),((((B17-76)/1000)*((C17-38)/1000))*2)+((MID(WardrobeDoorMaterial,FIND("(",WardrobeDoorMaterial)+1,2)/1000)*((((B17-76)+(C17-38))/1000)*2))+((((B17-236)/1000)+((C17-198)/1000)*2)*0.013)+(((B17/1000)*0.032)*2)+((((B17-76)/1000)*0.032)*2)+(((B17/1000)*0.019)*4)+(((C17/1000)*0.032)*2)+((((C17-38)/1000)*0.032)*2)+(((C17/1000)*0.038)*4),IF(ISERROR(FIND("drawer box",A17))=FALSE,((((B17/1000)*(D17/1000))+((B17/1000)*(C17/1000)))*4)+((((D17/1000)+(C17/1000))*0.016)*4)+(((C17/1000)*(D17/1000))*2),IF(OR(ISERROR(FIND("shelf",A17))=FALSE,ISERROR(FIND("Filler panel",A17))=FALSE),(((C17/1000)*(D17/1000))*2)+((((C17+D17)*2)/1000)*0.022),IF(ISERROR(FIND("Fireplace",A17))=FALSE,((B17/1000)*(C17/1000)),IF(ISERROR(FIND("Worktop",A17))=FALSE,(B17/1000)*(C17/1000),IF(ISERROR(FIND("table",A17))=FALSE,(B17/1000)*0.6,IF(ISERROR(FIND("arcass",A17))=FALSE,(((C17/1000)*(D17/1000))*2)+(((B17/1000)*(D17/1000))*2)+((B17/1000)*(C17/1000))+((((B17/1000)*0.025)+((C17/1000)*0.025))*2),IF(AND(ISERROR(FIND("door",A17))=FALSE,WardrobeDoorStyle="Flat"),(((B17/1000)*(C17/1000))*2)+(MID(WardrobeDoorMaterial,FIND("(",WardrobeDoorMaterial)+1,2)/1000)*(((B17+C17)/1000)*2),IF(AND(ISERROR(FIND("door",A17))=FALSE,LEFT(WardrobeDoorStyle,5)="Panel"),(((B17/1000)*(C17/1000))*2)+((MID(WardrobeDoorMaterial,FIND("(",WardrobeDoorMaterial)+1,2)/1000)*(((B17+C17)/1000)*2))+(((((B17-160)+(C17-160))*2)/1000)*(0.013)),IF(AND(ISERROR(FIND("door",A17))=FALSE,WardrobeDoorStyle="In-frame flat"),((((B17-76)/1000)*((C17-38)/1000))*2)+(MID(WardrobeDoorMaterial,FIND("(",WardrobeDoorMaterial)+1,2)/1000)*((((B17-76)+(C17-38))/1000)*2)+(((B17/1000)*0.032)*2)+((((B17-76)/1000)*0.032)*2)+(((B17/1000)*0.019)*4)+(((C17/1000)*0.032)*2)+((((C17-38)/1000)*0.032)*2)+(((C17/1000)*0.038)*4),IF(AND(ISERROR(FIND("door",A17))=FALSE,LEFT(WardrobeDoorStyle,14)="In-frame panel"),((((B17-76)/1000)*((C17-38)/1000))*2)+((MID(WardrobeDoorMaterial,FIND("(",WardrobeDoorMaterial)+1,2)/1000)*((((B17-76)+(C17-38))/1000)*2))+((((B17-236)/1000)+((C17-198)/1000)*2)*0.013)+(((B17/1000)*0.032)*2)+((((B17-76)/1000)*0.032)*2)+(((B17/1000)*0.019)*4)+(((C17/1000)*0.032)*2)+((((C17-38)/1000)*0.032)*2)+(((C17/1000)*0.038)*4),IF(ISERROR(FIND("Plinth",A17))=FALSE,((B17/1000)*(C17/1000))+(((C17/1000)*0.018)*2)+(((B17/1000)*0.018)*2),IF(ISERROR(FIND("Cornice",A17))=FALSE,(((C17/1000)*0.1)*2)+(((C17/1000)*0.044)*2)+(((B17/1000)*0.08)*2),IF(ISERROR(FIND("Office pod",A17))=FALSE,((2400/1000)*(1200/1000))*6,IF(ISERROR(FIND("panel",A17))=FALSE,((B17/1000)*(C17/1000))+(0.022*((B17/1000)+((C17/1000)*2)))+((B17/1000)*0.05),IF(ISERROR(FIND("Fillers",A17))=FALSE,((C17/1000)*0.06)+((C17/1000)*0.069)+((0.06*0.018)*2)+((0.06*0.009)*2)+((C17/1000)*0.009)+((C17/1000)*0.018),IF(ISERROR(FIND("Pelmet",A17))=FALSE,((C17/1000)*0.05)+((C17/1000)*0.068)+((0.05*0.018)*4)+(((C17/1000)*0.018))*2)))))))))))))))))))))</f>
        <v>2.12508</v>
      </c>
      <c r="N17" s="152">
        <f>IF(M17="","",IF(AND(ISERROR(FIND("carcass",A17))=TRUE,ISERROR(FIND("unit",A17))=TRUE,ISERROR(FIND("insert",A17))=TRUE,ISERROR(FIND("rack",A17))=TRUE,ISERROR(FIND("box",A17))=TRUE,ISERROR(FIND("shelf",A17))=TRUE),VLOOKUP(WardrobeDoorFinish,Finishing!$A$2:$K$10,9,0)*M17,IF(ISERROR(FIND("table",A17))=FALSE,VLOOKUP("Sayerlack AF0072 Interior Clear Self-Sealer",FinishingData,9,FALSE)*M17,VLOOKUP(WardrobeCarcassFinish,Finishing!$A$2:$K$40,9,0)*M17)))</f>
        <v>15.9381</v>
      </c>
      <c r="O17" s="155">
        <v>1.0</v>
      </c>
      <c r="P17" s="155">
        <v>1.5</v>
      </c>
      <c r="Q17" s="152">
        <f>IF(OR(O17="",P17=""),"",((O17*X17)*(VLOOKUP("Workshop",Labour!$A$3:$E$20,4,0)/8))+((P17*AE17)*(VLOOKUP("Finishing",Labour!$A$3:$E$20,4,0)/8)))</f>
        <v>296.625</v>
      </c>
      <c r="R17" s="152">
        <f t="shared" si="4"/>
        <v>343.2457794</v>
      </c>
      <c r="S17" s="156">
        <f>IF(OR(O17="",P17=""),"",IF(OR(ISERROR(FIND("carcass",$A17))=FALSE,ISERROR(FIND("unit",$A17))=FALSE),VLOOKUP(WardrobeCarcassMaterial,FixedListsCarcassMaterial,2,0),0))</f>
        <v>0</v>
      </c>
      <c r="T17" s="156">
        <f>IF(OR(O17="",P17=""),"",IF(ISERROR(FIND("door",$A17))=FALSE,VLOOKUP(WardrobeDoorStyle,FixedListsDoorStyle,2,0),0))</f>
        <v>1.5</v>
      </c>
      <c r="U17" s="156">
        <f>IF(OR(O17="",P17=""),"",IF(ISERROR(FIND("door",$A17))=FALSE,VLOOKUP(WardrobeDoorMaterial,FixedListsDoorMaterial,2,0),0))</f>
        <v>1</v>
      </c>
      <c r="V17" s="156">
        <f>IF(OR(O17="",P17=""),"",IF(ISERROR(FIND("drawer",$A17))=FALSE,VLOOKUP(WardrobeDrawerType,FixedListsDrawerType,2,0),0))</f>
        <v>0</v>
      </c>
      <c r="W17" s="156">
        <f>IF(OR(O17="",P17=""),"",IF(S17&gt;0,VLOOKUP(WardrobeHandleType,FixedListsHandleType,2,FALSE),0))</f>
        <v>0</v>
      </c>
      <c r="X17" s="156">
        <f t="shared" si="5"/>
        <v>1.5</v>
      </c>
      <c r="Y17" s="156">
        <f>IF(OR(O17="",P17=""),"",IF(OR(ISERROR(FIND("carcass",$A17))=FALSE,ISERROR(FIND("unit",$A17))=FALSE),VLOOKUP(WardrobeCarcassMaterial,FixedListsCarcassMaterial,3,0),0))</f>
        <v>0</v>
      </c>
      <c r="Z17" s="156">
        <f>IF(OR(O17="",P17=""),"",IF(ISERROR(FIND("door",$A17))=FALSE,VLOOKUP(WardrobeDoorStyle,FixedListsDoorStyle,3,0),0))</f>
        <v>1.5</v>
      </c>
      <c r="AA17" s="156">
        <f>IF(OR(O17="",P17=""),"",IF(ISERROR(FIND("door",$A17))=FALSE,VLOOKUP(WardrobeDoorMaterial,FixedListsDoorMaterial,3,0),0))</f>
        <v>2</v>
      </c>
      <c r="AB17" s="156">
        <f>IF(OR(O17="",P17=""),"",IF(ISERROR(FIND("drawer",$A17))=FALSE,VLOOKUP(WardrobeDrawerType,FixedListsDrawerType,3,0),0))</f>
        <v>0</v>
      </c>
      <c r="AC17" s="156">
        <f>IF(OR(O17="",P17=""),"",IF(S17&gt;0,VLOOKUP(WardrobeHandleType,FixedListsHandleType,3,FALSE),0))</f>
        <v>0</v>
      </c>
      <c r="AD17" s="156">
        <f>IF(OR(O17="",P17=""),"",IF(OR(ISERROR(FIND("carcass",$A17))=FALSE,ISERROR(FIND("unit",$A17))=FALSE),VLOOKUP(WardrobeCarcassFinish,FixedListsFinishes,3,0),IF(OR(ISERROR(FIND("door",$A17))=FALSE,ISERROR(FIND("Plinth",$A17))=FALSE,ISERROR(FIND("Cornice",$A17))=FALSE,ISERROR(FIND("Fillers",$A17))=FALSE,ISERROR(FIND("Pelmet",$A17))=FALSE,ISERROR(FIND("panel",$A17))=FALSE,ISERROR(FIND("post",$A17))=FALSE),VLOOKUP(WardrobeDoorFinish,FixedListsFinishes,3,0),IF(OR(ISERROR(FIND("drawer",$A17))=FALSE,ISERROR(FIND("insert",$A17))=FALSE,ISERROR(FIND("rck",$A17))=FALSE),VLOOKUP(WardrobeCarcassFinish,FixedListsFinishes,3,0),0))))</f>
        <v>2</v>
      </c>
      <c r="AE17" s="156">
        <f t="shared" si="6"/>
        <v>5.5</v>
      </c>
      <c r="AF17" s="157" t="str">
        <f>IF(AND(WardrobeHandleType="Channel",OR(ISERROR(FIND("arcass",$A17))=FALSE,ISERROR(FIND("unit",$A17))=FALSE)),IF(ISERROR(FIND("Tower",$A17))=TRUE,IF(WardrobeHandleFinish="Match carcass",IF(ISERROR(FIND("Walnut",WardrobeCarcassMaterial))=FALSE,(0.035*0.075*($C17/1000))*VLOOKUP("Walnut (solid m3)",SolidData,4,FALSE),IF(ISERROR(FIND("Oak",WardrobeCarcassMaterial))=FALSE,(0.035*0.075*($C17/1000))*VLOOKUP("Oak (solid m3)",SolidData,4,FALSE),IF(ISERROR(FIND("ply",WardrobeCarcassMaterial))=FALSE,(0.1*($C17/1000))*VLOOKUP("Birch ply (24mm)",SheetsData,7,FALSE),IF(ISERROR(FIND("H/F",WardrobeCarcassMaterial))=FALSE,(0.1*($C17/1000))*VLOOKUP("H/F (22mm)",SheetsData,7,FALSE),"Carcass - not tower - new material")))),IF(WardrobeHandleFinish="Match door",IF(ISERROR(FIND("Walnut",WardrobeDoorMaterial))=FALSE,(0.035*0.075*($C17/1000))*VLOOKUP("Walnut (solid m3)",SolidData,4,FALSE),IF(ISERROR(FIND("Oak",WardrobeDoorMaterial))=FALSE,(0.035*0.075*($C17/1000))*VLOOKUP("Oak (solid m3)",SolidData,4,FALSE),IF(ISERROR(FIND("ply",WardrobeDoorMaterial))=FALSE,(0.1*($C17/1000))*VLOOKUP("Birch ply (24mm)",SheetsData,7,FALSE),IF(ISERROR(FIND("H/F",WardrobeCarcassMaterial))=FALSE,(0.1*($C17/1000))*VLOOKUP("H/F (22mm)",SheetsData,7,FALSE),"Door - not tower - new material")))),"Channel - not tower - handle set to other")),IF(ISERROR(FIND("Tower",$A17))=FALSE,IF(WardrobeHandleFinish="Match carcass",IF(ISERROR(FIND("Walnut",WardrobeCarcassMaterial))=FALSE,(0.035*0.075*($B17/1000))*VLOOKUP("Walnut (solid m3)",SolidData,4,FALSE),IF(ISERROR(FIND("Oak",WardrobeCarcassMaterial))=FALSE,(0.035*0.075*($B17/1000))*VLOOKUP("Oak (solid m3)",SolidData,4,FALSE),IF(ISERROR(FIND("ply",WardrobeCarcassMaterial))=FALSE,(0.1*($B17/1000))*VLOOKUP("Birch ply (24mm)",SheetsData,7,FALSE),IF(ISERROR(FIND("H/F",WardrobeCarcassMaterial))=FALSE,(0.1*($C17/1000))*VLOOKUP("H/F (22mm)",SheetsData,7,FALSE),"Carcass - tower - new material")))),IF(WardrobeHandleFinish="Match door",IF(ISERROR(FIND("Walnut",WardrobeDoorMaterial))=FALSE,(0.035*0.075*($B17/1000))*VLOOKUP("Walnut (solid m3)",SolidData,4,FALSE),IF(ISERROR(FIND("Oak",WardrobeDoorMaterial))=FALSE,(0.035*0.075*($B17/1000))*VLOOKUP("Oak (solid m3)",SolidData,4,FALSE),IF(ISERROR(FIND("ply",WardrobeDoorMaterial))=FALSE,(0.1*($B17/1000))*VLOOKUP("Birch ply (24mm)",SheetData,7,FALSE),IF(ISERROR(FIND("H/F",WardrobeCarcassMaterial))=FALSE,(0.1*($C17/1000))*VLOOKUP("H/F (22mm)",SheetsData,7,FALSE),"Door - tower - new material")))),"Channel - tower - handle set to other")))),"")</f>
        <v/>
      </c>
    </row>
    <row r="18">
      <c r="A18" s="150" t="s">
        <v>226</v>
      </c>
      <c r="B18" s="160" t="str">
        <f t="shared" si="1"/>
        <v>2420</v>
      </c>
      <c r="C18" s="160" t="str">
        <f>IFERROR(__xludf.DUMMYFUNCTION("IF(A18="""","""",IF(ISERROR(FIND(""arcass"",A18))=FALSE,MID(A18,FIND(""*"",A18)+1,FIND(""*"",A18,FIND(""*"",A18)+1)-FIND(""*"",A18)-1),IF(ISERROR(FIND(""End panel"",A18))=FALSE,RIGHT(A18,3),IF(OR(ISERROR(FIND(""drawer"",A18))=FALSE,ISERROR(FIND(""door"",A"&amp;"18))=FALSE,ISERROR(FIND(""shelf"",A18))=FALSE,ISERROR(FIND(""panel"",A18))=FALSE,ISERROR(FIND(""Plinth"",A18))=FALSE,ISERROR(FIND(""Cornice"",A18))=FALSE,ISERROR(FIND(""Fillers"",A18))=FALSE,ISERROR(FIND(""Pelmet"",A18))=FALSE,ISERROR(FIND(""Fireplace up "&amp;"to 1600"",A18))=FALSE),RIGHT(A18,LEN(A18)-LEN(regexextract(A18,"".* ""))),IF(ISERROR(FIND(""table"",A18))=FALSE,""560"",IF(ISERROR(FIND(""Office pod"",A18))=FALSE,""1600"",IF(ISERROR(FIND(""Fireplace over 1600"",A18))=FALSE,""2400"",IF(ISERROR(FIND(""Work"&amp;"top"",A18))=FALSE,""650"",""Whoops""))))))))"),"300")</f>
        <v>300</v>
      </c>
      <c r="D18" s="161" t="str">
        <f t="shared" si="2"/>
        <v/>
      </c>
      <c r="E18" s="152">
        <f>IF(OR(A18="",AND(ISERROR(FIND("drawer",A18))=FALSE,WardrobeDrawerType="")),"",IF(ISERROR(FIND("door",A18))=FALSE,IF(WardrobeDoorStyle="Flat",((B18/1000)*(C18/1000))*VLOOKUP(WardrobeDoorMaterial,SheetsData,8,0),IF(LEFT(WardrobeDoorStyle,5)="Panel",(((((B18/1000)*2)*0.08)+((((C18/1000)-0.16)*2)*0.08))*VLOOKUP("H/F (22mm)",SheetsData,8,0))+(((B18/1000)-0.14)*((C18/1000)-0.14)*VLOOKUP("H/F (9mm)",SheetsData,8,0)),IF(WardrobeDoorStyle="In-frame flat",((((((B18/1000)*0.019)*0.038)+((((C18-38)/1000)*0.038)*0.038))*2)*VLOOKUP("Tulip (solid m3)",SolidData,4,0))+(((B18-76)/1000)*((C18-38)/1000))*VLOOKUP("H/F (22mm)",SheetsData,8,0),IF(LEFT(WardrobeDoorStyle,14)="In-frame panel",(((((((B18/1000)*0.019)*0.038)+((((C18-38)/1000)*0.038)*0.038))*2)*VLOOKUP("Tulip (solid m3)",SolidData,4,0))+(((((((B18-76)/1000)*2)*0.08)+(((((C18-198)/1000)*2)*0.08)))*VLOOKUP("H/F (22mm)",SheetsData,8,0))+(((B18-216)/1000)*((C18-178)/1000)*VLOOKUP("H/F (9mm)",SheetsData,8,0)))))))),IF(AND(ISERROR(FIND("arcass",A18))=FALSE,ISERROR(FIND("ost corner",A18))=TRUE),IF(AND(VALUE(B18)&lt;1211,VALUE(C18)&lt;1211,VALUE(D18)&lt;606),1*VLOOKUP(WardrobeCarcassMaterial,SheetsData,5,FALSE),IF(AND(VALUE(B18)&lt;2421,VALUE(C18)&lt;2421,VALUE(D18)&lt;606),2*VLOOKUP(WardrobeCarcassMaterial,SheetsData,5,FALSE),IF(AND(VALUE(B18)&lt;2421,VALUE(C18)&lt;1211,VALUE(D18)&lt;1211),3*VLOOKUP(WardrobeCarcassMaterial,SheetsData,5,FALSE),IF(AND(VALUE(B18)&lt;2421,VALUE(C18)&lt;2421,VALUE(D18)&lt;1211),4*VLOOKUP(WardrobeCarcassMaterial,SheetsData,5,FALSE))))),IF(AND(ISERROR(FIND("arcass",A18))=FALSE,ISERROR(FIND("ost corner",A18))=FALSE),IF(AND(VALUE(B18)&lt;1211,VALUE(C18)&lt;1211,VALUE(D18)&lt;606),(1*VLOOKUP(WardrobeCarcassMaterial,SheetsData,5,FALSE))+(VLOOKUP("H/F (22mm)",SheetsData,7,FALSE)*1.44),IF(AND(VALUE(B18)&lt;2421,VALUE(C18)&lt;2421,VALUE(D18)&lt;606),(2*VLOOKUP(WardrobeCarcassMaterial,SheetsData,5,FALSE))+(VLOOKUP("H/F (22mm)",SheetsData,7,FALSE)*1.44),IF(AND(VALUE(B18)&lt;2421,VALUE(C18)&lt;1211,VALUE(D18)&lt;1211),(3*VLOOKUP(WardrobeCarcassMaterial,SheetsData,5,FALSE))+(VLOOKUP("H/F (22mm)",SheetsData,7,FALSE)*1.44),IF(AND(VALUE(B18)&lt;2421,VALUE(C18)&lt;2421,VALUE(D18)&lt;1211),(4*VLOOKUP(WardrobeCarcassMaterial,SheetsData,5,FALSE))+(VLOOKUP("H/F (22mm)",SheetsData,7,FALSE)*1.44))))),IF(ISERROR(FIND("drawer front",A18))=FALSE,((B18/1000)*(C18/1000))*VLOOKUP(WardrobeDoorMaterial,SheetsData,8,0),IF(AND(WardrobeDrawerType="Match carcass",ISERROR(FIND("drawer box",A18))=FALSE),(((((B18/1000)*(C18/1000))+((B18/1000)*(D18/1000)))*2)*VLOOKUP(WardrobeCarcassMaterial,SheetsData,8,0))+(((C18/1000)*(D18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box",A18))=FALSE),(((((B18/1000)*(C18/1000))+((B18/1000)*(D18/1000)))*2)*(16/1000)*VLOOKUP(LEFT(WardrobeCarcassMaterial,FIND(" ",WardrobeCarcassMaterial))&amp;"(solid m3)",SolidData,4,0))+(((C18/1000)*(D18/1000))*VLOOKUP(LEFT(WardrobeCarcassMaterial,FIND("(",WardrobeCarcassMaterial)-1)&amp;IF(OR(ISERROR(FIND("ply",WardrobeCarcassMaterial))=FALSE,ISERROR(FIND("H/F",WardrobeCarcassMaterial))=FALSE),"(9mm)","(10mm)"),SheetsData,8,0)),IF(ISERROR(FIND("shelf",A18))=FALSE,((C18/1000)*(D18/1000))*VLOOKUP(WardrobeCarcassMaterial,SheetsData,7,FALSE),IF(ISERROR(FIND("Office pod",A18))=FALSE,3*VLOOKUP(WardrobeCarcassMaterial,SheetsData,5,0),IF(ISERROR(FIND(" panel",A18))=FALSE,((B18/1000)*(C18/1000))*VLOOKUP(WardrobeDoorMaterial,SheetsData,8,0),IF(ISERROR(FIND("Fillers",A18))=FALSE,(((0.06*(C18/1000))*2)*VLOOKUP("H/F (18mm)",SheetsData,8,0))+(((0.06*(C18/1000))*2)*VLOOKUP("H/F (9mm)",SheetsData,8,0)),IF(ISERROR(FIND("Cornice (stacked)",A18))=FALSE,((0.08*(C18/1000))*2)*VLOOKUP("H/F (22mm)",SheetsData,8,0),IF(OR(ISERROR(FIND("Plinth",A18))=FALSE,ISERROR(FIND("Cornice (flat)",A18))=FALSE),((B18/1000)*(C18/1000))*VLOOKUP("H/F (18mm)",SheetsData,8,0),IF(ISERROR(FIND("Pelmet",A18))=FALSE,((((B18/1000)*(C18/1000))*2)*VLOOKUP("H/F (18mm)",SheetsData,8,0)),IF(ISERROR(FIND("Fireplace",A18))=FALSE,IF(ISERROR(FIND("over 1600",A18))=FALSE,2*VLOOKUP(WardrobeCarcassMaterial,SheetsData,5,FALSE),VLOOKUP(WardrobeCarcassMaterial,SheetsData,5,FALSE)),IF(ISERROR(FIND("table",A18))=FALSE,((B18/1000)*0.6)*VLOOKUP("Birch ply (24mm)",SheetsData,7,FALSE),IF(ISERROR(FIND("Worktop",A18))=FALSE,((B18/1000)*(C18/1000))*VLOOKUP(WardrobeDoorMaterial,SheetsData,7,FALSE),"Check formula")))))))))))))))))</f>
        <v>10.93104004</v>
      </c>
      <c r="F18" s="152" t="str">
        <f>IFERROR(__xludf.DUMMYFUNCTION("IF(OR(A18="""",AND(ISERROR(FIND(""drawer box"",A18))=FALSE,WardrobeDrawerType=""Solid dovetail"")),"""",IF(ISERROR(FIND(""bins"",A18))=FALSE,VLOOKUP(""Base carcass 600"",Wardrobes_etcData,6,0),IF(OR(ISERROR(FIND(""larder"",A18))=FALSE,ISERROR(FIND(""unit"&amp;""",A18))=FALSE),VLOOKUP(LEFT(A18,FIND("" "",A18))&amp;""carcass ""&amp;RIGHT(A18,LEN(A18)-len(regexextract(A18,"".* ""))),Wardrobes_etcData,6,0),IF(ISERROR(FIND(""drawer front"",A18))=FALSE,IF(ISERROR(FIND(""veneer"",WardrobeCarcassMaterial))=TRUE,0,(((B18+C18)/1"&amp;"000)*2)*VLOOKUP(""Edge banding (per M)"",SheetsData,5,0)),IF(ISERROR(FIND(""drawer box"",A18))=FALSE,IF(ISERROR(FIND(""veneer"",WardrobeCarcassMaterial))=TRUE,0,(((C18+D18)/1000)*2)*VLOOKUP(""Edge banding (per M)"",SheetsData,5,0)),IF(ISERROR(FIND(""shelf"&amp;""",A18))=FALSE,IF(ISERROR(FIND(""veneer"",WardrobeCarcassMaterial))=TRUE,0,(C18/1000)*VLOOKUP(""Edge banding (per M)"",SheetsData,5,0)),IF(AND(OR(ISERROR(FIND(""arcass"",A18))=FALSE,ISERROR(FIND(""Fireplace"",A18))=FALSE),ISERROR(FIND(""shelf"",A18))=TRUE"&amp;"),IF(ISERROR(FIND(""veneer"",WardrobeCarcassMaterial))=TRUE,0,((2*(B18+C18))/1000)*VLOOKUP(""Edge banding (per M)"",SheetsData,5,0)),IF(ISERROR(FIND(""door"",A18))=TRUE,"""",IF(ISERROR(FIND(""veneer"",WardrobeDoorMaterial))=TRUE,"""",((2*(B18+C18))/1000)*"&amp;"VLOOKUP(""Edge banding (per M)"",SheetsData,5,0))))))))))"),"")</f>
        <v/>
      </c>
      <c r="G18" s="153" t="str">
        <f>IF(A18="","",IF(AND(ISERROR(FIND("arcass",A18))=TRUE,ISERROR(FIND("Fireplace",A18))=TRUE),"",IF(VALUE(C18)&lt;606,4*VLOOKUP("Plinth foot (2 Parts 80mm)",FurnitureData,5,FALSE),IF(VALUE(C18)&lt;1211,6*VLOOKUP("Plinth foot (2 Parts 80mm)",FurnitureData,5,FALSE),8*VLOOKUP("Plinth foot (2 Parts 80mm)",FurnitureData,5,FALSE)))))</f>
        <v/>
      </c>
      <c r="H18" s="153">
        <f>IF(OR(A18="",ISERROR(FIND("door",A18))=TRUE),"",VLOOKUP("Hinges &amp; plates (Hettich thick door)",FurnitureData,5,0)*5)</f>
        <v>17.35</v>
      </c>
      <c r="I18" s="115" t="str">
        <f>IF(ISERROR(FIND("shelf",A18))=FALSE,(VLOOKUP("Shelf pegs",FurnitureData,5,0)/100)*4,"")</f>
        <v/>
      </c>
      <c r="J18" s="152" t="str">
        <f>IF(OR(ISERROR(FIND("fridge/freezer",A18))=FALSE,ISERROR(FIND("sink",A18))=FALSE,ISERROR(FIND("larder",A18))=FALSE),VLOOKUP("Deep shelf "&amp;C18,Wardrobes_etcData,18,0),IF(OR(ISERROR(FIND("single oven",A18))=FALSE,ISERROR(FIND("Base carcass",A18))=FALSE),2*VLOOKUP("Deep shelf "&amp;C18,Wardrobes_etcData,18,0),IF(AND(ISERROR(FIND("wall carcass",A18))=FALSE,ISERROR(FIND("Boiler",A18))=TRUE),2*VLOOKUP("Shallow shelf "&amp;C18,Wardrobes_etcData,18,0),IF(ISERROR(FIND("double oven",A18))=FALSE,3*VLOOKUP("Deep shelf "&amp;C18,Wardrobes_etcData,18,0),IF(ISERROR(FIND("Tower carcass",A18))=FALSE,6*VLOOKUP("Deep shelf "&amp;C18,Wardrobes_etcData,18,0),"")))))</f>
        <v/>
      </c>
      <c r="K18" s="152" t="str">
        <f>IF(ISERROR(FIND("sink",A18))=FALSE,VLOOKUP("Sink liner - Aluminium "&amp;RIGHT(A18,LEN(A18)-22)&amp;"mm",ExceptionalData,5,0),IF(ISERROR(FIND("bins",A18))=FALSE,VLOOKUP("Drawer runners and clip set for bin unit (500) Dynapro",FurnitureData,5,0)+(2*VLOOKUP("Bin (42L Anthracite)",FurnitureData,5,0)),IF(ISERROR(FIND("larder",A18))=FALSE,VLOOKUP("Pull out larder unit 600mm",FurnitureData,5,0),IF(AND(ISERROR(FIND("drawer box",A18))=FALSE,ISERROR(FIND("internal",A18))=TRUE),VLOOKUP("Drawer runners and clip set (550) Dynapro",FurnitureData,5,0),IF(ISERROR(FIND("internal drawer box",A18))=FALSE,VLOOKUP("Drawer runners and clip set (450) Dynapro",FurnitureData,5,0),IF(ISERROR(FIND("table",A18))=FALSE,VLOOKUP("Hairpin Leg (12mm Black "&amp;MID(A18,FIND("(",A18)+1,LEN(A18)-(FIND("(",A18))-1)&amp;"mm)",ExceptionalData,4,FALSE),""))))))</f>
        <v/>
      </c>
      <c r="L18" s="152">
        <f t="shared" si="3"/>
        <v>28.28104004</v>
      </c>
      <c r="M18" s="154">
        <f>IF(A18="","",IF(AND(ISERROR(FIND("drawer front",A18))=FALSE,WardrobeDoorStyle="Flat"),(((B18/1000)*(C18/1000))*2)+((((B18+C18)/1000)*2)*0.022),IF(AND(ISERROR(FIND("drawer front",A18))=FALSE,LEFT(WardrobeDoorStyle,5)="Panel"),(((B18/1000)*(C18/1000))*2)+((((B18+C18)/1000)*2)*0.022)+((((C18/1000)-0.16)*0.013)*2)+((((D18/1000)-0.16)*0.013)*2),IF(AND(ISERROR(FIND("drawer front",A18))=FALSE,WardrobeDoorStyle="In-frame flat"),((((B18-76)/1000)*((C18-38)/1000))*2)+(MID(WardrobeDoorMaterial,FIND("(",WardrobeDoorMaterial)+1,2)/1000)*((((B18-76)+(C18-38))/1000)*2)+(((B18/1000)*0.032)*2)+((((B18-76)/1000)*0.032)*2)+(((B18/1000)*0.019)*4)+(((C18/1000)*0.032)*2)+((((C18-38)/1000)*0.032)*2)+(((C18/1000)*0.038)*4),IF(AND(ISERROR(FIND("drawer front",A18))=FALSE,LEFT(WardrobeDoorStyle,14)="In-frame panel"),((((B18-76)/1000)*((C18-38)/1000))*2)+((MID(WardrobeDoorMaterial,FIND("(",WardrobeDoorMaterial)+1,2)/1000)*((((B18-76)+(C18-38))/1000)*2))+((((B18-236)/1000)+((C18-198)/1000)*2)*0.013)+(((B18/1000)*0.032)*2)+((((B18-76)/1000)*0.032)*2)+(((B18/1000)*0.019)*4)+(((C18/1000)*0.032)*2)+((((C18-38)/1000)*0.032)*2)+(((C18/1000)*0.038)*4),IF(ISERROR(FIND("drawer box",A18))=FALSE,((((B18/1000)*(D18/1000))+((B18/1000)*(C18/1000)))*4)+((((D18/1000)+(C18/1000))*0.016)*4)+(((C18/1000)*(D18/1000))*2),IF(OR(ISERROR(FIND("shelf",A18))=FALSE,ISERROR(FIND("Filler panel",A18))=FALSE),(((C18/1000)*(D18/1000))*2)+((((C18+D18)*2)/1000)*0.022),IF(ISERROR(FIND("Fireplace",A18))=FALSE,((B18/1000)*(C18/1000)),IF(ISERROR(FIND("Worktop",A18))=FALSE,(B18/1000)*(C18/1000),IF(ISERROR(FIND("table",A18))=FALSE,(B18/1000)*0.6,IF(ISERROR(FIND("arcass",A18))=FALSE,(((C18/1000)*(D18/1000))*2)+(((B18/1000)*(D18/1000))*2)+((B18/1000)*(C18/1000))+((((B18/1000)*0.025)+((C18/1000)*0.025))*2),IF(AND(ISERROR(FIND("door",A18))=FALSE,WardrobeDoorStyle="Flat"),(((B18/1000)*(C18/1000))*2)+(MID(WardrobeDoorMaterial,FIND("(",WardrobeDoorMaterial)+1,2)/1000)*(((B18+C18)/1000)*2),IF(AND(ISERROR(FIND("door",A18))=FALSE,LEFT(WardrobeDoorStyle,5)="Panel"),(((B18/1000)*(C18/1000))*2)+((MID(WardrobeDoorMaterial,FIND("(",WardrobeDoorMaterial)+1,2)/1000)*(((B18+C18)/1000)*2))+(((((B18-160)+(C18-160))*2)/1000)*(0.013)),IF(AND(ISERROR(FIND("door",A18))=FALSE,WardrobeDoorStyle="In-frame flat"),((((B18-76)/1000)*((C18-38)/1000))*2)+(MID(WardrobeDoorMaterial,FIND("(",WardrobeDoorMaterial)+1,2)/1000)*((((B18-76)+(C18-38))/1000)*2)+(((B18/1000)*0.032)*2)+((((B18-76)/1000)*0.032)*2)+(((B18/1000)*0.019)*4)+(((C18/1000)*0.032)*2)+((((C18-38)/1000)*0.032)*2)+(((C18/1000)*0.038)*4),IF(AND(ISERROR(FIND("door",A18))=FALSE,LEFT(WardrobeDoorStyle,14)="In-frame panel"),((((B18-76)/1000)*((C18-38)/1000))*2)+((MID(WardrobeDoorMaterial,FIND("(",WardrobeDoorMaterial)+1,2)/1000)*((((B18-76)+(C18-38))/1000)*2))+((((B18-236)/1000)+((C18-198)/1000)*2)*0.013)+(((B18/1000)*0.032)*2)+((((B18-76)/1000)*0.032)*2)+(((B18/1000)*0.019)*4)+(((C18/1000)*0.032)*2)+((((C18-38)/1000)*0.032)*2)+(((C18/1000)*0.038)*4),IF(ISERROR(FIND("Plinth",A18))=FALSE,((B18/1000)*(C18/1000))+(((C18/1000)*0.018)*2)+(((B18/1000)*0.018)*2),IF(ISERROR(FIND("Cornice",A18))=FALSE,(((C18/1000)*0.1)*2)+(((C18/1000)*0.044)*2)+(((B18/1000)*0.08)*2),IF(ISERROR(FIND("Office pod",A18))=FALSE,((2400/1000)*(1200/1000))*6,IF(ISERROR(FIND("panel",A18))=FALSE,((B18/1000)*(C18/1000))+(0.022*((B18/1000)+((C18/1000)*2)))+((B18/1000)*0.05),IF(ISERROR(FIND("Fillers",A18))=FALSE,((C18/1000)*0.06)+((C18/1000)*0.069)+((0.06*0.018)*2)+((0.06*0.009)*2)+((C18/1000)*0.009)+((C18/1000)*0.018),IF(ISERROR(FIND("Pelmet",A18))=FALSE,((C18/1000)*0.05)+((C18/1000)*0.068)+((0.05*0.018)*4)+(((C18/1000)*0.018))*2)))))))))))))))))))))</f>
        <v>1.63408</v>
      </c>
      <c r="N18" s="152">
        <f>IF(M18="","",IF(AND(ISERROR(FIND("carcass",A18))=TRUE,ISERROR(FIND("unit",A18))=TRUE,ISERROR(FIND("insert",A18))=TRUE,ISERROR(FIND("rack",A18))=TRUE,ISERROR(FIND("box",A18))=TRUE,ISERROR(FIND("shelf",A18))=TRUE),VLOOKUP(WardrobeDoorFinish,Finishing!$A$2:$K$10,9,0)*M18,IF(ISERROR(FIND("table",A18))=FALSE,VLOOKUP("Sayerlack AF0072 Interior Clear Self-Sealer",FinishingData,9,FALSE)*M18,VLOOKUP(WardrobeCarcassFinish,Finishing!$A$2:$K$40,9,0)*M18)))</f>
        <v>12.2556</v>
      </c>
      <c r="O18" s="155">
        <v>1.0</v>
      </c>
      <c r="P18" s="155">
        <v>1.5</v>
      </c>
      <c r="Q18" s="152">
        <f>IF(OR(O18="",P18=""),"",((O18*X18)*(VLOOKUP("Workshop",Labour!$A$3:$E$20,4,0)/8))+((P18*AE18)*(VLOOKUP("Finishing",Labour!$A$3:$E$20,4,0)/8)))</f>
        <v>296.625</v>
      </c>
      <c r="R18" s="152">
        <f t="shared" si="4"/>
        <v>337.16164</v>
      </c>
      <c r="S18" s="156">
        <f>IF(OR(O18="",P18=""),"",IF(OR(ISERROR(FIND("carcass",$A18))=FALSE,ISERROR(FIND("unit",$A18))=FALSE),VLOOKUP(WardrobeCarcassMaterial,FixedListsCarcassMaterial,2,0),0))</f>
        <v>0</v>
      </c>
      <c r="T18" s="156">
        <f>IF(OR(O18="",P18=""),"",IF(ISERROR(FIND("door",$A18))=FALSE,VLOOKUP(WardrobeDoorStyle,FixedListsDoorStyle,2,0),0))</f>
        <v>1.5</v>
      </c>
      <c r="U18" s="156">
        <f>IF(OR(O18="",P18=""),"",IF(ISERROR(FIND("door",$A18))=FALSE,VLOOKUP(WardrobeDoorMaterial,FixedListsDoorMaterial,2,0),0))</f>
        <v>1</v>
      </c>
      <c r="V18" s="156">
        <f>IF(OR(O18="",P18=""),"",IF(ISERROR(FIND("drawer",$A18))=FALSE,VLOOKUP(WardrobeDrawerType,FixedListsDrawerType,2,0),0))</f>
        <v>0</v>
      </c>
      <c r="W18" s="156">
        <f>IF(OR(O18="",P18=""),"",IF(S18&gt;0,VLOOKUP(WardrobeHandleType,FixedListsHandleType,2,FALSE),0))</f>
        <v>0</v>
      </c>
      <c r="X18" s="156">
        <f t="shared" si="5"/>
        <v>1.5</v>
      </c>
      <c r="Y18" s="156">
        <f>IF(OR(O18="",P18=""),"",IF(OR(ISERROR(FIND("carcass",$A18))=FALSE,ISERROR(FIND("unit",$A18))=FALSE),VLOOKUP(WardrobeCarcassMaterial,FixedListsCarcassMaterial,3,0),0))</f>
        <v>0</v>
      </c>
      <c r="Z18" s="156">
        <f>IF(OR(O18="",P18=""),"",IF(ISERROR(FIND("door",$A18))=FALSE,VLOOKUP(WardrobeDoorStyle,FixedListsDoorStyle,3,0),0))</f>
        <v>1.5</v>
      </c>
      <c r="AA18" s="156">
        <f>IF(OR(O18="",P18=""),"",IF(ISERROR(FIND("door",$A18))=FALSE,VLOOKUP(WardrobeDoorMaterial,FixedListsDoorMaterial,3,0),0))</f>
        <v>2</v>
      </c>
      <c r="AB18" s="156">
        <f>IF(OR(O18="",P18=""),"",IF(ISERROR(FIND("drawer",$A18))=FALSE,VLOOKUP(WardrobeDrawerType,FixedListsDrawerType,3,0),0))</f>
        <v>0</v>
      </c>
      <c r="AC18" s="156">
        <f>IF(OR(O18="",P18=""),"",IF(S18&gt;0,VLOOKUP(WardrobeHandleType,FixedListsHandleType,3,FALSE),0))</f>
        <v>0</v>
      </c>
      <c r="AD18" s="156">
        <f>IF(OR(O18="",P18=""),"",IF(OR(ISERROR(FIND("carcass",$A18))=FALSE,ISERROR(FIND("unit",$A18))=FALSE),VLOOKUP(WardrobeCarcassFinish,FixedListsFinishes,3,0),IF(OR(ISERROR(FIND("door",$A18))=FALSE,ISERROR(FIND("Plinth",$A18))=FALSE,ISERROR(FIND("Cornice",$A18))=FALSE,ISERROR(FIND("Fillers",$A18))=FALSE,ISERROR(FIND("Pelmet",$A18))=FALSE,ISERROR(FIND("panel",$A18))=FALSE,ISERROR(FIND("post",$A18))=FALSE),VLOOKUP(WardrobeDoorFinish,FixedListsFinishes,3,0),IF(OR(ISERROR(FIND("drawer",$A18))=FALSE,ISERROR(FIND("insert",$A18))=FALSE,ISERROR(FIND("rck",$A18))=FALSE),VLOOKUP(WardrobeCarcassFinish,FixedListsFinishes,3,0),0))))</f>
        <v>2</v>
      </c>
      <c r="AE18" s="156">
        <f t="shared" si="6"/>
        <v>5.5</v>
      </c>
      <c r="AF18" s="157" t="str">
        <f>IF(AND(WardrobeHandleType="Channel",OR(ISERROR(FIND("arcass",$A18))=FALSE,ISERROR(FIND("unit",$A18))=FALSE)),IF(ISERROR(FIND("Tower",$A18))=TRUE,IF(WardrobeHandleFinish="Match carcass",IF(ISERROR(FIND("Walnut",WardrobeCarcassMaterial))=FALSE,(0.035*0.075*($C18/1000))*VLOOKUP("Walnut (solid m3)",SolidData,4,FALSE),IF(ISERROR(FIND("Oak",WardrobeCarcassMaterial))=FALSE,(0.035*0.075*($C18/1000))*VLOOKUP("Oak (solid m3)",SolidData,4,FALSE),IF(ISERROR(FIND("ply",WardrobeCarcassMaterial))=FALSE,(0.1*($C18/1000))*VLOOKUP("Birch ply (24mm)",SheetsData,7,FALSE),IF(ISERROR(FIND("H/F",WardrobeCarcassMaterial))=FALSE,(0.1*($C18/1000))*VLOOKUP("H/F (22mm)",SheetsData,7,FALSE),"Carcass - not tower - new material")))),IF(WardrobeHandleFinish="Match door",IF(ISERROR(FIND("Walnut",WardrobeDoorMaterial))=FALSE,(0.035*0.075*($C18/1000))*VLOOKUP("Walnut (solid m3)",SolidData,4,FALSE),IF(ISERROR(FIND("Oak",WardrobeDoorMaterial))=FALSE,(0.035*0.075*($C18/1000))*VLOOKUP("Oak (solid m3)",SolidData,4,FALSE),IF(ISERROR(FIND("ply",WardrobeDoorMaterial))=FALSE,(0.1*($C18/1000))*VLOOKUP("Birch ply (24mm)",SheetsData,7,FALSE),IF(ISERROR(FIND("H/F",WardrobeCarcassMaterial))=FALSE,(0.1*($C18/1000))*VLOOKUP("H/F (22mm)",SheetsData,7,FALSE),"Door - not tower - new material")))),"Channel - not tower - handle set to other")),IF(ISERROR(FIND("Tower",$A18))=FALSE,IF(WardrobeHandleFinish="Match carcass",IF(ISERROR(FIND("Walnut",WardrobeCarcassMaterial))=FALSE,(0.035*0.075*($B18/1000))*VLOOKUP("Walnut (solid m3)",SolidData,4,FALSE),IF(ISERROR(FIND("Oak",WardrobeCarcassMaterial))=FALSE,(0.035*0.075*($B18/1000))*VLOOKUP("Oak (solid m3)",SolidData,4,FALSE),IF(ISERROR(FIND("ply",WardrobeCarcassMaterial))=FALSE,(0.1*($B18/1000))*VLOOKUP("Birch ply (24mm)",SheetsData,7,FALSE),IF(ISERROR(FIND("H/F",WardrobeCarcassMaterial))=FALSE,(0.1*($C18/1000))*VLOOKUP("H/F (22mm)",SheetsData,7,FALSE),"Carcass - tower - new material")))),IF(WardrobeHandleFinish="Match door",IF(ISERROR(FIND("Walnut",WardrobeDoorMaterial))=FALSE,(0.035*0.075*($B18/1000))*VLOOKUP("Walnut (solid m3)",SolidData,4,FALSE),IF(ISERROR(FIND("Oak",WardrobeDoorMaterial))=FALSE,(0.035*0.075*($B18/1000))*VLOOKUP("Oak (solid m3)",SolidData,4,FALSE),IF(ISERROR(FIND("ply",WardrobeDoorMaterial))=FALSE,(0.1*($B18/1000))*VLOOKUP("Birch ply (24mm)",SheetData,7,FALSE),IF(ISERROR(FIND("H/F",WardrobeCarcassMaterial))=FALSE,(0.1*($C18/1000))*VLOOKUP("H/F (22mm)",SheetsData,7,FALSE),"Door - tower - new material")))),"Channel - tower - handle set to other")))),"")</f>
        <v/>
      </c>
    </row>
    <row r="19">
      <c r="A19" s="150" t="s">
        <v>227</v>
      </c>
      <c r="B19" s="160" t="str">
        <f t="shared" si="1"/>
        <v>120</v>
      </c>
      <c r="C19" s="160" t="str">
        <f>IFERROR(__xludf.DUMMYFUNCTION("IF(A19="""","""",IF(ISERROR(FIND(""arcass"",A19))=FALSE,MID(A19,FIND(""*"",A19)+1,FIND(""*"",A19,FIND(""*"",A19)+1)-FIND(""*"",A19)-1),IF(ISERROR(FIND(""End panel"",A19))=FALSE,RIGHT(A19,3),IF(OR(ISERROR(FIND(""drawer"",A19))=FALSE,ISERROR(FIND(""door"",A"&amp;"19))=FALSE,ISERROR(FIND(""shelf"",A19))=FALSE,ISERROR(FIND(""panel"",A19))=FALSE,ISERROR(FIND(""Plinth"",A19))=FALSE,ISERROR(FIND(""Cornice"",A19))=FALSE,ISERROR(FIND(""Fillers"",A19))=FALSE,ISERROR(FIND(""Pelmet"",A19))=FALSE,ISERROR(FIND(""Fireplace up "&amp;"to 1600"",A19))=FALSE),RIGHT(A19,LEN(A19)-LEN(regexextract(A19,"".* ""))),IF(ISERROR(FIND(""table"",A19))=FALSE,""560"",IF(ISERROR(FIND(""Office pod"",A19))=FALSE,""1600"",IF(ISERROR(FIND(""Fireplace over 1600"",A19))=FALSE,""2400"",IF(ISERROR(FIND(""Work"&amp;"top"",A19))=FALSE,""650"",""Whoops""))))))))"),"600")</f>
        <v>600</v>
      </c>
      <c r="D19" s="161" t="str">
        <f t="shared" si="2"/>
        <v>600</v>
      </c>
      <c r="E19" s="152">
        <f>IF(OR(A19="",AND(ISERROR(FIND("drawer",A19))=FALSE,WardrobeDrawerType="")),"",IF(ISERROR(FIND("door",A19))=FALSE,IF(WardrobeDoorStyle="Flat",((B19/1000)*(C19/1000))*VLOOKUP(WardrobeDoorMaterial,SheetsData,8,0),IF(LEFT(WardrobeDoorStyle,5)="Panel",(((((B19/1000)*2)*0.08)+((((C19/1000)-0.16)*2)*0.08))*VLOOKUP("H/F (22mm)",SheetsData,8,0))+(((B19/1000)-0.14)*((C19/1000)-0.14)*VLOOKUP("H/F (9mm)",SheetsData,8,0)),IF(WardrobeDoorStyle="In-frame flat",((((((B19/1000)*0.019)*0.038)+((((C19-38)/1000)*0.038)*0.038))*2)*VLOOKUP("Tulip (solid m3)",SolidData,4,0))+(((B19-76)/1000)*((C19-38)/1000))*VLOOKUP("H/F (22mm)",SheetsData,8,0),IF(LEFT(WardrobeDoorStyle,14)="In-frame panel",(((((((B19/1000)*0.019)*0.038)+((((C19-38)/1000)*0.038)*0.038))*2)*VLOOKUP("Tulip (solid m3)",SolidData,4,0))+(((((((B19-76)/1000)*2)*0.08)+(((((C19-198)/1000)*2)*0.08)))*VLOOKUP("H/F (22mm)",SheetsData,8,0))+(((B19-216)/1000)*((C19-178)/1000)*VLOOKUP("H/F (9mm)",SheetsData,8,0)))))))),IF(AND(ISERROR(FIND("arcass",A19))=FALSE,ISERROR(FIND("ost corner",A19))=TRUE),IF(AND(VALUE(B19)&lt;1211,VALUE(C19)&lt;1211,VALUE(D19)&lt;606),1*VLOOKUP(WardrobeCarcassMaterial,SheetsData,5,FALSE),IF(AND(VALUE(B19)&lt;2421,VALUE(C19)&lt;2421,VALUE(D19)&lt;606),2*VLOOKUP(WardrobeCarcassMaterial,SheetsData,5,FALSE),IF(AND(VALUE(B19)&lt;2421,VALUE(C19)&lt;1211,VALUE(D19)&lt;1211),3*VLOOKUP(WardrobeCarcassMaterial,SheetsData,5,FALSE),IF(AND(VALUE(B19)&lt;2421,VALUE(C19)&lt;2421,VALUE(D19)&lt;1211),4*VLOOKUP(WardrobeCarcassMaterial,SheetsData,5,FALSE))))),IF(AND(ISERROR(FIND("arcass",A19))=FALSE,ISERROR(FIND("ost corner",A19))=FALSE),IF(AND(VALUE(B19)&lt;1211,VALUE(C19)&lt;1211,VALUE(D19)&lt;606),(1*VLOOKUP(WardrobeCarcassMaterial,SheetsData,5,FALSE))+(VLOOKUP("H/F (22mm)",SheetsData,7,FALSE)*1.44),IF(AND(VALUE(B19)&lt;2421,VALUE(C19)&lt;2421,VALUE(D19)&lt;606),(2*VLOOKUP(WardrobeCarcassMaterial,SheetsData,5,FALSE))+(VLOOKUP("H/F (22mm)",SheetsData,7,FALSE)*1.44),IF(AND(VALUE(B19)&lt;2421,VALUE(C19)&lt;1211,VALUE(D19)&lt;1211),(3*VLOOKUP(WardrobeCarcassMaterial,SheetsData,5,FALSE))+(VLOOKUP("H/F (22mm)",SheetsData,7,FALSE)*1.44),IF(AND(VALUE(B19)&lt;2421,VALUE(C19)&lt;2421,VALUE(D19)&lt;1211),(4*VLOOKUP(WardrobeCarcassMaterial,SheetsData,5,FALSE))+(VLOOKUP("H/F (22mm)",SheetsData,7,FALSE)*1.44))))),IF(ISERROR(FIND("drawer front",A19))=FALSE,((B19/1000)*(C19/1000))*VLOOKUP(WardrobeDoorMaterial,SheetsData,8,0),IF(AND(WardrobeDrawerType="Match carcass",ISERROR(FIND("drawer box",A19))=FALSE),(((((B19/1000)*(C19/1000))+((B19/1000)*(D19/1000)))*2)*VLOOKUP(WardrobeCarcassMaterial,SheetsData,8,0))+(((C19/1000)*(D19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box",A19))=FALSE),(((((B19/1000)*(C19/1000))+((B19/1000)*(D19/1000)))*2)*(16/1000)*VLOOKUP(LEFT(WardrobeCarcassMaterial,FIND(" ",WardrobeCarcassMaterial))&amp;"(solid m3)",SolidData,4,0))+(((C19/1000)*(D19/1000))*VLOOKUP(LEFT(WardrobeCarcassMaterial,FIND("(",WardrobeCarcassMaterial)-1)&amp;IF(OR(ISERROR(FIND("ply",WardrobeCarcassMaterial))=FALSE,ISERROR(FIND("H/F",WardrobeCarcassMaterial))=FALSE),"(9mm)","(10mm)"),SheetsData,8,0)),IF(ISERROR(FIND("shelf",A19))=FALSE,((C19/1000)*(D19/1000))*VLOOKUP(WardrobeCarcassMaterial,SheetsData,7,FALSE),IF(ISERROR(FIND("Office pod",A19))=FALSE,3*VLOOKUP(WardrobeCarcassMaterial,SheetsData,5,0),IF(ISERROR(FIND(" panel",A19))=FALSE,((B19/1000)*(C19/1000))*VLOOKUP(WardrobeDoorMaterial,SheetsData,8,0),IF(ISERROR(FIND("Fillers",A19))=FALSE,(((0.06*(C19/1000))*2)*VLOOKUP("H/F (18mm)",SheetsData,8,0))+(((0.06*(C19/1000))*2)*VLOOKUP("H/F (9mm)",SheetsData,8,0)),IF(ISERROR(FIND("Cornice (stacked)",A19))=FALSE,((0.08*(C19/1000))*2)*VLOOKUP("H/F (22mm)",SheetsData,8,0),IF(OR(ISERROR(FIND("Plinth",A19))=FALSE,ISERROR(FIND("Cornice (flat)",A19))=FALSE),((B19/1000)*(C19/1000))*VLOOKUP("H/F (18mm)",SheetsData,8,0),IF(ISERROR(FIND("Pelmet",A19))=FALSE,((((B19/1000)*(C19/1000))*2)*VLOOKUP("H/F (18mm)",SheetsData,8,0)),IF(ISERROR(FIND("Fireplace",A19))=FALSE,IF(ISERROR(FIND("over 1600",A19))=FALSE,2*VLOOKUP(WardrobeCarcassMaterial,SheetsData,5,FALSE),VLOOKUP(WardrobeCarcassMaterial,SheetsData,5,FALSE)),IF(ISERROR(FIND("table",A19))=FALSE,((B19/1000)*0.6)*VLOOKUP("Birch ply (24mm)",SheetsData,7,FALSE),IF(ISERROR(FIND("Worktop",A19))=FALSE,((B19/1000)*(C19/1000))*VLOOKUP(WardrobeDoorMaterial,SheetsData,7,FALSE),"Check formula")))))))))))))))))</f>
        <v>17.30704112</v>
      </c>
      <c r="F19" s="152">
        <f>IFERROR(__xludf.DUMMYFUNCTION("IF(OR(A19="""",AND(ISERROR(FIND(""drawer box"",A19))=FALSE,WardrobeDrawerType=""Solid dovetail"")),"""",IF(ISERROR(FIND(""bins"",A19))=FALSE,VLOOKUP(""Base carcass 600"",Wardrobes_etcData,6,0),IF(OR(ISERROR(FIND(""larder"",A19))=FALSE,ISERROR(FIND(""unit"&amp;""",A19))=FALSE),VLOOKUP(LEFT(A19,FIND("" "",A19))&amp;""carcass ""&amp;RIGHT(A19,LEN(A19)-len(regexextract(A19,"".* ""))),Wardrobes_etcData,6,0),IF(ISERROR(FIND(""drawer front"",A19))=FALSE,IF(ISERROR(FIND(""veneer"",WardrobeCarcassMaterial))=TRUE,0,(((B19+C19)/1"&amp;"000)*2)*VLOOKUP(""Edge banding (per M)"",SheetsData,5,0)),IF(ISERROR(FIND(""drawer box"",A19))=FALSE,IF(ISERROR(FIND(""veneer"",WardrobeCarcassMaterial))=TRUE,0,(((C19+D19)/1000)*2)*VLOOKUP(""Edge banding (per M)"",SheetsData,5,0)),IF(ISERROR(FIND(""shelf"&amp;""",A19))=FALSE,IF(ISERROR(FIND(""veneer"",WardrobeCarcassMaterial))=TRUE,0,(C19/1000)*VLOOKUP(""Edge banding (per M)"",SheetsData,5,0)),IF(AND(OR(ISERROR(FIND(""arcass"",A19))=FALSE,ISERROR(FIND(""Fireplace"",A19))=FALSE),ISERROR(FIND(""shelf"",A19))=TRUE"&amp;"),IF(ISERROR(FIND(""veneer"",WardrobeCarcassMaterial))=TRUE,0,((2*(B19+C19))/1000)*VLOOKUP(""Edge banding (per M)"",SheetsData,5,0)),IF(ISERROR(FIND(""door"",A19))=TRUE,"""",IF(ISERROR(FIND(""veneer"",WardrobeDoorMaterial))=TRUE,"""",((2*(B19+C19))/1000)*"&amp;"VLOOKUP(""Edge banding (per M)"",SheetsData,5,0))))))))))"),0.0)</f>
        <v>0</v>
      </c>
      <c r="G19" s="153" t="str">
        <f>IF(A19="","",IF(AND(ISERROR(FIND("arcass",A19))=TRUE,ISERROR(FIND("Fireplace",A19))=TRUE),"",IF(VALUE(C19)&lt;606,4*VLOOKUP("Plinth foot (2 Parts 80mm)",FurnitureData,5,FALSE),IF(VALUE(C19)&lt;1211,6*VLOOKUP("Plinth foot (2 Parts 80mm)",FurnitureData,5,FALSE),8*VLOOKUP("Plinth foot (2 Parts 80mm)",FurnitureData,5,FALSE)))))</f>
        <v/>
      </c>
      <c r="H19" s="115" t="str">
        <f>IF(OR(A19="",ISERROR(FIND("door",A19))=TRUE),"",VLOOKUP("Hinges &amp; plates (Hettich thick door)",FurnitureData,5,0)*5)</f>
        <v/>
      </c>
      <c r="I19" s="115" t="str">
        <f>IF(ISERROR(FIND("shelf",A19))=FALSE,(VLOOKUP("Shelf pegs",FurnitureData,5,0)/100)*4,"")</f>
        <v/>
      </c>
      <c r="J19" s="152" t="str">
        <f>IF(OR(ISERROR(FIND("fridge/freezer",A19))=FALSE,ISERROR(FIND("sink",A19))=FALSE,ISERROR(FIND("larder",A19))=FALSE),VLOOKUP("Deep shelf "&amp;C19,Wardrobes_etcData,18,0),IF(OR(ISERROR(FIND("single oven",A19))=FALSE,ISERROR(FIND("Base carcass",A19))=FALSE),2*VLOOKUP("Deep shelf "&amp;C19,Wardrobes_etcData,18,0),IF(AND(ISERROR(FIND("wall carcass",A19))=FALSE,ISERROR(FIND("Boiler",A19))=TRUE),2*VLOOKUP("Shallow shelf "&amp;C19,Wardrobes_etcData,18,0),IF(ISERROR(FIND("double oven",A19))=FALSE,3*VLOOKUP("Deep shelf "&amp;C19,Wardrobes_etcData,18,0),IF(ISERROR(FIND("Tower carcass",A19))=FALSE,6*VLOOKUP("Deep shelf "&amp;C19,Wardrobes_etcData,18,0),"")))))</f>
        <v/>
      </c>
      <c r="K19" s="152">
        <f>IF(ISERROR(FIND("sink",A19))=FALSE,VLOOKUP("Sink liner - Aluminium "&amp;RIGHT(A19,LEN(A19)-22)&amp;"mm",ExceptionalData,5,0),IF(ISERROR(FIND("bins",A19))=FALSE,VLOOKUP("Drawer runners and clip set for bin unit (500) Dynapro",FurnitureData,5,0)+(2*VLOOKUP("Bin (42L Anthracite)",FurnitureData,5,0)),IF(ISERROR(FIND("larder",A19))=FALSE,VLOOKUP("Pull out larder unit 600mm",FurnitureData,5,0),IF(AND(ISERROR(FIND("drawer box",A19))=FALSE,ISERROR(FIND("internal",A19))=TRUE),VLOOKUP("Drawer runners and clip set (550) Dynapro",FurnitureData,5,0),IF(ISERROR(FIND("internal drawer box",A19))=FALSE,VLOOKUP("Drawer runners and clip set (450) Dynapro",FurnitureData,5,0),IF(ISERROR(FIND("table",A19))=FALSE,VLOOKUP("Hairpin Leg (12mm Black "&amp;MID(A19,FIND("(",A19)+1,LEN(A19)-(FIND("(",A19))-1)&amp;"mm)",ExceptionalData,4,FALSE),""))))))</f>
        <v>52.54</v>
      </c>
      <c r="L19" s="152">
        <f t="shared" si="3"/>
        <v>69.84704112</v>
      </c>
      <c r="M19" s="154">
        <f>IF(A19="","",IF(AND(ISERROR(FIND("drawer front",A19))=FALSE,WardrobeDoorStyle="Flat"),(((B19/1000)*(C19/1000))*2)+((((B19+C19)/1000)*2)*0.022),IF(AND(ISERROR(FIND("drawer front",A19))=FALSE,LEFT(WardrobeDoorStyle,5)="Panel"),(((B19/1000)*(C19/1000))*2)+((((B19+C19)/1000)*2)*0.022)+((((C19/1000)-0.16)*0.013)*2)+((((D19/1000)-0.16)*0.013)*2),IF(AND(ISERROR(FIND("drawer front",A19))=FALSE,WardrobeDoorStyle="In-frame flat"),((((B19-76)/1000)*((C19-38)/1000))*2)+(MID(WardrobeDoorMaterial,FIND("(",WardrobeDoorMaterial)+1,2)/1000)*((((B19-76)+(C19-38))/1000)*2)+(((B19/1000)*0.032)*2)+((((B19-76)/1000)*0.032)*2)+(((B19/1000)*0.019)*4)+(((C19/1000)*0.032)*2)+((((C19-38)/1000)*0.032)*2)+(((C19/1000)*0.038)*4),IF(AND(ISERROR(FIND("drawer front",A19))=FALSE,LEFT(WardrobeDoorStyle,14)="In-frame panel"),((((B19-76)/1000)*((C19-38)/1000))*2)+((MID(WardrobeDoorMaterial,FIND("(",WardrobeDoorMaterial)+1,2)/1000)*((((B19-76)+(C19-38))/1000)*2))+((((B19-236)/1000)+((C19-198)/1000)*2)*0.013)+(((B19/1000)*0.032)*2)+((((B19-76)/1000)*0.032)*2)+(((B19/1000)*0.019)*4)+(((C19/1000)*0.032)*2)+((((C19-38)/1000)*0.032)*2)+(((C19/1000)*0.038)*4),IF(ISERROR(FIND("drawer box",A19))=FALSE,((((B19/1000)*(D19/1000))+((B19/1000)*(C19/1000)))*4)+((((D19/1000)+(C19/1000))*0.016)*4)+(((C19/1000)*(D19/1000))*2),IF(OR(ISERROR(FIND("shelf",A19))=FALSE,ISERROR(FIND("Filler panel",A19))=FALSE),(((C19/1000)*(D19/1000))*2)+((((C19+D19)*2)/1000)*0.022),IF(ISERROR(FIND("Fireplace",A19))=FALSE,((B19/1000)*(C19/1000)),IF(ISERROR(FIND("Worktop",A19))=FALSE,(B19/1000)*(C19/1000),IF(ISERROR(FIND("table",A19))=FALSE,(B19/1000)*0.6,IF(ISERROR(FIND("arcass",A19))=FALSE,(((C19/1000)*(D19/1000))*2)+(((B19/1000)*(D19/1000))*2)+((B19/1000)*(C19/1000))+((((B19/1000)*0.025)+((C19/1000)*0.025))*2),IF(AND(ISERROR(FIND("door",A19))=FALSE,WardrobeDoorStyle="Flat"),(((B19/1000)*(C19/1000))*2)+(MID(WardrobeDoorMaterial,FIND("(",WardrobeDoorMaterial)+1,2)/1000)*(((B19+C19)/1000)*2),IF(AND(ISERROR(FIND("door",A19))=FALSE,LEFT(WardrobeDoorStyle,5)="Panel"),(((B19/1000)*(C19/1000))*2)+((MID(WardrobeDoorMaterial,FIND("(",WardrobeDoorMaterial)+1,2)/1000)*(((B19+C19)/1000)*2))+(((((B19-160)+(C19-160))*2)/1000)*(0.013)),IF(AND(ISERROR(FIND("door",A19))=FALSE,WardrobeDoorStyle="In-frame flat"),((((B19-76)/1000)*((C19-38)/1000))*2)+(MID(WardrobeDoorMaterial,FIND("(",WardrobeDoorMaterial)+1,2)/1000)*((((B19-76)+(C19-38))/1000)*2)+(((B19/1000)*0.032)*2)+((((B19-76)/1000)*0.032)*2)+(((B19/1000)*0.019)*4)+(((C19/1000)*0.032)*2)+((((C19-38)/1000)*0.032)*2)+(((C19/1000)*0.038)*4),IF(AND(ISERROR(FIND("door",A19))=FALSE,LEFT(WardrobeDoorStyle,14)="In-frame panel"),((((B19-76)/1000)*((C19-38)/1000))*2)+((MID(WardrobeDoorMaterial,FIND("(",WardrobeDoorMaterial)+1,2)/1000)*((((B19-76)+(C19-38))/1000)*2))+((((B19-236)/1000)+((C19-198)/1000)*2)*0.013)+(((B19/1000)*0.032)*2)+((((B19-76)/1000)*0.032)*2)+(((B19/1000)*0.019)*4)+(((C19/1000)*0.032)*2)+((((C19-38)/1000)*0.032)*2)+(((C19/1000)*0.038)*4),IF(ISERROR(FIND("Plinth",A19))=FALSE,((B19/1000)*(C19/1000))+(((C19/1000)*0.018)*2)+(((B19/1000)*0.018)*2),IF(ISERROR(FIND("Cornice",A19))=FALSE,(((C19/1000)*0.1)*2)+(((C19/1000)*0.044)*2)+(((B19/1000)*0.08)*2),IF(ISERROR(FIND("Office pod",A19))=FALSE,((2400/1000)*(1200/1000))*6,IF(ISERROR(FIND("panel",A19))=FALSE,((B19/1000)*(C19/1000))+(0.022*((B19/1000)+((C19/1000)*2)))+((B19/1000)*0.05),IF(ISERROR(FIND("Fillers",A19))=FALSE,((C19/1000)*0.06)+((C19/1000)*0.069)+((0.06*0.018)*2)+((0.06*0.009)*2)+((C19/1000)*0.009)+((C19/1000)*0.018),IF(ISERROR(FIND("Pelmet",A19))=FALSE,((C19/1000)*0.05)+((C19/1000)*0.068)+((0.05*0.018)*4)+(((C19/1000)*0.018))*2)))))))))))))))))))))</f>
        <v>1.3728</v>
      </c>
      <c r="N19" s="152">
        <f>IF(M19="","",IF(AND(ISERROR(FIND("carcass",A19))=TRUE,ISERROR(FIND("unit",A19))=TRUE,ISERROR(FIND("insert",A19))=TRUE,ISERROR(FIND("rack",A19))=TRUE,ISERROR(FIND("box",A19))=TRUE,ISERROR(FIND("shelf",A19))=TRUE),VLOOKUP(WardrobeDoorFinish,Finishing!$A$2:$K$10,9,0)*M19,IF(ISERROR(FIND("table",A19))=FALSE,VLOOKUP("Sayerlack AF0072 Interior Clear Self-Sealer",FinishingData,9,FALSE)*M19,VLOOKUP(WardrobeCarcassFinish,Finishing!$A$2:$K$40,9,0)*M19)))</f>
        <v>5.148</v>
      </c>
      <c r="O19" s="155">
        <v>2.5</v>
      </c>
      <c r="P19" s="155">
        <v>1.0</v>
      </c>
      <c r="Q19" s="152">
        <f>IF(OR(O19="",P19=""),"",((O19*X19)*(VLOOKUP("Workshop",Labour!$A$3:$E$20,4,0)/8))+((P19*AE19)*(VLOOKUP("Finishing",Labour!$A$3:$E$20,4,0)/8)))</f>
        <v>137.375</v>
      </c>
      <c r="R19" s="152">
        <f t="shared" si="4"/>
        <v>212.3700411</v>
      </c>
      <c r="S19" s="156">
        <f>IF(OR(O19="",P19=""),"",IF(OR(ISERROR(FIND("carcass",$A19))=FALSE,ISERROR(FIND("unit",$A19))=FALSE),VLOOKUP(WardrobeCarcassMaterial,FixedListsCarcassMaterial,2,0),0))</f>
        <v>0</v>
      </c>
      <c r="T19" s="156">
        <f>IF(OR(O19="",P19=""),"",IF(ISERROR(FIND("door",$A19))=FALSE,VLOOKUP(WardrobeDoorStyle,FixedListsDoorStyle,2,0),0))</f>
        <v>0</v>
      </c>
      <c r="U19" s="156">
        <f>IF(OR(O19="",P19=""),"",IF(ISERROR(FIND("door",$A19))=FALSE,VLOOKUP(WardrobeDoorMaterial,FixedListsDoorMaterial,2,0),0))</f>
        <v>0</v>
      </c>
      <c r="V19" s="156">
        <f>IF(OR(O19="",P19=""),"",IF(ISERROR(FIND("drawer",$A19))=FALSE,VLOOKUP(WardrobeDrawerType,FixedListsDrawerType,2,0),0))</f>
        <v>1</v>
      </c>
      <c r="W19" s="156">
        <f>IF(OR(O19="",P19=""),"",IF(S19&gt;0,VLOOKUP(WardrobeHandleType,FixedListsHandleType,2,FALSE),0))</f>
        <v>0</v>
      </c>
      <c r="X19" s="156">
        <f t="shared" si="5"/>
        <v>1</v>
      </c>
      <c r="Y19" s="156">
        <f>IF(OR(O19="",P19=""),"",IF(OR(ISERROR(FIND("carcass",$A19))=FALSE,ISERROR(FIND("unit",$A19))=FALSE),VLOOKUP(WardrobeCarcassMaterial,FixedListsCarcassMaterial,3,0),0))</f>
        <v>0</v>
      </c>
      <c r="Z19" s="156">
        <f>IF(OR(O19="",P19=""),"",IF(ISERROR(FIND("door",$A19))=FALSE,VLOOKUP(WardrobeDoorStyle,FixedListsDoorStyle,3,0),0))</f>
        <v>0</v>
      </c>
      <c r="AA19" s="156">
        <f>IF(OR(O19="",P19=""),"",IF(ISERROR(FIND("door",$A19))=FALSE,VLOOKUP(WardrobeDoorMaterial,FixedListsDoorMaterial,3,0),0))</f>
        <v>0</v>
      </c>
      <c r="AB19" s="156">
        <f>IF(OR(O19="",P19=""),"",IF(ISERROR(FIND("drawer",$A19))=FALSE,VLOOKUP(WardrobeDrawerType,FixedListsDrawerType,3,0),0))</f>
        <v>1</v>
      </c>
      <c r="AC19" s="156">
        <f>IF(OR(O19="",P19=""),"",IF(S19&gt;0,VLOOKUP(WardrobeHandleType,FixedListsHandleType,3,FALSE),0))</f>
        <v>0</v>
      </c>
      <c r="AD19" s="156">
        <f>IF(OR(O19="",P19=""),"",IF(OR(ISERROR(FIND("carcass",$A19))=FALSE,ISERROR(FIND("unit",$A19))=FALSE),VLOOKUP(WardrobeCarcassFinish,FixedListsFinishes,3,0),IF(OR(ISERROR(FIND("door",$A19))=FALSE,ISERROR(FIND("Plinth",$A19))=FALSE,ISERROR(FIND("Cornice",$A19))=FALSE,ISERROR(FIND("Fillers",$A19))=FALSE,ISERROR(FIND("Pelmet",$A19))=FALSE,ISERROR(FIND("panel",$A19))=FALSE,ISERROR(FIND("post",$A19))=FALSE),VLOOKUP(WardrobeDoorFinish,FixedListsFinishes,3,0),IF(OR(ISERROR(FIND("drawer",$A19))=FALSE,ISERROR(FIND("insert",$A19))=FALSE,ISERROR(FIND("rck",$A19))=FALSE),VLOOKUP(WardrobeCarcassFinish,FixedListsFinishes,3,0),0))))</f>
        <v>1</v>
      </c>
      <c r="AE19" s="156">
        <f t="shared" si="6"/>
        <v>1</v>
      </c>
      <c r="AF19" s="157" t="str">
        <f>IF(AND(WardrobeHandleType="Channel",OR(ISERROR(FIND("arcass",$A19))=FALSE,ISERROR(FIND("unit",$A19))=FALSE)),IF(ISERROR(FIND("Tower",$A19))=TRUE,IF(WardrobeHandleFinish="Match carcass",IF(ISERROR(FIND("Walnut",WardrobeCarcassMaterial))=FALSE,(0.035*0.075*($C19/1000))*VLOOKUP("Walnut (solid m3)",SolidData,4,FALSE),IF(ISERROR(FIND("Oak",WardrobeCarcassMaterial))=FALSE,(0.035*0.075*($C19/1000))*VLOOKUP("Oak (solid m3)",SolidData,4,FALSE),IF(ISERROR(FIND("ply",WardrobeCarcassMaterial))=FALSE,(0.1*($C19/1000))*VLOOKUP("Birch ply (24mm)",SheetsData,7,FALSE),IF(ISERROR(FIND("H/F",WardrobeCarcassMaterial))=FALSE,(0.1*($C19/1000))*VLOOKUP("H/F (22mm)",SheetsData,7,FALSE),"Carcass - not tower - new material")))),IF(WardrobeHandleFinish="Match door",IF(ISERROR(FIND("Walnut",WardrobeDoorMaterial))=FALSE,(0.035*0.075*($C19/1000))*VLOOKUP("Walnut (solid m3)",SolidData,4,FALSE),IF(ISERROR(FIND("Oak",WardrobeDoorMaterial))=FALSE,(0.035*0.075*($C19/1000))*VLOOKUP("Oak (solid m3)",SolidData,4,FALSE),IF(ISERROR(FIND("ply",WardrobeDoorMaterial))=FALSE,(0.1*($C19/1000))*VLOOKUP("Birch ply (24mm)",SheetsData,7,FALSE),IF(ISERROR(FIND("H/F",WardrobeCarcassMaterial))=FALSE,(0.1*($C19/1000))*VLOOKUP("H/F (22mm)",SheetsData,7,FALSE),"Door - not tower - new material")))),"Channel - not tower - handle set to other")),IF(ISERROR(FIND("Tower",$A19))=FALSE,IF(WardrobeHandleFinish="Match carcass",IF(ISERROR(FIND("Walnut",WardrobeCarcassMaterial))=FALSE,(0.035*0.075*($B19/1000))*VLOOKUP("Walnut (solid m3)",SolidData,4,FALSE),IF(ISERROR(FIND("Oak",WardrobeCarcassMaterial))=FALSE,(0.035*0.075*($B19/1000))*VLOOKUP("Oak (solid m3)",SolidData,4,FALSE),IF(ISERROR(FIND("ply",WardrobeCarcassMaterial))=FALSE,(0.1*($B19/1000))*VLOOKUP("Birch ply (24mm)",SheetsData,7,FALSE),IF(ISERROR(FIND("H/F",WardrobeCarcassMaterial))=FALSE,(0.1*($C19/1000))*VLOOKUP("H/F (22mm)",SheetsData,7,FALSE),"Carcass - tower - new material")))),IF(WardrobeHandleFinish="Match door",IF(ISERROR(FIND("Walnut",WardrobeDoorMaterial))=FALSE,(0.035*0.075*($B19/1000))*VLOOKUP("Walnut (solid m3)",SolidData,4,FALSE),IF(ISERROR(FIND("Oak",WardrobeDoorMaterial))=FALSE,(0.035*0.075*($B19/1000))*VLOOKUP("Oak (solid m3)",SolidData,4,FALSE),IF(ISERROR(FIND("ply",WardrobeDoorMaterial))=FALSE,(0.1*($B19/1000))*VLOOKUP("Birch ply (24mm)",SheetData,7,FALSE),IF(ISERROR(FIND("H/F",WardrobeCarcassMaterial))=FALSE,(0.1*($C19/1000))*VLOOKUP("H/F (22mm)",SheetsData,7,FALSE),"Door - tower - new material")))),"Channel - tower - handle set to other")))),"")</f>
        <v/>
      </c>
    </row>
    <row r="20">
      <c r="A20" s="150" t="s">
        <v>228</v>
      </c>
      <c r="B20" s="160" t="str">
        <f t="shared" si="1"/>
        <v>120</v>
      </c>
      <c r="C20" s="160" t="str">
        <f>IFERROR(__xludf.DUMMYFUNCTION("IF(A20="""","""",IF(ISERROR(FIND(""arcass"",A20))=FALSE,MID(A20,FIND(""*"",A20)+1,FIND(""*"",A20,FIND(""*"",A20)+1)-FIND(""*"",A20)-1),IF(ISERROR(FIND(""End panel"",A20))=FALSE,RIGHT(A20,3),IF(OR(ISERROR(FIND(""drawer"",A20))=FALSE,ISERROR(FIND(""door"",A"&amp;"20))=FALSE,ISERROR(FIND(""shelf"",A20))=FALSE,ISERROR(FIND(""panel"",A20))=FALSE,ISERROR(FIND(""Plinth"",A20))=FALSE,ISERROR(FIND(""Cornice"",A20))=FALSE,ISERROR(FIND(""Fillers"",A20))=FALSE,ISERROR(FIND(""Pelmet"",A20))=FALSE,ISERROR(FIND(""Fireplace up "&amp;"to 1600"",A20))=FALSE),RIGHT(A20,LEN(A20)-LEN(regexextract(A20,"".* ""))),IF(ISERROR(FIND(""table"",A20))=FALSE,""560"",IF(ISERROR(FIND(""Office pod"",A20))=FALSE,""1600"",IF(ISERROR(FIND(""Fireplace over 1600"",A20))=FALSE,""2400"",IF(ISERROR(FIND(""Work"&amp;"top"",A20))=FALSE,""650"",""Whoops""))))))))"),"1200")</f>
        <v>1200</v>
      </c>
      <c r="D20" s="161" t="str">
        <f t="shared" si="2"/>
        <v>600</v>
      </c>
      <c r="E20" s="152">
        <f>IF(OR(A20="",AND(ISERROR(FIND("drawer",A20))=FALSE,WardrobeDrawerType="")),"",IF(ISERROR(FIND("door",A20))=FALSE,IF(WardrobeDoorStyle="Flat",((B20/1000)*(C20/1000))*VLOOKUP(WardrobeDoorMaterial,SheetsData,8,0),IF(LEFT(WardrobeDoorStyle,5)="Panel",(((((B20/1000)*2)*0.08)+((((C20/1000)-0.16)*2)*0.08))*VLOOKUP("H/F (22mm)",SheetsData,8,0))+(((B20/1000)-0.14)*((C20/1000)-0.14)*VLOOKUP("H/F (9mm)",SheetsData,8,0)),IF(WardrobeDoorStyle="In-frame flat",((((((B20/1000)*0.019)*0.038)+((((C20-38)/1000)*0.038)*0.038))*2)*VLOOKUP("Tulip (solid m3)",SolidData,4,0))+(((B20-76)/1000)*((C20-38)/1000))*VLOOKUP("H/F (22mm)",SheetsData,8,0),IF(LEFT(WardrobeDoorStyle,14)="In-frame panel",(((((((B20/1000)*0.019)*0.038)+((((C20-38)/1000)*0.038)*0.038))*2)*VLOOKUP("Tulip (solid m3)",SolidData,4,0))+(((((((B20-76)/1000)*2)*0.08)+(((((C20-198)/1000)*2)*0.08)))*VLOOKUP("H/F (22mm)",SheetsData,8,0))+(((B20-216)/1000)*((C20-178)/1000)*VLOOKUP("H/F (9mm)",SheetsData,8,0)))))))),IF(AND(ISERROR(FIND("arcass",A20))=FALSE,ISERROR(FIND("ost corner",A20))=TRUE),IF(AND(VALUE(B20)&lt;1211,VALUE(C20)&lt;1211,VALUE(D20)&lt;606),1*VLOOKUP(WardrobeCarcassMaterial,SheetsData,5,FALSE),IF(AND(VALUE(B20)&lt;2421,VALUE(C20)&lt;2421,VALUE(D20)&lt;606),2*VLOOKUP(WardrobeCarcassMaterial,SheetsData,5,FALSE),IF(AND(VALUE(B20)&lt;2421,VALUE(C20)&lt;1211,VALUE(D20)&lt;1211),3*VLOOKUP(WardrobeCarcassMaterial,SheetsData,5,FALSE),IF(AND(VALUE(B20)&lt;2421,VALUE(C20)&lt;2421,VALUE(D20)&lt;1211),4*VLOOKUP(WardrobeCarcassMaterial,SheetsData,5,FALSE))))),IF(AND(ISERROR(FIND("arcass",A20))=FALSE,ISERROR(FIND("ost corner",A20))=FALSE),IF(AND(VALUE(B20)&lt;1211,VALUE(C20)&lt;1211,VALUE(D20)&lt;606),(1*VLOOKUP(WardrobeCarcassMaterial,SheetsData,5,FALSE))+(VLOOKUP("H/F (22mm)",SheetsData,7,FALSE)*1.44),IF(AND(VALUE(B20)&lt;2421,VALUE(C20)&lt;2421,VALUE(D20)&lt;606),(2*VLOOKUP(WardrobeCarcassMaterial,SheetsData,5,FALSE))+(VLOOKUP("H/F (22mm)",SheetsData,7,FALSE)*1.44),IF(AND(VALUE(B20)&lt;2421,VALUE(C20)&lt;1211,VALUE(D20)&lt;1211),(3*VLOOKUP(WardrobeCarcassMaterial,SheetsData,5,FALSE))+(VLOOKUP("H/F (22mm)",SheetsData,7,FALSE)*1.44),IF(AND(VALUE(B20)&lt;2421,VALUE(C20)&lt;2421,VALUE(D20)&lt;1211),(4*VLOOKUP(WardrobeCarcassMaterial,SheetsData,5,FALSE))+(VLOOKUP("H/F (22mm)",SheetsData,7,FALSE)*1.44))))),IF(ISERROR(FIND("drawer front",A20))=FALSE,((B20/1000)*(C20/1000))*VLOOKUP(WardrobeDoorMaterial,SheetsData,8,0),IF(AND(WardrobeDrawerType="Match carcass",ISERROR(FIND("drawer box",A20))=FALSE),(((((B20/1000)*(C20/1000))+((B20/1000)*(D20/1000)))*2)*VLOOKUP(WardrobeCarcassMaterial,SheetsData,8,0))+(((C20/1000)*(D20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box",A20))=FALSE),(((((B20/1000)*(C20/1000))+((B20/1000)*(D20/1000)))*2)*(16/1000)*VLOOKUP(LEFT(WardrobeCarcassMaterial,FIND(" ",WardrobeCarcassMaterial))&amp;"(solid m3)",SolidData,4,0))+(((C20/1000)*(D20/1000))*VLOOKUP(LEFT(WardrobeCarcassMaterial,FIND("(",WardrobeCarcassMaterial)-1)&amp;IF(OR(ISERROR(FIND("ply",WardrobeCarcassMaterial))=FALSE,ISERROR(FIND("H/F",WardrobeCarcassMaterial))=FALSE),"(9mm)","(10mm)"),SheetsData,8,0)),IF(ISERROR(FIND("shelf",A20))=FALSE,((C20/1000)*(D20/1000))*VLOOKUP(WardrobeCarcassMaterial,SheetsData,7,FALSE),IF(ISERROR(FIND("Office pod",A20))=FALSE,3*VLOOKUP(WardrobeCarcassMaterial,SheetsData,5,0),IF(ISERROR(FIND(" panel",A20))=FALSE,((B20/1000)*(C20/1000))*VLOOKUP(WardrobeDoorMaterial,SheetsData,8,0),IF(ISERROR(FIND("Fillers",A20))=FALSE,(((0.06*(C20/1000))*2)*VLOOKUP("H/F (18mm)",SheetsData,8,0))+(((0.06*(C20/1000))*2)*VLOOKUP("H/F (9mm)",SheetsData,8,0)),IF(ISERROR(FIND("Cornice (stacked)",A20))=FALSE,((0.08*(C20/1000))*2)*VLOOKUP("H/F (22mm)",SheetsData,8,0),IF(OR(ISERROR(FIND("Plinth",A20))=FALSE,ISERROR(FIND("Cornice (flat)",A20))=FALSE),((B20/1000)*(C20/1000))*VLOOKUP("H/F (18mm)",SheetsData,8,0),IF(ISERROR(FIND("Pelmet",A20))=FALSE,((((B20/1000)*(C20/1000))*2)*VLOOKUP("H/F (18mm)",SheetsData,8,0)),IF(ISERROR(FIND("Fireplace",A20))=FALSE,IF(ISERROR(FIND("over 1600",A20))=FALSE,2*VLOOKUP(WardrobeCarcassMaterial,SheetsData,5,FALSE),VLOOKUP(WardrobeCarcassMaterial,SheetsData,5,FALSE)),IF(ISERROR(FIND("table",A20))=FALSE,((B20/1000)*0.6)*VLOOKUP("Birch ply (24mm)",SheetsData,7,FALSE),IF(ISERROR(FIND("Worktop",A20))=FALSE,((B20/1000)*(C20/1000))*VLOOKUP(WardrobeDoorMaterial,SheetsData,7,FALSE),"Check formula")))))))))))))))))</f>
        <v>29.82746574</v>
      </c>
      <c r="F20" s="152">
        <f>IFERROR(__xludf.DUMMYFUNCTION("IF(OR(A20="""",AND(ISERROR(FIND(""drawer box"",A20))=FALSE,WardrobeDrawerType=""Solid dovetail"")),"""",IF(ISERROR(FIND(""bins"",A20))=FALSE,VLOOKUP(""Base carcass 600"",Wardrobes_etcData,6,0),IF(OR(ISERROR(FIND(""larder"",A20))=FALSE,ISERROR(FIND(""unit"&amp;""",A20))=FALSE),VLOOKUP(LEFT(A20,FIND("" "",A20))&amp;""carcass ""&amp;RIGHT(A20,LEN(A20)-len(regexextract(A20,"".* ""))),Wardrobes_etcData,6,0),IF(ISERROR(FIND(""drawer front"",A20))=FALSE,IF(ISERROR(FIND(""veneer"",WardrobeCarcassMaterial))=TRUE,0,(((B20+C20)/1"&amp;"000)*2)*VLOOKUP(""Edge banding (per M)"",SheetsData,5,0)),IF(ISERROR(FIND(""drawer box"",A20))=FALSE,IF(ISERROR(FIND(""veneer"",WardrobeCarcassMaterial))=TRUE,0,(((C20+D20)/1000)*2)*VLOOKUP(""Edge banding (per M)"",SheetsData,5,0)),IF(ISERROR(FIND(""shelf"&amp;""",A20))=FALSE,IF(ISERROR(FIND(""veneer"",WardrobeCarcassMaterial))=TRUE,0,(C20/1000)*VLOOKUP(""Edge banding (per M)"",SheetsData,5,0)),IF(AND(OR(ISERROR(FIND(""arcass"",A20))=FALSE,ISERROR(FIND(""Fireplace"",A20))=FALSE),ISERROR(FIND(""shelf"",A20))=TRUE"&amp;"),IF(ISERROR(FIND(""veneer"",WardrobeCarcassMaterial))=TRUE,0,((2*(B20+C20))/1000)*VLOOKUP(""Edge banding (per M)"",SheetsData,5,0)),IF(ISERROR(FIND(""door"",A20))=TRUE,"""",IF(ISERROR(FIND(""veneer"",WardrobeDoorMaterial))=TRUE,"""",((2*(B20+C20))/1000)*"&amp;"VLOOKUP(""Edge banding (per M)"",SheetsData,5,0))))))))))"),0.0)</f>
        <v>0</v>
      </c>
      <c r="G20" s="153" t="str">
        <f>IF(A20="","",IF(AND(ISERROR(FIND("arcass",A20))=TRUE,ISERROR(FIND("Fireplace",A20))=TRUE),"",IF(VALUE(C20)&lt;606,4*VLOOKUP("Plinth foot (2 Parts 80mm)",FurnitureData,5,FALSE),IF(VALUE(C20)&lt;1211,6*VLOOKUP("Plinth foot (2 Parts 80mm)",FurnitureData,5,FALSE),8*VLOOKUP("Plinth foot (2 Parts 80mm)",FurnitureData,5,FALSE)))))</f>
        <v/>
      </c>
      <c r="H20" s="115" t="str">
        <f>IF(OR(A20="",ISERROR(FIND("door",A20))=TRUE),"",VLOOKUP("Hinges &amp; plates (Hettich thick door)",FurnitureData,5,0)*5)</f>
        <v/>
      </c>
      <c r="I20" s="115" t="str">
        <f>IF(ISERROR(FIND("shelf",A20))=FALSE,(VLOOKUP("Shelf pegs",FurnitureData,5,0)/100)*4,"")</f>
        <v/>
      </c>
      <c r="J20" s="152" t="str">
        <f>IF(OR(ISERROR(FIND("fridge/freezer",A20))=FALSE,ISERROR(FIND("sink",A20))=FALSE,ISERROR(FIND("larder",A20))=FALSE),VLOOKUP("Deep shelf "&amp;C20,Wardrobes_etcData,18,0),IF(OR(ISERROR(FIND("single oven",A20))=FALSE,ISERROR(FIND("Base carcass",A20))=FALSE),2*VLOOKUP("Deep shelf "&amp;C20,Wardrobes_etcData,18,0),IF(AND(ISERROR(FIND("wall carcass",A20))=FALSE,ISERROR(FIND("Boiler",A20))=TRUE),2*VLOOKUP("Shallow shelf "&amp;C20,Wardrobes_etcData,18,0),IF(ISERROR(FIND("double oven",A20))=FALSE,3*VLOOKUP("Deep shelf "&amp;C20,Wardrobes_etcData,18,0),IF(ISERROR(FIND("Tower carcass",A20))=FALSE,6*VLOOKUP("Deep shelf "&amp;C20,Wardrobes_etcData,18,0),"")))))</f>
        <v/>
      </c>
      <c r="K20" s="152">
        <f>IF(ISERROR(FIND("sink",A20))=FALSE,VLOOKUP("Sink liner - Aluminium "&amp;RIGHT(A20,LEN(A20)-22)&amp;"mm",ExceptionalData,5,0),IF(ISERROR(FIND("bins",A20))=FALSE,VLOOKUP("Drawer runners and clip set for bin unit (500) Dynapro",FurnitureData,5,0)+(2*VLOOKUP("Bin (42L Anthracite)",FurnitureData,5,0)),IF(ISERROR(FIND("larder",A20))=FALSE,VLOOKUP("Pull out larder unit 600mm",FurnitureData,5,0),IF(AND(ISERROR(FIND("drawer box",A20))=FALSE,ISERROR(FIND("internal",A20))=TRUE),VLOOKUP("Drawer runners and clip set (550) Dynapro",FurnitureData,5,0),IF(ISERROR(FIND("internal drawer box",A20))=FALSE,VLOOKUP("Drawer runners and clip set (450) Dynapro",FurnitureData,5,0),IF(ISERROR(FIND("table",A20))=FALSE,VLOOKUP("Hairpin Leg (12mm Black "&amp;MID(A20,FIND("(",A20)+1,LEN(A20)-(FIND("(",A20))-1)&amp;"mm)",ExceptionalData,4,FALSE),""))))))</f>
        <v>52.54</v>
      </c>
      <c r="L20" s="152">
        <f t="shared" si="3"/>
        <v>82.36746574</v>
      </c>
      <c r="M20" s="154">
        <f>IF(A20="","",IF(AND(ISERROR(FIND("drawer front",A20))=FALSE,WardrobeDoorStyle="Flat"),(((B20/1000)*(C20/1000))*2)+((((B20+C20)/1000)*2)*0.022),IF(AND(ISERROR(FIND("drawer front",A20))=FALSE,LEFT(WardrobeDoorStyle,5)="Panel"),(((B20/1000)*(C20/1000))*2)+((((B20+C20)/1000)*2)*0.022)+((((C20/1000)-0.16)*0.013)*2)+((((D20/1000)-0.16)*0.013)*2),IF(AND(ISERROR(FIND("drawer front",A20))=FALSE,WardrobeDoorStyle="In-frame flat"),((((B20-76)/1000)*((C20-38)/1000))*2)+(MID(WardrobeDoorMaterial,FIND("(",WardrobeDoorMaterial)+1,2)/1000)*((((B20-76)+(C20-38))/1000)*2)+(((B20/1000)*0.032)*2)+((((B20-76)/1000)*0.032)*2)+(((B20/1000)*0.019)*4)+(((C20/1000)*0.032)*2)+((((C20-38)/1000)*0.032)*2)+(((C20/1000)*0.038)*4),IF(AND(ISERROR(FIND("drawer front",A20))=FALSE,LEFT(WardrobeDoorStyle,14)="In-frame panel"),((((B20-76)/1000)*((C20-38)/1000))*2)+((MID(WardrobeDoorMaterial,FIND("(",WardrobeDoorMaterial)+1,2)/1000)*((((B20-76)+(C20-38))/1000)*2))+((((B20-236)/1000)+((C20-198)/1000)*2)*0.013)+(((B20/1000)*0.032)*2)+((((B20-76)/1000)*0.032)*2)+(((B20/1000)*0.019)*4)+(((C20/1000)*0.032)*2)+((((C20-38)/1000)*0.032)*2)+(((C20/1000)*0.038)*4),IF(ISERROR(FIND("drawer box",A20))=FALSE,((((B20/1000)*(D20/1000))+((B20/1000)*(C20/1000)))*4)+((((D20/1000)+(C20/1000))*0.016)*4)+(((C20/1000)*(D20/1000))*2),IF(OR(ISERROR(FIND("shelf",A20))=FALSE,ISERROR(FIND("Filler panel",A20))=FALSE),(((C20/1000)*(D20/1000))*2)+((((C20+D20)*2)/1000)*0.022),IF(ISERROR(FIND("Fireplace",A20))=FALSE,((B20/1000)*(C20/1000)),IF(ISERROR(FIND("Worktop",A20))=FALSE,(B20/1000)*(C20/1000),IF(ISERROR(FIND("table",A20))=FALSE,(B20/1000)*0.6,IF(ISERROR(FIND("arcass",A20))=FALSE,(((C20/1000)*(D20/1000))*2)+(((B20/1000)*(D20/1000))*2)+((B20/1000)*(C20/1000))+((((B20/1000)*0.025)+((C20/1000)*0.025))*2),IF(AND(ISERROR(FIND("door",A20))=FALSE,WardrobeDoorStyle="Flat"),(((B20/1000)*(C20/1000))*2)+(MID(WardrobeDoorMaterial,FIND("(",WardrobeDoorMaterial)+1,2)/1000)*(((B20+C20)/1000)*2),IF(AND(ISERROR(FIND("door",A20))=FALSE,LEFT(WardrobeDoorStyle,5)="Panel"),(((B20/1000)*(C20/1000))*2)+((MID(WardrobeDoorMaterial,FIND("(",WardrobeDoorMaterial)+1,2)/1000)*(((B20+C20)/1000)*2))+(((((B20-160)+(C20-160))*2)/1000)*(0.013)),IF(AND(ISERROR(FIND("door",A20))=FALSE,WardrobeDoorStyle="In-frame flat"),((((B20-76)/1000)*((C20-38)/1000))*2)+(MID(WardrobeDoorMaterial,FIND("(",WardrobeDoorMaterial)+1,2)/1000)*((((B20-76)+(C20-38))/1000)*2)+(((B20/1000)*0.032)*2)+((((B20-76)/1000)*0.032)*2)+(((B20/1000)*0.019)*4)+(((C20/1000)*0.032)*2)+((((C20-38)/1000)*0.032)*2)+(((C20/1000)*0.038)*4),IF(AND(ISERROR(FIND("door",A20))=FALSE,LEFT(WardrobeDoorStyle,14)="In-frame panel"),((((B20-76)/1000)*((C20-38)/1000))*2)+((MID(WardrobeDoorMaterial,FIND("(",WardrobeDoorMaterial)+1,2)/1000)*((((B20-76)+(C20-38))/1000)*2))+((((B20-236)/1000)+((C20-198)/1000)*2)*0.013)+(((B20/1000)*0.032)*2)+((((B20-76)/1000)*0.032)*2)+(((B20/1000)*0.019)*4)+(((C20/1000)*0.032)*2)+((((C20-38)/1000)*0.032)*2)+(((C20/1000)*0.038)*4),IF(ISERROR(FIND("Plinth",A20))=FALSE,((B20/1000)*(C20/1000))+(((C20/1000)*0.018)*2)+(((B20/1000)*0.018)*2),IF(ISERROR(FIND("Cornice",A20))=FALSE,(((C20/1000)*0.1)*2)+(((C20/1000)*0.044)*2)+(((B20/1000)*0.08)*2),IF(ISERROR(FIND("Office pod",A20))=FALSE,((2400/1000)*(1200/1000))*6,IF(ISERROR(FIND("panel",A20))=FALSE,((B20/1000)*(C20/1000))+(0.022*((B20/1000)+((C20/1000)*2)))+((B20/1000)*0.05),IF(ISERROR(FIND("Fillers",A20))=FALSE,((C20/1000)*0.06)+((C20/1000)*0.069)+((0.06*0.018)*2)+((0.06*0.009)*2)+((C20/1000)*0.009)+((C20/1000)*0.018),IF(ISERROR(FIND("Pelmet",A20))=FALSE,((C20/1000)*0.05)+((C20/1000)*0.068)+((0.05*0.018)*4)+(((C20/1000)*0.018))*2)))))))))))))))))))))</f>
        <v>2.4192</v>
      </c>
      <c r="N20" s="152">
        <f>IF(M20="","",IF(AND(ISERROR(FIND("carcass",A20))=TRUE,ISERROR(FIND("unit",A20))=TRUE,ISERROR(FIND("insert",A20))=TRUE,ISERROR(FIND("rack",A20))=TRUE,ISERROR(FIND("box",A20))=TRUE,ISERROR(FIND("shelf",A20))=TRUE),VLOOKUP(WardrobeDoorFinish,Finishing!$A$2:$K$10,9,0)*M20,IF(ISERROR(FIND("table",A20))=FALSE,VLOOKUP("Sayerlack AF0072 Interior Clear Self-Sealer",FinishingData,9,FALSE)*M20,VLOOKUP(WardrobeCarcassFinish,Finishing!$A$2:$K$40,9,0)*M20)))</f>
        <v>9.072</v>
      </c>
      <c r="O20" s="155">
        <v>3.5</v>
      </c>
      <c r="P20" s="155">
        <v>1.0</v>
      </c>
      <c r="Q20" s="152">
        <f>IF(OR(O20="",P20=""),"",((O20*X20)*(VLOOKUP("Workshop",Labour!$A$3:$E$20,4,0)/8))+((P20*AE20)*(VLOOKUP("Finishing",Labour!$A$3:$E$20,4,0)/8)))</f>
        <v>181.125</v>
      </c>
      <c r="R20" s="152">
        <f t="shared" si="4"/>
        <v>272.5644657</v>
      </c>
      <c r="S20" s="156">
        <f>IF(OR(O20="",P20=""),"",IF(OR(ISERROR(FIND("carcass",$A20))=FALSE,ISERROR(FIND("unit",$A20))=FALSE),VLOOKUP(WardrobeCarcassMaterial,FixedListsCarcassMaterial,2,0),0))</f>
        <v>0</v>
      </c>
      <c r="T20" s="156">
        <f>IF(OR(O20="",P20=""),"",IF(ISERROR(FIND("door",$A20))=FALSE,VLOOKUP(WardrobeDoorStyle,FixedListsDoorStyle,2,0),0))</f>
        <v>0</v>
      </c>
      <c r="U20" s="156">
        <f>IF(OR(O20="",P20=""),"",IF(ISERROR(FIND("door",$A20))=FALSE,VLOOKUP(WardrobeDoorMaterial,FixedListsDoorMaterial,2,0),0))</f>
        <v>0</v>
      </c>
      <c r="V20" s="156">
        <f>IF(OR(O20="",P20=""),"",IF(ISERROR(FIND("drawer",$A20))=FALSE,VLOOKUP(WardrobeDrawerType,FixedListsDrawerType,2,0),0))</f>
        <v>1</v>
      </c>
      <c r="W20" s="156">
        <f>IF(OR(O20="",P20=""),"",IF(S20&gt;0,VLOOKUP(WardrobeHandleType,FixedListsHandleType,2,FALSE),0))</f>
        <v>0</v>
      </c>
      <c r="X20" s="156">
        <f t="shared" si="5"/>
        <v>1</v>
      </c>
      <c r="Y20" s="156">
        <f>IF(OR(O20="",P20=""),"",IF(OR(ISERROR(FIND("carcass",$A20))=FALSE,ISERROR(FIND("unit",$A20))=FALSE),VLOOKUP(WardrobeCarcassMaterial,FixedListsCarcassMaterial,3,0),0))</f>
        <v>0</v>
      </c>
      <c r="Z20" s="156">
        <f>IF(OR(O20="",P20=""),"",IF(ISERROR(FIND("door",$A20))=FALSE,VLOOKUP(WardrobeDoorStyle,FixedListsDoorStyle,3,0),0))</f>
        <v>0</v>
      </c>
      <c r="AA20" s="156">
        <f>IF(OR(O20="",P20=""),"",IF(ISERROR(FIND("door",$A20))=FALSE,VLOOKUP(WardrobeDoorMaterial,FixedListsDoorMaterial,3,0),0))</f>
        <v>0</v>
      </c>
      <c r="AB20" s="156">
        <f>IF(OR(O20="",P20=""),"",IF(ISERROR(FIND("drawer",$A20))=FALSE,VLOOKUP(WardrobeDrawerType,FixedListsDrawerType,3,0),0))</f>
        <v>1</v>
      </c>
      <c r="AC20" s="156">
        <f>IF(OR(O20="",P20=""),"",IF(S20&gt;0,VLOOKUP(WardrobeHandleType,FixedListsHandleType,3,FALSE),0))</f>
        <v>0</v>
      </c>
      <c r="AD20" s="156">
        <f>IF(OR(O20="",P20=""),"",IF(OR(ISERROR(FIND("carcass",$A20))=FALSE,ISERROR(FIND("unit",$A20))=FALSE),VLOOKUP(WardrobeCarcassFinish,FixedListsFinishes,3,0),IF(OR(ISERROR(FIND("door",$A20))=FALSE,ISERROR(FIND("Plinth",$A20))=FALSE,ISERROR(FIND("Cornice",$A20))=FALSE,ISERROR(FIND("Fillers",$A20))=FALSE,ISERROR(FIND("Pelmet",$A20))=FALSE,ISERROR(FIND("panel",$A20))=FALSE,ISERROR(FIND("post",$A20))=FALSE),VLOOKUP(WardrobeDoorFinish,FixedListsFinishes,3,0),IF(OR(ISERROR(FIND("drawer",$A20))=FALSE,ISERROR(FIND("insert",$A20))=FALSE,ISERROR(FIND("rck",$A20))=FALSE),VLOOKUP(WardrobeCarcassFinish,FixedListsFinishes,3,0),0))))</f>
        <v>1</v>
      </c>
      <c r="AE20" s="156">
        <f t="shared" si="6"/>
        <v>1</v>
      </c>
      <c r="AF20" s="157" t="str">
        <f>IF(AND(WardrobeHandleType="Channel",OR(ISERROR(FIND("arcass",$A20))=FALSE,ISERROR(FIND("unit",$A20))=FALSE)),IF(ISERROR(FIND("Tower",$A20))=TRUE,IF(WardrobeHandleFinish="Match carcass",IF(ISERROR(FIND("Walnut",WardrobeCarcassMaterial))=FALSE,(0.035*0.075*($C20/1000))*VLOOKUP("Walnut (solid m3)",SolidData,4,FALSE),IF(ISERROR(FIND("Oak",WardrobeCarcassMaterial))=FALSE,(0.035*0.075*($C20/1000))*VLOOKUP("Oak (solid m3)",SolidData,4,FALSE),IF(ISERROR(FIND("ply",WardrobeCarcassMaterial))=FALSE,(0.1*($C20/1000))*VLOOKUP("Birch ply (24mm)",SheetsData,7,FALSE),IF(ISERROR(FIND("H/F",WardrobeCarcassMaterial))=FALSE,(0.1*($C20/1000))*VLOOKUP("H/F (22mm)",SheetsData,7,FALSE),"Carcass - not tower - new material")))),IF(WardrobeHandleFinish="Match door",IF(ISERROR(FIND("Walnut",WardrobeDoorMaterial))=FALSE,(0.035*0.075*($C20/1000))*VLOOKUP("Walnut (solid m3)",SolidData,4,FALSE),IF(ISERROR(FIND("Oak",WardrobeDoorMaterial))=FALSE,(0.035*0.075*($C20/1000))*VLOOKUP("Oak (solid m3)",SolidData,4,FALSE),IF(ISERROR(FIND("ply",WardrobeDoorMaterial))=FALSE,(0.1*($C20/1000))*VLOOKUP("Birch ply (24mm)",SheetsData,7,FALSE),IF(ISERROR(FIND("H/F",WardrobeCarcassMaterial))=FALSE,(0.1*($C20/1000))*VLOOKUP("H/F (22mm)",SheetsData,7,FALSE),"Door - not tower - new material")))),"Channel - not tower - handle set to other")),IF(ISERROR(FIND("Tower",$A20))=FALSE,IF(WardrobeHandleFinish="Match carcass",IF(ISERROR(FIND("Walnut",WardrobeCarcassMaterial))=FALSE,(0.035*0.075*($B20/1000))*VLOOKUP("Walnut (solid m3)",SolidData,4,FALSE),IF(ISERROR(FIND("Oak",WardrobeCarcassMaterial))=FALSE,(0.035*0.075*($B20/1000))*VLOOKUP("Oak (solid m3)",SolidData,4,FALSE),IF(ISERROR(FIND("ply",WardrobeCarcassMaterial))=FALSE,(0.1*($B20/1000))*VLOOKUP("Birch ply (24mm)",SheetsData,7,FALSE),IF(ISERROR(FIND("H/F",WardrobeCarcassMaterial))=FALSE,(0.1*($C20/1000))*VLOOKUP("H/F (22mm)",SheetsData,7,FALSE),"Carcass - tower - new material")))),IF(WardrobeHandleFinish="Match door",IF(ISERROR(FIND("Walnut",WardrobeDoorMaterial))=FALSE,(0.035*0.075*($B20/1000))*VLOOKUP("Walnut (solid m3)",SolidData,4,FALSE),IF(ISERROR(FIND("Oak",WardrobeDoorMaterial))=FALSE,(0.035*0.075*($B20/1000))*VLOOKUP("Oak (solid m3)",SolidData,4,FALSE),IF(ISERROR(FIND("ply",WardrobeDoorMaterial))=FALSE,(0.1*($B20/1000))*VLOOKUP("Birch ply (24mm)",SheetData,7,FALSE),IF(ISERROR(FIND("H/F",WardrobeCarcassMaterial))=FALSE,(0.1*($C20/1000))*VLOOKUP("H/F (22mm)",SheetsData,7,FALSE),"Door - tower - new material")))),"Channel - tower - handle set to other")))),"")</f>
        <v/>
      </c>
    </row>
    <row r="21">
      <c r="A21" s="150" t="s">
        <v>229</v>
      </c>
      <c r="B21" s="160" t="str">
        <f t="shared" si="1"/>
        <v>180</v>
      </c>
      <c r="C21" s="160" t="str">
        <f>IFERROR(__xludf.DUMMYFUNCTION("IF(A21="""","""",IF(ISERROR(FIND(""arcass"",A21))=FALSE,MID(A21,FIND(""*"",A21)+1,FIND(""*"",A21,FIND(""*"",A21)+1)-FIND(""*"",A21)-1),IF(ISERROR(FIND(""End panel"",A21))=FALSE,RIGHT(A21,3),IF(OR(ISERROR(FIND(""drawer"",A21))=FALSE,ISERROR(FIND(""door"",A"&amp;"21))=FALSE,ISERROR(FIND(""shelf"",A21))=FALSE,ISERROR(FIND(""panel"",A21))=FALSE,ISERROR(FIND(""Plinth"",A21))=FALSE,ISERROR(FIND(""Cornice"",A21))=FALSE,ISERROR(FIND(""Fillers"",A21))=FALSE,ISERROR(FIND(""Pelmet"",A21))=FALSE,ISERROR(FIND(""Fireplace up "&amp;"to 1600"",A21))=FALSE),RIGHT(A21,LEN(A21)-LEN(regexextract(A21,"".* ""))),IF(ISERROR(FIND(""table"",A21))=FALSE,""560"",IF(ISERROR(FIND(""Office pod"",A21))=FALSE,""1600"",IF(ISERROR(FIND(""Fireplace over 1600"",A21))=FALSE,""2400"",IF(ISERROR(FIND(""Work"&amp;"top"",A21))=FALSE,""650"",""Whoops""))))))))"),"600")</f>
        <v>600</v>
      </c>
      <c r="D21" s="161" t="str">
        <f t="shared" si="2"/>
        <v>600</v>
      </c>
      <c r="E21" s="152">
        <f>IF(OR(A21="",AND(ISERROR(FIND("drawer",A21))=FALSE,WardrobeDrawerType="")),"",IF(ISERROR(FIND("door",A21))=FALSE,IF(WardrobeDoorStyle="Flat",((B21/1000)*(C21/1000))*VLOOKUP(WardrobeDoorMaterial,SheetsData,8,0),IF(LEFT(WardrobeDoorStyle,5)="Panel",(((((B21/1000)*2)*0.08)+((((C21/1000)-0.16)*2)*0.08))*VLOOKUP("H/F (22mm)",SheetsData,8,0))+(((B21/1000)-0.14)*((C21/1000)-0.14)*VLOOKUP("H/F (9mm)",SheetsData,8,0)),IF(WardrobeDoorStyle="In-frame flat",((((((B21/1000)*0.019)*0.038)+((((C21-38)/1000)*0.038)*0.038))*2)*VLOOKUP("Tulip (solid m3)",SolidData,4,0))+(((B21-76)/1000)*((C21-38)/1000))*VLOOKUP("H/F (22mm)",SheetsData,8,0),IF(LEFT(WardrobeDoorStyle,14)="In-frame panel",(((((((B21/1000)*0.019)*0.038)+((((C21-38)/1000)*0.038)*0.038))*2)*VLOOKUP("Tulip (solid m3)",SolidData,4,0))+(((((((B21-76)/1000)*2)*0.08)+(((((C21-198)/1000)*2)*0.08)))*VLOOKUP("H/F (22mm)",SheetsData,8,0))+(((B21-216)/1000)*((C21-178)/1000)*VLOOKUP("H/F (9mm)",SheetsData,8,0)))))))),IF(AND(ISERROR(FIND("arcass",A21))=FALSE,ISERROR(FIND("ost corner",A21))=TRUE),IF(AND(VALUE(B21)&lt;1211,VALUE(C21)&lt;1211,VALUE(D21)&lt;606),1*VLOOKUP(WardrobeCarcassMaterial,SheetsData,5,FALSE),IF(AND(VALUE(B21)&lt;2421,VALUE(C21)&lt;2421,VALUE(D21)&lt;606),2*VLOOKUP(WardrobeCarcassMaterial,SheetsData,5,FALSE),IF(AND(VALUE(B21)&lt;2421,VALUE(C21)&lt;1211,VALUE(D21)&lt;1211),3*VLOOKUP(WardrobeCarcassMaterial,SheetsData,5,FALSE),IF(AND(VALUE(B21)&lt;2421,VALUE(C21)&lt;2421,VALUE(D21)&lt;1211),4*VLOOKUP(WardrobeCarcassMaterial,SheetsData,5,FALSE))))),IF(AND(ISERROR(FIND("arcass",A21))=FALSE,ISERROR(FIND("ost corner",A21))=FALSE),IF(AND(VALUE(B21)&lt;1211,VALUE(C21)&lt;1211,VALUE(D21)&lt;606),(1*VLOOKUP(WardrobeCarcassMaterial,SheetsData,5,FALSE))+(VLOOKUP("H/F (22mm)",SheetsData,7,FALSE)*1.44),IF(AND(VALUE(B21)&lt;2421,VALUE(C21)&lt;2421,VALUE(D21)&lt;606),(2*VLOOKUP(WardrobeCarcassMaterial,SheetsData,5,FALSE))+(VLOOKUP("H/F (22mm)",SheetsData,7,FALSE)*1.44),IF(AND(VALUE(B21)&lt;2421,VALUE(C21)&lt;1211,VALUE(D21)&lt;1211),(3*VLOOKUP(WardrobeCarcassMaterial,SheetsData,5,FALSE))+(VLOOKUP("H/F (22mm)",SheetsData,7,FALSE)*1.44),IF(AND(VALUE(B21)&lt;2421,VALUE(C21)&lt;2421,VALUE(D21)&lt;1211),(4*VLOOKUP(WardrobeCarcassMaterial,SheetsData,5,FALSE))+(VLOOKUP("H/F (22mm)",SheetsData,7,FALSE)*1.44))))),IF(ISERROR(FIND("drawer front",A21))=FALSE,((B21/1000)*(C21/1000))*VLOOKUP(WardrobeDoorMaterial,SheetsData,8,0),IF(AND(WardrobeDrawerType="Match carcass",ISERROR(FIND("drawer box",A21))=FALSE),(((((B21/1000)*(C21/1000))+((B21/1000)*(D21/1000)))*2)*VLOOKUP(WardrobeCarcassMaterial,SheetsData,8,0))+(((C21/1000)*(D21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box",A21))=FALSE),(((((B21/1000)*(C21/1000))+((B21/1000)*(D21/1000)))*2)*(16/1000)*VLOOKUP(LEFT(WardrobeCarcassMaterial,FIND(" ",WardrobeCarcassMaterial))&amp;"(solid m3)",SolidData,4,0))+(((C21/1000)*(D21/1000))*VLOOKUP(LEFT(WardrobeCarcassMaterial,FIND("(",WardrobeCarcassMaterial)-1)&amp;IF(OR(ISERROR(FIND("ply",WardrobeCarcassMaterial))=FALSE,ISERROR(FIND("H/F",WardrobeCarcassMaterial))=FALSE),"(9mm)","(10mm)"),SheetsData,8,0)),IF(ISERROR(FIND("shelf",A21))=FALSE,((C21/1000)*(D21/1000))*VLOOKUP(WardrobeCarcassMaterial,SheetsData,7,FALSE),IF(ISERROR(FIND("Office pod",A21))=FALSE,3*VLOOKUP(WardrobeCarcassMaterial,SheetsData,5,0),IF(ISERROR(FIND(" panel",A21))=FALSE,((B21/1000)*(C21/1000))*VLOOKUP(WardrobeDoorMaterial,SheetsData,8,0),IF(ISERROR(FIND("Fillers",A21))=FALSE,(((0.06*(C21/1000))*2)*VLOOKUP("H/F (18mm)",SheetsData,8,0))+(((0.06*(C21/1000))*2)*VLOOKUP("H/F (9mm)",SheetsData,8,0)),IF(ISERROR(FIND("Cornice (stacked)",A21))=FALSE,((0.08*(C21/1000))*2)*VLOOKUP("H/F (22mm)",SheetsData,8,0),IF(OR(ISERROR(FIND("Plinth",A21))=FALSE,ISERROR(FIND("Cornice (flat)",A21))=FALSE),((B21/1000)*(C21/1000))*VLOOKUP("H/F (18mm)",SheetsData,8,0),IF(ISERROR(FIND("Pelmet",A21))=FALSE,((((B21/1000)*(C21/1000))*2)*VLOOKUP("H/F (18mm)",SheetsData,8,0)),IF(ISERROR(FIND("Fireplace",A21))=FALSE,IF(ISERROR(FIND("over 1600",A21))=FALSE,2*VLOOKUP(WardrobeCarcassMaterial,SheetsData,5,FALSE),VLOOKUP(WardrobeCarcassMaterial,SheetsData,5,FALSE)),IF(ISERROR(FIND("table",A21))=FALSE,((B21/1000)*0.6)*VLOOKUP("Birch ply (24mm)",SheetsData,7,FALSE),IF(ISERROR(FIND("Worktop",A21))=FALSE,((B21/1000)*(C21/1000))*VLOOKUP(WardrobeDoorMaterial,SheetsData,7,FALSE),"Check formula")))))))))))))))))</f>
        <v>22.09365762</v>
      </c>
      <c r="F21" s="152">
        <f>IFERROR(__xludf.DUMMYFUNCTION("IF(OR(A21="""",AND(ISERROR(FIND(""drawer box"",A21))=FALSE,WardrobeDrawerType=""Solid dovetail"")),"""",IF(ISERROR(FIND(""bins"",A21))=FALSE,VLOOKUP(""Base carcass 600"",Wardrobes_etcData,6,0),IF(OR(ISERROR(FIND(""larder"",A21))=FALSE,ISERROR(FIND(""unit"&amp;""",A21))=FALSE),VLOOKUP(LEFT(A21,FIND("" "",A21))&amp;""carcass ""&amp;RIGHT(A21,LEN(A21)-len(regexextract(A21,"".* ""))),Wardrobes_etcData,6,0),IF(ISERROR(FIND(""drawer front"",A21))=FALSE,IF(ISERROR(FIND(""veneer"",WardrobeCarcassMaterial))=TRUE,0,(((B21+C21)/1"&amp;"000)*2)*VLOOKUP(""Edge banding (per M)"",SheetsData,5,0)),IF(ISERROR(FIND(""drawer box"",A21))=FALSE,IF(ISERROR(FIND(""veneer"",WardrobeCarcassMaterial))=TRUE,0,(((C21+D21)/1000)*2)*VLOOKUP(""Edge banding (per M)"",SheetsData,5,0)),IF(ISERROR(FIND(""shelf"&amp;""",A21))=FALSE,IF(ISERROR(FIND(""veneer"",WardrobeCarcassMaterial))=TRUE,0,(C21/1000)*VLOOKUP(""Edge banding (per M)"",SheetsData,5,0)),IF(AND(OR(ISERROR(FIND(""arcass"",A21))=FALSE,ISERROR(FIND(""Fireplace"",A21))=FALSE),ISERROR(FIND(""shelf"",A21))=TRUE"&amp;"),IF(ISERROR(FIND(""veneer"",WardrobeCarcassMaterial))=TRUE,0,((2*(B21+C21))/1000)*VLOOKUP(""Edge banding (per M)"",SheetsData,5,0)),IF(ISERROR(FIND(""door"",A21))=TRUE,"""",IF(ISERROR(FIND(""veneer"",WardrobeDoorMaterial))=TRUE,"""",((2*(B21+C21))/1000)*"&amp;"VLOOKUP(""Edge banding (per M)"",SheetsData,5,0))))))))))"),0.0)</f>
        <v>0</v>
      </c>
      <c r="G21" s="153" t="str">
        <f>IF(A21="","",IF(AND(ISERROR(FIND("arcass",A21))=TRUE,ISERROR(FIND("Fireplace",A21))=TRUE),"",IF(VALUE(C21)&lt;606,4*VLOOKUP("Plinth foot (2 Parts 80mm)",FurnitureData,5,FALSE),IF(VALUE(C21)&lt;1211,6*VLOOKUP("Plinth foot (2 Parts 80mm)",FurnitureData,5,FALSE),8*VLOOKUP("Plinth foot (2 Parts 80mm)",FurnitureData,5,FALSE)))))</f>
        <v/>
      </c>
      <c r="H21" s="115" t="str">
        <f>IF(OR(A21="",ISERROR(FIND("door",A21))=TRUE),"",VLOOKUP("Hinges &amp; plates (Hettich thick door)",FurnitureData,5,0)*5)</f>
        <v/>
      </c>
      <c r="I21" s="115" t="str">
        <f>IF(ISERROR(FIND("shelf",A21))=FALSE,(VLOOKUP("Shelf pegs",FurnitureData,5,0)/100)*4,"")</f>
        <v/>
      </c>
      <c r="J21" s="152" t="str">
        <f>IF(OR(ISERROR(FIND("fridge/freezer",A21))=FALSE,ISERROR(FIND("sink",A21))=FALSE,ISERROR(FIND("larder",A21))=FALSE),VLOOKUP("Deep shelf "&amp;C21,Wardrobes_etcData,18,0),IF(OR(ISERROR(FIND("single oven",A21))=FALSE,ISERROR(FIND("Base carcass",A21))=FALSE),2*VLOOKUP("Deep shelf "&amp;C21,Wardrobes_etcData,18,0),IF(AND(ISERROR(FIND("wall carcass",A21))=FALSE,ISERROR(FIND("Boiler",A21))=TRUE),2*VLOOKUP("Shallow shelf "&amp;C21,Wardrobes_etcData,18,0),IF(ISERROR(FIND("double oven",A21))=FALSE,3*VLOOKUP("Deep shelf "&amp;C21,Wardrobes_etcData,18,0),IF(ISERROR(FIND("Tower carcass",A21))=FALSE,6*VLOOKUP("Deep shelf "&amp;C21,Wardrobes_etcData,18,0),"")))))</f>
        <v/>
      </c>
      <c r="K21" s="152">
        <f>IF(ISERROR(FIND("sink",A21))=FALSE,VLOOKUP("Sink liner - Aluminium "&amp;RIGHT(A21,LEN(A21)-22)&amp;"mm",ExceptionalData,5,0),IF(ISERROR(FIND("bins",A21))=FALSE,VLOOKUP("Drawer runners and clip set for bin unit (500) Dynapro",FurnitureData,5,0)+(2*VLOOKUP("Bin (42L Anthracite)",FurnitureData,5,0)),IF(ISERROR(FIND("larder",A21))=FALSE,VLOOKUP("Pull out larder unit 600mm",FurnitureData,5,0),IF(AND(ISERROR(FIND("drawer box",A21))=FALSE,ISERROR(FIND("internal",A21))=TRUE),VLOOKUP("Drawer runners and clip set (550) Dynapro",FurnitureData,5,0),IF(ISERROR(FIND("internal drawer box",A21))=FALSE,VLOOKUP("Drawer runners and clip set (450) Dynapro",FurnitureData,5,0),IF(ISERROR(FIND("table",A21))=FALSE,VLOOKUP("Hairpin Leg (12mm Black "&amp;MID(A21,FIND("(",A21)+1,LEN(A21)-(FIND("(",A21))-1)&amp;"mm)",ExceptionalData,4,FALSE),""))))))</f>
        <v>52.54</v>
      </c>
      <c r="L21" s="152">
        <f t="shared" si="3"/>
        <v>74.63365762</v>
      </c>
      <c r="M21" s="154">
        <f>IF(A21="","",IF(AND(ISERROR(FIND("drawer front",A21))=FALSE,WardrobeDoorStyle="Flat"),(((B21/1000)*(C21/1000))*2)+((((B21+C21)/1000)*2)*0.022),IF(AND(ISERROR(FIND("drawer front",A21))=FALSE,LEFT(WardrobeDoorStyle,5)="Panel"),(((B21/1000)*(C21/1000))*2)+((((B21+C21)/1000)*2)*0.022)+((((C21/1000)-0.16)*0.013)*2)+((((D21/1000)-0.16)*0.013)*2),IF(AND(ISERROR(FIND("drawer front",A21))=FALSE,WardrobeDoorStyle="In-frame flat"),((((B21-76)/1000)*((C21-38)/1000))*2)+(MID(WardrobeDoorMaterial,FIND("(",WardrobeDoorMaterial)+1,2)/1000)*((((B21-76)+(C21-38))/1000)*2)+(((B21/1000)*0.032)*2)+((((B21-76)/1000)*0.032)*2)+(((B21/1000)*0.019)*4)+(((C21/1000)*0.032)*2)+((((C21-38)/1000)*0.032)*2)+(((C21/1000)*0.038)*4),IF(AND(ISERROR(FIND("drawer front",A21))=FALSE,LEFT(WardrobeDoorStyle,14)="In-frame panel"),((((B21-76)/1000)*((C21-38)/1000))*2)+((MID(WardrobeDoorMaterial,FIND("(",WardrobeDoorMaterial)+1,2)/1000)*((((B21-76)+(C21-38))/1000)*2))+((((B21-236)/1000)+((C21-198)/1000)*2)*0.013)+(((B21/1000)*0.032)*2)+((((B21-76)/1000)*0.032)*2)+(((B21/1000)*0.019)*4)+(((C21/1000)*0.032)*2)+((((C21-38)/1000)*0.032)*2)+(((C21/1000)*0.038)*4),IF(ISERROR(FIND("drawer box",A21))=FALSE,((((B21/1000)*(D21/1000))+((B21/1000)*(C21/1000)))*4)+((((D21/1000)+(C21/1000))*0.016)*4)+(((C21/1000)*(D21/1000))*2),IF(OR(ISERROR(FIND("shelf",A21))=FALSE,ISERROR(FIND("Filler panel",A21))=FALSE),(((C21/1000)*(D21/1000))*2)+((((C21+D21)*2)/1000)*0.022),IF(ISERROR(FIND("Fireplace",A21))=FALSE,((B21/1000)*(C21/1000)),IF(ISERROR(FIND("Worktop",A21))=FALSE,(B21/1000)*(C21/1000),IF(ISERROR(FIND("table",A21))=FALSE,(B21/1000)*0.6,IF(ISERROR(FIND("arcass",A21))=FALSE,(((C21/1000)*(D21/1000))*2)+(((B21/1000)*(D21/1000))*2)+((B21/1000)*(C21/1000))+((((B21/1000)*0.025)+((C21/1000)*0.025))*2),IF(AND(ISERROR(FIND("door",A21))=FALSE,WardrobeDoorStyle="Flat"),(((B21/1000)*(C21/1000))*2)+(MID(WardrobeDoorMaterial,FIND("(",WardrobeDoorMaterial)+1,2)/1000)*(((B21+C21)/1000)*2),IF(AND(ISERROR(FIND("door",A21))=FALSE,LEFT(WardrobeDoorStyle,5)="Panel"),(((B21/1000)*(C21/1000))*2)+((MID(WardrobeDoorMaterial,FIND("(",WardrobeDoorMaterial)+1,2)/1000)*(((B21+C21)/1000)*2))+(((((B21-160)+(C21-160))*2)/1000)*(0.013)),IF(AND(ISERROR(FIND("door",A21))=FALSE,WardrobeDoorStyle="In-frame flat"),((((B21-76)/1000)*((C21-38)/1000))*2)+(MID(WardrobeDoorMaterial,FIND("(",WardrobeDoorMaterial)+1,2)/1000)*((((B21-76)+(C21-38))/1000)*2)+(((B21/1000)*0.032)*2)+((((B21-76)/1000)*0.032)*2)+(((B21/1000)*0.019)*4)+(((C21/1000)*0.032)*2)+((((C21-38)/1000)*0.032)*2)+(((C21/1000)*0.038)*4),IF(AND(ISERROR(FIND("door",A21))=FALSE,LEFT(WardrobeDoorStyle,14)="In-frame panel"),((((B21-76)/1000)*((C21-38)/1000))*2)+((MID(WardrobeDoorMaterial,FIND("(",WardrobeDoorMaterial)+1,2)/1000)*((((B21-76)+(C21-38))/1000)*2))+((((B21-236)/1000)+((C21-198)/1000)*2)*0.013)+(((B21/1000)*0.032)*2)+((((B21-76)/1000)*0.032)*2)+(((B21/1000)*0.019)*4)+(((C21/1000)*0.032)*2)+((((C21-38)/1000)*0.032)*2)+(((C21/1000)*0.038)*4),IF(ISERROR(FIND("Plinth",A21))=FALSE,((B21/1000)*(C21/1000))+(((C21/1000)*0.018)*2)+(((B21/1000)*0.018)*2),IF(ISERROR(FIND("Cornice",A21))=FALSE,(((C21/1000)*0.1)*2)+(((C21/1000)*0.044)*2)+(((B21/1000)*0.08)*2),IF(ISERROR(FIND("Office pod",A21))=FALSE,((2400/1000)*(1200/1000))*6,IF(ISERROR(FIND("panel",A21))=FALSE,((B21/1000)*(C21/1000))+(0.022*((B21/1000)+((C21/1000)*2)))+((B21/1000)*0.05),IF(ISERROR(FIND("Fillers",A21))=FALSE,((C21/1000)*0.06)+((C21/1000)*0.069)+((0.06*0.018)*2)+((0.06*0.009)*2)+((C21/1000)*0.009)+((C21/1000)*0.018),IF(ISERROR(FIND("Pelmet",A21))=FALSE,((C21/1000)*0.05)+((C21/1000)*0.068)+((0.05*0.018)*4)+(((C21/1000)*0.018))*2)))))))))))))))))))))</f>
        <v>1.6608</v>
      </c>
      <c r="N21" s="152">
        <f>IF(M21="","",IF(AND(ISERROR(FIND("carcass",A21))=TRUE,ISERROR(FIND("unit",A21))=TRUE,ISERROR(FIND("insert",A21))=TRUE,ISERROR(FIND("rack",A21))=TRUE,ISERROR(FIND("box",A21))=TRUE,ISERROR(FIND("shelf",A21))=TRUE),VLOOKUP(WardrobeDoorFinish,Finishing!$A$2:$K$10,9,0)*M21,IF(ISERROR(FIND("table",A21))=FALSE,VLOOKUP("Sayerlack AF0072 Interior Clear Self-Sealer",FinishingData,9,FALSE)*M21,VLOOKUP(WardrobeCarcassFinish,Finishing!$A$2:$K$40,9,0)*M21)))</f>
        <v>6.228</v>
      </c>
      <c r="O21" s="155">
        <v>2.5</v>
      </c>
      <c r="P21" s="155">
        <v>1.0</v>
      </c>
      <c r="Q21" s="152">
        <f>IF(OR(O21="",P21=""),"",((O21*X21)*(VLOOKUP("Workshop",Labour!$A$3:$E$20,4,0)/8))+((P21*AE21)*(VLOOKUP("Finishing",Labour!$A$3:$E$20,4,0)/8)))</f>
        <v>137.375</v>
      </c>
      <c r="R21" s="152">
        <f t="shared" si="4"/>
        <v>218.2366576</v>
      </c>
      <c r="S21" s="156">
        <f>IF(OR(O21="",P21=""),"",IF(OR(ISERROR(FIND("carcass",$A21))=FALSE,ISERROR(FIND("unit",$A21))=FALSE),VLOOKUP(WardrobeCarcassMaterial,FixedListsCarcassMaterial,2,0),0))</f>
        <v>0</v>
      </c>
      <c r="T21" s="156">
        <f>IF(OR(O21="",P21=""),"",IF(ISERROR(FIND("door",$A21))=FALSE,VLOOKUP(WardrobeDoorStyle,FixedListsDoorStyle,2,0),0))</f>
        <v>0</v>
      </c>
      <c r="U21" s="156">
        <f>IF(OR(O21="",P21=""),"",IF(ISERROR(FIND("door",$A21))=FALSE,VLOOKUP(WardrobeDoorMaterial,FixedListsDoorMaterial,2,0),0))</f>
        <v>0</v>
      </c>
      <c r="V21" s="156">
        <f>IF(OR(O21="",P21=""),"",IF(ISERROR(FIND("drawer",$A21))=FALSE,VLOOKUP(WardrobeDrawerType,FixedListsDrawerType,2,0),0))</f>
        <v>1</v>
      </c>
      <c r="W21" s="156">
        <f>IF(OR(O21="",P21=""),"",IF(S21&gt;0,VLOOKUP(WardrobeHandleType,FixedListsHandleType,2,FALSE),0))</f>
        <v>0</v>
      </c>
      <c r="X21" s="156">
        <f t="shared" si="5"/>
        <v>1</v>
      </c>
      <c r="Y21" s="156">
        <f>IF(OR(O21="",P21=""),"",IF(OR(ISERROR(FIND("carcass",$A21))=FALSE,ISERROR(FIND("unit",$A21))=FALSE),VLOOKUP(WardrobeCarcassMaterial,FixedListsCarcassMaterial,3,0),0))</f>
        <v>0</v>
      </c>
      <c r="Z21" s="156">
        <f>IF(OR(O21="",P21=""),"",IF(ISERROR(FIND("door",$A21))=FALSE,VLOOKUP(WardrobeDoorStyle,FixedListsDoorStyle,3,0),0))</f>
        <v>0</v>
      </c>
      <c r="AA21" s="156">
        <f>IF(OR(O21="",P21=""),"",IF(ISERROR(FIND("door",$A21))=FALSE,VLOOKUP(WardrobeDoorMaterial,FixedListsDoorMaterial,3,0),0))</f>
        <v>0</v>
      </c>
      <c r="AB21" s="156">
        <f>IF(OR(O21="",P21=""),"",IF(ISERROR(FIND("drawer",$A21))=FALSE,VLOOKUP(WardrobeDrawerType,FixedListsDrawerType,3,0),0))</f>
        <v>1</v>
      </c>
      <c r="AC21" s="156">
        <f>IF(OR(O21="",P21=""),"",IF(S21&gt;0,VLOOKUP(WardrobeHandleType,FixedListsHandleType,3,FALSE),0))</f>
        <v>0</v>
      </c>
      <c r="AD21" s="156">
        <f>IF(OR(O21="",P21=""),"",IF(OR(ISERROR(FIND("carcass",$A21))=FALSE,ISERROR(FIND("unit",$A21))=FALSE),VLOOKUP(WardrobeCarcassFinish,FixedListsFinishes,3,0),IF(OR(ISERROR(FIND("door",$A21))=FALSE,ISERROR(FIND("Plinth",$A21))=FALSE,ISERROR(FIND("Cornice",$A21))=FALSE,ISERROR(FIND("Fillers",$A21))=FALSE,ISERROR(FIND("Pelmet",$A21))=FALSE,ISERROR(FIND("panel",$A21))=FALSE,ISERROR(FIND("post",$A21))=FALSE),VLOOKUP(WardrobeDoorFinish,FixedListsFinishes,3,0),IF(OR(ISERROR(FIND("drawer",$A21))=FALSE,ISERROR(FIND("insert",$A21))=FALSE,ISERROR(FIND("rck",$A21))=FALSE),VLOOKUP(WardrobeCarcassFinish,FixedListsFinishes,3,0),0))))</f>
        <v>1</v>
      </c>
      <c r="AE21" s="156">
        <f t="shared" si="6"/>
        <v>1</v>
      </c>
      <c r="AF21" s="157" t="str">
        <f>IF(AND(WardrobeHandleType="Channel",OR(ISERROR(FIND("arcass",$A21))=FALSE,ISERROR(FIND("unit",$A21))=FALSE)),IF(ISERROR(FIND("Tower",$A21))=TRUE,IF(WardrobeHandleFinish="Match carcass",IF(ISERROR(FIND("Walnut",WardrobeCarcassMaterial))=FALSE,(0.035*0.075*($C21/1000))*VLOOKUP("Walnut (solid m3)",SolidData,4,FALSE),IF(ISERROR(FIND("Oak",WardrobeCarcassMaterial))=FALSE,(0.035*0.075*($C21/1000))*VLOOKUP("Oak (solid m3)",SolidData,4,FALSE),IF(ISERROR(FIND("ply",WardrobeCarcassMaterial))=FALSE,(0.1*($C21/1000))*VLOOKUP("Birch ply (24mm)",SheetsData,7,FALSE),IF(ISERROR(FIND("H/F",WardrobeCarcassMaterial))=FALSE,(0.1*($C21/1000))*VLOOKUP("H/F (22mm)",SheetsData,7,FALSE),"Carcass - not tower - new material")))),IF(WardrobeHandleFinish="Match door",IF(ISERROR(FIND("Walnut",WardrobeDoorMaterial))=FALSE,(0.035*0.075*($C21/1000))*VLOOKUP("Walnut (solid m3)",SolidData,4,FALSE),IF(ISERROR(FIND("Oak",WardrobeDoorMaterial))=FALSE,(0.035*0.075*($C21/1000))*VLOOKUP("Oak (solid m3)",SolidData,4,FALSE),IF(ISERROR(FIND("ply",WardrobeDoorMaterial))=FALSE,(0.1*($C21/1000))*VLOOKUP("Birch ply (24mm)",SheetsData,7,FALSE),IF(ISERROR(FIND("H/F",WardrobeCarcassMaterial))=FALSE,(0.1*($C21/1000))*VLOOKUP("H/F (22mm)",SheetsData,7,FALSE),"Door - not tower - new material")))),"Channel - not tower - handle set to other")),IF(ISERROR(FIND("Tower",$A21))=FALSE,IF(WardrobeHandleFinish="Match carcass",IF(ISERROR(FIND("Walnut",WardrobeCarcassMaterial))=FALSE,(0.035*0.075*($B21/1000))*VLOOKUP("Walnut (solid m3)",SolidData,4,FALSE),IF(ISERROR(FIND("Oak",WardrobeCarcassMaterial))=FALSE,(0.035*0.075*($B21/1000))*VLOOKUP("Oak (solid m3)",SolidData,4,FALSE),IF(ISERROR(FIND("ply",WardrobeCarcassMaterial))=FALSE,(0.1*($B21/1000))*VLOOKUP("Birch ply (24mm)",SheetsData,7,FALSE),IF(ISERROR(FIND("H/F",WardrobeCarcassMaterial))=FALSE,(0.1*($C21/1000))*VLOOKUP("H/F (22mm)",SheetsData,7,FALSE),"Carcass - tower - new material")))),IF(WardrobeHandleFinish="Match door",IF(ISERROR(FIND("Walnut",WardrobeDoorMaterial))=FALSE,(0.035*0.075*($B21/1000))*VLOOKUP("Walnut (solid m3)",SolidData,4,FALSE),IF(ISERROR(FIND("Oak",WardrobeDoorMaterial))=FALSE,(0.035*0.075*($B21/1000))*VLOOKUP("Oak (solid m3)",SolidData,4,FALSE),IF(ISERROR(FIND("ply",WardrobeDoorMaterial))=FALSE,(0.1*($B21/1000))*VLOOKUP("Birch ply (24mm)",SheetData,7,FALSE),IF(ISERROR(FIND("H/F",WardrobeCarcassMaterial))=FALSE,(0.1*($C21/1000))*VLOOKUP("H/F (22mm)",SheetsData,7,FALSE),"Door - tower - new material")))),"Channel - tower - handle set to other")))),"")</f>
        <v/>
      </c>
    </row>
    <row r="22">
      <c r="A22" s="150" t="s">
        <v>230</v>
      </c>
      <c r="B22" s="160" t="str">
        <f t="shared" si="1"/>
        <v>180</v>
      </c>
      <c r="C22" s="160" t="str">
        <f>IFERROR(__xludf.DUMMYFUNCTION("IF(A22="""","""",IF(ISERROR(FIND(""arcass"",A22))=FALSE,MID(A22,FIND(""*"",A22)+1,FIND(""*"",A22,FIND(""*"",A22)+1)-FIND(""*"",A22)-1),IF(ISERROR(FIND(""End panel"",A22))=FALSE,RIGHT(A22,3),IF(OR(ISERROR(FIND(""drawer"",A22))=FALSE,ISERROR(FIND(""door"",A"&amp;"22))=FALSE,ISERROR(FIND(""shelf"",A22))=FALSE,ISERROR(FIND(""panel"",A22))=FALSE,ISERROR(FIND(""Plinth"",A22))=FALSE,ISERROR(FIND(""Cornice"",A22))=FALSE,ISERROR(FIND(""Fillers"",A22))=FALSE,ISERROR(FIND(""Pelmet"",A22))=FALSE,ISERROR(FIND(""Fireplace up "&amp;"to 1600"",A22))=FALSE),RIGHT(A22,LEN(A22)-LEN(regexextract(A22,"".* ""))),IF(ISERROR(FIND(""table"",A22))=FALSE,""560"",IF(ISERROR(FIND(""Office pod"",A22))=FALSE,""1600"",IF(ISERROR(FIND(""Fireplace over 1600"",A22))=FALSE,""2400"",IF(ISERROR(FIND(""Work"&amp;"top"",A22))=FALSE,""650"",""Whoops""))))))))"),"1200")</f>
        <v>1200</v>
      </c>
      <c r="D22" s="161" t="str">
        <f t="shared" si="2"/>
        <v>600</v>
      </c>
      <c r="E22" s="152">
        <f>IF(OR(A22="",AND(ISERROR(FIND("drawer",A22))=FALSE,WardrobeDrawerType="")),"",IF(ISERROR(FIND("door",A22))=FALSE,IF(WardrobeDoorStyle="Flat",((B22/1000)*(C22/1000))*VLOOKUP(WardrobeDoorMaterial,SheetsData,8,0),IF(LEFT(WardrobeDoorStyle,5)="Panel",(((((B22/1000)*2)*0.08)+((((C22/1000)-0.16)*2)*0.08))*VLOOKUP("H/F (22mm)",SheetsData,8,0))+(((B22/1000)-0.14)*((C22/1000)-0.14)*VLOOKUP("H/F (9mm)",SheetsData,8,0)),IF(WardrobeDoorStyle="In-frame flat",((((((B22/1000)*0.019)*0.038)+((((C22-38)/1000)*0.038)*0.038))*2)*VLOOKUP("Tulip (solid m3)",SolidData,4,0))+(((B22-76)/1000)*((C22-38)/1000))*VLOOKUP("H/F (22mm)",SheetsData,8,0),IF(LEFT(WardrobeDoorStyle,14)="In-frame panel",(((((((B22/1000)*0.019)*0.038)+((((C22-38)/1000)*0.038)*0.038))*2)*VLOOKUP("Tulip (solid m3)",SolidData,4,0))+(((((((B22-76)/1000)*2)*0.08)+(((((C22-198)/1000)*2)*0.08)))*VLOOKUP("H/F (22mm)",SheetsData,8,0))+(((B22-216)/1000)*((C22-178)/1000)*VLOOKUP("H/F (9mm)",SheetsData,8,0)))))))),IF(AND(ISERROR(FIND("arcass",A22))=FALSE,ISERROR(FIND("ost corner",A22))=TRUE),IF(AND(VALUE(B22)&lt;1211,VALUE(C22)&lt;1211,VALUE(D22)&lt;606),1*VLOOKUP(WardrobeCarcassMaterial,SheetsData,5,FALSE),IF(AND(VALUE(B22)&lt;2421,VALUE(C22)&lt;2421,VALUE(D22)&lt;606),2*VLOOKUP(WardrobeCarcassMaterial,SheetsData,5,FALSE),IF(AND(VALUE(B22)&lt;2421,VALUE(C22)&lt;1211,VALUE(D22)&lt;1211),3*VLOOKUP(WardrobeCarcassMaterial,SheetsData,5,FALSE),IF(AND(VALUE(B22)&lt;2421,VALUE(C22)&lt;2421,VALUE(D22)&lt;1211),4*VLOOKUP(WardrobeCarcassMaterial,SheetsData,5,FALSE))))),IF(AND(ISERROR(FIND("arcass",A22))=FALSE,ISERROR(FIND("ost corner",A22))=FALSE),IF(AND(VALUE(B22)&lt;1211,VALUE(C22)&lt;1211,VALUE(D22)&lt;606),(1*VLOOKUP(WardrobeCarcassMaterial,SheetsData,5,FALSE))+(VLOOKUP("H/F (22mm)",SheetsData,7,FALSE)*1.44),IF(AND(VALUE(B22)&lt;2421,VALUE(C22)&lt;2421,VALUE(D22)&lt;606),(2*VLOOKUP(WardrobeCarcassMaterial,SheetsData,5,FALSE))+(VLOOKUP("H/F (22mm)",SheetsData,7,FALSE)*1.44),IF(AND(VALUE(B22)&lt;2421,VALUE(C22)&lt;1211,VALUE(D22)&lt;1211),(3*VLOOKUP(WardrobeCarcassMaterial,SheetsData,5,FALSE))+(VLOOKUP("H/F (22mm)",SheetsData,7,FALSE)*1.44),IF(AND(VALUE(B22)&lt;2421,VALUE(C22)&lt;2421,VALUE(D22)&lt;1211),(4*VLOOKUP(WardrobeCarcassMaterial,SheetsData,5,FALSE))+(VLOOKUP("H/F (22mm)",SheetsData,7,FALSE)*1.44))))),IF(ISERROR(FIND("drawer front",A22))=FALSE,((B22/1000)*(C22/1000))*VLOOKUP(WardrobeDoorMaterial,SheetsData,8,0),IF(AND(WardrobeDrawerType="Match carcass",ISERROR(FIND("drawer box",A22))=FALSE),(((((B22/1000)*(C22/1000))+((B22/1000)*(D22/1000)))*2)*VLOOKUP(WardrobeCarcassMaterial,SheetsData,8,0))+(((C22/1000)*(D22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box",A22))=FALSE),(((((B22/1000)*(C22/1000))+((B22/1000)*(D22/1000)))*2)*(16/1000)*VLOOKUP(LEFT(WardrobeCarcassMaterial,FIND(" ",WardrobeCarcassMaterial))&amp;"(solid m3)",SolidData,4,0))+(((C22/1000)*(D22/1000))*VLOOKUP(LEFT(WardrobeCarcassMaterial,FIND("(",WardrobeCarcassMaterial)-1)&amp;IF(OR(ISERROR(FIND("ply",WardrobeCarcassMaterial))=FALSE,ISERROR(FIND("H/F",WardrobeCarcassMaterial))=FALSE),"(9mm)","(10mm)"),SheetsData,8,0)),IF(ISERROR(FIND("shelf",A22))=FALSE,((C22/1000)*(D22/1000))*VLOOKUP(WardrobeCarcassMaterial,SheetsData,7,FALSE),IF(ISERROR(FIND("Office pod",A22))=FALSE,3*VLOOKUP(WardrobeCarcassMaterial,SheetsData,5,0),IF(ISERROR(FIND(" panel",A22))=FALSE,((B22/1000)*(C22/1000))*VLOOKUP(WardrobeDoorMaterial,SheetsData,8,0),IF(ISERROR(FIND("Fillers",A22))=FALSE,(((0.06*(C22/1000))*2)*VLOOKUP("H/F (18mm)",SheetsData,8,0))+(((0.06*(C22/1000))*2)*VLOOKUP("H/F (9mm)",SheetsData,8,0)),IF(ISERROR(FIND("Cornice (stacked)",A22))=FALSE,((0.08*(C22/1000))*2)*VLOOKUP("H/F (22mm)",SheetsData,8,0),IF(OR(ISERROR(FIND("Plinth",A22))=FALSE,ISERROR(FIND("Cornice (flat)",A22))=FALSE),((B22/1000)*(C22/1000))*VLOOKUP("H/F (18mm)",SheetsData,8,0),IF(ISERROR(FIND("Pelmet",A22))=FALSE,((((B22/1000)*(C22/1000))*2)*VLOOKUP("H/F (18mm)",SheetsData,8,0)),IF(ISERROR(FIND("Fireplace",A22))=FALSE,IF(ISERROR(FIND("over 1600",A22))=FALSE,2*VLOOKUP(WardrobeCarcassMaterial,SheetsData,5,FALSE),VLOOKUP(WardrobeCarcassMaterial,SheetsData,5,FALSE)),IF(ISERROR(FIND("table",A22))=FALSE,((B22/1000)*0.6)*VLOOKUP("Birch ply (24mm)",SheetsData,7,FALSE),IF(ISERROR(FIND("Worktop",A22))=FALSE,((B22/1000)*(C22/1000))*VLOOKUP(WardrobeDoorMaterial,SheetsData,7,FALSE),"Check formula")))))))))))))))))</f>
        <v>37.00739049</v>
      </c>
      <c r="F22" s="152">
        <f>IFERROR(__xludf.DUMMYFUNCTION("IF(OR(A22="""",AND(ISERROR(FIND(""drawer box"",A22))=FALSE,WardrobeDrawerType=""Solid dovetail"")),"""",IF(ISERROR(FIND(""bins"",A22))=FALSE,VLOOKUP(""Base carcass 600"",Wardrobes_etcData,6,0),IF(OR(ISERROR(FIND(""larder"",A22))=FALSE,ISERROR(FIND(""unit"&amp;""",A22))=FALSE),VLOOKUP(LEFT(A22,FIND("" "",A22))&amp;""carcass ""&amp;RIGHT(A22,LEN(A22)-len(regexextract(A22,"".* ""))),Wardrobes_etcData,6,0),IF(ISERROR(FIND(""drawer front"",A22))=FALSE,IF(ISERROR(FIND(""veneer"",WardrobeCarcassMaterial))=TRUE,0,(((B22+C22)/1"&amp;"000)*2)*VLOOKUP(""Edge banding (per M)"",SheetsData,5,0)),IF(ISERROR(FIND(""drawer box"",A22))=FALSE,IF(ISERROR(FIND(""veneer"",WardrobeCarcassMaterial))=TRUE,0,(((C22+D22)/1000)*2)*VLOOKUP(""Edge banding (per M)"",SheetsData,5,0)),IF(ISERROR(FIND(""shelf"&amp;""",A22))=FALSE,IF(ISERROR(FIND(""veneer"",WardrobeCarcassMaterial))=TRUE,0,(C22/1000)*VLOOKUP(""Edge banding (per M)"",SheetsData,5,0)),IF(AND(OR(ISERROR(FIND(""arcass"",A22))=FALSE,ISERROR(FIND(""Fireplace"",A22))=FALSE),ISERROR(FIND(""shelf"",A22))=TRUE"&amp;"),IF(ISERROR(FIND(""veneer"",WardrobeCarcassMaterial))=TRUE,0,((2*(B22+C22))/1000)*VLOOKUP(""Edge banding (per M)"",SheetsData,5,0)),IF(ISERROR(FIND(""door"",A22))=TRUE,"""",IF(ISERROR(FIND(""veneer"",WardrobeDoorMaterial))=TRUE,"""",((2*(B22+C22))/1000)*"&amp;"VLOOKUP(""Edge banding (per M)"",SheetsData,5,0))))))))))"),0.0)</f>
        <v>0</v>
      </c>
      <c r="G22" s="153" t="str">
        <f>IF(A22="","",IF(AND(ISERROR(FIND("arcass",A22))=TRUE,ISERROR(FIND("Fireplace",A22))=TRUE),"",IF(VALUE(C22)&lt;606,4*VLOOKUP("Plinth foot (2 Parts 80mm)",FurnitureData,5,FALSE),IF(VALUE(C22)&lt;1211,6*VLOOKUP("Plinth foot (2 Parts 80mm)",FurnitureData,5,FALSE),8*VLOOKUP("Plinth foot (2 Parts 80mm)",FurnitureData,5,FALSE)))))</f>
        <v/>
      </c>
      <c r="H22" s="115" t="str">
        <f>IF(OR(A22="",ISERROR(FIND("door",A22))=TRUE),"",VLOOKUP("Hinges &amp; plates (Hettich thick door)",FurnitureData,5,0)*5)</f>
        <v/>
      </c>
      <c r="I22" s="115" t="str">
        <f>IF(ISERROR(FIND("shelf",A22))=FALSE,(VLOOKUP("Shelf pegs",FurnitureData,5,0)/100)*4,"")</f>
        <v/>
      </c>
      <c r="J22" s="152" t="str">
        <f>IF(OR(ISERROR(FIND("fridge/freezer",A22))=FALSE,ISERROR(FIND("sink",A22))=FALSE,ISERROR(FIND("larder",A22))=FALSE),VLOOKUP("Deep shelf "&amp;C22,Wardrobes_etcData,18,0),IF(OR(ISERROR(FIND("single oven",A22))=FALSE,ISERROR(FIND("Base carcass",A22))=FALSE),2*VLOOKUP("Deep shelf "&amp;C22,Wardrobes_etcData,18,0),IF(AND(ISERROR(FIND("wall carcass",A22))=FALSE,ISERROR(FIND("Boiler",A22))=TRUE),2*VLOOKUP("Shallow shelf "&amp;C22,Wardrobes_etcData,18,0),IF(ISERROR(FIND("double oven",A22))=FALSE,3*VLOOKUP("Deep shelf "&amp;C22,Wardrobes_etcData,18,0),IF(ISERROR(FIND("Tower carcass",A22))=FALSE,6*VLOOKUP("Deep shelf "&amp;C22,Wardrobes_etcData,18,0),"")))))</f>
        <v/>
      </c>
      <c r="K22" s="152">
        <f>IF(ISERROR(FIND("sink",A22))=FALSE,VLOOKUP("Sink liner - Aluminium "&amp;RIGHT(A22,LEN(A22)-22)&amp;"mm",ExceptionalData,5,0),IF(ISERROR(FIND("bins",A22))=FALSE,VLOOKUP("Drawer runners and clip set for bin unit (500) Dynapro",FurnitureData,5,0)+(2*VLOOKUP("Bin (42L Anthracite)",FurnitureData,5,0)),IF(ISERROR(FIND("larder",A22))=FALSE,VLOOKUP("Pull out larder unit 600mm",FurnitureData,5,0),IF(AND(ISERROR(FIND("drawer box",A22))=FALSE,ISERROR(FIND("internal",A22))=TRUE),VLOOKUP("Drawer runners and clip set (550) Dynapro",FurnitureData,5,0),IF(ISERROR(FIND("internal drawer box",A22))=FALSE,VLOOKUP("Drawer runners and clip set (450) Dynapro",FurnitureData,5,0),IF(ISERROR(FIND("table",A22))=FALSE,VLOOKUP("Hairpin Leg (12mm Black "&amp;MID(A22,FIND("(",A22)+1,LEN(A22)-(FIND("(",A22))-1)&amp;"mm)",ExceptionalData,4,FALSE),""))))))</f>
        <v>52.54</v>
      </c>
      <c r="L22" s="152">
        <f t="shared" si="3"/>
        <v>89.54739049</v>
      </c>
      <c r="M22" s="154">
        <f>IF(A22="","",IF(AND(ISERROR(FIND("drawer front",A22))=FALSE,WardrobeDoorStyle="Flat"),(((B22/1000)*(C22/1000))*2)+((((B22+C22)/1000)*2)*0.022),IF(AND(ISERROR(FIND("drawer front",A22))=FALSE,LEFT(WardrobeDoorStyle,5)="Panel"),(((B22/1000)*(C22/1000))*2)+((((B22+C22)/1000)*2)*0.022)+((((C22/1000)-0.16)*0.013)*2)+((((D22/1000)-0.16)*0.013)*2),IF(AND(ISERROR(FIND("drawer front",A22))=FALSE,WardrobeDoorStyle="In-frame flat"),((((B22-76)/1000)*((C22-38)/1000))*2)+(MID(WardrobeDoorMaterial,FIND("(",WardrobeDoorMaterial)+1,2)/1000)*((((B22-76)+(C22-38))/1000)*2)+(((B22/1000)*0.032)*2)+((((B22-76)/1000)*0.032)*2)+(((B22/1000)*0.019)*4)+(((C22/1000)*0.032)*2)+((((C22-38)/1000)*0.032)*2)+(((C22/1000)*0.038)*4),IF(AND(ISERROR(FIND("drawer front",A22))=FALSE,LEFT(WardrobeDoorStyle,14)="In-frame panel"),((((B22-76)/1000)*((C22-38)/1000))*2)+((MID(WardrobeDoorMaterial,FIND("(",WardrobeDoorMaterial)+1,2)/1000)*((((B22-76)+(C22-38))/1000)*2))+((((B22-236)/1000)+((C22-198)/1000)*2)*0.013)+(((B22/1000)*0.032)*2)+((((B22-76)/1000)*0.032)*2)+(((B22/1000)*0.019)*4)+(((C22/1000)*0.032)*2)+((((C22-38)/1000)*0.032)*2)+(((C22/1000)*0.038)*4),IF(ISERROR(FIND("drawer box",A22))=FALSE,((((B22/1000)*(D22/1000))+((B22/1000)*(C22/1000)))*4)+((((D22/1000)+(C22/1000))*0.016)*4)+(((C22/1000)*(D22/1000))*2),IF(OR(ISERROR(FIND("shelf",A22))=FALSE,ISERROR(FIND("Filler panel",A22))=FALSE),(((C22/1000)*(D22/1000))*2)+((((C22+D22)*2)/1000)*0.022),IF(ISERROR(FIND("Fireplace",A22))=FALSE,((B22/1000)*(C22/1000)),IF(ISERROR(FIND("Worktop",A22))=FALSE,(B22/1000)*(C22/1000),IF(ISERROR(FIND("table",A22))=FALSE,(B22/1000)*0.6,IF(ISERROR(FIND("arcass",A22))=FALSE,(((C22/1000)*(D22/1000))*2)+(((B22/1000)*(D22/1000))*2)+((B22/1000)*(C22/1000))+((((B22/1000)*0.025)+((C22/1000)*0.025))*2),IF(AND(ISERROR(FIND("door",A22))=FALSE,WardrobeDoorStyle="Flat"),(((B22/1000)*(C22/1000))*2)+(MID(WardrobeDoorMaterial,FIND("(",WardrobeDoorMaterial)+1,2)/1000)*(((B22+C22)/1000)*2),IF(AND(ISERROR(FIND("door",A22))=FALSE,LEFT(WardrobeDoorStyle,5)="Panel"),(((B22/1000)*(C22/1000))*2)+((MID(WardrobeDoorMaterial,FIND("(",WardrobeDoorMaterial)+1,2)/1000)*(((B22+C22)/1000)*2))+(((((B22-160)+(C22-160))*2)/1000)*(0.013)),IF(AND(ISERROR(FIND("door",A22))=FALSE,WardrobeDoorStyle="In-frame flat"),((((B22-76)/1000)*((C22-38)/1000))*2)+(MID(WardrobeDoorMaterial,FIND("(",WardrobeDoorMaterial)+1,2)/1000)*((((B22-76)+(C22-38))/1000)*2)+(((B22/1000)*0.032)*2)+((((B22-76)/1000)*0.032)*2)+(((B22/1000)*0.019)*4)+(((C22/1000)*0.032)*2)+((((C22-38)/1000)*0.032)*2)+(((C22/1000)*0.038)*4),IF(AND(ISERROR(FIND("door",A22))=FALSE,LEFT(WardrobeDoorStyle,14)="In-frame panel"),((((B22-76)/1000)*((C22-38)/1000))*2)+((MID(WardrobeDoorMaterial,FIND("(",WardrobeDoorMaterial)+1,2)/1000)*((((B22-76)+(C22-38))/1000)*2))+((((B22-236)/1000)+((C22-198)/1000)*2)*0.013)+(((B22/1000)*0.032)*2)+((((B22-76)/1000)*0.032)*2)+(((B22/1000)*0.019)*4)+(((C22/1000)*0.032)*2)+((((C22-38)/1000)*0.032)*2)+(((C22/1000)*0.038)*4),IF(ISERROR(FIND("Plinth",A22))=FALSE,((B22/1000)*(C22/1000))+(((C22/1000)*0.018)*2)+(((B22/1000)*0.018)*2),IF(ISERROR(FIND("Cornice",A22))=FALSE,(((C22/1000)*0.1)*2)+(((C22/1000)*0.044)*2)+(((B22/1000)*0.08)*2),IF(ISERROR(FIND("Office pod",A22))=FALSE,((2400/1000)*(1200/1000))*6,IF(ISERROR(FIND("panel",A22))=FALSE,((B22/1000)*(C22/1000))+(0.022*((B22/1000)+((C22/1000)*2)))+((B22/1000)*0.05),IF(ISERROR(FIND("Fillers",A22))=FALSE,((C22/1000)*0.06)+((C22/1000)*0.069)+((0.06*0.018)*2)+((0.06*0.009)*2)+((C22/1000)*0.009)+((C22/1000)*0.018),IF(ISERROR(FIND("Pelmet",A22))=FALSE,((C22/1000)*0.05)+((C22/1000)*0.068)+((0.05*0.018)*4)+(((C22/1000)*0.018))*2)))))))))))))))))))))</f>
        <v>2.8512</v>
      </c>
      <c r="N22" s="152">
        <f>IF(M22="","",IF(AND(ISERROR(FIND("carcass",A22))=TRUE,ISERROR(FIND("unit",A22))=TRUE,ISERROR(FIND("insert",A22))=TRUE,ISERROR(FIND("rack",A22))=TRUE,ISERROR(FIND("box",A22))=TRUE,ISERROR(FIND("shelf",A22))=TRUE),VLOOKUP(WardrobeDoorFinish,Finishing!$A$2:$K$10,9,0)*M22,IF(ISERROR(FIND("table",A22))=FALSE,VLOOKUP("Sayerlack AF0072 Interior Clear Self-Sealer",FinishingData,9,FALSE)*M22,VLOOKUP(WardrobeCarcassFinish,Finishing!$A$2:$K$40,9,0)*M22)))</f>
        <v>10.692</v>
      </c>
      <c r="O22" s="155">
        <v>3.5</v>
      </c>
      <c r="P22" s="155">
        <v>1.0</v>
      </c>
      <c r="Q22" s="152">
        <f>IF(OR(O22="",P22=""),"",((O22*X22)*(VLOOKUP("Workshop",Labour!$A$3:$E$20,4,0)/8))+((P22*AE22)*(VLOOKUP("Finishing",Labour!$A$3:$E$20,4,0)/8)))</f>
        <v>181.125</v>
      </c>
      <c r="R22" s="152">
        <f t="shared" si="4"/>
        <v>281.3643905</v>
      </c>
      <c r="S22" s="156">
        <f>IF(OR(O22="",P22=""),"",IF(OR(ISERROR(FIND("carcass",$A22))=FALSE,ISERROR(FIND("unit",$A22))=FALSE),VLOOKUP(WardrobeCarcassMaterial,FixedListsCarcassMaterial,2,0),0))</f>
        <v>0</v>
      </c>
      <c r="T22" s="156">
        <f>IF(OR(O22="",P22=""),"",IF(ISERROR(FIND("door",$A22))=FALSE,VLOOKUP(WardrobeDoorStyle,FixedListsDoorStyle,2,0),0))</f>
        <v>0</v>
      </c>
      <c r="U22" s="156">
        <f>IF(OR(O22="",P22=""),"",IF(ISERROR(FIND("door",$A22))=FALSE,VLOOKUP(WardrobeDoorMaterial,FixedListsDoorMaterial,2,0),0))</f>
        <v>0</v>
      </c>
      <c r="V22" s="156">
        <f>IF(OR(O22="",P22=""),"",IF(ISERROR(FIND("drawer",$A22))=FALSE,VLOOKUP(WardrobeDrawerType,FixedListsDrawerType,2,0),0))</f>
        <v>1</v>
      </c>
      <c r="W22" s="156">
        <f>IF(OR(O22="",P22=""),"",IF(S22&gt;0,VLOOKUP(WardrobeHandleType,FixedListsHandleType,2,FALSE),0))</f>
        <v>0</v>
      </c>
      <c r="X22" s="156">
        <f t="shared" si="5"/>
        <v>1</v>
      </c>
      <c r="Y22" s="156">
        <f>IF(OR(O22="",P22=""),"",IF(OR(ISERROR(FIND("carcass",$A22))=FALSE,ISERROR(FIND("unit",$A22))=FALSE),VLOOKUP(WardrobeCarcassMaterial,FixedListsCarcassMaterial,3,0),0))</f>
        <v>0</v>
      </c>
      <c r="Z22" s="156">
        <f>IF(OR(O22="",P22=""),"",IF(ISERROR(FIND("door",$A22))=FALSE,VLOOKUP(WardrobeDoorStyle,FixedListsDoorStyle,3,0),0))</f>
        <v>0</v>
      </c>
      <c r="AA22" s="156">
        <f>IF(OR(O22="",P22=""),"",IF(ISERROR(FIND("door",$A22))=FALSE,VLOOKUP(WardrobeDoorMaterial,FixedListsDoorMaterial,3,0),0))</f>
        <v>0</v>
      </c>
      <c r="AB22" s="156">
        <f>IF(OR(O22="",P22=""),"",IF(ISERROR(FIND("drawer",$A22))=FALSE,VLOOKUP(WardrobeDrawerType,FixedListsDrawerType,3,0),0))</f>
        <v>1</v>
      </c>
      <c r="AC22" s="156">
        <f>IF(OR(O22="",P22=""),"",IF(S22&gt;0,VLOOKUP(WardrobeHandleType,FixedListsHandleType,3,FALSE),0))</f>
        <v>0</v>
      </c>
      <c r="AD22" s="156">
        <f>IF(OR(O22="",P22=""),"",IF(OR(ISERROR(FIND("carcass",$A22))=FALSE,ISERROR(FIND("unit",$A22))=FALSE),VLOOKUP(WardrobeCarcassFinish,FixedListsFinishes,3,0),IF(OR(ISERROR(FIND("door",$A22))=FALSE,ISERROR(FIND("Plinth",$A22))=FALSE,ISERROR(FIND("Cornice",$A22))=FALSE,ISERROR(FIND("Fillers",$A22))=FALSE,ISERROR(FIND("Pelmet",$A22))=FALSE,ISERROR(FIND("panel",$A22))=FALSE,ISERROR(FIND("post",$A22))=FALSE),VLOOKUP(WardrobeDoorFinish,FixedListsFinishes,3,0),IF(OR(ISERROR(FIND("drawer",$A22))=FALSE,ISERROR(FIND("insert",$A22))=FALSE,ISERROR(FIND("rck",$A22))=FALSE),VLOOKUP(WardrobeCarcassFinish,FixedListsFinishes,3,0),0))))</f>
        <v>1</v>
      </c>
      <c r="AE22" s="156">
        <f t="shared" si="6"/>
        <v>1</v>
      </c>
      <c r="AF22" s="157" t="str">
        <f>IF(AND(WardrobeHandleType="Channel",OR(ISERROR(FIND("arcass",$A22))=FALSE,ISERROR(FIND("unit",$A22))=FALSE)),IF(ISERROR(FIND("Tower",$A22))=TRUE,IF(WardrobeHandleFinish="Match carcass",IF(ISERROR(FIND("Walnut",WardrobeCarcassMaterial))=FALSE,(0.035*0.075*($C22/1000))*VLOOKUP("Walnut (solid m3)",SolidData,4,FALSE),IF(ISERROR(FIND("Oak",WardrobeCarcassMaterial))=FALSE,(0.035*0.075*($C22/1000))*VLOOKUP("Oak (solid m3)",SolidData,4,FALSE),IF(ISERROR(FIND("ply",WardrobeCarcassMaterial))=FALSE,(0.1*($C22/1000))*VLOOKUP("Birch ply (24mm)",SheetsData,7,FALSE),IF(ISERROR(FIND("H/F",WardrobeCarcassMaterial))=FALSE,(0.1*($C22/1000))*VLOOKUP("H/F (22mm)",SheetsData,7,FALSE),"Carcass - not tower - new material")))),IF(WardrobeHandleFinish="Match door",IF(ISERROR(FIND("Walnut",WardrobeDoorMaterial))=FALSE,(0.035*0.075*($C22/1000))*VLOOKUP("Walnut (solid m3)",SolidData,4,FALSE),IF(ISERROR(FIND("Oak",WardrobeDoorMaterial))=FALSE,(0.035*0.075*($C22/1000))*VLOOKUP("Oak (solid m3)",SolidData,4,FALSE),IF(ISERROR(FIND("ply",WardrobeDoorMaterial))=FALSE,(0.1*($C22/1000))*VLOOKUP("Birch ply (24mm)",SheetsData,7,FALSE),IF(ISERROR(FIND("H/F",WardrobeCarcassMaterial))=FALSE,(0.1*($C22/1000))*VLOOKUP("H/F (22mm)",SheetsData,7,FALSE),"Door - not tower - new material")))),"Channel - not tower - handle set to other")),IF(ISERROR(FIND("Tower",$A22))=FALSE,IF(WardrobeHandleFinish="Match carcass",IF(ISERROR(FIND("Walnut",WardrobeCarcassMaterial))=FALSE,(0.035*0.075*($B22/1000))*VLOOKUP("Walnut (solid m3)",SolidData,4,FALSE),IF(ISERROR(FIND("Oak",WardrobeCarcassMaterial))=FALSE,(0.035*0.075*($B22/1000))*VLOOKUP("Oak (solid m3)",SolidData,4,FALSE),IF(ISERROR(FIND("ply",WardrobeCarcassMaterial))=FALSE,(0.1*($B22/1000))*VLOOKUP("Birch ply (24mm)",SheetsData,7,FALSE),IF(ISERROR(FIND("H/F",WardrobeCarcassMaterial))=FALSE,(0.1*($C22/1000))*VLOOKUP("H/F (22mm)",SheetsData,7,FALSE),"Carcass - tower - new material")))),IF(WardrobeHandleFinish="Match door",IF(ISERROR(FIND("Walnut",WardrobeDoorMaterial))=FALSE,(0.035*0.075*($B22/1000))*VLOOKUP("Walnut (solid m3)",SolidData,4,FALSE),IF(ISERROR(FIND("Oak",WardrobeDoorMaterial))=FALSE,(0.035*0.075*($B22/1000))*VLOOKUP("Oak (solid m3)",SolidData,4,FALSE),IF(ISERROR(FIND("ply",WardrobeDoorMaterial))=FALSE,(0.1*($B22/1000))*VLOOKUP("Birch ply (24mm)",SheetData,7,FALSE),IF(ISERROR(FIND("H/F",WardrobeCarcassMaterial))=FALSE,(0.1*($C22/1000))*VLOOKUP("H/F (22mm)",SheetsData,7,FALSE),"Door - tower - new material")))),"Channel - tower - handle set to other")))),"")</f>
        <v/>
      </c>
    </row>
    <row r="23">
      <c r="A23" s="150" t="s">
        <v>231</v>
      </c>
      <c r="B23" s="160" t="str">
        <f t="shared" si="1"/>
        <v>300</v>
      </c>
      <c r="C23" s="160" t="str">
        <f>IFERROR(__xludf.DUMMYFUNCTION("IF(A23="""","""",IF(ISERROR(FIND(""arcass"",A23))=FALSE,MID(A23,FIND(""*"",A23)+1,FIND(""*"",A23,FIND(""*"",A23)+1)-FIND(""*"",A23)-1),IF(ISERROR(FIND(""End panel"",A23))=FALSE,RIGHT(A23,3),IF(OR(ISERROR(FIND(""drawer"",A23))=FALSE,ISERROR(FIND(""door"",A"&amp;"23))=FALSE,ISERROR(FIND(""shelf"",A23))=FALSE,ISERROR(FIND(""panel"",A23))=FALSE,ISERROR(FIND(""Plinth"",A23))=FALSE,ISERROR(FIND(""Cornice"",A23))=FALSE,ISERROR(FIND(""Fillers"",A23))=FALSE,ISERROR(FIND(""Pelmet"",A23))=FALSE,ISERROR(FIND(""Fireplace up "&amp;"to 1600"",A23))=FALSE),RIGHT(A23,LEN(A23)-LEN(regexextract(A23,"".* ""))),IF(ISERROR(FIND(""table"",A23))=FALSE,""560"",IF(ISERROR(FIND(""Office pod"",A23))=FALSE,""1600"",IF(ISERROR(FIND(""Fireplace over 1600"",A23))=FALSE,""2400"",IF(ISERROR(FIND(""Work"&amp;"top"",A23))=FALSE,""650"",""Whoops""))))))))"),"600")</f>
        <v>600</v>
      </c>
      <c r="D23" s="161" t="str">
        <f t="shared" si="2"/>
        <v>600</v>
      </c>
      <c r="E23" s="152">
        <f>IF(OR(A23="",AND(ISERROR(FIND("drawer",A23))=FALSE,WardrobeDrawerType="")),"",IF(ISERROR(FIND("door",A23))=FALSE,IF(WardrobeDoorStyle="Flat",((B23/1000)*(C23/1000))*VLOOKUP(WardrobeDoorMaterial,SheetsData,8,0),IF(LEFT(WardrobeDoorStyle,5)="Panel",(((((B23/1000)*2)*0.08)+((((C23/1000)-0.16)*2)*0.08))*VLOOKUP("H/F (22mm)",SheetsData,8,0))+(((B23/1000)-0.14)*((C23/1000)-0.14)*VLOOKUP("H/F (9mm)",SheetsData,8,0)),IF(WardrobeDoorStyle="In-frame flat",((((((B23/1000)*0.019)*0.038)+((((C23-38)/1000)*0.038)*0.038))*2)*VLOOKUP("Tulip (solid m3)",SolidData,4,0))+(((B23-76)/1000)*((C23-38)/1000))*VLOOKUP("H/F (22mm)",SheetsData,8,0),IF(LEFT(WardrobeDoorStyle,14)="In-frame panel",(((((((B23/1000)*0.019)*0.038)+((((C23-38)/1000)*0.038)*0.038))*2)*VLOOKUP("Tulip (solid m3)",SolidData,4,0))+(((((((B23-76)/1000)*2)*0.08)+(((((C23-198)/1000)*2)*0.08)))*VLOOKUP("H/F (22mm)",SheetsData,8,0))+(((B23-216)/1000)*((C23-178)/1000)*VLOOKUP("H/F (9mm)",SheetsData,8,0)))))))),IF(AND(ISERROR(FIND("arcass",A23))=FALSE,ISERROR(FIND("ost corner",A23))=TRUE),IF(AND(VALUE(B23)&lt;1211,VALUE(C23)&lt;1211,VALUE(D23)&lt;606),1*VLOOKUP(WardrobeCarcassMaterial,SheetsData,5,FALSE),IF(AND(VALUE(B23)&lt;2421,VALUE(C23)&lt;2421,VALUE(D23)&lt;606),2*VLOOKUP(WardrobeCarcassMaterial,SheetsData,5,FALSE),IF(AND(VALUE(B23)&lt;2421,VALUE(C23)&lt;1211,VALUE(D23)&lt;1211),3*VLOOKUP(WardrobeCarcassMaterial,SheetsData,5,FALSE),IF(AND(VALUE(B23)&lt;2421,VALUE(C23)&lt;2421,VALUE(D23)&lt;1211),4*VLOOKUP(WardrobeCarcassMaterial,SheetsData,5,FALSE))))),IF(AND(ISERROR(FIND("arcass",A23))=FALSE,ISERROR(FIND("ost corner",A23))=FALSE),IF(AND(VALUE(B23)&lt;1211,VALUE(C23)&lt;1211,VALUE(D23)&lt;606),(1*VLOOKUP(WardrobeCarcassMaterial,SheetsData,5,FALSE))+(VLOOKUP("H/F (22mm)",SheetsData,7,FALSE)*1.44),IF(AND(VALUE(B23)&lt;2421,VALUE(C23)&lt;2421,VALUE(D23)&lt;606),(2*VLOOKUP(WardrobeCarcassMaterial,SheetsData,5,FALSE))+(VLOOKUP("H/F (22mm)",SheetsData,7,FALSE)*1.44),IF(AND(VALUE(B23)&lt;2421,VALUE(C23)&lt;1211,VALUE(D23)&lt;1211),(3*VLOOKUP(WardrobeCarcassMaterial,SheetsData,5,FALSE))+(VLOOKUP("H/F (22mm)",SheetsData,7,FALSE)*1.44),IF(AND(VALUE(B23)&lt;2421,VALUE(C23)&lt;2421,VALUE(D23)&lt;1211),(4*VLOOKUP(WardrobeCarcassMaterial,SheetsData,5,FALSE))+(VLOOKUP("H/F (22mm)",SheetsData,7,FALSE)*1.44))))),IF(ISERROR(FIND("drawer front",A23))=FALSE,((B23/1000)*(C23/1000))*VLOOKUP(WardrobeDoorMaterial,SheetsData,8,0),IF(AND(WardrobeDrawerType="Match carcass",ISERROR(FIND("drawer box",A23))=FALSE),(((((B23/1000)*(C23/1000))+((B23/1000)*(D23/1000)))*2)*VLOOKUP(WardrobeCarcassMaterial,SheetsData,8,0))+(((C23/1000)*(D23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box",A23))=FALSE),(((((B23/1000)*(C23/1000))+((B23/1000)*(D23/1000)))*2)*(16/1000)*VLOOKUP(LEFT(WardrobeCarcassMaterial,FIND(" ",WardrobeCarcassMaterial))&amp;"(solid m3)",SolidData,4,0))+(((C23/1000)*(D23/1000))*VLOOKUP(LEFT(WardrobeCarcassMaterial,FIND("(",WardrobeCarcassMaterial)-1)&amp;IF(OR(ISERROR(FIND("ply",WardrobeCarcassMaterial))=FALSE,ISERROR(FIND("H/F",WardrobeCarcassMaterial))=FALSE),"(9mm)","(10mm)"),SheetsData,8,0)),IF(ISERROR(FIND("shelf",A23))=FALSE,((C23/1000)*(D23/1000))*VLOOKUP(WardrobeCarcassMaterial,SheetsData,7,FALSE),IF(ISERROR(FIND("Office pod",A23))=FALSE,3*VLOOKUP(WardrobeCarcassMaterial,SheetsData,5,0),IF(ISERROR(FIND(" panel",A23))=FALSE,((B23/1000)*(C23/1000))*VLOOKUP(WardrobeDoorMaterial,SheetsData,8,0),IF(ISERROR(FIND("Fillers",A23))=FALSE,(((0.06*(C23/1000))*2)*VLOOKUP("H/F (18mm)",SheetsData,8,0))+(((0.06*(C23/1000))*2)*VLOOKUP("H/F (9mm)",SheetsData,8,0)),IF(ISERROR(FIND("Cornice (stacked)",A23))=FALSE,((0.08*(C23/1000))*2)*VLOOKUP("H/F (22mm)",SheetsData,8,0),IF(OR(ISERROR(FIND("Plinth",A23))=FALSE,ISERROR(FIND("Cornice (flat)",A23))=FALSE),((B23/1000)*(C23/1000))*VLOOKUP("H/F (18mm)",SheetsData,8,0),IF(ISERROR(FIND("Pelmet",A23))=FALSE,((((B23/1000)*(C23/1000))*2)*VLOOKUP("H/F (18mm)",SheetsData,8,0)),IF(ISERROR(FIND("Fireplace",A23))=FALSE,IF(ISERROR(FIND("over 1600",A23))=FALSE,2*VLOOKUP(WardrobeCarcassMaterial,SheetsData,5,FALSE),VLOOKUP(WardrobeCarcassMaterial,SheetsData,5,FALSE)),IF(ISERROR(FIND("table",A23))=FALSE,((B23/1000)*0.6)*VLOOKUP("Birch ply (24mm)",SheetsData,7,FALSE),IF(ISERROR(FIND("Worktop",A23))=FALSE,((B23/1000)*(C23/1000))*VLOOKUP(WardrobeDoorMaterial,SheetsData,7,FALSE),"Check formula")))))))))))))))))</f>
        <v>31.66689062</v>
      </c>
      <c r="F23" s="152">
        <f>IFERROR(__xludf.DUMMYFUNCTION("IF(OR(A23="""",AND(ISERROR(FIND(""drawer box"",A23))=FALSE,WardrobeDrawerType=""Solid dovetail"")),"""",IF(ISERROR(FIND(""bins"",A23))=FALSE,VLOOKUP(""Base carcass 600"",Wardrobes_etcData,6,0),IF(OR(ISERROR(FIND(""larder"",A23))=FALSE,ISERROR(FIND(""unit"&amp;""",A23))=FALSE),VLOOKUP(LEFT(A23,FIND("" "",A23))&amp;""carcass ""&amp;RIGHT(A23,LEN(A23)-len(regexextract(A23,"".* ""))),Wardrobes_etcData,6,0),IF(ISERROR(FIND(""drawer front"",A23))=FALSE,IF(ISERROR(FIND(""veneer"",WardrobeCarcassMaterial))=TRUE,0,(((B23+C23)/1"&amp;"000)*2)*VLOOKUP(""Edge banding (per M)"",SheetsData,5,0)),IF(ISERROR(FIND(""drawer box"",A23))=FALSE,IF(ISERROR(FIND(""veneer"",WardrobeCarcassMaterial))=TRUE,0,(((C23+D23)/1000)*2)*VLOOKUP(""Edge banding (per M)"",SheetsData,5,0)),IF(ISERROR(FIND(""shelf"&amp;""",A23))=FALSE,IF(ISERROR(FIND(""veneer"",WardrobeCarcassMaterial))=TRUE,0,(C23/1000)*VLOOKUP(""Edge banding (per M)"",SheetsData,5,0)),IF(AND(OR(ISERROR(FIND(""arcass"",A23))=FALSE,ISERROR(FIND(""Fireplace"",A23))=FALSE),ISERROR(FIND(""shelf"",A23))=TRUE"&amp;"),IF(ISERROR(FIND(""veneer"",WardrobeCarcassMaterial))=TRUE,0,((2*(B23+C23))/1000)*VLOOKUP(""Edge banding (per M)"",SheetsData,5,0)),IF(ISERROR(FIND(""door"",A23))=TRUE,"""",IF(ISERROR(FIND(""veneer"",WardrobeDoorMaterial))=TRUE,"""",((2*(B23+C23))/1000)*"&amp;"VLOOKUP(""Edge banding (per M)"",SheetsData,5,0))))))))))"),0.0)</f>
        <v>0</v>
      </c>
      <c r="G23" s="153" t="str">
        <f>IF(A23="","",IF(AND(ISERROR(FIND("arcass",A23))=TRUE,ISERROR(FIND("Fireplace",A23))=TRUE),"",IF(VALUE(C23)&lt;606,4*VLOOKUP("Plinth foot (2 Parts 80mm)",FurnitureData,5,FALSE),IF(VALUE(C23)&lt;1211,6*VLOOKUP("Plinth foot (2 Parts 80mm)",FurnitureData,5,FALSE),8*VLOOKUP("Plinth foot (2 Parts 80mm)",FurnitureData,5,FALSE)))))</f>
        <v/>
      </c>
      <c r="H23" s="115" t="str">
        <f>IF(OR(A23="",ISERROR(FIND("door",A23))=TRUE),"",VLOOKUP("Hinges &amp; plates (Hettich thick door)",FurnitureData,5,0)*5)</f>
        <v/>
      </c>
      <c r="I23" s="115" t="str">
        <f>IF(ISERROR(FIND("shelf",A23))=FALSE,(VLOOKUP("Shelf pegs",FurnitureData,5,0)/100)*4,"")</f>
        <v/>
      </c>
      <c r="J23" s="152" t="str">
        <f>IF(OR(ISERROR(FIND("fridge/freezer",A23))=FALSE,ISERROR(FIND("sink",A23))=FALSE,ISERROR(FIND("larder",A23))=FALSE),VLOOKUP("Deep shelf "&amp;C23,Wardrobes_etcData,18,0),IF(OR(ISERROR(FIND("single oven",A23))=FALSE,ISERROR(FIND("Base carcass",A23))=FALSE),2*VLOOKUP("Deep shelf "&amp;C23,Wardrobes_etcData,18,0),IF(AND(ISERROR(FIND("wall carcass",A23))=FALSE,ISERROR(FIND("Boiler",A23))=TRUE),2*VLOOKUP("Shallow shelf "&amp;C23,Wardrobes_etcData,18,0),IF(ISERROR(FIND("double oven",A23))=FALSE,3*VLOOKUP("Deep shelf "&amp;C23,Wardrobes_etcData,18,0),IF(ISERROR(FIND("Tower carcass",A23))=FALSE,6*VLOOKUP("Deep shelf "&amp;C23,Wardrobes_etcData,18,0),"")))))</f>
        <v/>
      </c>
      <c r="K23" s="152">
        <f>IF(ISERROR(FIND("sink",A23))=FALSE,VLOOKUP("Sink liner - Aluminium "&amp;RIGHT(A23,LEN(A23)-22)&amp;"mm",ExceptionalData,5,0),IF(ISERROR(FIND("bins",A23))=FALSE,VLOOKUP("Drawer runners and clip set for bin unit (500) Dynapro",FurnitureData,5,0)+(2*VLOOKUP("Bin (42L Anthracite)",FurnitureData,5,0)),IF(ISERROR(FIND("larder",A23))=FALSE,VLOOKUP("Pull out larder unit 600mm",FurnitureData,5,0),IF(AND(ISERROR(FIND("drawer box",A23))=FALSE,ISERROR(FIND("internal",A23))=TRUE),VLOOKUP("Drawer runners and clip set (550) Dynapro",FurnitureData,5,0),IF(ISERROR(FIND("internal drawer box",A23))=FALSE,VLOOKUP("Drawer runners and clip set (450) Dynapro",FurnitureData,5,0),IF(ISERROR(FIND("table",A23))=FALSE,VLOOKUP("Hairpin Leg (12mm Black "&amp;MID(A23,FIND("(",A23)+1,LEN(A23)-(FIND("(",A23))-1)&amp;"mm)",ExceptionalData,4,FALSE),""))))))</f>
        <v>52.54</v>
      </c>
      <c r="L23" s="152">
        <f t="shared" si="3"/>
        <v>84.20689062</v>
      </c>
      <c r="M23" s="154">
        <f>IF(A23="","",IF(AND(ISERROR(FIND("drawer front",A23))=FALSE,WardrobeDoorStyle="Flat"),(((B23/1000)*(C23/1000))*2)+((((B23+C23)/1000)*2)*0.022),IF(AND(ISERROR(FIND("drawer front",A23))=FALSE,LEFT(WardrobeDoorStyle,5)="Panel"),(((B23/1000)*(C23/1000))*2)+((((B23+C23)/1000)*2)*0.022)+((((C23/1000)-0.16)*0.013)*2)+((((D23/1000)-0.16)*0.013)*2),IF(AND(ISERROR(FIND("drawer front",A23))=FALSE,WardrobeDoorStyle="In-frame flat"),((((B23-76)/1000)*((C23-38)/1000))*2)+(MID(WardrobeDoorMaterial,FIND("(",WardrobeDoorMaterial)+1,2)/1000)*((((B23-76)+(C23-38))/1000)*2)+(((B23/1000)*0.032)*2)+((((B23-76)/1000)*0.032)*2)+(((B23/1000)*0.019)*4)+(((C23/1000)*0.032)*2)+((((C23-38)/1000)*0.032)*2)+(((C23/1000)*0.038)*4),IF(AND(ISERROR(FIND("drawer front",A23))=FALSE,LEFT(WardrobeDoorStyle,14)="In-frame panel"),((((B23-76)/1000)*((C23-38)/1000))*2)+((MID(WardrobeDoorMaterial,FIND("(",WardrobeDoorMaterial)+1,2)/1000)*((((B23-76)+(C23-38))/1000)*2))+((((B23-236)/1000)+((C23-198)/1000)*2)*0.013)+(((B23/1000)*0.032)*2)+((((B23-76)/1000)*0.032)*2)+(((B23/1000)*0.019)*4)+(((C23/1000)*0.032)*2)+((((C23-38)/1000)*0.032)*2)+(((C23/1000)*0.038)*4),IF(ISERROR(FIND("drawer box",A23))=FALSE,((((B23/1000)*(D23/1000))+((B23/1000)*(C23/1000)))*4)+((((D23/1000)+(C23/1000))*0.016)*4)+(((C23/1000)*(D23/1000))*2),IF(OR(ISERROR(FIND("shelf",A23))=FALSE,ISERROR(FIND("Filler panel",A23))=FALSE),(((C23/1000)*(D23/1000))*2)+((((C23+D23)*2)/1000)*0.022),IF(ISERROR(FIND("Fireplace",A23))=FALSE,((B23/1000)*(C23/1000)),IF(ISERROR(FIND("Worktop",A23))=FALSE,(B23/1000)*(C23/1000),IF(ISERROR(FIND("table",A23))=FALSE,(B23/1000)*0.6,IF(ISERROR(FIND("arcass",A23))=FALSE,(((C23/1000)*(D23/1000))*2)+(((B23/1000)*(D23/1000))*2)+((B23/1000)*(C23/1000))+((((B23/1000)*0.025)+((C23/1000)*0.025))*2),IF(AND(ISERROR(FIND("door",A23))=FALSE,WardrobeDoorStyle="Flat"),(((B23/1000)*(C23/1000))*2)+(MID(WardrobeDoorMaterial,FIND("(",WardrobeDoorMaterial)+1,2)/1000)*(((B23+C23)/1000)*2),IF(AND(ISERROR(FIND("door",A23))=FALSE,LEFT(WardrobeDoorStyle,5)="Panel"),(((B23/1000)*(C23/1000))*2)+((MID(WardrobeDoorMaterial,FIND("(",WardrobeDoorMaterial)+1,2)/1000)*(((B23+C23)/1000)*2))+(((((B23-160)+(C23-160))*2)/1000)*(0.013)),IF(AND(ISERROR(FIND("door",A23))=FALSE,WardrobeDoorStyle="In-frame flat"),((((B23-76)/1000)*((C23-38)/1000))*2)+(MID(WardrobeDoorMaterial,FIND("(",WardrobeDoorMaterial)+1,2)/1000)*((((B23-76)+(C23-38))/1000)*2)+(((B23/1000)*0.032)*2)+((((B23-76)/1000)*0.032)*2)+(((B23/1000)*0.019)*4)+(((C23/1000)*0.032)*2)+((((C23-38)/1000)*0.032)*2)+(((C23/1000)*0.038)*4),IF(AND(ISERROR(FIND("door",A23))=FALSE,LEFT(WardrobeDoorStyle,14)="In-frame panel"),((((B23-76)/1000)*((C23-38)/1000))*2)+((MID(WardrobeDoorMaterial,FIND("(",WardrobeDoorMaterial)+1,2)/1000)*((((B23-76)+(C23-38))/1000)*2))+((((B23-236)/1000)+((C23-198)/1000)*2)*0.013)+(((B23/1000)*0.032)*2)+((((B23-76)/1000)*0.032)*2)+(((B23/1000)*0.019)*4)+(((C23/1000)*0.032)*2)+((((C23-38)/1000)*0.032)*2)+(((C23/1000)*0.038)*4),IF(ISERROR(FIND("Plinth",A23))=FALSE,((B23/1000)*(C23/1000))+(((C23/1000)*0.018)*2)+(((B23/1000)*0.018)*2),IF(ISERROR(FIND("Cornice",A23))=FALSE,(((C23/1000)*0.1)*2)+(((C23/1000)*0.044)*2)+(((B23/1000)*0.08)*2),IF(ISERROR(FIND("Office pod",A23))=FALSE,((2400/1000)*(1200/1000))*6,IF(ISERROR(FIND("panel",A23))=FALSE,((B23/1000)*(C23/1000))+(0.022*((B23/1000)+((C23/1000)*2)))+((B23/1000)*0.05),IF(ISERROR(FIND("Fillers",A23))=FALSE,((C23/1000)*0.06)+((C23/1000)*0.069)+((0.06*0.018)*2)+((0.06*0.009)*2)+((C23/1000)*0.009)+((C23/1000)*0.018),IF(ISERROR(FIND("Pelmet",A23))=FALSE,((C23/1000)*0.05)+((C23/1000)*0.068)+((0.05*0.018)*4)+(((C23/1000)*0.018))*2)))))))))))))))))))))</f>
        <v>2.2368</v>
      </c>
      <c r="N23" s="152">
        <f>IF(M23="","",IF(AND(ISERROR(FIND("carcass",A23))=TRUE,ISERROR(FIND("unit",A23))=TRUE,ISERROR(FIND("insert",A23))=TRUE,ISERROR(FIND("rack",A23))=TRUE,ISERROR(FIND("box",A23))=TRUE,ISERROR(FIND("shelf",A23))=TRUE),VLOOKUP(WardrobeDoorFinish,Finishing!$A$2:$K$10,9,0)*M23,IF(ISERROR(FIND("table",A23))=FALSE,VLOOKUP("Sayerlack AF0072 Interior Clear Self-Sealer",FinishingData,9,FALSE)*M23,VLOOKUP(WardrobeCarcassFinish,Finishing!$A$2:$K$40,9,0)*M23)))</f>
        <v>8.388</v>
      </c>
      <c r="O23" s="155">
        <v>2.5</v>
      </c>
      <c r="P23" s="155">
        <v>1.0</v>
      </c>
      <c r="Q23" s="152">
        <f>IF(OR(O23="",P23=""),"",((O23*X23)*(VLOOKUP("Workshop",Labour!$A$3:$E$20,4,0)/8))+((P23*AE23)*(VLOOKUP("Finishing",Labour!$A$3:$E$20,4,0)/8)))</f>
        <v>137.375</v>
      </c>
      <c r="R23" s="152">
        <f t="shared" si="4"/>
        <v>229.9698906</v>
      </c>
      <c r="S23" s="156">
        <f>IF(OR(O23="",P23=""),"",IF(OR(ISERROR(FIND("carcass",$A23))=FALSE,ISERROR(FIND("unit",$A23))=FALSE),VLOOKUP(WardrobeCarcassMaterial,FixedListsCarcassMaterial,2,0),0))</f>
        <v>0</v>
      </c>
      <c r="T23" s="156">
        <f>IF(OR(O23="",P23=""),"",IF(ISERROR(FIND("door",$A23))=FALSE,VLOOKUP(WardrobeDoorStyle,FixedListsDoorStyle,2,0),0))</f>
        <v>0</v>
      </c>
      <c r="U23" s="156">
        <f>IF(OR(O23="",P23=""),"",IF(ISERROR(FIND("door",$A23))=FALSE,VLOOKUP(WardrobeDoorMaterial,FixedListsDoorMaterial,2,0),0))</f>
        <v>0</v>
      </c>
      <c r="V23" s="156">
        <f>IF(OR(O23="",P23=""),"",IF(ISERROR(FIND("drawer",$A23))=FALSE,VLOOKUP(WardrobeDrawerType,FixedListsDrawerType,2,0),0))</f>
        <v>1</v>
      </c>
      <c r="W23" s="156">
        <f>IF(OR(O23="",P23=""),"",IF(S23&gt;0,VLOOKUP(WardrobeHandleType,FixedListsHandleType,2,FALSE),0))</f>
        <v>0</v>
      </c>
      <c r="X23" s="156">
        <f t="shared" si="5"/>
        <v>1</v>
      </c>
      <c r="Y23" s="156">
        <f>IF(OR(O23="",P23=""),"",IF(OR(ISERROR(FIND("carcass",$A23))=FALSE,ISERROR(FIND("unit",$A23))=FALSE),VLOOKUP(WardrobeCarcassMaterial,FixedListsCarcassMaterial,3,0),0))</f>
        <v>0</v>
      </c>
      <c r="Z23" s="156">
        <f>IF(OR(O23="",P23=""),"",IF(ISERROR(FIND("door",$A23))=FALSE,VLOOKUP(WardrobeDoorStyle,FixedListsDoorStyle,3,0),0))</f>
        <v>0</v>
      </c>
      <c r="AA23" s="156">
        <f>IF(OR(O23="",P23=""),"",IF(ISERROR(FIND("door",$A23))=FALSE,VLOOKUP(WardrobeDoorMaterial,FixedListsDoorMaterial,3,0),0))</f>
        <v>0</v>
      </c>
      <c r="AB23" s="156">
        <f>IF(OR(O23="",P23=""),"",IF(ISERROR(FIND("drawer",$A23))=FALSE,VLOOKUP(WardrobeDrawerType,FixedListsDrawerType,3,0),0))</f>
        <v>1</v>
      </c>
      <c r="AC23" s="156">
        <f>IF(OR(O23="",P23=""),"",IF(S23&gt;0,VLOOKUP(WardrobeHandleType,FixedListsHandleType,3,FALSE),0))</f>
        <v>0</v>
      </c>
      <c r="AD23" s="156">
        <f>IF(OR(O23="",P23=""),"",IF(OR(ISERROR(FIND("carcass",$A23))=FALSE,ISERROR(FIND("unit",$A23))=FALSE),VLOOKUP(WardrobeCarcassFinish,FixedListsFinishes,3,0),IF(OR(ISERROR(FIND("door",$A23))=FALSE,ISERROR(FIND("Plinth",$A23))=FALSE,ISERROR(FIND("Cornice",$A23))=FALSE,ISERROR(FIND("Fillers",$A23))=FALSE,ISERROR(FIND("Pelmet",$A23))=FALSE,ISERROR(FIND("panel",$A23))=FALSE,ISERROR(FIND("post",$A23))=FALSE),VLOOKUP(WardrobeDoorFinish,FixedListsFinishes,3,0),IF(OR(ISERROR(FIND("drawer",$A23))=FALSE,ISERROR(FIND("insert",$A23))=FALSE,ISERROR(FIND("rck",$A23))=FALSE),VLOOKUP(WardrobeCarcassFinish,FixedListsFinishes,3,0),0))))</f>
        <v>1</v>
      </c>
      <c r="AE23" s="156">
        <f t="shared" si="6"/>
        <v>1</v>
      </c>
      <c r="AF23" s="157" t="str">
        <f>IF(AND(WardrobeHandleType="Channel",OR(ISERROR(FIND("arcass",$A23))=FALSE,ISERROR(FIND("unit",$A23))=FALSE)),IF(ISERROR(FIND("Tower",$A23))=TRUE,IF(WardrobeHandleFinish="Match carcass",IF(ISERROR(FIND("Walnut",WardrobeCarcassMaterial))=FALSE,(0.035*0.075*($C23/1000))*VLOOKUP("Walnut (solid m3)",SolidData,4,FALSE),IF(ISERROR(FIND("Oak",WardrobeCarcassMaterial))=FALSE,(0.035*0.075*($C23/1000))*VLOOKUP("Oak (solid m3)",SolidData,4,FALSE),IF(ISERROR(FIND("ply",WardrobeCarcassMaterial))=FALSE,(0.1*($C23/1000))*VLOOKUP("Birch ply (24mm)",SheetsData,7,FALSE),IF(ISERROR(FIND("H/F",WardrobeCarcassMaterial))=FALSE,(0.1*($C23/1000))*VLOOKUP("H/F (22mm)",SheetsData,7,FALSE),"Carcass - not tower - new material")))),IF(WardrobeHandleFinish="Match door",IF(ISERROR(FIND("Walnut",WardrobeDoorMaterial))=FALSE,(0.035*0.075*($C23/1000))*VLOOKUP("Walnut (solid m3)",SolidData,4,FALSE),IF(ISERROR(FIND("Oak",WardrobeDoorMaterial))=FALSE,(0.035*0.075*($C23/1000))*VLOOKUP("Oak (solid m3)",SolidData,4,FALSE),IF(ISERROR(FIND("ply",WardrobeDoorMaterial))=FALSE,(0.1*($C23/1000))*VLOOKUP("Birch ply (24mm)",SheetsData,7,FALSE),IF(ISERROR(FIND("H/F",WardrobeCarcassMaterial))=FALSE,(0.1*($C23/1000))*VLOOKUP("H/F (22mm)",SheetsData,7,FALSE),"Door - not tower - new material")))),"Channel - not tower - handle set to other")),IF(ISERROR(FIND("Tower",$A23))=FALSE,IF(WardrobeHandleFinish="Match carcass",IF(ISERROR(FIND("Walnut",WardrobeCarcassMaterial))=FALSE,(0.035*0.075*($B23/1000))*VLOOKUP("Walnut (solid m3)",SolidData,4,FALSE),IF(ISERROR(FIND("Oak",WardrobeCarcassMaterial))=FALSE,(0.035*0.075*($B23/1000))*VLOOKUP("Oak (solid m3)",SolidData,4,FALSE),IF(ISERROR(FIND("ply",WardrobeCarcassMaterial))=FALSE,(0.1*($B23/1000))*VLOOKUP("Birch ply (24mm)",SheetsData,7,FALSE),IF(ISERROR(FIND("H/F",WardrobeCarcassMaterial))=FALSE,(0.1*($C23/1000))*VLOOKUP("H/F (22mm)",SheetsData,7,FALSE),"Carcass - tower - new material")))),IF(WardrobeHandleFinish="Match door",IF(ISERROR(FIND("Walnut",WardrobeDoorMaterial))=FALSE,(0.035*0.075*($B23/1000))*VLOOKUP("Walnut (solid m3)",SolidData,4,FALSE),IF(ISERROR(FIND("Oak",WardrobeDoorMaterial))=FALSE,(0.035*0.075*($B23/1000))*VLOOKUP("Oak (solid m3)",SolidData,4,FALSE),IF(ISERROR(FIND("ply",WardrobeDoorMaterial))=FALSE,(0.1*($B23/1000))*VLOOKUP("Birch ply (24mm)",SheetData,7,FALSE),IF(ISERROR(FIND("H/F",WardrobeCarcassMaterial))=FALSE,(0.1*($C23/1000))*VLOOKUP("H/F (22mm)",SheetsData,7,FALSE),"Door - tower - new material")))),"Channel - tower - handle set to other")))),"")</f>
        <v/>
      </c>
    </row>
    <row r="24">
      <c r="A24" s="150" t="s">
        <v>232</v>
      </c>
      <c r="B24" s="160" t="str">
        <f t="shared" si="1"/>
        <v>300</v>
      </c>
      <c r="C24" s="160" t="str">
        <f>IFERROR(__xludf.DUMMYFUNCTION("IF(A24="""","""",IF(ISERROR(FIND(""arcass"",A24))=FALSE,MID(A24,FIND(""*"",A24)+1,FIND(""*"",A24,FIND(""*"",A24)+1)-FIND(""*"",A24)-1),IF(ISERROR(FIND(""End panel"",A24))=FALSE,RIGHT(A24,3),IF(OR(ISERROR(FIND(""drawer"",A24))=FALSE,ISERROR(FIND(""door"",A"&amp;"24))=FALSE,ISERROR(FIND(""shelf"",A24))=FALSE,ISERROR(FIND(""panel"",A24))=FALSE,ISERROR(FIND(""Plinth"",A24))=FALSE,ISERROR(FIND(""Cornice"",A24))=FALSE,ISERROR(FIND(""Fillers"",A24))=FALSE,ISERROR(FIND(""Pelmet"",A24))=FALSE,ISERROR(FIND(""Fireplace up "&amp;"to 1600"",A24))=FALSE),RIGHT(A24,LEN(A24)-LEN(regexextract(A24,"".* ""))),IF(ISERROR(FIND(""table"",A24))=FALSE,""560"",IF(ISERROR(FIND(""Office pod"",A24))=FALSE,""1600"",IF(ISERROR(FIND(""Fireplace over 1600"",A24))=FALSE,""2400"",IF(ISERROR(FIND(""Work"&amp;"top"",A24))=FALSE,""650"",""Whoops""))))))))"),"1200")</f>
        <v>1200</v>
      </c>
      <c r="D24" s="161" t="str">
        <f t="shared" si="2"/>
        <v>600</v>
      </c>
      <c r="E24" s="152">
        <f>IF(OR(A24="",AND(ISERROR(FIND("drawer",A24))=FALSE,WardrobeDrawerType="")),"",IF(ISERROR(FIND("door",A24))=FALSE,IF(WardrobeDoorStyle="Flat",((B24/1000)*(C24/1000))*VLOOKUP(WardrobeDoorMaterial,SheetsData,8,0),IF(LEFT(WardrobeDoorStyle,5)="Panel",(((((B24/1000)*2)*0.08)+((((C24/1000)-0.16)*2)*0.08))*VLOOKUP("H/F (22mm)",SheetsData,8,0))+(((B24/1000)-0.14)*((C24/1000)-0.14)*VLOOKUP("H/F (9mm)",SheetsData,8,0)),IF(WardrobeDoorStyle="In-frame flat",((((((B24/1000)*0.019)*0.038)+((((C24-38)/1000)*0.038)*0.038))*2)*VLOOKUP("Tulip (solid m3)",SolidData,4,0))+(((B24-76)/1000)*((C24-38)/1000))*VLOOKUP("H/F (22mm)",SheetsData,8,0),IF(LEFT(WardrobeDoorStyle,14)="In-frame panel",(((((((B24/1000)*0.019)*0.038)+((((C24-38)/1000)*0.038)*0.038))*2)*VLOOKUP("Tulip (solid m3)",SolidData,4,0))+(((((((B24-76)/1000)*2)*0.08)+(((((C24-198)/1000)*2)*0.08)))*VLOOKUP("H/F (22mm)",SheetsData,8,0))+(((B24-216)/1000)*((C24-178)/1000)*VLOOKUP("H/F (9mm)",SheetsData,8,0)))))))),IF(AND(ISERROR(FIND("arcass",A24))=FALSE,ISERROR(FIND("ost corner",A24))=TRUE),IF(AND(VALUE(B24)&lt;1211,VALUE(C24)&lt;1211,VALUE(D24)&lt;606),1*VLOOKUP(WardrobeCarcassMaterial,SheetsData,5,FALSE),IF(AND(VALUE(B24)&lt;2421,VALUE(C24)&lt;2421,VALUE(D24)&lt;606),2*VLOOKUP(WardrobeCarcassMaterial,SheetsData,5,FALSE),IF(AND(VALUE(B24)&lt;2421,VALUE(C24)&lt;1211,VALUE(D24)&lt;1211),3*VLOOKUP(WardrobeCarcassMaterial,SheetsData,5,FALSE),IF(AND(VALUE(B24)&lt;2421,VALUE(C24)&lt;2421,VALUE(D24)&lt;1211),4*VLOOKUP(WardrobeCarcassMaterial,SheetsData,5,FALSE))))),IF(AND(ISERROR(FIND("arcass",A24))=FALSE,ISERROR(FIND("ost corner",A24))=FALSE),IF(AND(VALUE(B24)&lt;1211,VALUE(C24)&lt;1211,VALUE(D24)&lt;606),(1*VLOOKUP(WardrobeCarcassMaterial,SheetsData,5,FALSE))+(VLOOKUP("H/F (22mm)",SheetsData,7,FALSE)*1.44),IF(AND(VALUE(B24)&lt;2421,VALUE(C24)&lt;2421,VALUE(D24)&lt;606),(2*VLOOKUP(WardrobeCarcassMaterial,SheetsData,5,FALSE))+(VLOOKUP("H/F (22mm)",SheetsData,7,FALSE)*1.44),IF(AND(VALUE(B24)&lt;2421,VALUE(C24)&lt;1211,VALUE(D24)&lt;1211),(3*VLOOKUP(WardrobeCarcassMaterial,SheetsData,5,FALSE))+(VLOOKUP("H/F (22mm)",SheetsData,7,FALSE)*1.44),IF(AND(VALUE(B24)&lt;2421,VALUE(C24)&lt;2421,VALUE(D24)&lt;1211),(4*VLOOKUP(WardrobeCarcassMaterial,SheetsData,5,FALSE))+(VLOOKUP("H/F (22mm)",SheetsData,7,FALSE)*1.44))))),IF(ISERROR(FIND("drawer front",A24))=FALSE,((B24/1000)*(C24/1000))*VLOOKUP(WardrobeDoorMaterial,SheetsData,8,0),IF(AND(WardrobeDrawerType="Match carcass",ISERROR(FIND("drawer box",A24))=FALSE),(((((B24/1000)*(C24/1000))+((B24/1000)*(D24/1000)))*2)*VLOOKUP(WardrobeCarcassMaterial,SheetsData,8,0))+(((C24/1000)*(D24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box",A24))=FALSE),(((((B24/1000)*(C24/1000))+((B24/1000)*(D24/1000)))*2)*(16/1000)*VLOOKUP(LEFT(WardrobeCarcassMaterial,FIND(" ",WardrobeCarcassMaterial))&amp;"(solid m3)",SolidData,4,0))+(((C24/1000)*(D24/1000))*VLOOKUP(LEFT(WardrobeCarcassMaterial,FIND("(",WardrobeCarcassMaterial)-1)&amp;IF(OR(ISERROR(FIND("ply",WardrobeCarcassMaterial))=FALSE,ISERROR(FIND("H/F",WardrobeCarcassMaterial))=FALSE),"(9mm)","(10mm)"),SheetsData,8,0)),IF(ISERROR(FIND("shelf",A24))=FALSE,((C24/1000)*(D24/1000))*VLOOKUP(WardrobeCarcassMaterial,SheetsData,7,FALSE),IF(ISERROR(FIND("Office pod",A24))=FALSE,3*VLOOKUP(WardrobeCarcassMaterial,SheetsData,5,0),IF(ISERROR(FIND(" panel",A24))=FALSE,((B24/1000)*(C24/1000))*VLOOKUP(WardrobeDoorMaterial,SheetsData,8,0),IF(ISERROR(FIND("Fillers",A24))=FALSE,(((0.06*(C24/1000))*2)*VLOOKUP("H/F (18mm)",SheetsData,8,0))+(((0.06*(C24/1000))*2)*VLOOKUP("H/F (9mm)",SheetsData,8,0)),IF(ISERROR(FIND("Cornice (stacked)",A24))=FALSE,((0.08*(C24/1000))*2)*VLOOKUP("H/F (22mm)",SheetsData,8,0),IF(OR(ISERROR(FIND("Plinth",A24))=FALSE,ISERROR(FIND("Cornice (flat)",A24))=FALSE),((B24/1000)*(C24/1000))*VLOOKUP("H/F (18mm)",SheetsData,8,0),IF(ISERROR(FIND("Pelmet",A24))=FALSE,((((B24/1000)*(C24/1000))*2)*VLOOKUP("H/F (18mm)",SheetsData,8,0)),IF(ISERROR(FIND("Fireplace",A24))=FALSE,IF(ISERROR(FIND("over 1600",A24))=FALSE,2*VLOOKUP(WardrobeCarcassMaterial,SheetsData,5,FALSE),VLOOKUP(WardrobeCarcassMaterial,SheetsData,5,FALSE)),IF(ISERROR(FIND("table",A24))=FALSE,((B24/1000)*0.6)*VLOOKUP("Birch ply (24mm)",SheetsData,7,FALSE),IF(ISERROR(FIND("Worktop",A24))=FALSE,((B24/1000)*(C24/1000))*VLOOKUP(WardrobeDoorMaterial,SheetsData,7,FALSE),"Check formula")))))))))))))))))</f>
        <v>51.36723999</v>
      </c>
      <c r="F24" s="152">
        <f>IFERROR(__xludf.DUMMYFUNCTION("IF(OR(A24="""",AND(ISERROR(FIND(""drawer box"",A24))=FALSE,WardrobeDrawerType=""Solid dovetail"")),"""",IF(ISERROR(FIND(""bins"",A24))=FALSE,VLOOKUP(""Base carcass 600"",Wardrobes_etcData,6,0),IF(OR(ISERROR(FIND(""larder"",A24))=FALSE,ISERROR(FIND(""unit"&amp;""",A24))=FALSE),VLOOKUP(LEFT(A24,FIND("" "",A24))&amp;""carcass ""&amp;RIGHT(A24,LEN(A24)-len(regexextract(A24,"".* ""))),Wardrobes_etcData,6,0),IF(ISERROR(FIND(""drawer front"",A24))=FALSE,IF(ISERROR(FIND(""veneer"",WardrobeCarcassMaterial))=TRUE,0,(((B24+C24)/1"&amp;"000)*2)*VLOOKUP(""Edge banding (per M)"",SheetsData,5,0)),IF(ISERROR(FIND(""drawer box"",A24))=FALSE,IF(ISERROR(FIND(""veneer"",WardrobeCarcassMaterial))=TRUE,0,(((C24+D24)/1000)*2)*VLOOKUP(""Edge banding (per M)"",SheetsData,5,0)),IF(ISERROR(FIND(""shelf"&amp;""",A24))=FALSE,IF(ISERROR(FIND(""veneer"",WardrobeCarcassMaterial))=TRUE,0,(C24/1000)*VLOOKUP(""Edge banding (per M)"",SheetsData,5,0)),IF(AND(OR(ISERROR(FIND(""arcass"",A24))=FALSE,ISERROR(FIND(""Fireplace"",A24))=FALSE),ISERROR(FIND(""shelf"",A24))=TRUE"&amp;"),IF(ISERROR(FIND(""veneer"",WardrobeCarcassMaterial))=TRUE,0,((2*(B24+C24))/1000)*VLOOKUP(""Edge banding (per M)"",SheetsData,5,0)),IF(ISERROR(FIND(""door"",A24))=TRUE,"""",IF(ISERROR(FIND(""veneer"",WardrobeDoorMaterial))=TRUE,"""",((2*(B24+C24))/1000)*"&amp;"VLOOKUP(""Edge banding (per M)"",SheetsData,5,0))))))))))"),0.0)</f>
        <v>0</v>
      </c>
      <c r="G24" s="153" t="str">
        <f>IF(A24="","",IF(AND(ISERROR(FIND("arcass",A24))=TRUE,ISERROR(FIND("Fireplace",A24))=TRUE),"",IF(VALUE(C24)&lt;606,4*VLOOKUP("Plinth foot (2 Parts 80mm)",FurnitureData,5,FALSE),IF(VALUE(C24)&lt;1211,6*VLOOKUP("Plinth foot (2 Parts 80mm)",FurnitureData,5,FALSE),8*VLOOKUP("Plinth foot (2 Parts 80mm)",FurnitureData,5,FALSE)))))</f>
        <v/>
      </c>
      <c r="H24" s="115" t="str">
        <f>IF(OR(A24="",ISERROR(FIND("door",A24))=TRUE),"",VLOOKUP("Hinges &amp; plates (Hettich thick door)",FurnitureData,5,0)*5)</f>
        <v/>
      </c>
      <c r="I24" s="115" t="str">
        <f>IF(ISERROR(FIND("shelf",A24))=FALSE,(VLOOKUP("Shelf pegs",FurnitureData,5,0)/100)*4,"")</f>
        <v/>
      </c>
      <c r="J24" s="152" t="str">
        <f>IF(OR(ISERROR(FIND("fridge/freezer",A24))=FALSE,ISERROR(FIND("sink",A24))=FALSE,ISERROR(FIND("larder",A24))=FALSE),VLOOKUP("Deep shelf "&amp;C24,Wardrobes_etcData,18,0),IF(OR(ISERROR(FIND("single oven",A24))=FALSE,ISERROR(FIND("Base carcass",A24))=FALSE),2*VLOOKUP("Deep shelf "&amp;C24,Wardrobes_etcData,18,0),IF(AND(ISERROR(FIND("wall carcass",A24))=FALSE,ISERROR(FIND("Boiler",A24))=TRUE),2*VLOOKUP("Shallow shelf "&amp;C24,Wardrobes_etcData,18,0),IF(ISERROR(FIND("double oven",A24))=FALSE,3*VLOOKUP("Deep shelf "&amp;C24,Wardrobes_etcData,18,0),IF(ISERROR(FIND("Tower carcass",A24))=FALSE,6*VLOOKUP("Deep shelf "&amp;C24,Wardrobes_etcData,18,0),"")))))</f>
        <v/>
      </c>
      <c r="K24" s="152">
        <f>IF(ISERROR(FIND("sink",A24))=FALSE,VLOOKUP("Sink liner - Aluminium "&amp;RIGHT(A24,LEN(A24)-22)&amp;"mm",ExceptionalData,5,0),IF(ISERROR(FIND("bins",A24))=FALSE,VLOOKUP("Drawer runners and clip set for bin unit (500) Dynapro",FurnitureData,5,0)+(2*VLOOKUP("Bin (42L Anthracite)",FurnitureData,5,0)),IF(ISERROR(FIND("larder",A24))=FALSE,VLOOKUP("Pull out larder unit 600mm",FurnitureData,5,0),IF(AND(ISERROR(FIND("drawer box",A24))=FALSE,ISERROR(FIND("internal",A24))=TRUE),VLOOKUP("Drawer runners and clip set (550) Dynapro",FurnitureData,5,0),IF(ISERROR(FIND("internal drawer box",A24))=FALSE,VLOOKUP("Drawer runners and clip set (450) Dynapro",FurnitureData,5,0),IF(ISERROR(FIND("table",A24))=FALSE,VLOOKUP("Hairpin Leg (12mm Black "&amp;MID(A24,FIND("(",A24)+1,LEN(A24)-(FIND("(",A24))-1)&amp;"mm)",ExceptionalData,4,FALSE),""))))))</f>
        <v>52.54</v>
      </c>
      <c r="L24" s="152">
        <f t="shared" si="3"/>
        <v>103.90724</v>
      </c>
      <c r="M24" s="154">
        <f>IF(A24="","",IF(AND(ISERROR(FIND("drawer front",A24))=FALSE,WardrobeDoorStyle="Flat"),(((B24/1000)*(C24/1000))*2)+((((B24+C24)/1000)*2)*0.022),IF(AND(ISERROR(FIND("drawer front",A24))=FALSE,LEFT(WardrobeDoorStyle,5)="Panel"),(((B24/1000)*(C24/1000))*2)+((((B24+C24)/1000)*2)*0.022)+((((C24/1000)-0.16)*0.013)*2)+((((D24/1000)-0.16)*0.013)*2),IF(AND(ISERROR(FIND("drawer front",A24))=FALSE,WardrobeDoorStyle="In-frame flat"),((((B24-76)/1000)*((C24-38)/1000))*2)+(MID(WardrobeDoorMaterial,FIND("(",WardrobeDoorMaterial)+1,2)/1000)*((((B24-76)+(C24-38))/1000)*2)+(((B24/1000)*0.032)*2)+((((B24-76)/1000)*0.032)*2)+(((B24/1000)*0.019)*4)+(((C24/1000)*0.032)*2)+((((C24-38)/1000)*0.032)*2)+(((C24/1000)*0.038)*4),IF(AND(ISERROR(FIND("drawer front",A24))=FALSE,LEFT(WardrobeDoorStyle,14)="In-frame panel"),((((B24-76)/1000)*((C24-38)/1000))*2)+((MID(WardrobeDoorMaterial,FIND("(",WardrobeDoorMaterial)+1,2)/1000)*((((B24-76)+(C24-38))/1000)*2))+((((B24-236)/1000)+((C24-198)/1000)*2)*0.013)+(((B24/1000)*0.032)*2)+((((B24-76)/1000)*0.032)*2)+(((B24/1000)*0.019)*4)+(((C24/1000)*0.032)*2)+((((C24-38)/1000)*0.032)*2)+(((C24/1000)*0.038)*4),IF(ISERROR(FIND("drawer box",A24))=FALSE,((((B24/1000)*(D24/1000))+((B24/1000)*(C24/1000)))*4)+((((D24/1000)+(C24/1000))*0.016)*4)+(((C24/1000)*(D24/1000))*2),IF(OR(ISERROR(FIND("shelf",A24))=FALSE,ISERROR(FIND("Filler panel",A24))=FALSE),(((C24/1000)*(D24/1000))*2)+((((C24+D24)*2)/1000)*0.022),IF(ISERROR(FIND("Fireplace",A24))=FALSE,((B24/1000)*(C24/1000)),IF(ISERROR(FIND("Worktop",A24))=FALSE,(B24/1000)*(C24/1000),IF(ISERROR(FIND("table",A24))=FALSE,(B24/1000)*0.6,IF(ISERROR(FIND("arcass",A24))=FALSE,(((C24/1000)*(D24/1000))*2)+(((B24/1000)*(D24/1000))*2)+((B24/1000)*(C24/1000))+((((B24/1000)*0.025)+((C24/1000)*0.025))*2),IF(AND(ISERROR(FIND("door",A24))=FALSE,WardrobeDoorStyle="Flat"),(((B24/1000)*(C24/1000))*2)+(MID(WardrobeDoorMaterial,FIND("(",WardrobeDoorMaterial)+1,2)/1000)*(((B24+C24)/1000)*2),IF(AND(ISERROR(FIND("door",A24))=FALSE,LEFT(WardrobeDoorStyle,5)="Panel"),(((B24/1000)*(C24/1000))*2)+((MID(WardrobeDoorMaterial,FIND("(",WardrobeDoorMaterial)+1,2)/1000)*(((B24+C24)/1000)*2))+(((((B24-160)+(C24-160))*2)/1000)*(0.013)),IF(AND(ISERROR(FIND("door",A24))=FALSE,WardrobeDoorStyle="In-frame flat"),((((B24-76)/1000)*((C24-38)/1000))*2)+(MID(WardrobeDoorMaterial,FIND("(",WardrobeDoorMaterial)+1,2)/1000)*((((B24-76)+(C24-38))/1000)*2)+(((B24/1000)*0.032)*2)+((((B24-76)/1000)*0.032)*2)+(((B24/1000)*0.019)*4)+(((C24/1000)*0.032)*2)+((((C24-38)/1000)*0.032)*2)+(((C24/1000)*0.038)*4),IF(AND(ISERROR(FIND("door",A24))=FALSE,LEFT(WardrobeDoorStyle,14)="In-frame panel"),((((B24-76)/1000)*((C24-38)/1000))*2)+((MID(WardrobeDoorMaterial,FIND("(",WardrobeDoorMaterial)+1,2)/1000)*((((B24-76)+(C24-38))/1000)*2))+((((B24-236)/1000)+((C24-198)/1000)*2)*0.013)+(((B24/1000)*0.032)*2)+((((B24-76)/1000)*0.032)*2)+(((B24/1000)*0.019)*4)+(((C24/1000)*0.032)*2)+((((C24-38)/1000)*0.032)*2)+(((C24/1000)*0.038)*4),IF(ISERROR(FIND("Plinth",A24))=FALSE,((B24/1000)*(C24/1000))+(((C24/1000)*0.018)*2)+(((B24/1000)*0.018)*2),IF(ISERROR(FIND("Cornice",A24))=FALSE,(((C24/1000)*0.1)*2)+(((C24/1000)*0.044)*2)+(((B24/1000)*0.08)*2),IF(ISERROR(FIND("Office pod",A24))=FALSE,((2400/1000)*(1200/1000))*6,IF(ISERROR(FIND("panel",A24))=FALSE,((B24/1000)*(C24/1000))+(0.022*((B24/1000)+((C24/1000)*2)))+((B24/1000)*0.05),IF(ISERROR(FIND("Fillers",A24))=FALSE,((C24/1000)*0.06)+((C24/1000)*0.069)+((0.06*0.018)*2)+((0.06*0.009)*2)+((C24/1000)*0.009)+((C24/1000)*0.018),IF(ISERROR(FIND("Pelmet",A24))=FALSE,((C24/1000)*0.05)+((C24/1000)*0.068)+((0.05*0.018)*4)+(((C24/1000)*0.018))*2)))))))))))))))))))))</f>
        <v>3.7152</v>
      </c>
      <c r="N24" s="152">
        <f>IF(M24="","",IF(AND(ISERROR(FIND("carcass",A24))=TRUE,ISERROR(FIND("unit",A24))=TRUE,ISERROR(FIND("insert",A24))=TRUE,ISERROR(FIND("rack",A24))=TRUE,ISERROR(FIND("box",A24))=TRUE,ISERROR(FIND("shelf",A24))=TRUE),VLOOKUP(WardrobeDoorFinish,Finishing!$A$2:$K$10,9,0)*M24,IF(ISERROR(FIND("table",A24))=FALSE,VLOOKUP("Sayerlack AF0072 Interior Clear Self-Sealer",FinishingData,9,FALSE)*M24,VLOOKUP(WardrobeCarcassFinish,Finishing!$A$2:$K$40,9,0)*M24)))</f>
        <v>13.932</v>
      </c>
      <c r="O24" s="155">
        <v>3.5</v>
      </c>
      <c r="P24" s="155">
        <v>1.0</v>
      </c>
      <c r="Q24" s="152">
        <f>IF(OR(O24="",P24=""),"",((O24*X24)*(VLOOKUP("Workshop",Labour!$A$3:$E$20,4,0)/8))+((P24*AE24)*(VLOOKUP("Finishing",Labour!$A$3:$E$20,4,0)/8)))</f>
        <v>181.125</v>
      </c>
      <c r="R24" s="152">
        <f t="shared" si="4"/>
        <v>298.96424</v>
      </c>
      <c r="S24" s="156">
        <f>IF(OR(O24="",P24=""),"",IF(OR(ISERROR(FIND("carcass",$A24))=FALSE,ISERROR(FIND("unit",$A24))=FALSE),VLOOKUP(WardrobeCarcassMaterial,FixedListsCarcassMaterial,2,0),0))</f>
        <v>0</v>
      </c>
      <c r="T24" s="156">
        <f>IF(OR(O24="",P24=""),"",IF(ISERROR(FIND("door",$A24))=FALSE,VLOOKUP(WardrobeDoorStyle,FixedListsDoorStyle,2,0),0))</f>
        <v>0</v>
      </c>
      <c r="U24" s="156">
        <f>IF(OR(O24="",P24=""),"",IF(ISERROR(FIND("door",$A24))=FALSE,VLOOKUP(WardrobeDoorMaterial,FixedListsDoorMaterial,2,0),0))</f>
        <v>0</v>
      </c>
      <c r="V24" s="156">
        <f>IF(OR(O24="",P24=""),"",IF(ISERROR(FIND("drawer",$A24))=FALSE,VLOOKUP(WardrobeDrawerType,FixedListsDrawerType,2,0),0))</f>
        <v>1</v>
      </c>
      <c r="W24" s="156">
        <f>IF(OR(O24="",P24=""),"",IF(S24&gt;0,VLOOKUP(WardrobeHandleType,FixedListsHandleType,2,FALSE),0))</f>
        <v>0</v>
      </c>
      <c r="X24" s="156">
        <f t="shared" si="5"/>
        <v>1</v>
      </c>
      <c r="Y24" s="156">
        <f>IF(OR(O24="",P24=""),"",IF(OR(ISERROR(FIND("carcass",$A24))=FALSE,ISERROR(FIND("unit",$A24))=FALSE),VLOOKUP(WardrobeCarcassMaterial,FixedListsCarcassMaterial,3,0),0))</f>
        <v>0</v>
      </c>
      <c r="Z24" s="156">
        <f>IF(OR(O24="",P24=""),"",IF(ISERROR(FIND("door",$A24))=FALSE,VLOOKUP(WardrobeDoorStyle,FixedListsDoorStyle,3,0),0))</f>
        <v>0</v>
      </c>
      <c r="AA24" s="156">
        <f>IF(OR(O24="",P24=""),"",IF(ISERROR(FIND("door",$A24))=FALSE,VLOOKUP(WardrobeDoorMaterial,FixedListsDoorMaterial,3,0),0))</f>
        <v>0</v>
      </c>
      <c r="AB24" s="156">
        <f>IF(OR(O24="",P24=""),"",IF(ISERROR(FIND("drawer",$A24))=FALSE,VLOOKUP(WardrobeDrawerType,FixedListsDrawerType,3,0),0))</f>
        <v>1</v>
      </c>
      <c r="AC24" s="156">
        <f>IF(OR(O24="",P24=""),"",IF(S24&gt;0,VLOOKUP(WardrobeHandleType,FixedListsHandleType,3,FALSE),0))</f>
        <v>0</v>
      </c>
      <c r="AD24" s="156">
        <f>IF(OR(O24="",P24=""),"",IF(OR(ISERROR(FIND("carcass",$A24))=FALSE,ISERROR(FIND("unit",$A24))=FALSE),VLOOKUP(WardrobeCarcassFinish,FixedListsFinishes,3,0),IF(OR(ISERROR(FIND("door",$A24))=FALSE,ISERROR(FIND("Plinth",$A24))=FALSE,ISERROR(FIND("Cornice",$A24))=FALSE,ISERROR(FIND("Fillers",$A24))=FALSE,ISERROR(FIND("Pelmet",$A24))=FALSE,ISERROR(FIND("panel",$A24))=FALSE,ISERROR(FIND("post",$A24))=FALSE),VLOOKUP(WardrobeDoorFinish,FixedListsFinishes,3,0),IF(OR(ISERROR(FIND("drawer",$A24))=FALSE,ISERROR(FIND("insert",$A24))=FALSE,ISERROR(FIND("rck",$A24))=FALSE),VLOOKUP(WardrobeCarcassFinish,FixedListsFinishes,3,0),0))))</f>
        <v>1</v>
      </c>
      <c r="AE24" s="156">
        <f t="shared" si="6"/>
        <v>1</v>
      </c>
      <c r="AF24" s="157" t="str">
        <f>IF(AND(WardrobeHandleType="Channel",OR(ISERROR(FIND("arcass",$A24))=FALSE,ISERROR(FIND("unit",$A24))=FALSE)),IF(ISERROR(FIND("Tower",$A24))=TRUE,IF(WardrobeHandleFinish="Match carcass",IF(ISERROR(FIND("Walnut",WardrobeCarcassMaterial))=FALSE,(0.035*0.075*($C24/1000))*VLOOKUP("Walnut (solid m3)",SolidData,4,FALSE),IF(ISERROR(FIND("Oak",WardrobeCarcassMaterial))=FALSE,(0.035*0.075*($C24/1000))*VLOOKUP("Oak (solid m3)",SolidData,4,FALSE),IF(ISERROR(FIND("ply",WardrobeCarcassMaterial))=FALSE,(0.1*($C24/1000))*VLOOKUP("Birch ply (24mm)",SheetsData,7,FALSE),IF(ISERROR(FIND("H/F",WardrobeCarcassMaterial))=FALSE,(0.1*($C24/1000))*VLOOKUP("H/F (22mm)",SheetsData,7,FALSE),"Carcass - not tower - new material")))),IF(WardrobeHandleFinish="Match door",IF(ISERROR(FIND("Walnut",WardrobeDoorMaterial))=FALSE,(0.035*0.075*($C24/1000))*VLOOKUP("Walnut (solid m3)",SolidData,4,FALSE),IF(ISERROR(FIND("Oak",WardrobeDoorMaterial))=FALSE,(0.035*0.075*($C24/1000))*VLOOKUP("Oak (solid m3)",SolidData,4,FALSE),IF(ISERROR(FIND("ply",WardrobeDoorMaterial))=FALSE,(0.1*($C24/1000))*VLOOKUP("Birch ply (24mm)",SheetsData,7,FALSE),IF(ISERROR(FIND("H/F",WardrobeCarcassMaterial))=FALSE,(0.1*($C24/1000))*VLOOKUP("H/F (22mm)",SheetsData,7,FALSE),"Door - not tower - new material")))),"Channel - not tower - handle set to other")),IF(ISERROR(FIND("Tower",$A24))=FALSE,IF(WardrobeHandleFinish="Match carcass",IF(ISERROR(FIND("Walnut",WardrobeCarcassMaterial))=FALSE,(0.035*0.075*($B24/1000))*VLOOKUP("Walnut (solid m3)",SolidData,4,FALSE),IF(ISERROR(FIND("Oak",WardrobeCarcassMaterial))=FALSE,(0.035*0.075*($B24/1000))*VLOOKUP("Oak (solid m3)",SolidData,4,FALSE),IF(ISERROR(FIND("ply",WardrobeCarcassMaterial))=FALSE,(0.1*($B24/1000))*VLOOKUP("Birch ply (24mm)",SheetsData,7,FALSE),IF(ISERROR(FIND("H/F",WardrobeCarcassMaterial))=FALSE,(0.1*($C24/1000))*VLOOKUP("H/F (22mm)",SheetsData,7,FALSE),"Carcass - tower - new material")))),IF(WardrobeHandleFinish="Match door",IF(ISERROR(FIND("Walnut",WardrobeDoorMaterial))=FALSE,(0.035*0.075*($B24/1000))*VLOOKUP("Walnut (solid m3)",SolidData,4,FALSE),IF(ISERROR(FIND("Oak",WardrobeDoorMaterial))=FALSE,(0.035*0.075*($B24/1000))*VLOOKUP("Oak (solid m3)",SolidData,4,FALSE),IF(ISERROR(FIND("ply",WardrobeDoorMaterial))=FALSE,(0.1*($B24/1000))*VLOOKUP("Birch ply (24mm)",SheetData,7,FALSE),IF(ISERROR(FIND("H/F",WardrobeCarcassMaterial))=FALSE,(0.1*($C24/1000))*VLOOKUP("H/F (22mm)",SheetsData,7,FALSE),"Door - tower - new material")))),"Channel - tower - handle set to other")))),"")</f>
        <v/>
      </c>
    </row>
    <row r="25">
      <c r="A25" s="150" t="s">
        <v>233</v>
      </c>
      <c r="B25" s="160" t="str">
        <f t="shared" si="1"/>
        <v>180</v>
      </c>
      <c r="C25" s="160" t="str">
        <f>IFERROR(__xludf.DUMMYFUNCTION("IF(A25="""","""",IF(ISERROR(FIND(""arcass"",A25))=FALSE,MID(A25,FIND(""*"",A25)+1,FIND(""*"",A25,FIND(""*"",A25)+1)-FIND(""*"",A25)-1),IF(ISERROR(FIND(""End panel"",A25))=FALSE,RIGHT(A25,3),IF(OR(ISERROR(FIND(""drawer"",A25))=FALSE,ISERROR(FIND(""door"",A"&amp;"25))=FALSE,ISERROR(FIND(""shelf"",A25))=FALSE,ISERROR(FIND(""panel"",A25))=FALSE,ISERROR(FIND(""Plinth"",A25))=FALSE,ISERROR(FIND(""Cornice"",A25))=FALSE,ISERROR(FIND(""Fillers"",A25))=FALSE,ISERROR(FIND(""Pelmet"",A25))=FALSE,ISERROR(FIND(""Fireplace up "&amp;"to 1600"",A25))=FALSE),RIGHT(A25,LEN(A25)-LEN(regexextract(A25,"".* ""))),IF(ISERROR(FIND(""table"",A25))=FALSE,""560"",IF(ISERROR(FIND(""Office pod"",A25))=FALSE,""1600"",IF(ISERROR(FIND(""Fireplace over 1600"",A25))=FALSE,""2400"",IF(ISERROR(FIND(""Work"&amp;"top"",A25))=FALSE,""650"",""Whoops""))))))))"),"600")</f>
        <v>600</v>
      </c>
      <c r="D25" s="161" t="str">
        <f t="shared" si="2"/>
        <v/>
      </c>
      <c r="E25" s="152">
        <f>IF(OR(A25="",AND(ISERROR(FIND("drawer",A25))=FALSE,WardrobeDrawerType="")),"",IF(ISERROR(FIND("door",A25))=FALSE,IF(WardrobeDoorStyle="Flat",((B25/1000)*(C25/1000))*VLOOKUP(WardrobeDoorMaterial,SheetsData,8,0),IF(LEFT(WardrobeDoorStyle,5)="Panel",(((((B25/1000)*2)*0.08)+((((C25/1000)-0.16)*2)*0.08))*VLOOKUP("H/F (22mm)",SheetsData,8,0))+(((B25/1000)-0.14)*((C25/1000)-0.14)*VLOOKUP("H/F (9mm)",SheetsData,8,0)),IF(WardrobeDoorStyle="In-frame flat",((((((B25/1000)*0.019)*0.038)+((((C25-38)/1000)*0.038)*0.038))*2)*VLOOKUP("Tulip (solid m3)",SolidData,4,0))+(((B25-76)/1000)*((C25-38)/1000))*VLOOKUP("H/F (22mm)",SheetsData,8,0),IF(LEFT(WardrobeDoorStyle,14)="In-frame panel",(((((((B25/1000)*0.019)*0.038)+((((C25-38)/1000)*0.038)*0.038))*2)*VLOOKUP("Tulip (solid m3)",SolidData,4,0))+(((((((B25-76)/1000)*2)*0.08)+(((((C25-198)/1000)*2)*0.08)))*VLOOKUP("H/F (22mm)",SheetsData,8,0))+(((B25-216)/1000)*((C25-178)/1000)*VLOOKUP("H/F (9mm)",SheetsData,8,0)))))))),IF(AND(ISERROR(FIND("arcass",A25))=FALSE,ISERROR(FIND("ost corner",A25))=TRUE),IF(AND(VALUE(B25)&lt;1211,VALUE(C25)&lt;1211,VALUE(D25)&lt;606),1*VLOOKUP(WardrobeCarcassMaterial,SheetsData,5,FALSE),IF(AND(VALUE(B25)&lt;2421,VALUE(C25)&lt;2421,VALUE(D25)&lt;606),2*VLOOKUP(WardrobeCarcassMaterial,SheetsData,5,FALSE),IF(AND(VALUE(B25)&lt;2421,VALUE(C25)&lt;1211,VALUE(D25)&lt;1211),3*VLOOKUP(WardrobeCarcassMaterial,SheetsData,5,FALSE),IF(AND(VALUE(B25)&lt;2421,VALUE(C25)&lt;2421,VALUE(D25)&lt;1211),4*VLOOKUP(WardrobeCarcassMaterial,SheetsData,5,FALSE))))),IF(AND(ISERROR(FIND("arcass",A25))=FALSE,ISERROR(FIND("ost corner",A25))=FALSE),IF(AND(VALUE(B25)&lt;1211,VALUE(C25)&lt;1211,VALUE(D25)&lt;606),(1*VLOOKUP(WardrobeCarcassMaterial,SheetsData,5,FALSE))+(VLOOKUP("H/F (22mm)",SheetsData,7,FALSE)*1.44),IF(AND(VALUE(B25)&lt;2421,VALUE(C25)&lt;2421,VALUE(D25)&lt;606),(2*VLOOKUP(WardrobeCarcassMaterial,SheetsData,5,FALSE))+(VLOOKUP("H/F (22mm)",SheetsData,7,FALSE)*1.44),IF(AND(VALUE(B25)&lt;2421,VALUE(C25)&lt;1211,VALUE(D25)&lt;1211),(3*VLOOKUP(WardrobeCarcassMaterial,SheetsData,5,FALSE))+(VLOOKUP("H/F (22mm)",SheetsData,7,FALSE)*1.44),IF(AND(VALUE(B25)&lt;2421,VALUE(C25)&lt;2421,VALUE(D25)&lt;1211),(4*VLOOKUP(WardrobeCarcassMaterial,SheetsData,5,FALSE))+(VLOOKUP("H/F (22mm)",SheetsData,7,FALSE)*1.44))))),IF(ISERROR(FIND("drawer front",A25))=FALSE,((B25/1000)*(C25/1000))*VLOOKUP(WardrobeDoorMaterial,SheetsData,8,0),IF(AND(WardrobeDrawerType="Match carcass",ISERROR(FIND("drawer box",A25))=FALSE),(((((B25/1000)*(C25/1000))+((B25/1000)*(D25/1000)))*2)*VLOOKUP(WardrobeCarcassMaterial,SheetsData,8,0))+(((C25/1000)*(D25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box",A25))=FALSE),(((((B25/1000)*(C25/1000))+((B25/1000)*(D25/1000)))*2)*(16/1000)*VLOOKUP(LEFT(WardrobeCarcassMaterial,FIND(" ",WardrobeCarcassMaterial))&amp;"(solid m3)",SolidData,4,0))+(((C25/1000)*(D25/1000))*VLOOKUP(LEFT(WardrobeCarcassMaterial,FIND("(",WardrobeCarcassMaterial)-1)&amp;IF(OR(ISERROR(FIND("ply",WardrobeCarcassMaterial))=FALSE,ISERROR(FIND("H/F",WardrobeCarcassMaterial))=FALSE),"(9mm)","(10mm)"),SheetsData,8,0)),IF(ISERROR(FIND("shelf",A25))=FALSE,((C25/1000)*(D25/1000))*VLOOKUP(WardrobeCarcassMaterial,SheetsData,7,FALSE),IF(ISERROR(FIND("Office pod",A25))=FALSE,3*VLOOKUP(WardrobeCarcassMaterial,SheetsData,5,0),IF(ISERROR(FIND(" panel",A25))=FALSE,((B25/1000)*(C25/1000))*VLOOKUP(WardrobeDoorMaterial,SheetsData,8,0),IF(ISERROR(FIND("Fillers",A25))=FALSE,(((0.06*(C25/1000))*2)*VLOOKUP("H/F (18mm)",SheetsData,8,0))+(((0.06*(C25/1000))*2)*VLOOKUP("H/F (9mm)",SheetsData,8,0)),IF(ISERROR(FIND("Cornice (stacked)",A25))=FALSE,((0.08*(C25/1000))*2)*VLOOKUP("H/F (22mm)",SheetsData,8,0),IF(OR(ISERROR(FIND("Plinth",A25))=FALSE,ISERROR(FIND("Cornice (flat)",A25))=FALSE),((B25/1000)*(C25/1000))*VLOOKUP("H/F (18mm)",SheetsData,8,0),IF(ISERROR(FIND("Pelmet",A25))=FALSE,((((B25/1000)*(C25/1000))*2)*VLOOKUP("H/F (18mm)",SheetsData,8,0)),IF(ISERROR(FIND("Fireplace",A25))=FALSE,IF(ISERROR(FIND("over 1600",A25))=FALSE,2*VLOOKUP(WardrobeCarcassMaterial,SheetsData,5,FALSE),VLOOKUP(WardrobeCarcassMaterial,SheetsData,5,FALSE)),IF(ISERROR(FIND("table",A25))=FALSE,((B25/1000)*0.6)*VLOOKUP("Birch ply (24mm)",SheetsData,7,FALSE),IF(ISERROR(FIND("Worktop",A25))=FALSE,((B25/1000)*(C25/1000))*VLOOKUP(WardrobeDoorMaterial,SheetsData,7,FALSE),"Check formula")))))))))))))))))</f>
        <v>1.993617307</v>
      </c>
      <c r="F25" s="152">
        <f>IFERROR(__xludf.DUMMYFUNCTION("IF(OR(A25="""",AND(ISERROR(FIND(""drawer box"",A25))=FALSE,WardrobeDrawerType=""Solid dovetail"")),"""",IF(ISERROR(FIND(""bins"",A25))=FALSE,VLOOKUP(""Base carcass 600"",Wardrobes_etcData,6,0),IF(OR(ISERROR(FIND(""larder"",A25))=FALSE,ISERROR(FIND(""unit"&amp;""",A25))=FALSE),VLOOKUP(LEFT(A25,FIND("" "",A25))&amp;""carcass ""&amp;RIGHT(A25,LEN(A25)-len(regexextract(A25,"".* ""))),Wardrobes_etcData,6,0),IF(ISERROR(FIND(""drawer front"",A25))=FALSE,IF(ISERROR(FIND(""veneer"",WardrobeCarcassMaterial))=TRUE,0,(((B25+C25)/1"&amp;"000)*2)*VLOOKUP(""Edge banding (per M)"",SheetsData,5,0)),IF(ISERROR(FIND(""drawer box"",A25))=FALSE,IF(ISERROR(FIND(""veneer"",WardrobeCarcassMaterial))=TRUE,0,(((C25+D25)/1000)*2)*VLOOKUP(""Edge banding (per M)"",SheetsData,5,0)),IF(ISERROR(FIND(""shelf"&amp;""",A25))=FALSE,IF(ISERROR(FIND(""veneer"",WardrobeCarcassMaterial))=TRUE,0,(C25/1000)*VLOOKUP(""Edge banding (per M)"",SheetsData,5,0)),IF(AND(OR(ISERROR(FIND(""arcass"",A25))=FALSE,ISERROR(FIND(""Fireplace"",A25))=FALSE),ISERROR(FIND(""shelf"",A25))=TRUE"&amp;"),IF(ISERROR(FIND(""veneer"",WardrobeCarcassMaterial))=TRUE,0,((2*(B25+C25))/1000)*VLOOKUP(""Edge banding (per M)"",SheetsData,5,0)),IF(ISERROR(FIND(""door"",A25))=TRUE,"""",IF(ISERROR(FIND(""veneer"",WardrobeDoorMaterial))=TRUE,"""",((2*(B25+C25))/1000)*"&amp;"VLOOKUP(""Edge banding (per M)"",SheetsData,5,0))))))))))"),0.0)</f>
        <v>0</v>
      </c>
      <c r="G25" s="153" t="str">
        <f>IF(A25="","",IF(AND(ISERROR(FIND("arcass",A25))=TRUE,ISERROR(FIND("Fireplace",A25))=TRUE),"",IF(VALUE(C25)&lt;606,4*VLOOKUP("Plinth foot (2 Parts 80mm)",FurnitureData,5,FALSE),IF(VALUE(C25)&lt;1211,6*VLOOKUP("Plinth foot (2 Parts 80mm)",FurnitureData,5,FALSE),8*VLOOKUP("Plinth foot (2 Parts 80mm)",FurnitureData,5,FALSE)))))</f>
        <v/>
      </c>
      <c r="H25" s="115" t="str">
        <f>IF(OR(A25="",ISERROR(FIND("door",A25))=TRUE),"",VLOOKUP("Hinges &amp; plates (Hettich thick door)",FurnitureData,5,0)*5)</f>
        <v/>
      </c>
      <c r="I25" s="115" t="str">
        <f>IF(ISERROR(FIND("shelf",A25))=FALSE,(VLOOKUP("Shelf pegs",FurnitureData,5,0)/100)*4,"")</f>
        <v/>
      </c>
      <c r="J25" s="152" t="str">
        <f>IF(OR(ISERROR(FIND("fridge/freezer",A25))=FALSE,ISERROR(FIND("sink",A25))=FALSE,ISERROR(FIND("larder",A25))=FALSE),VLOOKUP("Deep shelf "&amp;C25,Wardrobes_etcData,18,0),IF(OR(ISERROR(FIND("single oven",A25))=FALSE,ISERROR(FIND("Base carcass",A25))=FALSE),2*VLOOKUP("Deep shelf "&amp;C25,Wardrobes_etcData,18,0),IF(AND(ISERROR(FIND("wall carcass",A25))=FALSE,ISERROR(FIND("Boiler",A25))=TRUE),2*VLOOKUP("Shallow shelf "&amp;C25,Wardrobes_etcData,18,0),IF(ISERROR(FIND("double oven",A25))=FALSE,3*VLOOKUP("Deep shelf "&amp;C25,Wardrobes_etcData,18,0),IF(ISERROR(FIND("Tower carcass",A25))=FALSE,6*VLOOKUP("Deep shelf "&amp;C25,Wardrobes_etcData,18,0),"")))))</f>
        <v/>
      </c>
      <c r="K25" s="152" t="str">
        <f>IF(ISERROR(FIND("sink",A25))=FALSE,VLOOKUP("Sink liner - Aluminium "&amp;RIGHT(A25,LEN(A25)-22)&amp;"mm",ExceptionalData,5,0),IF(ISERROR(FIND("bins",A25))=FALSE,VLOOKUP("Drawer runners and clip set for bin unit (500) Dynapro",FurnitureData,5,0)+(2*VLOOKUP("Bin (42L Anthracite)",FurnitureData,5,0)),IF(ISERROR(FIND("larder",A25))=FALSE,VLOOKUP("Pull out larder unit 600mm",FurnitureData,5,0),IF(AND(ISERROR(FIND("drawer box",A25))=FALSE,ISERROR(FIND("internal",A25))=TRUE),VLOOKUP("Drawer runners and clip set (550) Dynapro",FurnitureData,5,0),IF(ISERROR(FIND("internal drawer box",A25))=FALSE,VLOOKUP("Drawer runners and clip set (450) Dynapro",FurnitureData,5,0),IF(ISERROR(FIND("table",A25))=FALSE,VLOOKUP("Hairpin Leg (12mm Black "&amp;MID(A25,FIND("(",A25)+1,LEN(A25)-(FIND("(",A25))-1)&amp;"mm)",ExceptionalData,4,FALSE),""))))))</f>
        <v/>
      </c>
      <c r="L25" s="152">
        <f t="shared" si="3"/>
        <v>1.993617307</v>
      </c>
      <c r="M25" s="154">
        <f>IF(A25="","",IF(AND(ISERROR(FIND("drawer front",A25))=FALSE,WardrobeDoorStyle="Flat"),(((B25/1000)*(C25/1000))*2)+((((B25+C25)/1000)*2)*0.022),IF(AND(ISERROR(FIND("drawer front",A25))=FALSE,LEFT(WardrobeDoorStyle,5)="Panel"),(((B25/1000)*(C25/1000))*2)+((((B25+C25)/1000)*2)*0.022)+((((C25/1000)-0.16)*0.013)*2)+((((D25/1000)-0.16)*0.013)*2),IF(AND(ISERROR(FIND("drawer front",A25))=FALSE,WardrobeDoorStyle="In-frame flat"),((((B25-76)/1000)*((C25-38)/1000))*2)+(MID(WardrobeDoorMaterial,FIND("(",WardrobeDoorMaterial)+1,2)/1000)*((((B25-76)+(C25-38))/1000)*2)+(((B25/1000)*0.032)*2)+((((B25-76)/1000)*0.032)*2)+(((B25/1000)*0.019)*4)+(((C25/1000)*0.032)*2)+((((C25-38)/1000)*0.032)*2)+(((C25/1000)*0.038)*4),IF(AND(ISERROR(FIND("drawer front",A25))=FALSE,LEFT(WardrobeDoorStyle,14)="In-frame panel"),((((B25-76)/1000)*((C25-38)/1000))*2)+((MID(WardrobeDoorMaterial,FIND("(",WardrobeDoorMaterial)+1,2)/1000)*((((B25-76)+(C25-38))/1000)*2))+((((B25-236)/1000)+((C25-198)/1000)*2)*0.013)+(((B25/1000)*0.032)*2)+((((B25-76)/1000)*0.032)*2)+(((B25/1000)*0.019)*4)+(((C25/1000)*0.032)*2)+((((C25-38)/1000)*0.032)*2)+(((C25/1000)*0.038)*4),IF(ISERROR(FIND("drawer box",A25))=FALSE,((((B25/1000)*(D25/1000))+((B25/1000)*(C25/1000)))*4)+((((D25/1000)+(C25/1000))*0.016)*4)+(((C25/1000)*(D25/1000))*2),IF(OR(ISERROR(FIND("shelf",A25))=FALSE,ISERROR(FIND("Filler panel",A25))=FALSE),(((C25/1000)*(D25/1000))*2)+((((C25+D25)*2)/1000)*0.022),IF(ISERROR(FIND("Fireplace",A25))=FALSE,((B25/1000)*(C25/1000)),IF(ISERROR(FIND("Worktop",A25))=FALSE,(B25/1000)*(C25/1000),IF(ISERROR(FIND("table",A25))=FALSE,(B25/1000)*0.6,IF(ISERROR(FIND("arcass",A25))=FALSE,(((C25/1000)*(D25/1000))*2)+(((B25/1000)*(D25/1000))*2)+((B25/1000)*(C25/1000))+((((B25/1000)*0.025)+((C25/1000)*0.025))*2),IF(AND(ISERROR(FIND("door",A25))=FALSE,WardrobeDoorStyle="Flat"),(((B25/1000)*(C25/1000))*2)+(MID(WardrobeDoorMaterial,FIND("(",WardrobeDoorMaterial)+1,2)/1000)*(((B25+C25)/1000)*2),IF(AND(ISERROR(FIND("door",A25))=FALSE,LEFT(WardrobeDoorStyle,5)="Panel"),(((B25/1000)*(C25/1000))*2)+((MID(WardrobeDoorMaterial,FIND("(",WardrobeDoorMaterial)+1,2)/1000)*(((B25+C25)/1000)*2))+(((((B25-160)+(C25-160))*2)/1000)*(0.013)),IF(AND(ISERROR(FIND("door",A25))=FALSE,WardrobeDoorStyle="In-frame flat"),((((B25-76)/1000)*((C25-38)/1000))*2)+(MID(WardrobeDoorMaterial,FIND("(",WardrobeDoorMaterial)+1,2)/1000)*((((B25-76)+(C25-38))/1000)*2)+(((B25/1000)*0.032)*2)+((((B25-76)/1000)*0.032)*2)+(((B25/1000)*0.019)*4)+(((C25/1000)*0.032)*2)+((((C25-38)/1000)*0.032)*2)+(((C25/1000)*0.038)*4),IF(AND(ISERROR(FIND("door",A25))=FALSE,LEFT(WardrobeDoorStyle,14)="In-frame panel"),((((B25-76)/1000)*((C25-38)/1000))*2)+((MID(WardrobeDoorMaterial,FIND("(",WardrobeDoorMaterial)+1,2)/1000)*((((B25-76)+(C25-38))/1000)*2))+((((B25-236)/1000)+((C25-198)/1000)*2)*0.013)+(((B25/1000)*0.032)*2)+((((B25-76)/1000)*0.032)*2)+(((B25/1000)*0.019)*4)+(((C25/1000)*0.032)*2)+((((C25-38)/1000)*0.032)*2)+(((C25/1000)*0.038)*4),IF(ISERROR(FIND("Plinth",A25))=FALSE,((B25/1000)*(C25/1000))+(((C25/1000)*0.018)*2)+(((B25/1000)*0.018)*2),IF(ISERROR(FIND("Cornice",A25))=FALSE,(((C25/1000)*0.1)*2)+(((C25/1000)*0.044)*2)+(((B25/1000)*0.08)*2),IF(ISERROR(FIND("Office pod",A25))=FALSE,((2400/1000)*(1200/1000))*6,IF(ISERROR(FIND("panel",A25))=FALSE,((B25/1000)*(C25/1000))+(0.022*((B25/1000)+((C25/1000)*2)))+((B25/1000)*0.05),IF(ISERROR(FIND("Fillers",A25))=FALSE,((C25/1000)*0.06)+((C25/1000)*0.069)+((0.06*0.018)*2)+((0.06*0.009)*2)+((C25/1000)*0.009)+((C25/1000)*0.018),IF(ISERROR(FIND("Pelmet",A25))=FALSE,((C25/1000)*0.05)+((C25/1000)*0.068)+((0.05*0.018)*4)+(((C25/1000)*0.018))*2)))))))))))))))))))))</f>
        <v>0.2576</v>
      </c>
      <c r="N25" s="152">
        <f>IF(M25="","",IF(AND(ISERROR(FIND("carcass",A25))=TRUE,ISERROR(FIND("unit",A25))=TRUE,ISERROR(FIND("insert",A25))=TRUE,ISERROR(FIND("rack",A25))=TRUE,ISERROR(FIND("box",A25))=TRUE,ISERROR(FIND("shelf",A25))=TRUE),VLOOKUP(WardrobeDoorFinish,Finishing!$A$2:$K$10,9,0)*M25,IF(ISERROR(FIND("table",A25))=FALSE,VLOOKUP("Sayerlack AF0072 Interior Clear Self-Sealer",FinishingData,9,FALSE)*M25,VLOOKUP(WardrobeCarcassFinish,Finishing!$A$2:$K$40,9,0)*M25)))</f>
        <v>1.932</v>
      </c>
      <c r="O25" s="155">
        <v>0.5</v>
      </c>
      <c r="P25" s="155">
        <v>0.5</v>
      </c>
      <c r="Q25" s="152">
        <f>IF(OR(O25="",P25=""),"",((O25*X25)*(VLOOKUP("Workshop",Labour!$A$3:$E$20,4,0)/8))+((P25*AE25)*(VLOOKUP("Finishing",Labour!$A$3:$E$20,4,0)/8)))</f>
        <v>35.875</v>
      </c>
      <c r="R25" s="152">
        <f t="shared" si="4"/>
        <v>39.80061731</v>
      </c>
      <c r="S25" s="156">
        <f>IF(OR(O25="",P25=""),"",IF(OR(ISERROR(FIND("carcass",$A25))=FALSE,ISERROR(FIND("unit",$A25))=FALSE),VLOOKUP(WardrobeCarcassMaterial,FixedListsCarcassMaterial,2,0),0))</f>
        <v>0</v>
      </c>
      <c r="T25" s="156">
        <f>IF(OR(O25="",P25=""),"",IF(ISERROR(FIND("door",$A25))=FALSE,VLOOKUP(WardrobeDoorStyle,FixedListsDoorStyle,2,0),0))</f>
        <v>0</v>
      </c>
      <c r="U25" s="156">
        <f>IF(OR(O25="",P25=""),"",IF(ISERROR(FIND("door",$A25))=FALSE,VLOOKUP(WardrobeDoorMaterial,FixedListsDoorMaterial,2,0),0))</f>
        <v>0</v>
      </c>
      <c r="V25" s="156">
        <f>IF(OR(O25="",P25=""),"",IF(ISERROR(FIND("drawer",$A25))=FALSE,VLOOKUP(WardrobeDrawerType,FixedListsDrawerType,2,0),0))</f>
        <v>1</v>
      </c>
      <c r="W25" s="156">
        <f>IF(OR(O25="",P25=""),"",IF(S25&gt;0,VLOOKUP(WardrobeHandleType,FixedListsHandleType,2,FALSE),0))</f>
        <v>0</v>
      </c>
      <c r="X25" s="156">
        <f t="shared" si="5"/>
        <v>1</v>
      </c>
      <c r="Y25" s="156">
        <f>IF(OR(O25="",P25=""),"",IF(OR(ISERROR(FIND("carcass",$A25))=FALSE,ISERROR(FIND("unit",$A25))=FALSE),VLOOKUP(WardrobeCarcassMaterial,FixedListsCarcassMaterial,3,0),0))</f>
        <v>0</v>
      </c>
      <c r="Z25" s="156">
        <f>IF(OR(O25="",P25=""),"",IF(ISERROR(FIND("door",$A25))=FALSE,VLOOKUP(WardrobeDoorStyle,FixedListsDoorStyle,3,0),0))</f>
        <v>0</v>
      </c>
      <c r="AA25" s="156">
        <f>IF(OR(O25="",P25=""),"",IF(ISERROR(FIND("door",$A25))=FALSE,VLOOKUP(WardrobeDoorMaterial,FixedListsDoorMaterial,3,0),0))</f>
        <v>0</v>
      </c>
      <c r="AB25" s="156">
        <f>IF(OR(O25="",P25=""),"",IF(ISERROR(FIND("drawer",$A25))=FALSE,VLOOKUP(WardrobeDrawerType,FixedListsDrawerType,3,0),0))</f>
        <v>1</v>
      </c>
      <c r="AC25" s="156">
        <f>IF(OR(O25="",P25=""),"",IF(S25&gt;0,VLOOKUP(WardrobeHandleType,FixedListsHandleType,3,FALSE),0))</f>
        <v>0</v>
      </c>
      <c r="AD25" s="156">
        <f>IF(OR(O25="",P25=""),"",IF(OR(ISERROR(FIND("carcass",$A25))=FALSE,ISERROR(FIND("unit",$A25))=FALSE),VLOOKUP(WardrobeCarcassFinish,FixedListsFinishes,3,0),IF(OR(ISERROR(FIND("door",$A25))=FALSE,ISERROR(FIND("Plinth",$A25))=FALSE,ISERROR(FIND("Cornice",$A25))=FALSE,ISERROR(FIND("Fillers",$A25))=FALSE,ISERROR(FIND("Pelmet",$A25))=FALSE,ISERROR(FIND("panel",$A25))=FALSE,ISERROR(FIND("post",$A25))=FALSE),VLOOKUP(WardrobeDoorFinish,FixedListsFinishes,3,0),IF(OR(ISERROR(FIND("drawer",$A25))=FALSE,ISERROR(FIND("insert",$A25))=FALSE,ISERROR(FIND("rck",$A25))=FALSE),VLOOKUP(WardrobeCarcassFinish,FixedListsFinishes,3,0),0))))</f>
        <v>1</v>
      </c>
      <c r="AE25" s="156">
        <f t="shared" si="6"/>
        <v>1</v>
      </c>
      <c r="AF25" s="157" t="str">
        <f>IF(AND(WardrobeHandleType="Channel",OR(ISERROR(FIND("arcass",$A25))=FALSE,ISERROR(FIND("unit",$A25))=FALSE)),IF(ISERROR(FIND("Tower",$A25))=TRUE,IF(WardrobeHandleFinish="Match carcass",IF(ISERROR(FIND("Walnut",WardrobeCarcassMaterial))=FALSE,(0.035*0.075*($C25/1000))*VLOOKUP("Walnut (solid m3)",SolidData,4,FALSE),IF(ISERROR(FIND("Oak",WardrobeCarcassMaterial))=FALSE,(0.035*0.075*($C25/1000))*VLOOKUP("Oak (solid m3)",SolidData,4,FALSE),IF(ISERROR(FIND("ply",WardrobeCarcassMaterial))=FALSE,(0.1*($C25/1000))*VLOOKUP("Birch ply (24mm)",SheetsData,7,FALSE),IF(ISERROR(FIND("H/F",WardrobeCarcassMaterial))=FALSE,(0.1*($C25/1000))*VLOOKUP("H/F (22mm)",SheetsData,7,FALSE),"Carcass - not tower - new material")))),IF(WardrobeHandleFinish="Match door",IF(ISERROR(FIND("Walnut",WardrobeDoorMaterial))=FALSE,(0.035*0.075*($C25/1000))*VLOOKUP("Walnut (solid m3)",SolidData,4,FALSE),IF(ISERROR(FIND("Oak",WardrobeDoorMaterial))=FALSE,(0.035*0.075*($C25/1000))*VLOOKUP("Oak (solid m3)",SolidData,4,FALSE),IF(ISERROR(FIND("ply",WardrobeDoorMaterial))=FALSE,(0.1*($C25/1000))*VLOOKUP("Birch ply (24mm)",SheetsData,7,FALSE),IF(ISERROR(FIND("H/F",WardrobeCarcassMaterial))=FALSE,(0.1*($C25/1000))*VLOOKUP("H/F (22mm)",SheetsData,7,FALSE),"Door - not tower - new material")))),"Channel - not tower - handle set to other")),IF(ISERROR(FIND("Tower",$A25))=FALSE,IF(WardrobeHandleFinish="Match carcass",IF(ISERROR(FIND("Walnut",WardrobeCarcassMaterial))=FALSE,(0.035*0.075*($B25/1000))*VLOOKUP("Walnut (solid m3)",SolidData,4,FALSE),IF(ISERROR(FIND("Oak",WardrobeCarcassMaterial))=FALSE,(0.035*0.075*($B25/1000))*VLOOKUP("Oak (solid m3)",SolidData,4,FALSE),IF(ISERROR(FIND("ply",WardrobeCarcassMaterial))=FALSE,(0.1*($B25/1000))*VLOOKUP("Birch ply (24mm)",SheetsData,7,FALSE),IF(ISERROR(FIND("H/F",WardrobeCarcassMaterial))=FALSE,(0.1*($C25/1000))*VLOOKUP("H/F (22mm)",SheetsData,7,FALSE),"Carcass - tower - new material")))),IF(WardrobeHandleFinish="Match door",IF(ISERROR(FIND("Walnut",WardrobeDoorMaterial))=FALSE,(0.035*0.075*($B25/1000))*VLOOKUP("Walnut (solid m3)",SolidData,4,FALSE),IF(ISERROR(FIND("Oak",WardrobeDoorMaterial))=FALSE,(0.035*0.075*($B25/1000))*VLOOKUP("Oak (solid m3)",SolidData,4,FALSE),IF(ISERROR(FIND("ply",WardrobeDoorMaterial))=FALSE,(0.1*($B25/1000))*VLOOKUP("Birch ply (24mm)",SheetData,7,FALSE),IF(ISERROR(FIND("H/F",WardrobeCarcassMaterial))=FALSE,(0.1*($C25/1000))*VLOOKUP("H/F (22mm)",SheetsData,7,FALSE),"Door - tower - new material")))),"Channel - tower - handle set to other")))),"")</f>
        <v/>
      </c>
    </row>
    <row r="26">
      <c r="A26" s="150" t="s">
        <v>234</v>
      </c>
      <c r="B26" s="160" t="str">
        <f t="shared" si="1"/>
        <v>180</v>
      </c>
      <c r="C26" s="160" t="str">
        <f>IFERROR(__xludf.DUMMYFUNCTION("IF(A26="""","""",IF(ISERROR(FIND(""arcass"",A26))=FALSE,MID(A26,FIND(""*"",A26)+1,FIND(""*"",A26,FIND(""*"",A26)+1)-FIND(""*"",A26)-1),IF(ISERROR(FIND(""End panel"",A26))=FALSE,RIGHT(A26,3),IF(OR(ISERROR(FIND(""drawer"",A26))=FALSE,ISERROR(FIND(""door"",A"&amp;"26))=FALSE,ISERROR(FIND(""shelf"",A26))=FALSE,ISERROR(FIND(""panel"",A26))=FALSE,ISERROR(FIND(""Plinth"",A26))=FALSE,ISERROR(FIND(""Cornice"",A26))=FALSE,ISERROR(FIND(""Fillers"",A26))=FALSE,ISERROR(FIND(""Pelmet"",A26))=FALSE,ISERROR(FIND(""Fireplace up "&amp;"to 1600"",A26))=FALSE),RIGHT(A26,LEN(A26)-LEN(regexextract(A26,"".* ""))),IF(ISERROR(FIND(""table"",A26))=FALSE,""560"",IF(ISERROR(FIND(""Office pod"",A26))=FALSE,""1600"",IF(ISERROR(FIND(""Fireplace over 1600"",A26))=FALSE,""2400"",IF(ISERROR(FIND(""Work"&amp;"top"",A26))=FALSE,""650"",""Whoops""))))))))"),"1200")</f>
        <v>1200</v>
      </c>
      <c r="D26" s="161" t="str">
        <f t="shared" si="2"/>
        <v/>
      </c>
      <c r="E26" s="152">
        <f>IF(OR(A26="",AND(ISERROR(FIND("drawer",A26))=FALSE,WardrobeDrawerType="")),"",IF(ISERROR(FIND("door",A26))=FALSE,IF(WardrobeDoorStyle="Flat",((B26/1000)*(C26/1000))*VLOOKUP(WardrobeDoorMaterial,SheetsData,8,0),IF(LEFT(WardrobeDoorStyle,5)="Panel",(((((B26/1000)*2)*0.08)+((((C26/1000)-0.16)*2)*0.08))*VLOOKUP("H/F (22mm)",SheetsData,8,0))+(((B26/1000)-0.14)*((C26/1000)-0.14)*VLOOKUP("H/F (9mm)",SheetsData,8,0)),IF(WardrobeDoorStyle="In-frame flat",((((((B26/1000)*0.019)*0.038)+((((C26-38)/1000)*0.038)*0.038))*2)*VLOOKUP("Tulip (solid m3)",SolidData,4,0))+(((B26-76)/1000)*((C26-38)/1000))*VLOOKUP("H/F (22mm)",SheetsData,8,0),IF(LEFT(WardrobeDoorStyle,14)="In-frame panel",(((((((B26/1000)*0.019)*0.038)+((((C26-38)/1000)*0.038)*0.038))*2)*VLOOKUP("Tulip (solid m3)",SolidData,4,0))+(((((((B26-76)/1000)*2)*0.08)+(((((C26-198)/1000)*2)*0.08)))*VLOOKUP("H/F (22mm)",SheetsData,8,0))+(((B26-216)/1000)*((C26-178)/1000)*VLOOKUP("H/F (9mm)",SheetsData,8,0)))))))),IF(AND(ISERROR(FIND("arcass",A26))=FALSE,ISERROR(FIND("ost corner",A26))=TRUE),IF(AND(VALUE(B26)&lt;1211,VALUE(C26)&lt;1211,VALUE(D26)&lt;606),1*VLOOKUP(WardrobeCarcassMaterial,SheetsData,5,FALSE),IF(AND(VALUE(B26)&lt;2421,VALUE(C26)&lt;2421,VALUE(D26)&lt;606),2*VLOOKUP(WardrobeCarcassMaterial,SheetsData,5,FALSE),IF(AND(VALUE(B26)&lt;2421,VALUE(C26)&lt;1211,VALUE(D26)&lt;1211),3*VLOOKUP(WardrobeCarcassMaterial,SheetsData,5,FALSE),IF(AND(VALUE(B26)&lt;2421,VALUE(C26)&lt;2421,VALUE(D26)&lt;1211),4*VLOOKUP(WardrobeCarcassMaterial,SheetsData,5,FALSE))))),IF(AND(ISERROR(FIND("arcass",A26))=FALSE,ISERROR(FIND("ost corner",A26))=FALSE),IF(AND(VALUE(B26)&lt;1211,VALUE(C26)&lt;1211,VALUE(D26)&lt;606),(1*VLOOKUP(WardrobeCarcassMaterial,SheetsData,5,FALSE))+(VLOOKUP("H/F (22mm)",SheetsData,7,FALSE)*1.44),IF(AND(VALUE(B26)&lt;2421,VALUE(C26)&lt;2421,VALUE(D26)&lt;606),(2*VLOOKUP(WardrobeCarcassMaterial,SheetsData,5,FALSE))+(VLOOKUP("H/F (22mm)",SheetsData,7,FALSE)*1.44),IF(AND(VALUE(B26)&lt;2421,VALUE(C26)&lt;1211,VALUE(D26)&lt;1211),(3*VLOOKUP(WardrobeCarcassMaterial,SheetsData,5,FALSE))+(VLOOKUP("H/F (22mm)",SheetsData,7,FALSE)*1.44),IF(AND(VALUE(B26)&lt;2421,VALUE(C26)&lt;2421,VALUE(D26)&lt;1211),(4*VLOOKUP(WardrobeCarcassMaterial,SheetsData,5,FALSE))+(VLOOKUP("H/F (22mm)",SheetsData,7,FALSE)*1.44))))),IF(ISERROR(FIND("drawer front",A26))=FALSE,((B26/1000)*(C26/1000))*VLOOKUP(WardrobeDoorMaterial,SheetsData,8,0),IF(AND(WardrobeDrawerType="Match carcass",ISERROR(FIND("drawer box",A26))=FALSE),(((((B26/1000)*(C26/1000))+((B26/1000)*(D26/1000)))*2)*VLOOKUP(WardrobeCarcassMaterial,SheetsData,8,0))+(((C26/1000)*(D26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box",A26))=FALSE),(((((B26/1000)*(C26/1000))+((B26/1000)*(D26/1000)))*2)*(16/1000)*VLOOKUP(LEFT(WardrobeCarcassMaterial,FIND(" ",WardrobeCarcassMaterial))&amp;"(solid m3)",SolidData,4,0))+(((C26/1000)*(D26/1000))*VLOOKUP(LEFT(WardrobeCarcassMaterial,FIND("(",WardrobeCarcassMaterial)-1)&amp;IF(OR(ISERROR(FIND("ply",WardrobeCarcassMaterial))=FALSE,ISERROR(FIND("H/F",WardrobeCarcassMaterial))=FALSE),"(9mm)","(10mm)"),SheetsData,8,0)),IF(ISERROR(FIND("shelf",A26))=FALSE,((C26/1000)*(D26/1000))*VLOOKUP(WardrobeCarcassMaterial,SheetsData,7,FALSE),IF(ISERROR(FIND("Office pod",A26))=FALSE,3*VLOOKUP(WardrobeCarcassMaterial,SheetsData,5,0),IF(ISERROR(FIND(" panel",A26))=FALSE,((B26/1000)*(C26/1000))*VLOOKUP(WardrobeDoorMaterial,SheetsData,8,0),IF(ISERROR(FIND("Fillers",A26))=FALSE,(((0.06*(C26/1000))*2)*VLOOKUP("H/F (18mm)",SheetsData,8,0))+(((0.06*(C26/1000))*2)*VLOOKUP("H/F (9mm)",SheetsData,8,0)),IF(ISERROR(FIND("Cornice (stacked)",A26))=FALSE,((0.08*(C26/1000))*2)*VLOOKUP("H/F (22mm)",SheetsData,8,0),IF(OR(ISERROR(FIND("Plinth",A26))=FALSE,ISERROR(FIND("Cornice (flat)",A26))=FALSE),((B26/1000)*(C26/1000))*VLOOKUP("H/F (18mm)",SheetsData,8,0),IF(ISERROR(FIND("Pelmet",A26))=FALSE,((((B26/1000)*(C26/1000))*2)*VLOOKUP("H/F (18mm)",SheetsData,8,0)),IF(ISERROR(FIND("Fireplace",A26))=FALSE,IF(ISERROR(FIND("over 1600",A26))=FALSE,2*VLOOKUP(WardrobeCarcassMaterial,SheetsData,5,FALSE),VLOOKUP(WardrobeCarcassMaterial,SheetsData,5,FALSE)),IF(ISERROR(FIND("table",A26))=FALSE,((B26/1000)*0.6)*VLOOKUP("Birch ply (24mm)",SheetsData,7,FALSE),IF(ISERROR(FIND("Worktop",A26))=FALSE,((B26/1000)*(C26/1000))*VLOOKUP(WardrobeDoorMaterial,SheetsData,7,FALSE),"Check formula")))))))))))))))))</f>
        <v>3.987234614</v>
      </c>
      <c r="F26" s="152">
        <f>IFERROR(__xludf.DUMMYFUNCTION("IF(OR(A26="""",AND(ISERROR(FIND(""drawer box"",A26))=FALSE,WardrobeDrawerType=""Solid dovetail"")),"""",IF(ISERROR(FIND(""bins"",A26))=FALSE,VLOOKUP(""Base carcass 600"",Wardrobes_etcData,6,0),IF(OR(ISERROR(FIND(""larder"",A26))=FALSE,ISERROR(FIND(""unit"&amp;""",A26))=FALSE),VLOOKUP(LEFT(A26,FIND("" "",A26))&amp;""carcass ""&amp;RIGHT(A26,LEN(A26)-len(regexextract(A26,"".* ""))),Wardrobes_etcData,6,0),IF(ISERROR(FIND(""drawer front"",A26))=FALSE,IF(ISERROR(FIND(""veneer"",WardrobeCarcassMaterial))=TRUE,0,(((B26+C26)/1"&amp;"000)*2)*VLOOKUP(""Edge banding (per M)"",SheetsData,5,0)),IF(ISERROR(FIND(""drawer box"",A26))=FALSE,IF(ISERROR(FIND(""veneer"",WardrobeCarcassMaterial))=TRUE,0,(((C26+D26)/1000)*2)*VLOOKUP(""Edge banding (per M)"",SheetsData,5,0)),IF(ISERROR(FIND(""shelf"&amp;""",A26))=FALSE,IF(ISERROR(FIND(""veneer"",WardrobeCarcassMaterial))=TRUE,0,(C26/1000)*VLOOKUP(""Edge banding (per M)"",SheetsData,5,0)),IF(AND(OR(ISERROR(FIND(""arcass"",A26))=FALSE,ISERROR(FIND(""Fireplace"",A26))=FALSE),ISERROR(FIND(""shelf"",A26))=TRUE"&amp;"),IF(ISERROR(FIND(""veneer"",WardrobeCarcassMaterial))=TRUE,0,((2*(B26+C26))/1000)*VLOOKUP(""Edge banding (per M)"",SheetsData,5,0)),IF(ISERROR(FIND(""door"",A26))=TRUE,"""",IF(ISERROR(FIND(""veneer"",WardrobeDoorMaterial))=TRUE,"""",((2*(B26+C26))/1000)*"&amp;"VLOOKUP(""Edge banding (per M)"",SheetsData,5,0))))))))))"),0.0)</f>
        <v>0</v>
      </c>
      <c r="G26" s="153" t="str">
        <f>IF(A26="","",IF(AND(ISERROR(FIND("arcass",A26))=TRUE,ISERROR(FIND("Fireplace",A26))=TRUE),"",IF(VALUE(C26)&lt;606,4*VLOOKUP("Plinth foot (2 Parts 80mm)",FurnitureData,5,FALSE),IF(VALUE(C26)&lt;1211,6*VLOOKUP("Plinth foot (2 Parts 80mm)",FurnitureData,5,FALSE),8*VLOOKUP("Plinth foot (2 Parts 80mm)",FurnitureData,5,FALSE)))))</f>
        <v/>
      </c>
      <c r="H26" s="115" t="str">
        <f>IF(OR(A26="",ISERROR(FIND("door",A26))=TRUE),"",VLOOKUP("Hinges &amp; plates (Hettich thick door)",FurnitureData,5,0)*5)</f>
        <v/>
      </c>
      <c r="I26" s="115" t="str">
        <f>IF(ISERROR(FIND("shelf",A26))=FALSE,(VLOOKUP("Shelf pegs",FurnitureData,5,0)/100)*4,"")</f>
        <v/>
      </c>
      <c r="J26" s="152" t="str">
        <f>IF(OR(ISERROR(FIND("fridge/freezer",A26))=FALSE,ISERROR(FIND("sink",A26))=FALSE,ISERROR(FIND("larder",A26))=FALSE),VLOOKUP("Deep shelf "&amp;C26,Wardrobes_etcData,18,0),IF(OR(ISERROR(FIND("single oven",A26))=FALSE,ISERROR(FIND("Base carcass",A26))=FALSE),2*VLOOKUP("Deep shelf "&amp;C26,Wardrobes_etcData,18,0),IF(AND(ISERROR(FIND("wall carcass",A26))=FALSE,ISERROR(FIND("Boiler",A26))=TRUE),2*VLOOKUP("Shallow shelf "&amp;C26,Wardrobes_etcData,18,0),IF(ISERROR(FIND("double oven",A26))=FALSE,3*VLOOKUP("Deep shelf "&amp;C26,Wardrobes_etcData,18,0),IF(ISERROR(FIND("Tower carcass",A26))=FALSE,6*VLOOKUP("Deep shelf "&amp;C26,Wardrobes_etcData,18,0),"")))))</f>
        <v/>
      </c>
      <c r="K26" s="152" t="str">
        <f>IF(ISERROR(FIND("sink",A26))=FALSE,VLOOKUP("Sink liner - Aluminium "&amp;RIGHT(A26,LEN(A26)-22)&amp;"mm",ExceptionalData,5,0),IF(ISERROR(FIND("bins",A26))=FALSE,VLOOKUP("Drawer runners and clip set for bin unit (500) Dynapro",FurnitureData,5,0)+(2*VLOOKUP("Bin (42L Anthracite)",FurnitureData,5,0)),IF(ISERROR(FIND("larder",A26))=FALSE,VLOOKUP("Pull out larder unit 600mm",FurnitureData,5,0),IF(AND(ISERROR(FIND("drawer box",A26))=FALSE,ISERROR(FIND("internal",A26))=TRUE),VLOOKUP("Drawer runners and clip set (550) Dynapro",FurnitureData,5,0),IF(ISERROR(FIND("internal drawer box",A26))=FALSE,VLOOKUP("Drawer runners and clip set (450) Dynapro",FurnitureData,5,0),IF(ISERROR(FIND("table",A26))=FALSE,VLOOKUP("Hairpin Leg (12mm Black "&amp;MID(A26,FIND("(",A26)+1,LEN(A26)-(FIND("(",A26))-1)&amp;"mm)",ExceptionalData,4,FALSE),""))))))</f>
        <v/>
      </c>
      <c r="L26" s="152">
        <f t="shared" si="3"/>
        <v>3.987234614</v>
      </c>
      <c r="M26" s="154">
        <f>IF(A26="","",IF(AND(ISERROR(FIND("drawer front",A26))=FALSE,WardrobeDoorStyle="Flat"),(((B26/1000)*(C26/1000))*2)+((((B26+C26)/1000)*2)*0.022),IF(AND(ISERROR(FIND("drawer front",A26))=FALSE,LEFT(WardrobeDoorStyle,5)="Panel"),(((B26/1000)*(C26/1000))*2)+((((B26+C26)/1000)*2)*0.022)+((((C26/1000)-0.16)*0.013)*2)+((((D26/1000)-0.16)*0.013)*2),IF(AND(ISERROR(FIND("drawer front",A26))=FALSE,WardrobeDoorStyle="In-frame flat"),((((B26-76)/1000)*((C26-38)/1000))*2)+(MID(WardrobeDoorMaterial,FIND("(",WardrobeDoorMaterial)+1,2)/1000)*((((B26-76)+(C26-38))/1000)*2)+(((B26/1000)*0.032)*2)+((((B26-76)/1000)*0.032)*2)+(((B26/1000)*0.019)*4)+(((C26/1000)*0.032)*2)+((((C26-38)/1000)*0.032)*2)+(((C26/1000)*0.038)*4),IF(AND(ISERROR(FIND("drawer front",A26))=FALSE,LEFT(WardrobeDoorStyle,14)="In-frame panel"),((((B26-76)/1000)*((C26-38)/1000))*2)+((MID(WardrobeDoorMaterial,FIND("(",WardrobeDoorMaterial)+1,2)/1000)*((((B26-76)+(C26-38))/1000)*2))+((((B26-236)/1000)+((C26-198)/1000)*2)*0.013)+(((B26/1000)*0.032)*2)+((((B26-76)/1000)*0.032)*2)+(((B26/1000)*0.019)*4)+(((C26/1000)*0.032)*2)+((((C26-38)/1000)*0.032)*2)+(((C26/1000)*0.038)*4),IF(ISERROR(FIND("drawer box",A26))=FALSE,((((B26/1000)*(D26/1000))+((B26/1000)*(C26/1000)))*4)+((((D26/1000)+(C26/1000))*0.016)*4)+(((C26/1000)*(D26/1000))*2),IF(OR(ISERROR(FIND("shelf",A26))=FALSE,ISERROR(FIND("Filler panel",A26))=FALSE),(((C26/1000)*(D26/1000))*2)+((((C26+D26)*2)/1000)*0.022),IF(ISERROR(FIND("Fireplace",A26))=FALSE,((B26/1000)*(C26/1000)),IF(ISERROR(FIND("Worktop",A26))=FALSE,(B26/1000)*(C26/1000),IF(ISERROR(FIND("table",A26))=FALSE,(B26/1000)*0.6,IF(ISERROR(FIND("arcass",A26))=FALSE,(((C26/1000)*(D26/1000))*2)+(((B26/1000)*(D26/1000))*2)+((B26/1000)*(C26/1000))+((((B26/1000)*0.025)+((C26/1000)*0.025))*2),IF(AND(ISERROR(FIND("door",A26))=FALSE,WardrobeDoorStyle="Flat"),(((B26/1000)*(C26/1000))*2)+(MID(WardrobeDoorMaterial,FIND("(",WardrobeDoorMaterial)+1,2)/1000)*(((B26+C26)/1000)*2),IF(AND(ISERROR(FIND("door",A26))=FALSE,LEFT(WardrobeDoorStyle,5)="Panel"),(((B26/1000)*(C26/1000))*2)+((MID(WardrobeDoorMaterial,FIND("(",WardrobeDoorMaterial)+1,2)/1000)*(((B26+C26)/1000)*2))+(((((B26-160)+(C26-160))*2)/1000)*(0.013)),IF(AND(ISERROR(FIND("door",A26))=FALSE,WardrobeDoorStyle="In-frame flat"),((((B26-76)/1000)*((C26-38)/1000))*2)+(MID(WardrobeDoorMaterial,FIND("(",WardrobeDoorMaterial)+1,2)/1000)*((((B26-76)+(C26-38))/1000)*2)+(((B26/1000)*0.032)*2)+((((B26-76)/1000)*0.032)*2)+(((B26/1000)*0.019)*4)+(((C26/1000)*0.032)*2)+((((C26-38)/1000)*0.032)*2)+(((C26/1000)*0.038)*4),IF(AND(ISERROR(FIND("door",A26))=FALSE,LEFT(WardrobeDoorStyle,14)="In-frame panel"),((((B26-76)/1000)*((C26-38)/1000))*2)+((MID(WardrobeDoorMaterial,FIND("(",WardrobeDoorMaterial)+1,2)/1000)*((((B26-76)+(C26-38))/1000)*2))+((((B26-236)/1000)+((C26-198)/1000)*2)*0.013)+(((B26/1000)*0.032)*2)+((((B26-76)/1000)*0.032)*2)+(((B26/1000)*0.019)*4)+(((C26/1000)*0.032)*2)+((((C26-38)/1000)*0.032)*2)+(((C26/1000)*0.038)*4),IF(ISERROR(FIND("Plinth",A26))=FALSE,((B26/1000)*(C26/1000))+(((C26/1000)*0.018)*2)+(((B26/1000)*0.018)*2),IF(ISERROR(FIND("Cornice",A26))=FALSE,(((C26/1000)*0.1)*2)+(((C26/1000)*0.044)*2)+(((B26/1000)*0.08)*2),IF(ISERROR(FIND("Office pod",A26))=FALSE,((2400/1000)*(1200/1000))*6,IF(ISERROR(FIND("panel",A26))=FALSE,((B26/1000)*(C26/1000))+(0.022*((B26/1000)+((C26/1000)*2)))+((B26/1000)*0.05),IF(ISERROR(FIND("Fillers",A26))=FALSE,((C26/1000)*0.06)+((C26/1000)*0.069)+((0.06*0.018)*2)+((0.06*0.009)*2)+((C26/1000)*0.009)+((C26/1000)*0.018),IF(ISERROR(FIND("Pelmet",A26))=FALSE,((C26/1000)*0.05)+((C26/1000)*0.068)+((0.05*0.018)*4)+(((C26/1000)*0.018))*2)))))))))))))))))))))</f>
        <v>0.5156</v>
      </c>
      <c r="N26" s="152">
        <f>IF(M26="","",IF(AND(ISERROR(FIND("carcass",A26))=TRUE,ISERROR(FIND("unit",A26))=TRUE,ISERROR(FIND("insert",A26))=TRUE,ISERROR(FIND("rack",A26))=TRUE,ISERROR(FIND("box",A26))=TRUE,ISERROR(FIND("shelf",A26))=TRUE),VLOOKUP(WardrobeDoorFinish,Finishing!$A$2:$K$10,9,0)*M26,IF(ISERROR(FIND("table",A26))=FALSE,VLOOKUP("Sayerlack AF0072 Interior Clear Self-Sealer",FinishingData,9,FALSE)*M26,VLOOKUP(WardrobeCarcassFinish,Finishing!$A$2:$K$40,9,0)*M26)))</f>
        <v>3.867</v>
      </c>
      <c r="O26" s="155">
        <v>0.5</v>
      </c>
      <c r="P26" s="155">
        <v>0.5</v>
      </c>
      <c r="Q26" s="152">
        <f>IF(OR(O26="",P26=""),"",((O26*X26)*(VLOOKUP("Workshop",Labour!$A$3:$E$20,4,0)/8))+((P26*AE26)*(VLOOKUP("Finishing",Labour!$A$3:$E$20,4,0)/8)))</f>
        <v>35.875</v>
      </c>
      <c r="R26" s="152">
        <f t="shared" si="4"/>
        <v>43.72923461</v>
      </c>
      <c r="S26" s="156">
        <f>IF(OR(O26="",P26=""),"",IF(OR(ISERROR(FIND("carcass",$A26))=FALSE,ISERROR(FIND("unit",$A26))=FALSE),VLOOKUP(WardrobeCarcassMaterial,FixedListsCarcassMaterial,2,0),0))</f>
        <v>0</v>
      </c>
      <c r="T26" s="156">
        <f>IF(OR(O26="",P26=""),"",IF(ISERROR(FIND("door",$A26))=FALSE,VLOOKUP(WardrobeDoorStyle,FixedListsDoorStyle,2,0),0))</f>
        <v>0</v>
      </c>
      <c r="U26" s="156">
        <f>IF(OR(O26="",P26=""),"",IF(ISERROR(FIND("door",$A26))=FALSE,VLOOKUP(WardrobeDoorMaterial,FixedListsDoorMaterial,2,0),0))</f>
        <v>0</v>
      </c>
      <c r="V26" s="156">
        <f>IF(OR(O26="",P26=""),"",IF(ISERROR(FIND("drawer",$A26))=FALSE,VLOOKUP(WardrobeDrawerType,FixedListsDrawerType,2,0),0))</f>
        <v>1</v>
      </c>
      <c r="W26" s="156">
        <f>IF(OR(O26="",P26=""),"",IF(S26&gt;0,VLOOKUP(WardrobeHandleType,FixedListsHandleType,2,FALSE),0))</f>
        <v>0</v>
      </c>
      <c r="X26" s="156">
        <f t="shared" si="5"/>
        <v>1</v>
      </c>
      <c r="Y26" s="156">
        <f>IF(OR(O26="",P26=""),"",IF(OR(ISERROR(FIND("carcass",$A26))=FALSE,ISERROR(FIND("unit",$A26))=FALSE),VLOOKUP(WardrobeCarcassMaterial,FixedListsCarcassMaterial,3,0),0))</f>
        <v>0</v>
      </c>
      <c r="Z26" s="156">
        <f>IF(OR(O26="",P26=""),"",IF(ISERROR(FIND("door",$A26))=FALSE,VLOOKUP(WardrobeDoorStyle,FixedListsDoorStyle,3,0),0))</f>
        <v>0</v>
      </c>
      <c r="AA26" s="156">
        <f>IF(OR(O26="",P26=""),"",IF(ISERROR(FIND("door",$A26))=FALSE,VLOOKUP(WardrobeDoorMaterial,FixedListsDoorMaterial,3,0),0))</f>
        <v>0</v>
      </c>
      <c r="AB26" s="156">
        <f>IF(OR(O26="",P26=""),"",IF(ISERROR(FIND("drawer",$A26))=FALSE,VLOOKUP(WardrobeDrawerType,FixedListsDrawerType,3,0),0))</f>
        <v>1</v>
      </c>
      <c r="AC26" s="156">
        <f>IF(OR(O26="",P26=""),"",IF(S26&gt;0,VLOOKUP(WardrobeHandleType,FixedListsHandleType,3,FALSE),0))</f>
        <v>0</v>
      </c>
      <c r="AD26" s="156">
        <f>IF(OR(O26="",P26=""),"",IF(OR(ISERROR(FIND("carcass",$A26))=FALSE,ISERROR(FIND("unit",$A26))=FALSE),VLOOKUP(WardrobeCarcassFinish,FixedListsFinishes,3,0),IF(OR(ISERROR(FIND("door",$A26))=FALSE,ISERROR(FIND("Plinth",$A26))=FALSE,ISERROR(FIND("Cornice",$A26))=FALSE,ISERROR(FIND("Fillers",$A26))=FALSE,ISERROR(FIND("Pelmet",$A26))=FALSE,ISERROR(FIND("panel",$A26))=FALSE,ISERROR(FIND("post",$A26))=FALSE),VLOOKUP(WardrobeDoorFinish,FixedListsFinishes,3,0),IF(OR(ISERROR(FIND("drawer",$A26))=FALSE,ISERROR(FIND("insert",$A26))=FALSE,ISERROR(FIND("rck",$A26))=FALSE),VLOOKUP(WardrobeCarcassFinish,FixedListsFinishes,3,0),0))))</f>
        <v>1</v>
      </c>
      <c r="AE26" s="156">
        <f t="shared" si="6"/>
        <v>1</v>
      </c>
      <c r="AF26" s="157" t="str">
        <f>IF(AND(WardrobeHandleType="Channel",OR(ISERROR(FIND("arcass",$A26))=FALSE,ISERROR(FIND("unit",$A26))=FALSE)),IF(ISERROR(FIND("Tower",$A26))=TRUE,IF(WardrobeHandleFinish="Match carcass",IF(ISERROR(FIND("Walnut",WardrobeCarcassMaterial))=FALSE,(0.035*0.075*($C26/1000))*VLOOKUP("Walnut (solid m3)",SolidData,4,FALSE),IF(ISERROR(FIND("Oak",WardrobeCarcassMaterial))=FALSE,(0.035*0.075*($C26/1000))*VLOOKUP("Oak (solid m3)",SolidData,4,FALSE),IF(ISERROR(FIND("ply",WardrobeCarcassMaterial))=FALSE,(0.1*($C26/1000))*VLOOKUP("Birch ply (24mm)",SheetsData,7,FALSE),IF(ISERROR(FIND("H/F",WardrobeCarcassMaterial))=FALSE,(0.1*($C26/1000))*VLOOKUP("H/F (22mm)",SheetsData,7,FALSE),"Carcass - not tower - new material")))),IF(WardrobeHandleFinish="Match door",IF(ISERROR(FIND("Walnut",WardrobeDoorMaterial))=FALSE,(0.035*0.075*($C26/1000))*VLOOKUP("Walnut (solid m3)",SolidData,4,FALSE),IF(ISERROR(FIND("Oak",WardrobeDoorMaterial))=FALSE,(0.035*0.075*($C26/1000))*VLOOKUP("Oak (solid m3)",SolidData,4,FALSE),IF(ISERROR(FIND("ply",WardrobeDoorMaterial))=FALSE,(0.1*($C26/1000))*VLOOKUP("Birch ply (24mm)",SheetsData,7,FALSE),IF(ISERROR(FIND("H/F",WardrobeCarcassMaterial))=FALSE,(0.1*($C26/1000))*VLOOKUP("H/F (22mm)",SheetsData,7,FALSE),"Door - not tower - new material")))),"Channel - not tower - handle set to other")),IF(ISERROR(FIND("Tower",$A26))=FALSE,IF(WardrobeHandleFinish="Match carcass",IF(ISERROR(FIND("Walnut",WardrobeCarcassMaterial))=FALSE,(0.035*0.075*($B26/1000))*VLOOKUP("Walnut (solid m3)",SolidData,4,FALSE),IF(ISERROR(FIND("Oak",WardrobeCarcassMaterial))=FALSE,(0.035*0.075*($B26/1000))*VLOOKUP("Oak (solid m3)",SolidData,4,FALSE),IF(ISERROR(FIND("ply",WardrobeCarcassMaterial))=FALSE,(0.1*($B26/1000))*VLOOKUP("Birch ply (24mm)",SheetsData,7,FALSE),IF(ISERROR(FIND("H/F",WardrobeCarcassMaterial))=FALSE,(0.1*($C26/1000))*VLOOKUP("H/F (22mm)",SheetsData,7,FALSE),"Carcass - tower - new material")))),IF(WardrobeHandleFinish="Match door",IF(ISERROR(FIND("Walnut",WardrobeDoorMaterial))=FALSE,(0.035*0.075*($B26/1000))*VLOOKUP("Walnut (solid m3)",SolidData,4,FALSE),IF(ISERROR(FIND("Oak",WardrobeDoorMaterial))=FALSE,(0.035*0.075*($B26/1000))*VLOOKUP("Oak (solid m3)",SolidData,4,FALSE),IF(ISERROR(FIND("ply",WardrobeDoorMaterial))=FALSE,(0.1*($B26/1000))*VLOOKUP("Birch ply (24mm)",SheetData,7,FALSE),IF(ISERROR(FIND("H/F",WardrobeCarcassMaterial))=FALSE,(0.1*($C26/1000))*VLOOKUP("H/F (22mm)",SheetsData,7,FALSE),"Door - tower - new material")))),"Channel - tower - handle set to other")))),"")</f>
        <v/>
      </c>
    </row>
    <row r="27">
      <c r="A27" s="150" t="s">
        <v>235</v>
      </c>
      <c r="B27" s="160" t="str">
        <f t="shared" si="1"/>
        <v>240</v>
      </c>
      <c r="C27" s="160" t="str">
        <f>IFERROR(__xludf.DUMMYFUNCTION("IF(A27="""","""",IF(ISERROR(FIND(""arcass"",A27))=FALSE,MID(A27,FIND(""*"",A27)+1,FIND(""*"",A27,FIND(""*"",A27)+1)-FIND(""*"",A27)-1),IF(ISERROR(FIND(""End panel"",A27))=FALSE,RIGHT(A27,3),IF(OR(ISERROR(FIND(""drawer"",A27))=FALSE,ISERROR(FIND(""door"",A"&amp;"27))=FALSE,ISERROR(FIND(""shelf"",A27))=FALSE,ISERROR(FIND(""panel"",A27))=FALSE,ISERROR(FIND(""Plinth"",A27))=FALSE,ISERROR(FIND(""Cornice"",A27))=FALSE,ISERROR(FIND(""Fillers"",A27))=FALSE,ISERROR(FIND(""Pelmet"",A27))=FALSE,ISERROR(FIND(""Fireplace up "&amp;"to 1600"",A27))=FALSE),RIGHT(A27,LEN(A27)-LEN(regexextract(A27,"".* ""))),IF(ISERROR(FIND(""table"",A27))=FALSE,""560"",IF(ISERROR(FIND(""Office pod"",A27))=FALSE,""1600"",IF(ISERROR(FIND(""Fireplace over 1600"",A27))=FALSE,""2400"",IF(ISERROR(FIND(""Work"&amp;"top"",A27))=FALSE,""650"",""Whoops""))))))))"),"600")</f>
        <v>600</v>
      </c>
      <c r="D27" s="161" t="str">
        <f t="shared" si="2"/>
        <v/>
      </c>
      <c r="E27" s="152">
        <f>IF(OR(A27="",AND(ISERROR(FIND("drawer",A27))=FALSE,WardrobeDrawerType="")),"",IF(ISERROR(FIND("door",A27))=FALSE,IF(WardrobeDoorStyle="Flat",((B27/1000)*(C27/1000))*VLOOKUP(WardrobeDoorMaterial,SheetsData,8,0),IF(LEFT(WardrobeDoorStyle,5)="Panel",(((((B27/1000)*2)*0.08)+((((C27/1000)-0.16)*2)*0.08))*VLOOKUP("H/F (22mm)",SheetsData,8,0))+(((B27/1000)-0.14)*((C27/1000)-0.14)*VLOOKUP("H/F (9mm)",SheetsData,8,0)),IF(WardrobeDoorStyle="In-frame flat",((((((B27/1000)*0.019)*0.038)+((((C27-38)/1000)*0.038)*0.038))*2)*VLOOKUP("Tulip (solid m3)",SolidData,4,0))+(((B27-76)/1000)*((C27-38)/1000))*VLOOKUP("H/F (22mm)",SheetsData,8,0),IF(LEFT(WardrobeDoorStyle,14)="In-frame panel",(((((((B27/1000)*0.019)*0.038)+((((C27-38)/1000)*0.038)*0.038))*2)*VLOOKUP("Tulip (solid m3)",SolidData,4,0))+(((((((B27-76)/1000)*2)*0.08)+(((((C27-198)/1000)*2)*0.08)))*VLOOKUP("H/F (22mm)",SheetsData,8,0))+(((B27-216)/1000)*((C27-178)/1000)*VLOOKUP("H/F (9mm)",SheetsData,8,0)))))))),IF(AND(ISERROR(FIND("arcass",A27))=FALSE,ISERROR(FIND("ost corner",A27))=TRUE),IF(AND(VALUE(B27)&lt;1211,VALUE(C27)&lt;1211,VALUE(D27)&lt;606),1*VLOOKUP(WardrobeCarcassMaterial,SheetsData,5,FALSE),IF(AND(VALUE(B27)&lt;2421,VALUE(C27)&lt;2421,VALUE(D27)&lt;606),2*VLOOKUP(WardrobeCarcassMaterial,SheetsData,5,FALSE),IF(AND(VALUE(B27)&lt;2421,VALUE(C27)&lt;1211,VALUE(D27)&lt;1211),3*VLOOKUP(WardrobeCarcassMaterial,SheetsData,5,FALSE),IF(AND(VALUE(B27)&lt;2421,VALUE(C27)&lt;2421,VALUE(D27)&lt;1211),4*VLOOKUP(WardrobeCarcassMaterial,SheetsData,5,FALSE))))),IF(AND(ISERROR(FIND("arcass",A27))=FALSE,ISERROR(FIND("ost corner",A27))=FALSE),IF(AND(VALUE(B27)&lt;1211,VALUE(C27)&lt;1211,VALUE(D27)&lt;606),(1*VLOOKUP(WardrobeCarcassMaterial,SheetsData,5,FALSE))+(VLOOKUP("H/F (22mm)",SheetsData,7,FALSE)*1.44),IF(AND(VALUE(B27)&lt;2421,VALUE(C27)&lt;2421,VALUE(D27)&lt;606),(2*VLOOKUP(WardrobeCarcassMaterial,SheetsData,5,FALSE))+(VLOOKUP("H/F (22mm)",SheetsData,7,FALSE)*1.44),IF(AND(VALUE(B27)&lt;2421,VALUE(C27)&lt;1211,VALUE(D27)&lt;1211),(3*VLOOKUP(WardrobeCarcassMaterial,SheetsData,5,FALSE))+(VLOOKUP("H/F (22mm)",SheetsData,7,FALSE)*1.44),IF(AND(VALUE(B27)&lt;2421,VALUE(C27)&lt;2421,VALUE(D27)&lt;1211),(4*VLOOKUP(WardrobeCarcassMaterial,SheetsData,5,FALSE))+(VLOOKUP("H/F (22mm)",SheetsData,7,FALSE)*1.44))))),IF(ISERROR(FIND("drawer front",A27))=FALSE,((B27/1000)*(C27/1000))*VLOOKUP(WardrobeDoorMaterial,SheetsData,8,0),IF(AND(WardrobeDrawerType="Match carcass",ISERROR(FIND("drawer box",A27))=FALSE),(((((B27/1000)*(C27/1000))+((B27/1000)*(D27/1000)))*2)*VLOOKUP(WardrobeCarcassMaterial,SheetsData,8,0))+(((C27/1000)*(D27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box",A27))=FALSE),(((((B27/1000)*(C27/1000))+((B27/1000)*(D27/1000)))*2)*(16/1000)*VLOOKUP(LEFT(WardrobeCarcassMaterial,FIND(" ",WardrobeCarcassMaterial))&amp;"(solid m3)",SolidData,4,0))+(((C27/1000)*(D27/1000))*VLOOKUP(LEFT(WardrobeCarcassMaterial,FIND("(",WardrobeCarcassMaterial)-1)&amp;IF(OR(ISERROR(FIND("ply",WardrobeCarcassMaterial))=FALSE,ISERROR(FIND("H/F",WardrobeCarcassMaterial))=FALSE),"(9mm)","(10mm)"),SheetsData,8,0)),IF(ISERROR(FIND("shelf",A27))=FALSE,((C27/1000)*(D27/1000))*VLOOKUP(WardrobeCarcassMaterial,SheetsData,7,FALSE),IF(ISERROR(FIND("Office pod",A27))=FALSE,3*VLOOKUP(WardrobeCarcassMaterial,SheetsData,5,0),IF(ISERROR(FIND(" panel",A27))=FALSE,((B27/1000)*(C27/1000))*VLOOKUP(WardrobeDoorMaterial,SheetsData,8,0),IF(ISERROR(FIND("Fillers",A27))=FALSE,(((0.06*(C27/1000))*2)*VLOOKUP("H/F (18mm)",SheetsData,8,0))+(((0.06*(C27/1000))*2)*VLOOKUP("H/F (9mm)",SheetsData,8,0)),IF(ISERROR(FIND("Cornice (stacked)",A27))=FALSE,((0.08*(C27/1000))*2)*VLOOKUP("H/F (22mm)",SheetsData,8,0),IF(OR(ISERROR(FIND("Plinth",A27))=FALSE,ISERROR(FIND("Cornice (flat)",A27))=FALSE),((B27/1000)*(C27/1000))*VLOOKUP("H/F (18mm)",SheetsData,8,0),IF(ISERROR(FIND("Pelmet",A27))=FALSE,((((B27/1000)*(C27/1000))*2)*VLOOKUP("H/F (18mm)",SheetsData,8,0)),IF(ISERROR(FIND("Fireplace",A27))=FALSE,IF(ISERROR(FIND("over 1600",A27))=FALSE,2*VLOOKUP(WardrobeCarcassMaterial,SheetsData,5,FALSE),VLOOKUP(WardrobeCarcassMaterial,SheetsData,5,FALSE)),IF(ISERROR(FIND("table",A27))=FALSE,((B27/1000)*0.6)*VLOOKUP("Birch ply (24mm)",SheetsData,7,FALSE),IF(ISERROR(FIND("Worktop",A27))=FALSE,((B27/1000)*(C27/1000))*VLOOKUP(WardrobeDoorMaterial,SheetsData,7,FALSE),"Check formula")))))))))))))))))</f>
        <v>2.65815641</v>
      </c>
      <c r="F27" s="152">
        <f>IFERROR(__xludf.DUMMYFUNCTION("IF(OR(A27="""",AND(ISERROR(FIND(""drawer box"",A27))=FALSE,WardrobeDrawerType=""Solid dovetail"")),"""",IF(ISERROR(FIND(""bins"",A27))=FALSE,VLOOKUP(""Base carcass 600"",Wardrobes_etcData,6,0),IF(OR(ISERROR(FIND(""larder"",A27))=FALSE,ISERROR(FIND(""unit"&amp;""",A27))=FALSE),VLOOKUP(LEFT(A27,FIND("" "",A27))&amp;""carcass ""&amp;RIGHT(A27,LEN(A27)-len(regexextract(A27,"".* ""))),Wardrobes_etcData,6,0),IF(ISERROR(FIND(""drawer front"",A27))=FALSE,IF(ISERROR(FIND(""veneer"",WardrobeCarcassMaterial))=TRUE,0,(((B27+C27)/1"&amp;"000)*2)*VLOOKUP(""Edge banding (per M)"",SheetsData,5,0)),IF(ISERROR(FIND(""drawer box"",A27))=FALSE,IF(ISERROR(FIND(""veneer"",WardrobeCarcassMaterial))=TRUE,0,(((C27+D27)/1000)*2)*VLOOKUP(""Edge banding (per M)"",SheetsData,5,0)),IF(ISERROR(FIND(""shelf"&amp;""",A27))=FALSE,IF(ISERROR(FIND(""veneer"",WardrobeCarcassMaterial))=TRUE,0,(C27/1000)*VLOOKUP(""Edge banding (per M)"",SheetsData,5,0)),IF(AND(OR(ISERROR(FIND(""arcass"",A27))=FALSE,ISERROR(FIND(""Fireplace"",A27))=FALSE),ISERROR(FIND(""shelf"",A27))=TRUE"&amp;"),IF(ISERROR(FIND(""veneer"",WardrobeCarcassMaterial))=TRUE,0,((2*(B27+C27))/1000)*VLOOKUP(""Edge banding (per M)"",SheetsData,5,0)),IF(ISERROR(FIND(""door"",A27))=TRUE,"""",IF(ISERROR(FIND(""veneer"",WardrobeDoorMaterial))=TRUE,"""",((2*(B27+C27))/1000)*"&amp;"VLOOKUP(""Edge banding (per M)"",SheetsData,5,0))))))))))"),0.0)</f>
        <v>0</v>
      </c>
      <c r="G27" s="153" t="str">
        <f>IF(A27="","",IF(AND(ISERROR(FIND("arcass",A27))=TRUE,ISERROR(FIND("Fireplace",A27))=TRUE),"",IF(VALUE(C27)&lt;606,4*VLOOKUP("Plinth foot (2 Parts 80mm)",FurnitureData,5,FALSE),IF(VALUE(C27)&lt;1211,6*VLOOKUP("Plinth foot (2 Parts 80mm)",FurnitureData,5,FALSE),8*VLOOKUP("Plinth foot (2 Parts 80mm)",FurnitureData,5,FALSE)))))</f>
        <v/>
      </c>
      <c r="H27" s="115" t="str">
        <f>IF(OR(A27="",ISERROR(FIND("door",A27))=TRUE),"",VLOOKUP("Hinges &amp; plates (Hettich thick door)",FurnitureData,5,0)*5)</f>
        <v/>
      </c>
      <c r="I27" s="115" t="str">
        <f>IF(ISERROR(FIND("shelf",A27))=FALSE,(VLOOKUP("Shelf pegs",FurnitureData,5,0)/100)*4,"")</f>
        <v/>
      </c>
      <c r="J27" s="152" t="str">
        <f>IF(OR(ISERROR(FIND("fridge/freezer",A27))=FALSE,ISERROR(FIND("sink",A27))=FALSE,ISERROR(FIND("larder",A27))=FALSE),VLOOKUP("Deep shelf "&amp;C27,Wardrobes_etcData,18,0),IF(OR(ISERROR(FIND("single oven",A27))=FALSE,ISERROR(FIND("Base carcass",A27))=FALSE),2*VLOOKUP("Deep shelf "&amp;C27,Wardrobes_etcData,18,0),IF(AND(ISERROR(FIND("wall carcass",A27))=FALSE,ISERROR(FIND("Boiler",A27))=TRUE),2*VLOOKUP("Shallow shelf "&amp;C27,Wardrobes_etcData,18,0),IF(ISERROR(FIND("double oven",A27))=FALSE,3*VLOOKUP("Deep shelf "&amp;C27,Wardrobes_etcData,18,0),IF(ISERROR(FIND("Tower carcass",A27))=FALSE,6*VLOOKUP("Deep shelf "&amp;C27,Wardrobes_etcData,18,0),"")))))</f>
        <v/>
      </c>
      <c r="K27" s="152" t="str">
        <f>IF(ISERROR(FIND("sink",A27))=FALSE,VLOOKUP("Sink liner - Aluminium "&amp;RIGHT(A27,LEN(A27)-22)&amp;"mm",ExceptionalData,5,0),IF(ISERROR(FIND("bins",A27))=FALSE,VLOOKUP("Drawer runners and clip set for bin unit (500) Dynapro",FurnitureData,5,0)+(2*VLOOKUP("Bin (42L Anthracite)",FurnitureData,5,0)),IF(ISERROR(FIND("larder",A27))=FALSE,VLOOKUP("Pull out larder unit 600mm",FurnitureData,5,0),IF(AND(ISERROR(FIND("drawer box",A27))=FALSE,ISERROR(FIND("internal",A27))=TRUE),VLOOKUP("Drawer runners and clip set (550) Dynapro",FurnitureData,5,0),IF(ISERROR(FIND("internal drawer box",A27))=FALSE,VLOOKUP("Drawer runners and clip set (450) Dynapro",FurnitureData,5,0),IF(ISERROR(FIND("table",A27))=FALSE,VLOOKUP("Hairpin Leg (12mm Black "&amp;MID(A27,FIND("(",A27)+1,LEN(A27)-(FIND("(",A27))-1)&amp;"mm)",ExceptionalData,4,FALSE),""))))))</f>
        <v/>
      </c>
      <c r="L27" s="152">
        <f t="shared" si="3"/>
        <v>2.65815641</v>
      </c>
      <c r="M27" s="154">
        <f>IF(A27="","",IF(AND(ISERROR(FIND("drawer front",A27))=FALSE,WardrobeDoorStyle="Flat"),(((B27/1000)*(C27/1000))*2)+((((B27+C27)/1000)*2)*0.022),IF(AND(ISERROR(FIND("drawer front",A27))=FALSE,LEFT(WardrobeDoorStyle,5)="Panel"),(((B27/1000)*(C27/1000))*2)+((((B27+C27)/1000)*2)*0.022)+((((C27/1000)-0.16)*0.013)*2)+((((D27/1000)-0.16)*0.013)*2),IF(AND(ISERROR(FIND("drawer front",A27))=FALSE,WardrobeDoorStyle="In-frame flat"),((((B27-76)/1000)*((C27-38)/1000))*2)+(MID(WardrobeDoorMaterial,FIND("(",WardrobeDoorMaterial)+1,2)/1000)*((((B27-76)+(C27-38))/1000)*2)+(((B27/1000)*0.032)*2)+((((B27-76)/1000)*0.032)*2)+(((B27/1000)*0.019)*4)+(((C27/1000)*0.032)*2)+((((C27-38)/1000)*0.032)*2)+(((C27/1000)*0.038)*4),IF(AND(ISERROR(FIND("drawer front",A27))=FALSE,LEFT(WardrobeDoorStyle,14)="In-frame panel"),((((B27-76)/1000)*((C27-38)/1000))*2)+((MID(WardrobeDoorMaterial,FIND("(",WardrobeDoorMaterial)+1,2)/1000)*((((B27-76)+(C27-38))/1000)*2))+((((B27-236)/1000)+((C27-198)/1000)*2)*0.013)+(((B27/1000)*0.032)*2)+((((B27-76)/1000)*0.032)*2)+(((B27/1000)*0.019)*4)+(((C27/1000)*0.032)*2)+((((C27-38)/1000)*0.032)*2)+(((C27/1000)*0.038)*4),IF(ISERROR(FIND("drawer box",A27))=FALSE,((((B27/1000)*(D27/1000))+((B27/1000)*(C27/1000)))*4)+((((D27/1000)+(C27/1000))*0.016)*4)+(((C27/1000)*(D27/1000))*2),IF(OR(ISERROR(FIND("shelf",A27))=FALSE,ISERROR(FIND("Filler panel",A27))=FALSE),(((C27/1000)*(D27/1000))*2)+((((C27+D27)*2)/1000)*0.022),IF(ISERROR(FIND("Fireplace",A27))=FALSE,((B27/1000)*(C27/1000)),IF(ISERROR(FIND("Worktop",A27))=FALSE,(B27/1000)*(C27/1000),IF(ISERROR(FIND("table",A27))=FALSE,(B27/1000)*0.6,IF(ISERROR(FIND("arcass",A27))=FALSE,(((C27/1000)*(D27/1000))*2)+(((B27/1000)*(D27/1000))*2)+((B27/1000)*(C27/1000))+((((B27/1000)*0.025)+((C27/1000)*0.025))*2),IF(AND(ISERROR(FIND("door",A27))=FALSE,WardrobeDoorStyle="Flat"),(((B27/1000)*(C27/1000))*2)+(MID(WardrobeDoorMaterial,FIND("(",WardrobeDoorMaterial)+1,2)/1000)*(((B27+C27)/1000)*2),IF(AND(ISERROR(FIND("door",A27))=FALSE,LEFT(WardrobeDoorStyle,5)="Panel"),(((B27/1000)*(C27/1000))*2)+((MID(WardrobeDoorMaterial,FIND("(",WardrobeDoorMaterial)+1,2)/1000)*(((B27+C27)/1000)*2))+(((((B27-160)+(C27-160))*2)/1000)*(0.013)),IF(AND(ISERROR(FIND("door",A27))=FALSE,WardrobeDoorStyle="In-frame flat"),((((B27-76)/1000)*((C27-38)/1000))*2)+(MID(WardrobeDoorMaterial,FIND("(",WardrobeDoorMaterial)+1,2)/1000)*((((B27-76)+(C27-38))/1000)*2)+(((B27/1000)*0.032)*2)+((((B27-76)/1000)*0.032)*2)+(((B27/1000)*0.019)*4)+(((C27/1000)*0.032)*2)+((((C27-38)/1000)*0.032)*2)+(((C27/1000)*0.038)*4),IF(AND(ISERROR(FIND("door",A27))=FALSE,LEFT(WardrobeDoorStyle,14)="In-frame panel"),((((B27-76)/1000)*((C27-38)/1000))*2)+((MID(WardrobeDoorMaterial,FIND("(",WardrobeDoorMaterial)+1,2)/1000)*((((B27-76)+(C27-38))/1000)*2))+((((B27-236)/1000)+((C27-198)/1000)*2)*0.013)+(((B27/1000)*0.032)*2)+((((B27-76)/1000)*0.032)*2)+(((B27/1000)*0.019)*4)+(((C27/1000)*0.032)*2)+((((C27-38)/1000)*0.032)*2)+(((C27/1000)*0.038)*4),IF(ISERROR(FIND("Plinth",A27))=FALSE,((B27/1000)*(C27/1000))+(((C27/1000)*0.018)*2)+(((B27/1000)*0.018)*2),IF(ISERROR(FIND("Cornice",A27))=FALSE,(((C27/1000)*0.1)*2)+(((C27/1000)*0.044)*2)+(((B27/1000)*0.08)*2),IF(ISERROR(FIND("Office pod",A27))=FALSE,((2400/1000)*(1200/1000))*6,IF(ISERROR(FIND("panel",A27))=FALSE,((B27/1000)*(C27/1000))+(0.022*((B27/1000)+((C27/1000)*2)))+((B27/1000)*0.05),IF(ISERROR(FIND("Fillers",A27))=FALSE,((C27/1000)*0.06)+((C27/1000)*0.069)+((0.06*0.018)*2)+((0.06*0.009)*2)+((C27/1000)*0.009)+((C27/1000)*0.018),IF(ISERROR(FIND("Pelmet",A27))=FALSE,((C27/1000)*0.05)+((C27/1000)*0.068)+((0.05*0.018)*4)+(((C27/1000)*0.018))*2)))))))))))))))))))))</f>
        <v>0.33224</v>
      </c>
      <c r="N27" s="152">
        <f>IF(M27="","",IF(AND(ISERROR(FIND("carcass",A27))=TRUE,ISERROR(FIND("unit",A27))=TRUE,ISERROR(FIND("insert",A27))=TRUE,ISERROR(FIND("rack",A27))=TRUE,ISERROR(FIND("box",A27))=TRUE,ISERROR(FIND("shelf",A27))=TRUE),VLOOKUP(WardrobeDoorFinish,Finishing!$A$2:$K$10,9,0)*M27,IF(ISERROR(FIND("table",A27))=FALSE,VLOOKUP("Sayerlack AF0072 Interior Clear Self-Sealer",FinishingData,9,FALSE)*M27,VLOOKUP(WardrobeCarcassFinish,Finishing!$A$2:$K$40,9,0)*M27)))</f>
        <v>2.4918</v>
      </c>
      <c r="O27" s="155">
        <v>0.5</v>
      </c>
      <c r="P27" s="155">
        <v>0.5</v>
      </c>
      <c r="Q27" s="152">
        <f>IF(OR(O27="",P27=""),"",((O27*X27)*(VLOOKUP("Workshop",Labour!$A$3:$E$20,4,0)/8))+((P27*AE27)*(VLOOKUP("Finishing",Labour!$A$3:$E$20,4,0)/8)))</f>
        <v>35.875</v>
      </c>
      <c r="R27" s="152">
        <f t="shared" si="4"/>
        <v>41.02495641</v>
      </c>
      <c r="S27" s="156">
        <f>IF(OR(O27="",P27=""),"",IF(OR(ISERROR(FIND("carcass",$A27))=FALSE,ISERROR(FIND("unit",$A27))=FALSE),VLOOKUP(WardrobeCarcassMaterial,FixedListsCarcassMaterial,2,0),0))</f>
        <v>0</v>
      </c>
      <c r="T27" s="156">
        <f>IF(OR(O27="",P27=""),"",IF(ISERROR(FIND("door",$A27))=FALSE,VLOOKUP(WardrobeDoorStyle,FixedListsDoorStyle,2,0),0))</f>
        <v>0</v>
      </c>
      <c r="U27" s="156">
        <f>IF(OR(O27="",P27=""),"",IF(ISERROR(FIND("door",$A27))=FALSE,VLOOKUP(WardrobeDoorMaterial,FixedListsDoorMaterial,2,0),0))</f>
        <v>0</v>
      </c>
      <c r="V27" s="156">
        <f>IF(OR(O27="",P27=""),"",IF(ISERROR(FIND("drawer",$A27))=FALSE,VLOOKUP(WardrobeDrawerType,FixedListsDrawerType,2,0),0))</f>
        <v>1</v>
      </c>
      <c r="W27" s="156">
        <f>IF(OR(O27="",P27=""),"",IF(S27&gt;0,VLOOKUP(WardrobeHandleType,FixedListsHandleType,2,FALSE),0))</f>
        <v>0</v>
      </c>
      <c r="X27" s="156">
        <f t="shared" si="5"/>
        <v>1</v>
      </c>
      <c r="Y27" s="156">
        <f>IF(OR(O27="",P27=""),"",IF(OR(ISERROR(FIND("carcass",$A27))=FALSE,ISERROR(FIND("unit",$A27))=FALSE),VLOOKUP(WardrobeCarcassMaterial,FixedListsCarcassMaterial,3,0),0))</f>
        <v>0</v>
      </c>
      <c r="Z27" s="156">
        <f>IF(OR(O27="",P27=""),"",IF(ISERROR(FIND("door",$A27))=FALSE,VLOOKUP(WardrobeDoorStyle,FixedListsDoorStyle,3,0),0))</f>
        <v>0</v>
      </c>
      <c r="AA27" s="156">
        <f>IF(OR(O27="",P27=""),"",IF(ISERROR(FIND("door",$A27))=FALSE,VLOOKUP(WardrobeDoorMaterial,FixedListsDoorMaterial,3,0),0))</f>
        <v>0</v>
      </c>
      <c r="AB27" s="156">
        <f>IF(OR(O27="",P27=""),"",IF(ISERROR(FIND("drawer",$A27))=FALSE,VLOOKUP(WardrobeDrawerType,FixedListsDrawerType,3,0),0))</f>
        <v>1</v>
      </c>
      <c r="AC27" s="156">
        <f>IF(OR(O27="",P27=""),"",IF(S27&gt;0,VLOOKUP(WardrobeHandleType,FixedListsHandleType,3,FALSE),0))</f>
        <v>0</v>
      </c>
      <c r="AD27" s="156">
        <f>IF(OR(O27="",P27=""),"",IF(OR(ISERROR(FIND("carcass",$A27))=FALSE,ISERROR(FIND("unit",$A27))=FALSE),VLOOKUP(WardrobeCarcassFinish,FixedListsFinishes,3,0),IF(OR(ISERROR(FIND("door",$A27))=FALSE,ISERROR(FIND("Plinth",$A27))=FALSE,ISERROR(FIND("Cornice",$A27))=FALSE,ISERROR(FIND("Fillers",$A27))=FALSE,ISERROR(FIND("Pelmet",$A27))=FALSE,ISERROR(FIND("panel",$A27))=FALSE,ISERROR(FIND("post",$A27))=FALSE),VLOOKUP(WardrobeDoorFinish,FixedListsFinishes,3,0),IF(OR(ISERROR(FIND("drawer",$A27))=FALSE,ISERROR(FIND("insert",$A27))=FALSE,ISERROR(FIND("rck",$A27))=FALSE),VLOOKUP(WardrobeCarcassFinish,FixedListsFinishes,3,0),0))))</f>
        <v>1</v>
      </c>
      <c r="AE27" s="156">
        <f t="shared" si="6"/>
        <v>1</v>
      </c>
      <c r="AF27" s="157" t="str">
        <f>IF(AND(WardrobeHandleType="Channel",OR(ISERROR(FIND("arcass",$A27))=FALSE,ISERROR(FIND("unit",$A27))=FALSE)),IF(ISERROR(FIND("Tower",$A27))=TRUE,IF(WardrobeHandleFinish="Match carcass",IF(ISERROR(FIND("Walnut",WardrobeCarcassMaterial))=FALSE,(0.035*0.075*($C27/1000))*VLOOKUP("Walnut (solid m3)",SolidData,4,FALSE),IF(ISERROR(FIND("Oak",WardrobeCarcassMaterial))=FALSE,(0.035*0.075*($C27/1000))*VLOOKUP("Oak (solid m3)",SolidData,4,FALSE),IF(ISERROR(FIND("ply",WardrobeCarcassMaterial))=FALSE,(0.1*($C27/1000))*VLOOKUP("Birch ply (24mm)",SheetsData,7,FALSE),IF(ISERROR(FIND("H/F",WardrobeCarcassMaterial))=FALSE,(0.1*($C27/1000))*VLOOKUP("H/F (22mm)",SheetsData,7,FALSE),"Carcass - not tower - new material")))),IF(WardrobeHandleFinish="Match door",IF(ISERROR(FIND("Walnut",WardrobeDoorMaterial))=FALSE,(0.035*0.075*($C27/1000))*VLOOKUP("Walnut (solid m3)",SolidData,4,FALSE),IF(ISERROR(FIND("Oak",WardrobeDoorMaterial))=FALSE,(0.035*0.075*($C27/1000))*VLOOKUP("Oak (solid m3)",SolidData,4,FALSE),IF(ISERROR(FIND("ply",WardrobeDoorMaterial))=FALSE,(0.1*($C27/1000))*VLOOKUP("Birch ply (24mm)",SheetsData,7,FALSE),IF(ISERROR(FIND("H/F",WardrobeCarcassMaterial))=FALSE,(0.1*($C27/1000))*VLOOKUP("H/F (22mm)",SheetsData,7,FALSE),"Door - not tower - new material")))),"Channel - not tower - handle set to other")),IF(ISERROR(FIND("Tower",$A27))=FALSE,IF(WardrobeHandleFinish="Match carcass",IF(ISERROR(FIND("Walnut",WardrobeCarcassMaterial))=FALSE,(0.035*0.075*($B27/1000))*VLOOKUP("Walnut (solid m3)",SolidData,4,FALSE),IF(ISERROR(FIND("Oak",WardrobeCarcassMaterial))=FALSE,(0.035*0.075*($B27/1000))*VLOOKUP("Oak (solid m3)",SolidData,4,FALSE),IF(ISERROR(FIND("ply",WardrobeCarcassMaterial))=FALSE,(0.1*($B27/1000))*VLOOKUP("Birch ply (24mm)",SheetsData,7,FALSE),IF(ISERROR(FIND("H/F",WardrobeCarcassMaterial))=FALSE,(0.1*($C27/1000))*VLOOKUP("H/F (22mm)",SheetsData,7,FALSE),"Carcass - tower - new material")))),IF(WardrobeHandleFinish="Match door",IF(ISERROR(FIND("Walnut",WardrobeDoorMaterial))=FALSE,(0.035*0.075*($B27/1000))*VLOOKUP("Walnut (solid m3)",SolidData,4,FALSE),IF(ISERROR(FIND("Oak",WardrobeDoorMaterial))=FALSE,(0.035*0.075*($B27/1000))*VLOOKUP("Oak (solid m3)",SolidData,4,FALSE),IF(ISERROR(FIND("ply",WardrobeDoorMaterial))=FALSE,(0.1*($B27/1000))*VLOOKUP("Birch ply (24mm)",SheetData,7,FALSE),IF(ISERROR(FIND("H/F",WardrobeCarcassMaterial))=FALSE,(0.1*($C27/1000))*VLOOKUP("H/F (22mm)",SheetsData,7,FALSE),"Door - tower - new material")))),"Channel - tower - handle set to other")))),"")</f>
        <v/>
      </c>
    </row>
    <row r="28">
      <c r="A28" s="150" t="s">
        <v>236</v>
      </c>
      <c r="B28" s="160" t="str">
        <f t="shared" si="1"/>
        <v>240</v>
      </c>
      <c r="C28" s="160" t="str">
        <f>IFERROR(__xludf.DUMMYFUNCTION("IF(A28="""","""",IF(ISERROR(FIND(""arcass"",A28))=FALSE,MID(A28,FIND(""*"",A28)+1,FIND(""*"",A28,FIND(""*"",A28)+1)-FIND(""*"",A28)-1),IF(ISERROR(FIND(""End panel"",A28))=FALSE,RIGHT(A28,3),IF(OR(ISERROR(FIND(""drawer"",A28))=FALSE,ISERROR(FIND(""door"",A"&amp;"28))=FALSE,ISERROR(FIND(""shelf"",A28))=FALSE,ISERROR(FIND(""panel"",A28))=FALSE,ISERROR(FIND(""Plinth"",A28))=FALSE,ISERROR(FIND(""Cornice"",A28))=FALSE,ISERROR(FIND(""Fillers"",A28))=FALSE,ISERROR(FIND(""Pelmet"",A28))=FALSE,ISERROR(FIND(""Fireplace up "&amp;"to 1600"",A28))=FALSE),RIGHT(A28,LEN(A28)-LEN(regexextract(A28,"".* ""))),IF(ISERROR(FIND(""table"",A28))=FALSE,""560"",IF(ISERROR(FIND(""Office pod"",A28))=FALSE,""1600"",IF(ISERROR(FIND(""Fireplace over 1600"",A28))=FALSE,""2400"",IF(ISERROR(FIND(""Work"&amp;"top"",A28))=FALSE,""650"",""Whoops""))))))))"),"1200")</f>
        <v>1200</v>
      </c>
      <c r="D28" s="161" t="str">
        <f t="shared" si="2"/>
        <v/>
      </c>
      <c r="E28" s="152">
        <f>IF(OR(A28="",AND(ISERROR(FIND("drawer",A28))=FALSE,WardrobeDrawerType="")),"",IF(ISERROR(FIND("door",A28))=FALSE,IF(WardrobeDoorStyle="Flat",((B28/1000)*(C28/1000))*VLOOKUP(WardrobeDoorMaterial,SheetsData,8,0),IF(LEFT(WardrobeDoorStyle,5)="Panel",(((((B28/1000)*2)*0.08)+((((C28/1000)-0.16)*2)*0.08))*VLOOKUP("H/F (22mm)",SheetsData,8,0))+(((B28/1000)-0.14)*((C28/1000)-0.14)*VLOOKUP("H/F (9mm)",SheetsData,8,0)),IF(WardrobeDoorStyle="In-frame flat",((((((B28/1000)*0.019)*0.038)+((((C28-38)/1000)*0.038)*0.038))*2)*VLOOKUP("Tulip (solid m3)",SolidData,4,0))+(((B28-76)/1000)*((C28-38)/1000))*VLOOKUP("H/F (22mm)",SheetsData,8,0),IF(LEFT(WardrobeDoorStyle,14)="In-frame panel",(((((((B28/1000)*0.019)*0.038)+((((C28-38)/1000)*0.038)*0.038))*2)*VLOOKUP("Tulip (solid m3)",SolidData,4,0))+(((((((B28-76)/1000)*2)*0.08)+(((((C28-198)/1000)*2)*0.08)))*VLOOKUP("H/F (22mm)",SheetsData,8,0))+(((B28-216)/1000)*((C28-178)/1000)*VLOOKUP("H/F (9mm)",SheetsData,8,0)))))))),IF(AND(ISERROR(FIND("arcass",A28))=FALSE,ISERROR(FIND("ost corner",A28))=TRUE),IF(AND(VALUE(B28)&lt;1211,VALUE(C28)&lt;1211,VALUE(D28)&lt;606),1*VLOOKUP(WardrobeCarcassMaterial,SheetsData,5,FALSE),IF(AND(VALUE(B28)&lt;2421,VALUE(C28)&lt;2421,VALUE(D28)&lt;606),2*VLOOKUP(WardrobeCarcassMaterial,SheetsData,5,FALSE),IF(AND(VALUE(B28)&lt;2421,VALUE(C28)&lt;1211,VALUE(D28)&lt;1211),3*VLOOKUP(WardrobeCarcassMaterial,SheetsData,5,FALSE),IF(AND(VALUE(B28)&lt;2421,VALUE(C28)&lt;2421,VALUE(D28)&lt;1211),4*VLOOKUP(WardrobeCarcassMaterial,SheetsData,5,FALSE))))),IF(AND(ISERROR(FIND("arcass",A28))=FALSE,ISERROR(FIND("ost corner",A28))=FALSE),IF(AND(VALUE(B28)&lt;1211,VALUE(C28)&lt;1211,VALUE(D28)&lt;606),(1*VLOOKUP(WardrobeCarcassMaterial,SheetsData,5,FALSE))+(VLOOKUP("H/F (22mm)",SheetsData,7,FALSE)*1.44),IF(AND(VALUE(B28)&lt;2421,VALUE(C28)&lt;2421,VALUE(D28)&lt;606),(2*VLOOKUP(WardrobeCarcassMaterial,SheetsData,5,FALSE))+(VLOOKUP("H/F (22mm)",SheetsData,7,FALSE)*1.44),IF(AND(VALUE(B28)&lt;2421,VALUE(C28)&lt;1211,VALUE(D28)&lt;1211),(3*VLOOKUP(WardrobeCarcassMaterial,SheetsData,5,FALSE))+(VLOOKUP("H/F (22mm)",SheetsData,7,FALSE)*1.44),IF(AND(VALUE(B28)&lt;2421,VALUE(C28)&lt;2421,VALUE(D28)&lt;1211),(4*VLOOKUP(WardrobeCarcassMaterial,SheetsData,5,FALSE))+(VLOOKUP("H/F (22mm)",SheetsData,7,FALSE)*1.44))))),IF(ISERROR(FIND("drawer front",A28))=FALSE,((B28/1000)*(C28/1000))*VLOOKUP(WardrobeDoorMaterial,SheetsData,8,0),IF(AND(WardrobeDrawerType="Match carcass",ISERROR(FIND("drawer box",A28))=FALSE),(((((B28/1000)*(C28/1000))+((B28/1000)*(D28/1000)))*2)*VLOOKUP(WardrobeCarcassMaterial,SheetsData,8,0))+(((C28/1000)*(D28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box",A28))=FALSE),(((((B28/1000)*(C28/1000))+((B28/1000)*(D28/1000)))*2)*(16/1000)*VLOOKUP(LEFT(WardrobeCarcassMaterial,FIND(" ",WardrobeCarcassMaterial))&amp;"(solid m3)",SolidData,4,0))+(((C28/1000)*(D28/1000))*VLOOKUP(LEFT(WardrobeCarcassMaterial,FIND("(",WardrobeCarcassMaterial)-1)&amp;IF(OR(ISERROR(FIND("ply",WardrobeCarcassMaterial))=FALSE,ISERROR(FIND("H/F",WardrobeCarcassMaterial))=FALSE),"(9mm)","(10mm)"),SheetsData,8,0)),IF(ISERROR(FIND("shelf",A28))=FALSE,((C28/1000)*(D28/1000))*VLOOKUP(WardrobeCarcassMaterial,SheetsData,7,FALSE),IF(ISERROR(FIND("Office pod",A28))=FALSE,3*VLOOKUP(WardrobeCarcassMaterial,SheetsData,5,0),IF(ISERROR(FIND(" panel",A28))=FALSE,((B28/1000)*(C28/1000))*VLOOKUP(WardrobeDoorMaterial,SheetsData,8,0),IF(ISERROR(FIND("Fillers",A28))=FALSE,(((0.06*(C28/1000))*2)*VLOOKUP("H/F (18mm)",SheetsData,8,0))+(((0.06*(C28/1000))*2)*VLOOKUP("H/F (9mm)",SheetsData,8,0)),IF(ISERROR(FIND("Cornice (stacked)",A28))=FALSE,((0.08*(C28/1000))*2)*VLOOKUP("H/F (22mm)",SheetsData,8,0),IF(OR(ISERROR(FIND("Plinth",A28))=FALSE,ISERROR(FIND("Cornice (flat)",A28))=FALSE),((B28/1000)*(C28/1000))*VLOOKUP("H/F (18mm)",SheetsData,8,0),IF(ISERROR(FIND("Pelmet",A28))=FALSE,((((B28/1000)*(C28/1000))*2)*VLOOKUP("H/F (18mm)",SheetsData,8,0)),IF(ISERROR(FIND("Fireplace",A28))=FALSE,IF(ISERROR(FIND("over 1600",A28))=FALSE,2*VLOOKUP(WardrobeCarcassMaterial,SheetsData,5,FALSE),VLOOKUP(WardrobeCarcassMaterial,SheetsData,5,FALSE)),IF(ISERROR(FIND("table",A28))=FALSE,((B28/1000)*0.6)*VLOOKUP("Birch ply (24mm)",SheetsData,7,FALSE),IF(ISERROR(FIND("Worktop",A28))=FALSE,((B28/1000)*(C28/1000))*VLOOKUP(WardrobeDoorMaterial,SheetsData,7,FALSE),"Check formula")))))))))))))))))</f>
        <v>5.316312819</v>
      </c>
      <c r="F28" s="152">
        <f>IFERROR(__xludf.DUMMYFUNCTION("IF(OR(A28="""",AND(ISERROR(FIND(""drawer box"",A28))=FALSE,WardrobeDrawerType=""Solid dovetail"")),"""",IF(ISERROR(FIND(""bins"",A28))=FALSE,VLOOKUP(""Base carcass 600"",Wardrobes_etcData,6,0),IF(OR(ISERROR(FIND(""larder"",A28))=FALSE,ISERROR(FIND(""unit"&amp;""",A28))=FALSE),VLOOKUP(LEFT(A28,FIND("" "",A28))&amp;""carcass ""&amp;RIGHT(A28,LEN(A28)-len(regexextract(A28,"".* ""))),Wardrobes_etcData,6,0),IF(ISERROR(FIND(""drawer front"",A28))=FALSE,IF(ISERROR(FIND(""veneer"",WardrobeCarcassMaterial))=TRUE,0,(((B28+C28)/1"&amp;"000)*2)*VLOOKUP(""Edge banding (per M)"",SheetsData,5,0)),IF(ISERROR(FIND(""drawer box"",A28))=FALSE,IF(ISERROR(FIND(""veneer"",WardrobeCarcassMaterial))=TRUE,0,(((C28+D28)/1000)*2)*VLOOKUP(""Edge banding (per M)"",SheetsData,5,0)),IF(ISERROR(FIND(""shelf"&amp;""",A28))=FALSE,IF(ISERROR(FIND(""veneer"",WardrobeCarcassMaterial))=TRUE,0,(C28/1000)*VLOOKUP(""Edge banding (per M)"",SheetsData,5,0)),IF(AND(OR(ISERROR(FIND(""arcass"",A28))=FALSE,ISERROR(FIND(""Fireplace"",A28))=FALSE),ISERROR(FIND(""shelf"",A28))=TRUE"&amp;"),IF(ISERROR(FIND(""veneer"",WardrobeCarcassMaterial))=TRUE,0,((2*(B28+C28))/1000)*VLOOKUP(""Edge banding (per M)"",SheetsData,5,0)),IF(ISERROR(FIND(""door"",A28))=TRUE,"""",IF(ISERROR(FIND(""veneer"",WardrobeDoorMaterial))=TRUE,"""",((2*(B28+C28))/1000)*"&amp;"VLOOKUP(""Edge banding (per M)"",SheetsData,5,0))))))))))"),0.0)</f>
        <v>0</v>
      </c>
      <c r="G28" s="153" t="str">
        <f>IF(A28="","",IF(AND(ISERROR(FIND("arcass",A28))=TRUE,ISERROR(FIND("Fireplace",A28))=TRUE),"",IF(VALUE(C28)&lt;606,4*VLOOKUP("Plinth foot (2 Parts 80mm)",FurnitureData,5,FALSE),IF(VALUE(C28)&lt;1211,6*VLOOKUP("Plinth foot (2 Parts 80mm)",FurnitureData,5,FALSE),8*VLOOKUP("Plinth foot (2 Parts 80mm)",FurnitureData,5,FALSE)))))</f>
        <v/>
      </c>
      <c r="H28" s="115" t="str">
        <f>IF(OR(A28="",ISERROR(FIND("door",A28))=TRUE),"",VLOOKUP("Hinges &amp; plates (Hettich thick door)",FurnitureData,5,0)*5)</f>
        <v/>
      </c>
      <c r="I28" s="115" t="str">
        <f>IF(ISERROR(FIND("shelf",A28))=FALSE,(VLOOKUP("Shelf pegs",FurnitureData,5,0)/100)*4,"")</f>
        <v/>
      </c>
      <c r="J28" s="152" t="str">
        <f>IF(OR(ISERROR(FIND("fridge/freezer",A28))=FALSE,ISERROR(FIND("sink",A28))=FALSE,ISERROR(FIND("larder",A28))=FALSE),VLOOKUP("Deep shelf "&amp;C28,Wardrobes_etcData,18,0),IF(OR(ISERROR(FIND("single oven",A28))=FALSE,ISERROR(FIND("Base carcass",A28))=FALSE),2*VLOOKUP("Deep shelf "&amp;C28,Wardrobes_etcData,18,0),IF(AND(ISERROR(FIND("wall carcass",A28))=FALSE,ISERROR(FIND("Boiler",A28))=TRUE),2*VLOOKUP("Shallow shelf "&amp;C28,Wardrobes_etcData,18,0),IF(ISERROR(FIND("double oven",A28))=FALSE,3*VLOOKUP("Deep shelf "&amp;C28,Wardrobes_etcData,18,0),IF(ISERROR(FIND("Tower carcass",A28))=FALSE,6*VLOOKUP("Deep shelf "&amp;C28,Wardrobes_etcData,18,0),"")))))</f>
        <v/>
      </c>
      <c r="K28" s="152" t="str">
        <f>IF(ISERROR(FIND("sink",A28))=FALSE,VLOOKUP("Sink liner - Aluminium "&amp;RIGHT(A28,LEN(A28)-22)&amp;"mm",ExceptionalData,5,0),IF(ISERROR(FIND("bins",A28))=FALSE,VLOOKUP("Drawer runners and clip set for bin unit (500) Dynapro",FurnitureData,5,0)+(2*VLOOKUP("Bin (42L Anthracite)",FurnitureData,5,0)),IF(ISERROR(FIND("larder",A28))=FALSE,VLOOKUP("Pull out larder unit 600mm",FurnitureData,5,0),IF(AND(ISERROR(FIND("drawer box",A28))=FALSE,ISERROR(FIND("internal",A28))=TRUE),VLOOKUP("Drawer runners and clip set (550) Dynapro",FurnitureData,5,0),IF(ISERROR(FIND("internal drawer box",A28))=FALSE,VLOOKUP("Drawer runners and clip set (450) Dynapro",FurnitureData,5,0),IF(ISERROR(FIND("table",A28))=FALSE,VLOOKUP("Hairpin Leg (12mm Black "&amp;MID(A28,FIND("(",A28)+1,LEN(A28)-(FIND("(",A28))-1)&amp;"mm)",ExceptionalData,4,FALSE),""))))))</f>
        <v/>
      </c>
      <c r="L28" s="152">
        <f t="shared" si="3"/>
        <v>5.316312819</v>
      </c>
      <c r="M28" s="154">
        <f>IF(A28="","",IF(AND(ISERROR(FIND("drawer front",A28))=FALSE,WardrobeDoorStyle="Flat"),(((B28/1000)*(C28/1000))*2)+((((B28+C28)/1000)*2)*0.022),IF(AND(ISERROR(FIND("drawer front",A28))=FALSE,LEFT(WardrobeDoorStyle,5)="Panel"),(((B28/1000)*(C28/1000))*2)+((((B28+C28)/1000)*2)*0.022)+((((C28/1000)-0.16)*0.013)*2)+((((D28/1000)-0.16)*0.013)*2),IF(AND(ISERROR(FIND("drawer front",A28))=FALSE,WardrobeDoorStyle="In-frame flat"),((((B28-76)/1000)*((C28-38)/1000))*2)+(MID(WardrobeDoorMaterial,FIND("(",WardrobeDoorMaterial)+1,2)/1000)*((((B28-76)+(C28-38))/1000)*2)+(((B28/1000)*0.032)*2)+((((B28-76)/1000)*0.032)*2)+(((B28/1000)*0.019)*4)+(((C28/1000)*0.032)*2)+((((C28-38)/1000)*0.032)*2)+(((C28/1000)*0.038)*4),IF(AND(ISERROR(FIND("drawer front",A28))=FALSE,LEFT(WardrobeDoorStyle,14)="In-frame panel"),((((B28-76)/1000)*((C28-38)/1000))*2)+((MID(WardrobeDoorMaterial,FIND("(",WardrobeDoorMaterial)+1,2)/1000)*((((B28-76)+(C28-38))/1000)*2))+((((B28-236)/1000)+((C28-198)/1000)*2)*0.013)+(((B28/1000)*0.032)*2)+((((B28-76)/1000)*0.032)*2)+(((B28/1000)*0.019)*4)+(((C28/1000)*0.032)*2)+((((C28-38)/1000)*0.032)*2)+(((C28/1000)*0.038)*4),IF(ISERROR(FIND("drawer box",A28))=FALSE,((((B28/1000)*(D28/1000))+((B28/1000)*(C28/1000)))*4)+((((D28/1000)+(C28/1000))*0.016)*4)+(((C28/1000)*(D28/1000))*2),IF(OR(ISERROR(FIND("shelf",A28))=FALSE,ISERROR(FIND("Filler panel",A28))=FALSE),(((C28/1000)*(D28/1000))*2)+((((C28+D28)*2)/1000)*0.022),IF(ISERROR(FIND("Fireplace",A28))=FALSE,((B28/1000)*(C28/1000)),IF(ISERROR(FIND("Worktop",A28))=FALSE,(B28/1000)*(C28/1000),IF(ISERROR(FIND("table",A28))=FALSE,(B28/1000)*0.6,IF(ISERROR(FIND("arcass",A28))=FALSE,(((C28/1000)*(D28/1000))*2)+(((B28/1000)*(D28/1000))*2)+((B28/1000)*(C28/1000))+((((B28/1000)*0.025)+((C28/1000)*0.025))*2),IF(AND(ISERROR(FIND("door",A28))=FALSE,WardrobeDoorStyle="Flat"),(((B28/1000)*(C28/1000))*2)+(MID(WardrobeDoorMaterial,FIND("(",WardrobeDoorMaterial)+1,2)/1000)*(((B28+C28)/1000)*2),IF(AND(ISERROR(FIND("door",A28))=FALSE,LEFT(WardrobeDoorStyle,5)="Panel"),(((B28/1000)*(C28/1000))*2)+((MID(WardrobeDoorMaterial,FIND("(",WardrobeDoorMaterial)+1,2)/1000)*(((B28+C28)/1000)*2))+(((((B28-160)+(C28-160))*2)/1000)*(0.013)),IF(AND(ISERROR(FIND("door",A28))=FALSE,WardrobeDoorStyle="In-frame flat"),((((B28-76)/1000)*((C28-38)/1000))*2)+(MID(WardrobeDoorMaterial,FIND("(",WardrobeDoorMaterial)+1,2)/1000)*((((B28-76)+(C28-38))/1000)*2)+(((B28/1000)*0.032)*2)+((((B28-76)/1000)*0.032)*2)+(((B28/1000)*0.019)*4)+(((C28/1000)*0.032)*2)+((((C28-38)/1000)*0.032)*2)+(((C28/1000)*0.038)*4),IF(AND(ISERROR(FIND("door",A28))=FALSE,LEFT(WardrobeDoorStyle,14)="In-frame panel"),((((B28-76)/1000)*((C28-38)/1000))*2)+((MID(WardrobeDoorMaterial,FIND("(",WardrobeDoorMaterial)+1,2)/1000)*((((B28-76)+(C28-38))/1000)*2))+((((B28-236)/1000)+((C28-198)/1000)*2)*0.013)+(((B28/1000)*0.032)*2)+((((B28-76)/1000)*0.032)*2)+(((B28/1000)*0.019)*4)+(((C28/1000)*0.032)*2)+((((C28-38)/1000)*0.032)*2)+(((C28/1000)*0.038)*4),IF(ISERROR(FIND("Plinth",A28))=FALSE,((B28/1000)*(C28/1000))+(((C28/1000)*0.018)*2)+(((B28/1000)*0.018)*2),IF(ISERROR(FIND("Cornice",A28))=FALSE,(((C28/1000)*0.1)*2)+(((C28/1000)*0.044)*2)+(((B28/1000)*0.08)*2),IF(ISERROR(FIND("Office pod",A28))=FALSE,((2400/1000)*(1200/1000))*6,IF(ISERROR(FIND("panel",A28))=FALSE,((B28/1000)*(C28/1000))+(0.022*((B28/1000)+((C28/1000)*2)))+((B28/1000)*0.05),IF(ISERROR(FIND("Fillers",A28))=FALSE,((C28/1000)*0.06)+((C28/1000)*0.069)+((0.06*0.018)*2)+((0.06*0.009)*2)+((C28/1000)*0.009)+((C28/1000)*0.018),IF(ISERROR(FIND("Pelmet",A28))=FALSE,((C28/1000)*0.05)+((C28/1000)*0.068)+((0.05*0.018)*4)+(((C28/1000)*0.018))*2)))))))))))))))))))))</f>
        <v>0.66224</v>
      </c>
      <c r="N28" s="152">
        <f>IF(M28="","",IF(AND(ISERROR(FIND("carcass",A28))=TRUE,ISERROR(FIND("unit",A28))=TRUE,ISERROR(FIND("insert",A28))=TRUE,ISERROR(FIND("rack",A28))=TRUE,ISERROR(FIND("box",A28))=TRUE,ISERROR(FIND("shelf",A28))=TRUE),VLOOKUP(WardrobeDoorFinish,Finishing!$A$2:$K$10,9,0)*M28,IF(ISERROR(FIND("table",A28))=FALSE,VLOOKUP("Sayerlack AF0072 Interior Clear Self-Sealer",FinishingData,9,FALSE)*M28,VLOOKUP(WardrobeCarcassFinish,Finishing!$A$2:$K$40,9,0)*M28)))</f>
        <v>4.9668</v>
      </c>
      <c r="O28" s="155">
        <v>0.5</v>
      </c>
      <c r="P28" s="155">
        <v>0.5</v>
      </c>
      <c r="Q28" s="152">
        <f>IF(OR(O28="",P28=""),"",((O28*X28)*(VLOOKUP("Workshop",Labour!$A$3:$E$20,4,0)/8))+((P28*AE28)*(VLOOKUP("Finishing",Labour!$A$3:$E$20,4,0)/8)))</f>
        <v>35.875</v>
      </c>
      <c r="R28" s="152">
        <f t="shared" si="4"/>
        <v>46.15811282</v>
      </c>
      <c r="S28" s="156">
        <f>IF(OR(O28="",P28=""),"",IF(OR(ISERROR(FIND("carcass",$A28))=FALSE,ISERROR(FIND("unit",$A28))=FALSE),VLOOKUP(WardrobeCarcassMaterial,FixedListsCarcassMaterial,2,0),0))</f>
        <v>0</v>
      </c>
      <c r="T28" s="156">
        <f>IF(OR(O28="",P28=""),"",IF(ISERROR(FIND("door",$A28))=FALSE,VLOOKUP(WardrobeDoorStyle,FixedListsDoorStyle,2,0),0))</f>
        <v>0</v>
      </c>
      <c r="U28" s="156">
        <f>IF(OR(O28="",P28=""),"",IF(ISERROR(FIND("door",$A28))=FALSE,VLOOKUP(WardrobeDoorMaterial,FixedListsDoorMaterial,2,0),0))</f>
        <v>0</v>
      </c>
      <c r="V28" s="156">
        <f>IF(OR(O28="",P28=""),"",IF(ISERROR(FIND("drawer",$A28))=FALSE,VLOOKUP(WardrobeDrawerType,FixedListsDrawerType,2,0),0))</f>
        <v>1</v>
      </c>
      <c r="W28" s="156">
        <f>IF(OR(O28="",P28=""),"",IF(S28&gt;0,VLOOKUP(WardrobeHandleType,FixedListsHandleType,2,FALSE),0))</f>
        <v>0</v>
      </c>
      <c r="X28" s="156">
        <f t="shared" si="5"/>
        <v>1</v>
      </c>
      <c r="Y28" s="156">
        <f>IF(OR(O28="",P28=""),"",IF(OR(ISERROR(FIND("carcass",$A28))=FALSE,ISERROR(FIND("unit",$A28))=FALSE),VLOOKUP(WardrobeCarcassMaterial,FixedListsCarcassMaterial,3,0),0))</f>
        <v>0</v>
      </c>
      <c r="Z28" s="156">
        <f>IF(OR(O28="",P28=""),"",IF(ISERROR(FIND("door",$A28))=FALSE,VLOOKUP(WardrobeDoorStyle,FixedListsDoorStyle,3,0),0))</f>
        <v>0</v>
      </c>
      <c r="AA28" s="156">
        <f>IF(OR(O28="",P28=""),"",IF(ISERROR(FIND("door",$A28))=FALSE,VLOOKUP(WardrobeDoorMaterial,FixedListsDoorMaterial,3,0),0))</f>
        <v>0</v>
      </c>
      <c r="AB28" s="156">
        <f>IF(OR(O28="",P28=""),"",IF(ISERROR(FIND("drawer",$A28))=FALSE,VLOOKUP(WardrobeDrawerType,FixedListsDrawerType,3,0),0))</f>
        <v>1</v>
      </c>
      <c r="AC28" s="156">
        <f>IF(OR(O28="",P28=""),"",IF(S28&gt;0,VLOOKUP(WardrobeHandleType,FixedListsHandleType,3,FALSE),0))</f>
        <v>0</v>
      </c>
      <c r="AD28" s="156">
        <f>IF(OR(O28="",P28=""),"",IF(OR(ISERROR(FIND("carcass",$A28))=FALSE,ISERROR(FIND("unit",$A28))=FALSE),VLOOKUP(WardrobeCarcassFinish,FixedListsFinishes,3,0),IF(OR(ISERROR(FIND("door",$A28))=FALSE,ISERROR(FIND("Plinth",$A28))=FALSE,ISERROR(FIND("Cornice",$A28))=FALSE,ISERROR(FIND("Fillers",$A28))=FALSE,ISERROR(FIND("Pelmet",$A28))=FALSE,ISERROR(FIND("panel",$A28))=FALSE,ISERROR(FIND("post",$A28))=FALSE),VLOOKUP(WardrobeDoorFinish,FixedListsFinishes,3,0),IF(OR(ISERROR(FIND("drawer",$A28))=FALSE,ISERROR(FIND("insert",$A28))=FALSE,ISERROR(FIND("rck",$A28))=FALSE),VLOOKUP(WardrobeCarcassFinish,FixedListsFinishes,3,0),0))))</f>
        <v>1</v>
      </c>
      <c r="AE28" s="156">
        <f t="shared" si="6"/>
        <v>1</v>
      </c>
      <c r="AF28" s="157" t="str">
        <f>IF(AND(WardrobeHandleType="Channel",OR(ISERROR(FIND("arcass",$A28))=FALSE,ISERROR(FIND("unit",$A28))=FALSE)),IF(ISERROR(FIND("Tower",$A28))=TRUE,IF(WardrobeHandleFinish="Match carcass",IF(ISERROR(FIND("Walnut",WardrobeCarcassMaterial))=FALSE,(0.035*0.075*($C28/1000))*VLOOKUP("Walnut (solid m3)",SolidData,4,FALSE),IF(ISERROR(FIND("Oak",WardrobeCarcassMaterial))=FALSE,(0.035*0.075*($C28/1000))*VLOOKUP("Oak (solid m3)",SolidData,4,FALSE),IF(ISERROR(FIND("ply",WardrobeCarcassMaterial))=FALSE,(0.1*($C28/1000))*VLOOKUP("Birch ply (24mm)",SheetsData,7,FALSE),IF(ISERROR(FIND("H/F",WardrobeCarcassMaterial))=FALSE,(0.1*($C28/1000))*VLOOKUP("H/F (22mm)",SheetsData,7,FALSE),"Carcass - not tower - new material")))),IF(WardrobeHandleFinish="Match door",IF(ISERROR(FIND("Walnut",WardrobeDoorMaterial))=FALSE,(0.035*0.075*($C28/1000))*VLOOKUP("Walnut (solid m3)",SolidData,4,FALSE),IF(ISERROR(FIND("Oak",WardrobeDoorMaterial))=FALSE,(0.035*0.075*($C28/1000))*VLOOKUP("Oak (solid m3)",SolidData,4,FALSE),IF(ISERROR(FIND("ply",WardrobeDoorMaterial))=FALSE,(0.1*($C28/1000))*VLOOKUP("Birch ply (24mm)",SheetsData,7,FALSE),IF(ISERROR(FIND("H/F",WardrobeCarcassMaterial))=FALSE,(0.1*($C28/1000))*VLOOKUP("H/F (22mm)",SheetsData,7,FALSE),"Door - not tower - new material")))),"Channel - not tower - handle set to other")),IF(ISERROR(FIND("Tower",$A28))=FALSE,IF(WardrobeHandleFinish="Match carcass",IF(ISERROR(FIND("Walnut",WardrobeCarcassMaterial))=FALSE,(0.035*0.075*($B28/1000))*VLOOKUP("Walnut (solid m3)",SolidData,4,FALSE),IF(ISERROR(FIND("Oak",WardrobeCarcassMaterial))=FALSE,(0.035*0.075*($B28/1000))*VLOOKUP("Oak (solid m3)",SolidData,4,FALSE),IF(ISERROR(FIND("ply",WardrobeCarcassMaterial))=FALSE,(0.1*($B28/1000))*VLOOKUP("Birch ply (24mm)",SheetsData,7,FALSE),IF(ISERROR(FIND("H/F",WardrobeCarcassMaterial))=FALSE,(0.1*($C28/1000))*VLOOKUP("H/F (22mm)",SheetsData,7,FALSE),"Carcass - tower - new material")))),IF(WardrobeHandleFinish="Match door",IF(ISERROR(FIND("Walnut",WardrobeDoorMaterial))=FALSE,(0.035*0.075*($B28/1000))*VLOOKUP("Walnut (solid m3)",SolidData,4,FALSE),IF(ISERROR(FIND("Oak",WardrobeDoorMaterial))=FALSE,(0.035*0.075*($B28/1000))*VLOOKUP("Oak (solid m3)",SolidData,4,FALSE),IF(ISERROR(FIND("ply",WardrobeDoorMaterial))=FALSE,(0.1*($B28/1000))*VLOOKUP("Birch ply (24mm)",SheetData,7,FALSE),IF(ISERROR(FIND("H/F",WardrobeCarcassMaterial))=FALSE,(0.1*($C28/1000))*VLOOKUP("H/F (22mm)",SheetsData,7,FALSE),"Door - tower - new material")))),"Channel - tower - handle set to other")))),"")</f>
        <v/>
      </c>
    </row>
    <row r="29">
      <c r="A29" s="150" t="s">
        <v>237</v>
      </c>
      <c r="B29" s="160" t="str">
        <f t="shared" si="1"/>
        <v>360</v>
      </c>
      <c r="C29" s="160" t="str">
        <f>IFERROR(__xludf.DUMMYFUNCTION("IF(A29="""","""",IF(ISERROR(FIND(""arcass"",A29))=FALSE,MID(A29,FIND(""*"",A29)+1,FIND(""*"",A29,FIND(""*"",A29)+1)-FIND(""*"",A29)-1),IF(ISERROR(FIND(""End panel"",A29))=FALSE,RIGHT(A29,3),IF(OR(ISERROR(FIND(""drawer"",A29))=FALSE,ISERROR(FIND(""door"",A"&amp;"29))=FALSE,ISERROR(FIND(""shelf"",A29))=FALSE,ISERROR(FIND(""panel"",A29))=FALSE,ISERROR(FIND(""Plinth"",A29))=FALSE,ISERROR(FIND(""Cornice"",A29))=FALSE,ISERROR(FIND(""Fillers"",A29))=FALSE,ISERROR(FIND(""Pelmet"",A29))=FALSE,ISERROR(FIND(""Fireplace up "&amp;"to 1600"",A29))=FALSE),RIGHT(A29,LEN(A29)-LEN(regexextract(A29,"".* ""))),IF(ISERROR(FIND(""table"",A29))=FALSE,""560"",IF(ISERROR(FIND(""Office pod"",A29))=FALSE,""1600"",IF(ISERROR(FIND(""Fireplace over 1600"",A29))=FALSE,""2400"",IF(ISERROR(FIND(""Work"&amp;"top"",A29))=FALSE,""650"",""Whoops""))))))))"),"600")</f>
        <v>600</v>
      </c>
      <c r="D29" s="161" t="str">
        <f t="shared" si="2"/>
        <v/>
      </c>
      <c r="E29" s="152">
        <f>IF(OR(A29="",AND(ISERROR(FIND("drawer",A29))=FALSE,WardrobeDrawerType="")),"",IF(ISERROR(FIND("door",A29))=FALSE,IF(WardrobeDoorStyle="Flat",((B29/1000)*(C29/1000))*VLOOKUP(WardrobeDoorMaterial,SheetsData,8,0),IF(LEFT(WardrobeDoorStyle,5)="Panel",(((((B29/1000)*2)*0.08)+((((C29/1000)-0.16)*2)*0.08))*VLOOKUP("H/F (22mm)",SheetsData,8,0))+(((B29/1000)-0.14)*((C29/1000)-0.14)*VLOOKUP("H/F (9mm)",SheetsData,8,0)),IF(WardrobeDoorStyle="In-frame flat",((((((B29/1000)*0.019)*0.038)+((((C29-38)/1000)*0.038)*0.038))*2)*VLOOKUP("Tulip (solid m3)",SolidData,4,0))+(((B29-76)/1000)*((C29-38)/1000))*VLOOKUP("H/F (22mm)",SheetsData,8,0),IF(LEFT(WardrobeDoorStyle,14)="In-frame panel",(((((((B29/1000)*0.019)*0.038)+((((C29-38)/1000)*0.038)*0.038))*2)*VLOOKUP("Tulip (solid m3)",SolidData,4,0))+(((((((B29-76)/1000)*2)*0.08)+(((((C29-198)/1000)*2)*0.08)))*VLOOKUP("H/F (22mm)",SheetsData,8,0))+(((B29-216)/1000)*((C29-178)/1000)*VLOOKUP("H/F (9mm)",SheetsData,8,0)))))))),IF(AND(ISERROR(FIND("arcass",A29))=FALSE,ISERROR(FIND("ost corner",A29))=TRUE),IF(AND(VALUE(B29)&lt;1211,VALUE(C29)&lt;1211,VALUE(D29)&lt;606),1*VLOOKUP(WardrobeCarcassMaterial,SheetsData,5,FALSE),IF(AND(VALUE(B29)&lt;2421,VALUE(C29)&lt;2421,VALUE(D29)&lt;606),2*VLOOKUP(WardrobeCarcassMaterial,SheetsData,5,FALSE),IF(AND(VALUE(B29)&lt;2421,VALUE(C29)&lt;1211,VALUE(D29)&lt;1211),3*VLOOKUP(WardrobeCarcassMaterial,SheetsData,5,FALSE),IF(AND(VALUE(B29)&lt;2421,VALUE(C29)&lt;2421,VALUE(D29)&lt;1211),4*VLOOKUP(WardrobeCarcassMaterial,SheetsData,5,FALSE))))),IF(AND(ISERROR(FIND("arcass",A29))=FALSE,ISERROR(FIND("ost corner",A29))=FALSE),IF(AND(VALUE(B29)&lt;1211,VALUE(C29)&lt;1211,VALUE(D29)&lt;606),(1*VLOOKUP(WardrobeCarcassMaterial,SheetsData,5,FALSE))+(VLOOKUP("H/F (22mm)",SheetsData,7,FALSE)*1.44),IF(AND(VALUE(B29)&lt;2421,VALUE(C29)&lt;2421,VALUE(D29)&lt;606),(2*VLOOKUP(WardrobeCarcassMaterial,SheetsData,5,FALSE))+(VLOOKUP("H/F (22mm)",SheetsData,7,FALSE)*1.44),IF(AND(VALUE(B29)&lt;2421,VALUE(C29)&lt;1211,VALUE(D29)&lt;1211),(3*VLOOKUP(WardrobeCarcassMaterial,SheetsData,5,FALSE))+(VLOOKUP("H/F (22mm)",SheetsData,7,FALSE)*1.44),IF(AND(VALUE(B29)&lt;2421,VALUE(C29)&lt;2421,VALUE(D29)&lt;1211),(4*VLOOKUP(WardrobeCarcassMaterial,SheetsData,5,FALSE))+(VLOOKUP("H/F (22mm)",SheetsData,7,FALSE)*1.44))))),IF(ISERROR(FIND("drawer front",A29))=FALSE,((B29/1000)*(C29/1000))*VLOOKUP(WardrobeDoorMaterial,SheetsData,8,0),IF(AND(WardrobeDrawerType="Match carcass",ISERROR(FIND("drawer box",A29))=FALSE),(((((B29/1000)*(C29/1000))+((B29/1000)*(D29/1000)))*2)*VLOOKUP(WardrobeCarcassMaterial,SheetsData,8,0))+(((C29/1000)*(D29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box",A29))=FALSE),(((((B29/1000)*(C29/1000))+((B29/1000)*(D29/1000)))*2)*(16/1000)*VLOOKUP(LEFT(WardrobeCarcassMaterial,FIND(" ",WardrobeCarcassMaterial))&amp;"(solid m3)",SolidData,4,0))+(((C29/1000)*(D29/1000))*VLOOKUP(LEFT(WardrobeCarcassMaterial,FIND("(",WardrobeCarcassMaterial)-1)&amp;IF(OR(ISERROR(FIND("ply",WardrobeCarcassMaterial))=FALSE,ISERROR(FIND("H/F",WardrobeCarcassMaterial))=FALSE),"(9mm)","(10mm)"),SheetsData,8,0)),IF(ISERROR(FIND("shelf",A29))=FALSE,((C29/1000)*(D29/1000))*VLOOKUP(WardrobeCarcassMaterial,SheetsData,7,FALSE),IF(ISERROR(FIND("Office pod",A29))=FALSE,3*VLOOKUP(WardrobeCarcassMaterial,SheetsData,5,0),IF(ISERROR(FIND(" panel",A29))=FALSE,((B29/1000)*(C29/1000))*VLOOKUP(WardrobeDoorMaterial,SheetsData,8,0),IF(ISERROR(FIND("Fillers",A29))=FALSE,(((0.06*(C29/1000))*2)*VLOOKUP("H/F (18mm)",SheetsData,8,0))+(((0.06*(C29/1000))*2)*VLOOKUP("H/F (9mm)",SheetsData,8,0)),IF(ISERROR(FIND("Cornice (stacked)",A29))=FALSE,((0.08*(C29/1000))*2)*VLOOKUP("H/F (22mm)",SheetsData,8,0),IF(OR(ISERROR(FIND("Plinth",A29))=FALSE,ISERROR(FIND("Cornice (flat)",A29))=FALSE),((B29/1000)*(C29/1000))*VLOOKUP("H/F (18mm)",SheetsData,8,0),IF(ISERROR(FIND("Pelmet",A29))=FALSE,((((B29/1000)*(C29/1000))*2)*VLOOKUP("H/F (18mm)",SheetsData,8,0)),IF(ISERROR(FIND("Fireplace",A29))=FALSE,IF(ISERROR(FIND("over 1600",A29))=FALSE,2*VLOOKUP(WardrobeCarcassMaterial,SheetsData,5,FALSE),VLOOKUP(WardrobeCarcassMaterial,SheetsData,5,FALSE)),IF(ISERROR(FIND("table",A29))=FALSE,((B29/1000)*0.6)*VLOOKUP("Birch ply (24mm)",SheetsData,7,FALSE),IF(ISERROR(FIND("Worktop",A29))=FALSE,((B29/1000)*(C29/1000))*VLOOKUP(WardrobeDoorMaterial,SheetsData,7,FALSE),"Check formula")))))))))))))))))</f>
        <v>3.987234614</v>
      </c>
      <c r="F29" s="152">
        <f>IFERROR(__xludf.DUMMYFUNCTION("IF(OR(A29="""",AND(ISERROR(FIND(""drawer box"",A29))=FALSE,WardrobeDrawerType=""Solid dovetail"")),"""",IF(ISERROR(FIND(""bins"",A29))=FALSE,VLOOKUP(""Base carcass 600"",Wardrobes_etcData,6,0),IF(OR(ISERROR(FIND(""larder"",A29))=FALSE,ISERROR(FIND(""unit"&amp;""",A29))=FALSE),VLOOKUP(LEFT(A29,FIND("" "",A29))&amp;""carcass ""&amp;RIGHT(A29,LEN(A29)-len(regexextract(A29,"".* ""))),Wardrobes_etcData,6,0),IF(ISERROR(FIND(""drawer front"",A29))=FALSE,IF(ISERROR(FIND(""veneer"",WardrobeCarcassMaterial))=TRUE,0,(((B29+C29)/1"&amp;"000)*2)*VLOOKUP(""Edge banding (per M)"",SheetsData,5,0)),IF(ISERROR(FIND(""drawer box"",A29))=FALSE,IF(ISERROR(FIND(""veneer"",WardrobeCarcassMaterial))=TRUE,0,(((C29+D29)/1000)*2)*VLOOKUP(""Edge banding (per M)"",SheetsData,5,0)),IF(ISERROR(FIND(""shelf"&amp;""",A29))=FALSE,IF(ISERROR(FIND(""veneer"",WardrobeCarcassMaterial))=TRUE,0,(C29/1000)*VLOOKUP(""Edge banding (per M)"",SheetsData,5,0)),IF(AND(OR(ISERROR(FIND(""arcass"",A29))=FALSE,ISERROR(FIND(""Fireplace"",A29))=FALSE),ISERROR(FIND(""shelf"",A29))=TRUE"&amp;"),IF(ISERROR(FIND(""veneer"",WardrobeCarcassMaterial))=TRUE,0,((2*(B29+C29))/1000)*VLOOKUP(""Edge banding (per M)"",SheetsData,5,0)),IF(ISERROR(FIND(""door"",A29))=TRUE,"""",IF(ISERROR(FIND(""veneer"",WardrobeDoorMaterial))=TRUE,"""",((2*(B29+C29))/1000)*"&amp;"VLOOKUP(""Edge banding (per M)"",SheetsData,5,0))))))))))"),0.0)</f>
        <v>0</v>
      </c>
      <c r="G29" s="153" t="str">
        <f>IF(A29="","",IF(AND(ISERROR(FIND("arcass",A29))=TRUE,ISERROR(FIND("Fireplace",A29))=TRUE),"",IF(VALUE(C29)&lt;606,4*VLOOKUP("Plinth foot (2 Parts 80mm)",FurnitureData,5,FALSE),IF(VALUE(C29)&lt;1211,6*VLOOKUP("Plinth foot (2 Parts 80mm)",FurnitureData,5,FALSE),8*VLOOKUP("Plinth foot (2 Parts 80mm)",FurnitureData,5,FALSE)))))</f>
        <v/>
      </c>
      <c r="H29" s="115" t="str">
        <f>IF(OR(A29="",ISERROR(FIND("door",A29))=TRUE),"",VLOOKUP("Hinges &amp; plates (Hettich thick door)",FurnitureData,5,0)*5)</f>
        <v/>
      </c>
      <c r="I29" s="115" t="str">
        <f>IF(ISERROR(FIND("shelf",A29))=FALSE,(VLOOKUP("Shelf pegs",FurnitureData,5,0)/100)*4,"")</f>
        <v/>
      </c>
      <c r="J29" s="152" t="str">
        <f>IF(OR(ISERROR(FIND("fridge/freezer",A29))=FALSE,ISERROR(FIND("sink",A29))=FALSE,ISERROR(FIND("larder",A29))=FALSE),VLOOKUP("Deep shelf "&amp;C29,Wardrobes_etcData,18,0),IF(OR(ISERROR(FIND("single oven",A29))=FALSE,ISERROR(FIND("Base carcass",A29))=FALSE),2*VLOOKUP("Deep shelf "&amp;C29,Wardrobes_etcData,18,0),IF(AND(ISERROR(FIND("wall carcass",A29))=FALSE,ISERROR(FIND("Boiler",A29))=TRUE),2*VLOOKUP("Shallow shelf "&amp;C29,Wardrobes_etcData,18,0),IF(ISERROR(FIND("double oven",A29))=FALSE,3*VLOOKUP("Deep shelf "&amp;C29,Wardrobes_etcData,18,0),IF(ISERROR(FIND("Tower carcass",A29))=FALSE,6*VLOOKUP("Deep shelf "&amp;C29,Wardrobes_etcData,18,0),"")))))</f>
        <v/>
      </c>
      <c r="K29" s="152" t="str">
        <f>IF(ISERROR(FIND("sink",A29))=FALSE,VLOOKUP("Sink liner - Aluminium "&amp;RIGHT(A29,LEN(A29)-22)&amp;"mm",ExceptionalData,5,0),IF(ISERROR(FIND("bins",A29))=FALSE,VLOOKUP("Drawer runners and clip set for bin unit (500) Dynapro",FurnitureData,5,0)+(2*VLOOKUP("Bin (42L Anthracite)",FurnitureData,5,0)),IF(ISERROR(FIND("larder",A29))=FALSE,VLOOKUP("Pull out larder unit 600mm",FurnitureData,5,0),IF(AND(ISERROR(FIND("drawer box",A29))=FALSE,ISERROR(FIND("internal",A29))=TRUE),VLOOKUP("Drawer runners and clip set (550) Dynapro",FurnitureData,5,0),IF(ISERROR(FIND("internal drawer box",A29))=FALSE,VLOOKUP("Drawer runners and clip set (450) Dynapro",FurnitureData,5,0),IF(ISERROR(FIND("table",A29))=FALSE,VLOOKUP("Hairpin Leg (12mm Black "&amp;MID(A29,FIND("(",A29)+1,LEN(A29)-(FIND("(",A29))-1)&amp;"mm)",ExceptionalData,4,FALSE),""))))))</f>
        <v/>
      </c>
      <c r="L29" s="152">
        <f t="shared" si="3"/>
        <v>3.987234614</v>
      </c>
      <c r="M29" s="154">
        <f>IF(A29="","",IF(AND(ISERROR(FIND("drawer front",A29))=FALSE,WardrobeDoorStyle="Flat"),(((B29/1000)*(C29/1000))*2)+((((B29+C29)/1000)*2)*0.022),IF(AND(ISERROR(FIND("drawer front",A29))=FALSE,LEFT(WardrobeDoorStyle,5)="Panel"),(((B29/1000)*(C29/1000))*2)+((((B29+C29)/1000)*2)*0.022)+((((C29/1000)-0.16)*0.013)*2)+((((D29/1000)-0.16)*0.013)*2),IF(AND(ISERROR(FIND("drawer front",A29))=FALSE,WardrobeDoorStyle="In-frame flat"),((((B29-76)/1000)*((C29-38)/1000))*2)+(MID(WardrobeDoorMaterial,FIND("(",WardrobeDoorMaterial)+1,2)/1000)*((((B29-76)+(C29-38))/1000)*2)+(((B29/1000)*0.032)*2)+((((B29-76)/1000)*0.032)*2)+(((B29/1000)*0.019)*4)+(((C29/1000)*0.032)*2)+((((C29-38)/1000)*0.032)*2)+(((C29/1000)*0.038)*4),IF(AND(ISERROR(FIND("drawer front",A29))=FALSE,LEFT(WardrobeDoorStyle,14)="In-frame panel"),((((B29-76)/1000)*((C29-38)/1000))*2)+((MID(WardrobeDoorMaterial,FIND("(",WardrobeDoorMaterial)+1,2)/1000)*((((B29-76)+(C29-38))/1000)*2))+((((B29-236)/1000)+((C29-198)/1000)*2)*0.013)+(((B29/1000)*0.032)*2)+((((B29-76)/1000)*0.032)*2)+(((B29/1000)*0.019)*4)+(((C29/1000)*0.032)*2)+((((C29-38)/1000)*0.032)*2)+(((C29/1000)*0.038)*4),IF(ISERROR(FIND("drawer box",A29))=FALSE,((((B29/1000)*(D29/1000))+((B29/1000)*(C29/1000)))*4)+((((D29/1000)+(C29/1000))*0.016)*4)+(((C29/1000)*(D29/1000))*2),IF(OR(ISERROR(FIND("shelf",A29))=FALSE,ISERROR(FIND("Filler panel",A29))=FALSE),(((C29/1000)*(D29/1000))*2)+((((C29+D29)*2)/1000)*0.022),IF(ISERROR(FIND("Fireplace",A29))=FALSE,((B29/1000)*(C29/1000)),IF(ISERROR(FIND("Worktop",A29))=FALSE,(B29/1000)*(C29/1000),IF(ISERROR(FIND("table",A29))=FALSE,(B29/1000)*0.6,IF(ISERROR(FIND("arcass",A29))=FALSE,(((C29/1000)*(D29/1000))*2)+(((B29/1000)*(D29/1000))*2)+((B29/1000)*(C29/1000))+((((B29/1000)*0.025)+((C29/1000)*0.025))*2),IF(AND(ISERROR(FIND("door",A29))=FALSE,WardrobeDoorStyle="Flat"),(((B29/1000)*(C29/1000))*2)+(MID(WardrobeDoorMaterial,FIND("(",WardrobeDoorMaterial)+1,2)/1000)*(((B29+C29)/1000)*2),IF(AND(ISERROR(FIND("door",A29))=FALSE,LEFT(WardrobeDoorStyle,5)="Panel"),(((B29/1000)*(C29/1000))*2)+((MID(WardrobeDoorMaterial,FIND("(",WardrobeDoorMaterial)+1,2)/1000)*(((B29+C29)/1000)*2))+(((((B29-160)+(C29-160))*2)/1000)*(0.013)),IF(AND(ISERROR(FIND("door",A29))=FALSE,WardrobeDoorStyle="In-frame flat"),((((B29-76)/1000)*((C29-38)/1000))*2)+(MID(WardrobeDoorMaterial,FIND("(",WardrobeDoorMaterial)+1,2)/1000)*((((B29-76)+(C29-38))/1000)*2)+(((B29/1000)*0.032)*2)+((((B29-76)/1000)*0.032)*2)+(((B29/1000)*0.019)*4)+(((C29/1000)*0.032)*2)+((((C29-38)/1000)*0.032)*2)+(((C29/1000)*0.038)*4),IF(AND(ISERROR(FIND("door",A29))=FALSE,LEFT(WardrobeDoorStyle,14)="In-frame panel"),((((B29-76)/1000)*((C29-38)/1000))*2)+((MID(WardrobeDoorMaterial,FIND("(",WardrobeDoorMaterial)+1,2)/1000)*((((B29-76)+(C29-38))/1000)*2))+((((B29-236)/1000)+((C29-198)/1000)*2)*0.013)+(((B29/1000)*0.032)*2)+((((B29-76)/1000)*0.032)*2)+(((B29/1000)*0.019)*4)+(((C29/1000)*0.032)*2)+((((C29-38)/1000)*0.032)*2)+(((C29/1000)*0.038)*4),IF(ISERROR(FIND("Plinth",A29))=FALSE,((B29/1000)*(C29/1000))+(((C29/1000)*0.018)*2)+(((B29/1000)*0.018)*2),IF(ISERROR(FIND("Cornice",A29))=FALSE,(((C29/1000)*0.1)*2)+(((C29/1000)*0.044)*2)+(((B29/1000)*0.08)*2),IF(ISERROR(FIND("Office pod",A29))=FALSE,((2400/1000)*(1200/1000))*6,IF(ISERROR(FIND("panel",A29))=FALSE,((B29/1000)*(C29/1000))+(0.022*((B29/1000)+((C29/1000)*2)))+((B29/1000)*0.05),IF(ISERROR(FIND("Fillers",A29))=FALSE,((C29/1000)*0.06)+((C29/1000)*0.069)+((0.06*0.018)*2)+((0.06*0.009)*2)+((C29/1000)*0.009)+((C29/1000)*0.018),IF(ISERROR(FIND("Pelmet",A29))=FALSE,((C29/1000)*0.05)+((C29/1000)*0.068)+((0.05*0.018)*4)+(((C29/1000)*0.018))*2)))))))))))))))))))))</f>
        <v>0.48152</v>
      </c>
      <c r="N29" s="152">
        <f>IF(M29="","",IF(AND(ISERROR(FIND("carcass",A29))=TRUE,ISERROR(FIND("unit",A29))=TRUE,ISERROR(FIND("insert",A29))=TRUE,ISERROR(FIND("rack",A29))=TRUE,ISERROR(FIND("box",A29))=TRUE,ISERROR(FIND("shelf",A29))=TRUE),VLOOKUP(WardrobeDoorFinish,Finishing!$A$2:$K$10,9,0)*M29,IF(ISERROR(FIND("table",A29))=FALSE,VLOOKUP("Sayerlack AF0072 Interior Clear Self-Sealer",FinishingData,9,FALSE)*M29,VLOOKUP(WardrobeCarcassFinish,Finishing!$A$2:$K$40,9,0)*M29)))</f>
        <v>3.6114</v>
      </c>
      <c r="O29" s="155">
        <v>0.5</v>
      </c>
      <c r="P29" s="155">
        <v>0.5</v>
      </c>
      <c r="Q29" s="152">
        <f>IF(OR(O29="",P29=""),"",((O29*X29)*(VLOOKUP("Workshop",Labour!$A$3:$E$20,4,0)/8))+((P29*AE29)*(VLOOKUP("Finishing",Labour!$A$3:$E$20,4,0)/8)))</f>
        <v>35.875</v>
      </c>
      <c r="R29" s="152">
        <f t="shared" si="4"/>
        <v>43.47363461</v>
      </c>
      <c r="S29" s="156">
        <f>IF(OR(O29="",P29=""),"",IF(OR(ISERROR(FIND("carcass",$A29))=FALSE,ISERROR(FIND("unit",$A29))=FALSE),VLOOKUP(WardrobeCarcassMaterial,FixedListsCarcassMaterial,2,0),0))</f>
        <v>0</v>
      </c>
      <c r="T29" s="156">
        <f>IF(OR(O29="",P29=""),"",IF(ISERROR(FIND("door",$A29))=FALSE,VLOOKUP(WardrobeDoorStyle,FixedListsDoorStyle,2,0),0))</f>
        <v>0</v>
      </c>
      <c r="U29" s="156">
        <f>IF(OR(O29="",P29=""),"",IF(ISERROR(FIND("door",$A29))=FALSE,VLOOKUP(WardrobeDoorMaterial,FixedListsDoorMaterial,2,0),0))</f>
        <v>0</v>
      </c>
      <c r="V29" s="156">
        <f>IF(OR(O29="",P29=""),"",IF(ISERROR(FIND("drawer",$A29))=FALSE,VLOOKUP(WardrobeDrawerType,FixedListsDrawerType,2,0),0))</f>
        <v>1</v>
      </c>
      <c r="W29" s="156">
        <f>IF(OR(O29="",P29=""),"",IF(S29&gt;0,VLOOKUP(WardrobeHandleType,FixedListsHandleType,2,FALSE),0))</f>
        <v>0</v>
      </c>
      <c r="X29" s="156">
        <f t="shared" si="5"/>
        <v>1</v>
      </c>
      <c r="Y29" s="156">
        <f>IF(OR(O29="",P29=""),"",IF(OR(ISERROR(FIND("carcass",$A29))=FALSE,ISERROR(FIND("unit",$A29))=FALSE),VLOOKUP(WardrobeCarcassMaterial,FixedListsCarcassMaterial,3,0),0))</f>
        <v>0</v>
      </c>
      <c r="Z29" s="156">
        <f>IF(OR(O29="",P29=""),"",IF(ISERROR(FIND("door",$A29))=FALSE,VLOOKUP(WardrobeDoorStyle,FixedListsDoorStyle,3,0),0))</f>
        <v>0</v>
      </c>
      <c r="AA29" s="156">
        <f>IF(OR(O29="",P29=""),"",IF(ISERROR(FIND("door",$A29))=FALSE,VLOOKUP(WardrobeDoorMaterial,FixedListsDoorMaterial,3,0),0))</f>
        <v>0</v>
      </c>
      <c r="AB29" s="156">
        <f>IF(OR(O29="",P29=""),"",IF(ISERROR(FIND("drawer",$A29))=FALSE,VLOOKUP(WardrobeDrawerType,FixedListsDrawerType,3,0),0))</f>
        <v>1</v>
      </c>
      <c r="AC29" s="156">
        <f>IF(OR(O29="",P29=""),"",IF(S29&gt;0,VLOOKUP(WardrobeHandleType,FixedListsHandleType,3,FALSE),0))</f>
        <v>0</v>
      </c>
      <c r="AD29" s="156">
        <f>IF(OR(O29="",P29=""),"",IF(OR(ISERROR(FIND("carcass",$A29))=FALSE,ISERROR(FIND("unit",$A29))=FALSE),VLOOKUP(WardrobeCarcassFinish,FixedListsFinishes,3,0),IF(OR(ISERROR(FIND("door",$A29))=FALSE,ISERROR(FIND("Plinth",$A29))=FALSE,ISERROR(FIND("Cornice",$A29))=FALSE,ISERROR(FIND("Fillers",$A29))=FALSE,ISERROR(FIND("Pelmet",$A29))=FALSE,ISERROR(FIND("panel",$A29))=FALSE,ISERROR(FIND("post",$A29))=FALSE),VLOOKUP(WardrobeDoorFinish,FixedListsFinishes,3,0),IF(OR(ISERROR(FIND("drawer",$A29))=FALSE,ISERROR(FIND("insert",$A29))=FALSE,ISERROR(FIND("rck",$A29))=FALSE),VLOOKUP(WardrobeCarcassFinish,FixedListsFinishes,3,0),0))))</f>
        <v>1</v>
      </c>
      <c r="AE29" s="156">
        <f t="shared" si="6"/>
        <v>1</v>
      </c>
      <c r="AF29" s="157" t="str">
        <f>IF(AND(WardrobeHandleType="Channel",OR(ISERROR(FIND("arcass",$A29))=FALSE,ISERROR(FIND("unit",$A29))=FALSE)),IF(ISERROR(FIND("Tower",$A29))=TRUE,IF(WardrobeHandleFinish="Match carcass",IF(ISERROR(FIND("Walnut",WardrobeCarcassMaterial))=FALSE,(0.035*0.075*($C29/1000))*VLOOKUP("Walnut (solid m3)",SolidData,4,FALSE),IF(ISERROR(FIND("Oak",WardrobeCarcassMaterial))=FALSE,(0.035*0.075*($C29/1000))*VLOOKUP("Oak (solid m3)",SolidData,4,FALSE),IF(ISERROR(FIND("ply",WardrobeCarcassMaterial))=FALSE,(0.1*($C29/1000))*VLOOKUP("Birch ply (24mm)",SheetsData,7,FALSE),IF(ISERROR(FIND("H/F",WardrobeCarcassMaterial))=FALSE,(0.1*($C29/1000))*VLOOKUP("H/F (22mm)",SheetsData,7,FALSE),"Carcass - not tower - new material")))),IF(WardrobeHandleFinish="Match door",IF(ISERROR(FIND("Walnut",WardrobeDoorMaterial))=FALSE,(0.035*0.075*($C29/1000))*VLOOKUP("Walnut (solid m3)",SolidData,4,FALSE),IF(ISERROR(FIND("Oak",WardrobeDoorMaterial))=FALSE,(0.035*0.075*($C29/1000))*VLOOKUP("Oak (solid m3)",SolidData,4,FALSE),IF(ISERROR(FIND("ply",WardrobeDoorMaterial))=FALSE,(0.1*($C29/1000))*VLOOKUP("Birch ply (24mm)",SheetsData,7,FALSE),IF(ISERROR(FIND("H/F",WardrobeCarcassMaterial))=FALSE,(0.1*($C29/1000))*VLOOKUP("H/F (22mm)",SheetsData,7,FALSE),"Door - not tower - new material")))),"Channel - not tower - handle set to other")),IF(ISERROR(FIND("Tower",$A29))=FALSE,IF(WardrobeHandleFinish="Match carcass",IF(ISERROR(FIND("Walnut",WardrobeCarcassMaterial))=FALSE,(0.035*0.075*($B29/1000))*VLOOKUP("Walnut (solid m3)",SolidData,4,FALSE),IF(ISERROR(FIND("Oak",WardrobeCarcassMaterial))=FALSE,(0.035*0.075*($B29/1000))*VLOOKUP("Oak (solid m3)",SolidData,4,FALSE),IF(ISERROR(FIND("ply",WardrobeCarcassMaterial))=FALSE,(0.1*($B29/1000))*VLOOKUP("Birch ply (24mm)",SheetsData,7,FALSE),IF(ISERROR(FIND("H/F",WardrobeCarcassMaterial))=FALSE,(0.1*($C29/1000))*VLOOKUP("H/F (22mm)",SheetsData,7,FALSE),"Carcass - tower - new material")))),IF(WardrobeHandleFinish="Match door",IF(ISERROR(FIND("Walnut",WardrobeDoorMaterial))=FALSE,(0.035*0.075*($B29/1000))*VLOOKUP("Walnut (solid m3)",SolidData,4,FALSE),IF(ISERROR(FIND("Oak",WardrobeDoorMaterial))=FALSE,(0.035*0.075*($B29/1000))*VLOOKUP("Oak (solid m3)",SolidData,4,FALSE),IF(ISERROR(FIND("ply",WardrobeDoorMaterial))=FALSE,(0.1*($B29/1000))*VLOOKUP("Birch ply (24mm)",SheetData,7,FALSE),IF(ISERROR(FIND("H/F",WardrobeCarcassMaterial))=FALSE,(0.1*($C29/1000))*VLOOKUP("H/F (22mm)",SheetsData,7,FALSE),"Door - tower - new material")))),"Channel - tower - handle set to other")))),"")</f>
        <v/>
      </c>
    </row>
    <row r="30">
      <c r="A30" s="150" t="s">
        <v>238</v>
      </c>
      <c r="B30" s="160" t="str">
        <f t="shared" si="1"/>
        <v>360</v>
      </c>
      <c r="C30" s="160" t="str">
        <f>IFERROR(__xludf.DUMMYFUNCTION("IF(A30="""","""",IF(ISERROR(FIND(""arcass"",A30))=FALSE,MID(A30,FIND(""*"",A30)+1,FIND(""*"",A30,FIND(""*"",A30)+1)-FIND(""*"",A30)-1),IF(ISERROR(FIND(""End panel"",A30))=FALSE,RIGHT(A30,3),IF(OR(ISERROR(FIND(""drawer"",A30))=FALSE,ISERROR(FIND(""door"",A"&amp;"30))=FALSE,ISERROR(FIND(""shelf"",A30))=FALSE,ISERROR(FIND(""panel"",A30))=FALSE,ISERROR(FIND(""Plinth"",A30))=FALSE,ISERROR(FIND(""Cornice"",A30))=FALSE,ISERROR(FIND(""Fillers"",A30))=FALSE,ISERROR(FIND(""Pelmet"",A30))=FALSE,ISERROR(FIND(""Fireplace up "&amp;"to 1600"",A30))=FALSE),RIGHT(A30,LEN(A30)-LEN(regexextract(A30,"".* ""))),IF(ISERROR(FIND(""table"",A30))=FALSE,""560"",IF(ISERROR(FIND(""Office pod"",A30))=FALSE,""1600"",IF(ISERROR(FIND(""Fireplace over 1600"",A30))=FALSE,""2400"",IF(ISERROR(FIND(""Work"&amp;"top"",A30))=FALSE,""650"",""Whoops""))))))))"),"1200")</f>
        <v>1200</v>
      </c>
      <c r="D30" s="161" t="str">
        <f t="shared" si="2"/>
        <v/>
      </c>
      <c r="E30" s="152">
        <f>IF(OR(A30="",AND(ISERROR(FIND("drawer",A30))=FALSE,WardrobeDrawerType="")),"",IF(ISERROR(FIND("door",A30))=FALSE,IF(WardrobeDoorStyle="Flat",((B30/1000)*(C30/1000))*VLOOKUP(WardrobeDoorMaterial,SheetsData,8,0),IF(LEFT(WardrobeDoorStyle,5)="Panel",(((((B30/1000)*2)*0.08)+((((C30/1000)-0.16)*2)*0.08))*VLOOKUP("H/F (22mm)",SheetsData,8,0))+(((B30/1000)-0.14)*((C30/1000)-0.14)*VLOOKUP("H/F (9mm)",SheetsData,8,0)),IF(WardrobeDoorStyle="In-frame flat",((((((B30/1000)*0.019)*0.038)+((((C30-38)/1000)*0.038)*0.038))*2)*VLOOKUP("Tulip (solid m3)",SolidData,4,0))+(((B30-76)/1000)*((C30-38)/1000))*VLOOKUP("H/F (22mm)",SheetsData,8,0),IF(LEFT(WardrobeDoorStyle,14)="In-frame panel",(((((((B30/1000)*0.019)*0.038)+((((C30-38)/1000)*0.038)*0.038))*2)*VLOOKUP("Tulip (solid m3)",SolidData,4,0))+(((((((B30-76)/1000)*2)*0.08)+(((((C30-198)/1000)*2)*0.08)))*VLOOKUP("H/F (22mm)",SheetsData,8,0))+(((B30-216)/1000)*((C30-178)/1000)*VLOOKUP("H/F (9mm)",SheetsData,8,0)))))))),IF(AND(ISERROR(FIND("arcass",A30))=FALSE,ISERROR(FIND("ost corner",A30))=TRUE),IF(AND(VALUE(B30)&lt;1211,VALUE(C30)&lt;1211,VALUE(D30)&lt;606),1*VLOOKUP(WardrobeCarcassMaterial,SheetsData,5,FALSE),IF(AND(VALUE(B30)&lt;2421,VALUE(C30)&lt;2421,VALUE(D30)&lt;606),2*VLOOKUP(WardrobeCarcassMaterial,SheetsData,5,FALSE),IF(AND(VALUE(B30)&lt;2421,VALUE(C30)&lt;1211,VALUE(D30)&lt;1211),3*VLOOKUP(WardrobeCarcassMaterial,SheetsData,5,FALSE),IF(AND(VALUE(B30)&lt;2421,VALUE(C30)&lt;2421,VALUE(D30)&lt;1211),4*VLOOKUP(WardrobeCarcassMaterial,SheetsData,5,FALSE))))),IF(AND(ISERROR(FIND("arcass",A30))=FALSE,ISERROR(FIND("ost corner",A30))=FALSE),IF(AND(VALUE(B30)&lt;1211,VALUE(C30)&lt;1211,VALUE(D30)&lt;606),(1*VLOOKUP(WardrobeCarcassMaterial,SheetsData,5,FALSE))+(VLOOKUP("H/F (22mm)",SheetsData,7,FALSE)*1.44),IF(AND(VALUE(B30)&lt;2421,VALUE(C30)&lt;2421,VALUE(D30)&lt;606),(2*VLOOKUP(WardrobeCarcassMaterial,SheetsData,5,FALSE))+(VLOOKUP("H/F (22mm)",SheetsData,7,FALSE)*1.44),IF(AND(VALUE(B30)&lt;2421,VALUE(C30)&lt;1211,VALUE(D30)&lt;1211),(3*VLOOKUP(WardrobeCarcassMaterial,SheetsData,5,FALSE))+(VLOOKUP("H/F (22mm)",SheetsData,7,FALSE)*1.44),IF(AND(VALUE(B30)&lt;2421,VALUE(C30)&lt;2421,VALUE(D30)&lt;1211),(4*VLOOKUP(WardrobeCarcassMaterial,SheetsData,5,FALSE))+(VLOOKUP("H/F (22mm)",SheetsData,7,FALSE)*1.44))))),IF(ISERROR(FIND("drawer front",A30))=FALSE,((B30/1000)*(C30/1000))*VLOOKUP(WardrobeDoorMaterial,SheetsData,8,0),IF(AND(WardrobeDrawerType="Match carcass",ISERROR(FIND("drawer box",A30))=FALSE),(((((B30/1000)*(C30/1000))+((B30/1000)*(D30/1000)))*2)*VLOOKUP(WardrobeCarcassMaterial,SheetsData,8,0))+(((C30/1000)*(D30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box",A30))=FALSE),(((((B30/1000)*(C30/1000))+((B30/1000)*(D30/1000)))*2)*(16/1000)*VLOOKUP(LEFT(WardrobeCarcassMaterial,FIND(" ",WardrobeCarcassMaterial))&amp;"(solid m3)",SolidData,4,0))+(((C30/1000)*(D30/1000))*VLOOKUP(LEFT(WardrobeCarcassMaterial,FIND("(",WardrobeCarcassMaterial)-1)&amp;IF(OR(ISERROR(FIND("ply",WardrobeCarcassMaterial))=FALSE,ISERROR(FIND("H/F",WardrobeCarcassMaterial))=FALSE),"(9mm)","(10mm)"),SheetsData,8,0)),IF(ISERROR(FIND("shelf",A30))=FALSE,((C30/1000)*(D30/1000))*VLOOKUP(WardrobeCarcassMaterial,SheetsData,7,FALSE),IF(ISERROR(FIND("Office pod",A30))=FALSE,3*VLOOKUP(WardrobeCarcassMaterial,SheetsData,5,0),IF(ISERROR(FIND(" panel",A30))=FALSE,((B30/1000)*(C30/1000))*VLOOKUP(WardrobeDoorMaterial,SheetsData,8,0),IF(ISERROR(FIND("Fillers",A30))=FALSE,(((0.06*(C30/1000))*2)*VLOOKUP("H/F (18mm)",SheetsData,8,0))+(((0.06*(C30/1000))*2)*VLOOKUP("H/F (9mm)",SheetsData,8,0)),IF(ISERROR(FIND("Cornice (stacked)",A30))=FALSE,((0.08*(C30/1000))*2)*VLOOKUP("H/F (22mm)",SheetsData,8,0),IF(OR(ISERROR(FIND("Plinth",A30))=FALSE,ISERROR(FIND("Cornice (flat)",A30))=FALSE),((B30/1000)*(C30/1000))*VLOOKUP("H/F (18mm)",SheetsData,8,0),IF(ISERROR(FIND("Pelmet",A30))=FALSE,((((B30/1000)*(C30/1000))*2)*VLOOKUP("H/F (18mm)",SheetsData,8,0)),IF(ISERROR(FIND("Fireplace",A30))=FALSE,IF(ISERROR(FIND("over 1600",A30))=FALSE,2*VLOOKUP(WardrobeCarcassMaterial,SheetsData,5,FALSE),VLOOKUP(WardrobeCarcassMaterial,SheetsData,5,FALSE)),IF(ISERROR(FIND("table",A30))=FALSE,((B30/1000)*0.6)*VLOOKUP("Birch ply (24mm)",SheetsData,7,FALSE),IF(ISERROR(FIND("Worktop",A30))=FALSE,((B30/1000)*(C30/1000))*VLOOKUP(WardrobeDoorMaterial,SheetsData,7,FALSE),"Check formula")))))))))))))))))</f>
        <v>7.974469229</v>
      </c>
      <c r="F30" s="152">
        <f>IFERROR(__xludf.DUMMYFUNCTION("IF(OR(A30="""",AND(ISERROR(FIND(""drawer box"",A30))=FALSE,WardrobeDrawerType=""Solid dovetail"")),"""",IF(ISERROR(FIND(""bins"",A30))=FALSE,VLOOKUP(""Base carcass 600"",Wardrobes_etcData,6,0),IF(OR(ISERROR(FIND(""larder"",A30))=FALSE,ISERROR(FIND(""unit"&amp;""",A30))=FALSE),VLOOKUP(LEFT(A30,FIND("" "",A30))&amp;""carcass ""&amp;RIGHT(A30,LEN(A30)-len(regexextract(A30,"".* ""))),Wardrobes_etcData,6,0),IF(ISERROR(FIND(""drawer front"",A30))=FALSE,IF(ISERROR(FIND(""veneer"",WardrobeCarcassMaterial))=TRUE,0,(((B30+C30)/1"&amp;"000)*2)*VLOOKUP(""Edge banding (per M)"",SheetsData,5,0)),IF(ISERROR(FIND(""drawer box"",A30))=FALSE,IF(ISERROR(FIND(""veneer"",WardrobeCarcassMaterial))=TRUE,0,(((C30+D30)/1000)*2)*VLOOKUP(""Edge banding (per M)"",SheetsData,5,0)),IF(ISERROR(FIND(""shelf"&amp;""",A30))=FALSE,IF(ISERROR(FIND(""veneer"",WardrobeCarcassMaterial))=TRUE,0,(C30/1000)*VLOOKUP(""Edge banding (per M)"",SheetsData,5,0)),IF(AND(OR(ISERROR(FIND(""arcass"",A30))=FALSE,ISERROR(FIND(""Fireplace"",A30))=FALSE),ISERROR(FIND(""shelf"",A30))=TRUE"&amp;"),IF(ISERROR(FIND(""veneer"",WardrobeCarcassMaterial))=TRUE,0,((2*(B30+C30))/1000)*VLOOKUP(""Edge banding (per M)"",SheetsData,5,0)),IF(ISERROR(FIND(""door"",A30))=TRUE,"""",IF(ISERROR(FIND(""veneer"",WardrobeDoorMaterial))=TRUE,"""",((2*(B30+C30))/1000)*"&amp;"VLOOKUP(""Edge banding (per M)"",SheetsData,5,0))))))))))"),0.0)</f>
        <v>0</v>
      </c>
      <c r="G30" s="153" t="str">
        <f>IF(A30="","",IF(AND(ISERROR(FIND("arcass",A30))=TRUE,ISERROR(FIND("Fireplace",A30))=TRUE),"",IF(VALUE(C30)&lt;606,4*VLOOKUP("Plinth foot (2 Parts 80mm)",FurnitureData,5,FALSE),IF(VALUE(C30)&lt;1211,6*VLOOKUP("Plinth foot (2 Parts 80mm)",FurnitureData,5,FALSE),8*VLOOKUP("Plinth foot (2 Parts 80mm)",FurnitureData,5,FALSE)))))</f>
        <v/>
      </c>
      <c r="H30" s="115" t="str">
        <f>IF(OR(A30="",ISERROR(FIND("door",A30))=TRUE),"",VLOOKUP("Hinges &amp; plates (Hettich thick door)",FurnitureData,5,0)*5)</f>
        <v/>
      </c>
      <c r="I30" s="115" t="str">
        <f>IF(ISERROR(FIND("shelf",A30))=FALSE,(VLOOKUP("Shelf pegs",FurnitureData,5,0)/100)*4,"")</f>
        <v/>
      </c>
      <c r="J30" s="152" t="str">
        <f>IF(OR(ISERROR(FIND("fridge/freezer",A30))=FALSE,ISERROR(FIND("sink",A30))=FALSE,ISERROR(FIND("larder",A30))=FALSE),VLOOKUP("Deep shelf "&amp;C30,Wardrobes_etcData,18,0),IF(OR(ISERROR(FIND("single oven",A30))=FALSE,ISERROR(FIND("Base carcass",A30))=FALSE),2*VLOOKUP("Deep shelf "&amp;C30,Wardrobes_etcData,18,0),IF(AND(ISERROR(FIND("wall carcass",A30))=FALSE,ISERROR(FIND("Boiler",A30))=TRUE),2*VLOOKUP("Shallow shelf "&amp;C30,Wardrobes_etcData,18,0),IF(ISERROR(FIND("double oven",A30))=FALSE,3*VLOOKUP("Deep shelf "&amp;C30,Wardrobes_etcData,18,0),IF(ISERROR(FIND("Tower carcass",A30))=FALSE,6*VLOOKUP("Deep shelf "&amp;C30,Wardrobes_etcData,18,0),"")))))</f>
        <v/>
      </c>
      <c r="K30" s="152" t="str">
        <f>IF(ISERROR(FIND("sink",A30))=FALSE,VLOOKUP("Sink liner - Aluminium "&amp;RIGHT(A30,LEN(A30)-22)&amp;"mm",ExceptionalData,5,0),IF(ISERROR(FIND("bins",A30))=FALSE,VLOOKUP("Drawer runners and clip set for bin unit (500) Dynapro",FurnitureData,5,0)+(2*VLOOKUP("Bin (42L Anthracite)",FurnitureData,5,0)),IF(ISERROR(FIND("larder",A30))=FALSE,VLOOKUP("Pull out larder unit 600mm",FurnitureData,5,0),IF(AND(ISERROR(FIND("drawer box",A30))=FALSE,ISERROR(FIND("internal",A30))=TRUE),VLOOKUP("Drawer runners and clip set (550) Dynapro",FurnitureData,5,0),IF(ISERROR(FIND("internal drawer box",A30))=FALSE,VLOOKUP("Drawer runners and clip set (450) Dynapro",FurnitureData,5,0),IF(ISERROR(FIND("table",A30))=FALSE,VLOOKUP("Hairpin Leg (12mm Black "&amp;MID(A30,FIND("(",A30)+1,LEN(A30)-(FIND("(",A30))-1)&amp;"mm)",ExceptionalData,4,FALSE),""))))))</f>
        <v/>
      </c>
      <c r="L30" s="152">
        <f t="shared" si="3"/>
        <v>7.974469229</v>
      </c>
      <c r="M30" s="154">
        <f>IF(A30="","",IF(AND(ISERROR(FIND("drawer front",A30))=FALSE,WardrobeDoorStyle="Flat"),(((B30/1000)*(C30/1000))*2)+((((B30+C30)/1000)*2)*0.022),IF(AND(ISERROR(FIND("drawer front",A30))=FALSE,LEFT(WardrobeDoorStyle,5)="Panel"),(((B30/1000)*(C30/1000))*2)+((((B30+C30)/1000)*2)*0.022)+((((C30/1000)-0.16)*0.013)*2)+((((D30/1000)-0.16)*0.013)*2),IF(AND(ISERROR(FIND("drawer front",A30))=FALSE,WardrobeDoorStyle="In-frame flat"),((((B30-76)/1000)*((C30-38)/1000))*2)+(MID(WardrobeDoorMaterial,FIND("(",WardrobeDoorMaterial)+1,2)/1000)*((((B30-76)+(C30-38))/1000)*2)+(((B30/1000)*0.032)*2)+((((B30-76)/1000)*0.032)*2)+(((B30/1000)*0.019)*4)+(((C30/1000)*0.032)*2)+((((C30-38)/1000)*0.032)*2)+(((C30/1000)*0.038)*4),IF(AND(ISERROR(FIND("drawer front",A30))=FALSE,LEFT(WardrobeDoorStyle,14)="In-frame panel"),((((B30-76)/1000)*((C30-38)/1000))*2)+((MID(WardrobeDoorMaterial,FIND("(",WardrobeDoorMaterial)+1,2)/1000)*((((B30-76)+(C30-38))/1000)*2))+((((B30-236)/1000)+((C30-198)/1000)*2)*0.013)+(((B30/1000)*0.032)*2)+((((B30-76)/1000)*0.032)*2)+(((B30/1000)*0.019)*4)+(((C30/1000)*0.032)*2)+((((C30-38)/1000)*0.032)*2)+(((C30/1000)*0.038)*4),IF(ISERROR(FIND("drawer box",A30))=FALSE,((((B30/1000)*(D30/1000))+((B30/1000)*(C30/1000)))*4)+((((D30/1000)+(C30/1000))*0.016)*4)+(((C30/1000)*(D30/1000))*2),IF(OR(ISERROR(FIND("shelf",A30))=FALSE,ISERROR(FIND("Filler panel",A30))=FALSE),(((C30/1000)*(D30/1000))*2)+((((C30+D30)*2)/1000)*0.022),IF(ISERROR(FIND("Fireplace",A30))=FALSE,((B30/1000)*(C30/1000)),IF(ISERROR(FIND("Worktop",A30))=FALSE,(B30/1000)*(C30/1000),IF(ISERROR(FIND("table",A30))=FALSE,(B30/1000)*0.6,IF(ISERROR(FIND("arcass",A30))=FALSE,(((C30/1000)*(D30/1000))*2)+(((B30/1000)*(D30/1000))*2)+((B30/1000)*(C30/1000))+((((B30/1000)*0.025)+((C30/1000)*0.025))*2),IF(AND(ISERROR(FIND("door",A30))=FALSE,WardrobeDoorStyle="Flat"),(((B30/1000)*(C30/1000))*2)+(MID(WardrobeDoorMaterial,FIND("(",WardrobeDoorMaterial)+1,2)/1000)*(((B30+C30)/1000)*2),IF(AND(ISERROR(FIND("door",A30))=FALSE,LEFT(WardrobeDoorStyle,5)="Panel"),(((B30/1000)*(C30/1000))*2)+((MID(WardrobeDoorMaterial,FIND("(",WardrobeDoorMaterial)+1,2)/1000)*(((B30+C30)/1000)*2))+(((((B30-160)+(C30-160))*2)/1000)*(0.013)),IF(AND(ISERROR(FIND("door",A30))=FALSE,WardrobeDoorStyle="In-frame flat"),((((B30-76)/1000)*((C30-38)/1000))*2)+(MID(WardrobeDoorMaterial,FIND("(",WardrobeDoorMaterial)+1,2)/1000)*((((B30-76)+(C30-38))/1000)*2)+(((B30/1000)*0.032)*2)+((((B30-76)/1000)*0.032)*2)+(((B30/1000)*0.019)*4)+(((C30/1000)*0.032)*2)+((((C30-38)/1000)*0.032)*2)+(((C30/1000)*0.038)*4),IF(AND(ISERROR(FIND("door",A30))=FALSE,LEFT(WardrobeDoorStyle,14)="In-frame panel"),((((B30-76)/1000)*((C30-38)/1000))*2)+((MID(WardrobeDoorMaterial,FIND("(",WardrobeDoorMaterial)+1,2)/1000)*((((B30-76)+(C30-38))/1000)*2))+((((B30-236)/1000)+((C30-198)/1000)*2)*0.013)+(((B30/1000)*0.032)*2)+((((B30-76)/1000)*0.032)*2)+(((B30/1000)*0.019)*4)+(((C30/1000)*0.032)*2)+((((C30-38)/1000)*0.032)*2)+(((C30/1000)*0.038)*4),IF(ISERROR(FIND("Plinth",A30))=FALSE,((B30/1000)*(C30/1000))+(((C30/1000)*0.018)*2)+(((B30/1000)*0.018)*2),IF(ISERROR(FIND("Cornice",A30))=FALSE,(((C30/1000)*0.1)*2)+(((C30/1000)*0.044)*2)+(((B30/1000)*0.08)*2),IF(ISERROR(FIND("Office pod",A30))=FALSE,((2400/1000)*(1200/1000))*6,IF(ISERROR(FIND("panel",A30))=FALSE,((B30/1000)*(C30/1000))+(0.022*((B30/1000)+((C30/1000)*2)))+((B30/1000)*0.05),IF(ISERROR(FIND("Fillers",A30))=FALSE,((C30/1000)*0.06)+((C30/1000)*0.069)+((0.06*0.018)*2)+((0.06*0.009)*2)+((C30/1000)*0.009)+((C30/1000)*0.018),IF(ISERROR(FIND("Pelmet",A30))=FALSE,((C30/1000)*0.05)+((C30/1000)*0.068)+((0.05*0.018)*4)+(((C30/1000)*0.018))*2)))))))))))))))))))))</f>
        <v>0.95552</v>
      </c>
      <c r="N30" s="152">
        <f>IF(M30="","",IF(AND(ISERROR(FIND("carcass",A30))=TRUE,ISERROR(FIND("unit",A30))=TRUE,ISERROR(FIND("insert",A30))=TRUE,ISERROR(FIND("rack",A30))=TRUE,ISERROR(FIND("box",A30))=TRUE,ISERROR(FIND("shelf",A30))=TRUE),VLOOKUP(WardrobeDoorFinish,Finishing!$A$2:$K$10,9,0)*M30,IF(ISERROR(FIND("table",A30))=FALSE,VLOOKUP("Sayerlack AF0072 Interior Clear Self-Sealer",FinishingData,9,FALSE)*M30,VLOOKUP(WardrobeCarcassFinish,Finishing!$A$2:$K$40,9,0)*M30)))</f>
        <v>7.1664</v>
      </c>
      <c r="O30" s="155">
        <v>0.5</v>
      </c>
      <c r="P30" s="155">
        <v>0.5</v>
      </c>
      <c r="Q30" s="152">
        <f>IF(OR(O30="",P30=""),"",((O30*X30)*(VLOOKUP("Workshop",Labour!$A$3:$E$20,4,0)/8))+((P30*AE30)*(VLOOKUP("Finishing",Labour!$A$3:$E$20,4,0)/8)))</f>
        <v>35.875</v>
      </c>
      <c r="R30" s="152">
        <f t="shared" si="4"/>
        <v>51.01586923</v>
      </c>
      <c r="S30" s="156">
        <f>IF(OR(O30="",P30=""),"",IF(OR(ISERROR(FIND("carcass",$A30))=FALSE,ISERROR(FIND("unit",$A30))=FALSE),VLOOKUP(WardrobeCarcassMaterial,FixedListsCarcassMaterial,2,0),0))</f>
        <v>0</v>
      </c>
      <c r="T30" s="156">
        <f>IF(OR(O30="",P30=""),"",IF(ISERROR(FIND("door",$A30))=FALSE,VLOOKUP(WardrobeDoorStyle,FixedListsDoorStyle,2,0),0))</f>
        <v>0</v>
      </c>
      <c r="U30" s="156">
        <f>IF(OR(O30="",P30=""),"",IF(ISERROR(FIND("door",$A30))=FALSE,VLOOKUP(WardrobeDoorMaterial,FixedListsDoorMaterial,2,0),0))</f>
        <v>0</v>
      </c>
      <c r="V30" s="156">
        <f>IF(OR(O30="",P30=""),"",IF(ISERROR(FIND("drawer",$A30))=FALSE,VLOOKUP(WardrobeDrawerType,FixedListsDrawerType,2,0),0))</f>
        <v>1</v>
      </c>
      <c r="W30" s="156">
        <f>IF(OR(O30="",P30=""),"",IF(S30&gt;0,VLOOKUP(WardrobeHandleType,FixedListsHandleType,2,FALSE),0))</f>
        <v>0</v>
      </c>
      <c r="X30" s="156">
        <f t="shared" si="5"/>
        <v>1</v>
      </c>
      <c r="Y30" s="156">
        <f>IF(OR(O30="",P30=""),"",IF(OR(ISERROR(FIND("carcass",$A30))=FALSE,ISERROR(FIND("unit",$A30))=FALSE),VLOOKUP(WardrobeCarcassMaterial,FixedListsCarcassMaterial,3,0),0))</f>
        <v>0</v>
      </c>
      <c r="Z30" s="156">
        <f>IF(OR(O30="",P30=""),"",IF(ISERROR(FIND("door",$A30))=FALSE,VLOOKUP(WardrobeDoorStyle,FixedListsDoorStyle,3,0),0))</f>
        <v>0</v>
      </c>
      <c r="AA30" s="156">
        <f>IF(OR(O30="",P30=""),"",IF(ISERROR(FIND("door",$A30))=FALSE,VLOOKUP(WardrobeDoorMaterial,FixedListsDoorMaterial,3,0),0))</f>
        <v>0</v>
      </c>
      <c r="AB30" s="156">
        <f>IF(OR(O30="",P30=""),"",IF(ISERROR(FIND("drawer",$A30))=FALSE,VLOOKUP(WardrobeDrawerType,FixedListsDrawerType,3,0),0))</f>
        <v>1</v>
      </c>
      <c r="AC30" s="156">
        <f>IF(OR(O30="",P30=""),"",IF(S30&gt;0,VLOOKUP(WardrobeHandleType,FixedListsHandleType,3,FALSE),0))</f>
        <v>0</v>
      </c>
      <c r="AD30" s="156">
        <f>IF(OR(O30="",P30=""),"",IF(OR(ISERROR(FIND("carcass",$A30))=FALSE,ISERROR(FIND("unit",$A30))=FALSE),VLOOKUP(WardrobeCarcassFinish,FixedListsFinishes,3,0),IF(OR(ISERROR(FIND("door",$A30))=FALSE,ISERROR(FIND("Plinth",$A30))=FALSE,ISERROR(FIND("Cornice",$A30))=FALSE,ISERROR(FIND("Fillers",$A30))=FALSE,ISERROR(FIND("Pelmet",$A30))=FALSE,ISERROR(FIND("panel",$A30))=FALSE,ISERROR(FIND("post",$A30))=FALSE),VLOOKUP(WardrobeDoorFinish,FixedListsFinishes,3,0),IF(OR(ISERROR(FIND("drawer",$A30))=FALSE,ISERROR(FIND("insert",$A30))=FALSE,ISERROR(FIND("rck",$A30))=FALSE),VLOOKUP(WardrobeCarcassFinish,FixedListsFinishes,3,0),0))))</f>
        <v>1</v>
      </c>
      <c r="AE30" s="156">
        <f t="shared" si="6"/>
        <v>1</v>
      </c>
      <c r="AF30" s="157" t="str">
        <f>IF(AND(WardrobeHandleType="Channel",OR(ISERROR(FIND("arcass",$A30))=FALSE,ISERROR(FIND("unit",$A30))=FALSE)),IF(ISERROR(FIND("Tower",$A30))=TRUE,IF(WardrobeHandleFinish="Match carcass",IF(ISERROR(FIND("Walnut",WardrobeCarcassMaterial))=FALSE,(0.035*0.075*($C30/1000))*VLOOKUP("Walnut (solid m3)",SolidData,4,FALSE),IF(ISERROR(FIND("Oak",WardrobeCarcassMaterial))=FALSE,(0.035*0.075*($C30/1000))*VLOOKUP("Oak (solid m3)",SolidData,4,FALSE),IF(ISERROR(FIND("ply",WardrobeCarcassMaterial))=FALSE,(0.1*($C30/1000))*VLOOKUP("Birch ply (24mm)",SheetsData,7,FALSE),IF(ISERROR(FIND("H/F",WardrobeCarcassMaterial))=FALSE,(0.1*($C30/1000))*VLOOKUP("H/F (22mm)",SheetsData,7,FALSE),"Carcass - not tower - new material")))),IF(WardrobeHandleFinish="Match door",IF(ISERROR(FIND("Walnut",WardrobeDoorMaterial))=FALSE,(0.035*0.075*($C30/1000))*VLOOKUP("Walnut (solid m3)",SolidData,4,FALSE),IF(ISERROR(FIND("Oak",WardrobeDoorMaterial))=FALSE,(0.035*0.075*($C30/1000))*VLOOKUP("Oak (solid m3)",SolidData,4,FALSE),IF(ISERROR(FIND("ply",WardrobeDoorMaterial))=FALSE,(0.1*($C30/1000))*VLOOKUP("Birch ply (24mm)",SheetsData,7,FALSE),IF(ISERROR(FIND("H/F",WardrobeCarcassMaterial))=FALSE,(0.1*($C30/1000))*VLOOKUP("H/F (22mm)",SheetsData,7,FALSE),"Door - not tower - new material")))),"Channel - not tower - handle set to other")),IF(ISERROR(FIND("Tower",$A30))=FALSE,IF(WardrobeHandleFinish="Match carcass",IF(ISERROR(FIND("Walnut",WardrobeCarcassMaterial))=FALSE,(0.035*0.075*($B30/1000))*VLOOKUP("Walnut (solid m3)",SolidData,4,FALSE),IF(ISERROR(FIND("Oak",WardrobeCarcassMaterial))=FALSE,(0.035*0.075*($B30/1000))*VLOOKUP("Oak (solid m3)",SolidData,4,FALSE),IF(ISERROR(FIND("ply",WardrobeCarcassMaterial))=FALSE,(0.1*($B30/1000))*VLOOKUP("Birch ply (24mm)",SheetsData,7,FALSE),IF(ISERROR(FIND("H/F",WardrobeCarcassMaterial))=FALSE,(0.1*($C30/1000))*VLOOKUP("H/F (22mm)",SheetsData,7,FALSE),"Carcass - tower - new material")))),IF(WardrobeHandleFinish="Match door",IF(ISERROR(FIND("Walnut",WardrobeDoorMaterial))=FALSE,(0.035*0.075*($B30/1000))*VLOOKUP("Walnut (solid m3)",SolidData,4,FALSE),IF(ISERROR(FIND("Oak",WardrobeDoorMaterial))=FALSE,(0.035*0.075*($B30/1000))*VLOOKUP("Oak (solid m3)",SolidData,4,FALSE),IF(ISERROR(FIND("ply",WardrobeDoorMaterial))=FALSE,(0.1*($B30/1000))*VLOOKUP("Birch ply (24mm)",SheetData,7,FALSE),IF(ISERROR(FIND("H/F",WardrobeCarcassMaterial))=FALSE,(0.1*($C30/1000))*VLOOKUP("H/F (22mm)",SheetsData,7,FALSE),"Door - tower - new material")))),"Channel - tower - handle set to other")))),"")</f>
        <v/>
      </c>
    </row>
    <row r="31">
      <c r="A31" s="150" t="s">
        <v>196</v>
      </c>
      <c r="B31" s="160" t="str">
        <f t="shared" si="1"/>
        <v>120</v>
      </c>
      <c r="C31" s="160" t="str">
        <f>IFERROR(__xludf.DUMMYFUNCTION("IF(A31="""","""",IF(ISERROR(FIND(""arcass"",A31))=FALSE,MID(A31,FIND(""*"",A31)+1,FIND(""*"",A31,FIND(""*"",A31)+1)-FIND(""*"",A31)-1),IF(ISERROR(FIND(""End panel"",A31))=FALSE,RIGHT(A31,3),IF(OR(ISERROR(FIND(""drawer"",A31))=FALSE,ISERROR(FIND(""door"",A"&amp;"31))=FALSE,ISERROR(FIND(""shelf"",A31))=FALSE,ISERROR(FIND(""panel"",A31))=FALSE,ISERROR(FIND(""Plinth"",A31))=FALSE,ISERROR(FIND(""Cornice"",A31))=FALSE,ISERROR(FIND(""Fillers"",A31))=FALSE,ISERROR(FIND(""Pelmet"",A31))=FALSE,ISERROR(FIND(""Fireplace up "&amp;"to 1600"",A31))=FALSE),RIGHT(A31,LEN(A31)-LEN(regexextract(A31,"".* ""))),IF(ISERROR(FIND(""table"",A31))=FALSE,""560"",IF(ISERROR(FIND(""Office pod"",A31))=FALSE,""1600"",IF(ISERROR(FIND(""Fireplace over 1600"",A31))=FALSE,""2400"",IF(ISERROR(FIND(""Work"&amp;"top"",A31))=FALSE,""650"",""Whoops""))))))))"),"600")</f>
        <v>600</v>
      </c>
      <c r="D31" s="161" t="str">
        <f t="shared" si="2"/>
        <v>600</v>
      </c>
      <c r="E31" s="152">
        <f>IF(OR(A31="",AND(ISERROR(FIND("drawer",A31))=FALSE,WardrobeDrawerType="")),"",IF(ISERROR(FIND("door",A31))=FALSE,IF(WardrobeDoorStyle="Flat",((B31/1000)*(C31/1000))*VLOOKUP(WardrobeDoorMaterial,SheetsData,8,0),IF(LEFT(WardrobeDoorStyle,5)="Panel",(((((B31/1000)*2)*0.08)+((((C31/1000)-0.16)*2)*0.08))*VLOOKUP("H/F (22mm)",SheetsData,8,0))+(((B31/1000)-0.14)*((C31/1000)-0.14)*VLOOKUP("H/F (9mm)",SheetsData,8,0)),IF(WardrobeDoorStyle="In-frame flat",((((((B31/1000)*0.019)*0.038)+((((C31-38)/1000)*0.038)*0.038))*2)*VLOOKUP("Tulip (solid m3)",SolidData,4,0))+(((B31-76)/1000)*((C31-38)/1000))*VLOOKUP("H/F (22mm)",SheetsData,8,0),IF(LEFT(WardrobeDoorStyle,14)="In-frame panel",(((((((B31/1000)*0.019)*0.038)+((((C31-38)/1000)*0.038)*0.038))*2)*VLOOKUP("Tulip (solid m3)",SolidData,4,0))+(((((((B31-76)/1000)*2)*0.08)+(((((C31-198)/1000)*2)*0.08)))*VLOOKUP("H/F (22mm)",SheetsData,8,0))+(((B31-216)/1000)*((C31-178)/1000)*VLOOKUP("H/F (9mm)",SheetsData,8,0)))))))),IF(AND(ISERROR(FIND("arcass",A31))=FALSE,ISERROR(FIND("ost corner",A31))=TRUE),IF(AND(VALUE(B31)&lt;1211,VALUE(C31)&lt;1211,VALUE(D31)&lt;606),1*VLOOKUP(WardrobeCarcassMaterial,SheetsData,5,FALSE),IF(AND(VALUE(B31)&lt;2421,VALUE(C31)&lt;2421,VALUE(D31)&lt;606),2*VLOOKUP(WardrobeCarcassMaterial,SheetsData,5,FALSE),IF(AND(VALUE(B31)&lt;2421,VALUE(C31)&lt;1211,VALUE(D31)&lt;1211),3*VLOOKUP(WardrobeCarcassMaterial,SheetsData,5,FALSE),IF(AND(VALUE(B31)&lt;2421,VALUE(C31)&lt;2421,VALUE(D31)&lt;1211),4*VLOOKUP(WardrobeCarcassMaterial,SheetsData,5,FALSE))))),IF(AND(ISERROR(FIND("arcass",A31))=FALSE,ISERROR(FIND("ost corner",A31))=FALSE),IF(AND(VALUE(B31)&lt;1211,VALUE(C31)&lt;1211,VALUE(D31)&lt;606),(1*VLOOKUP(WardrobeCarcassMaterial,SheetsData,5,FALSE))+(VLOOKUP("H/F (22mm)",SheetsData,7,FALSE)*1.44),IF(AND(VALUE(B31)&lt;2421,VALUE(C31)&lt;2421,VALUE(D31)&lt;606),(2*VLOOKUP(WardrobeCarcassMaterial,SheetsData,5,FALSE))+(VLOOKUP("H/F (22mm)",SheetsData,7,FALSE)*1.44),IF(AND(VALUE(B31)&lt;2421,VALUE(C31)&lt;1211,VALUE(D31)&lt;1211),(3*VLOOKUP(WardrobeCarcassMaterial,SheetsData,5,FALSE))+(VLOOKUP("H/F (22mm)",SheetsData,7,FALSE)*1.44),IF(AND(VALUE(B31)&lt;2421,VALUE(C31)&lt;2421,VALUE(D31)&lt;1211),(4*VLOOKUP(WardrobeCarcassMaterial,SheetsData,5,FALSE))+(VLOOKUP("H/F (22mm)",SheetsData,7,FALSE)*1.44))))),IF(ISERROR(FIND("drawer front",A31))=FALSE,((B31/1000)*(C31/1000))*VLOOKUP(WardrobeDoorMaterial,SheetsData,8,0),IF(AND(WardrobeDrawerType="Match carcass",ISERROR(FIND("drawer box",A31))=FALSE),(((((B31/1000)*(C31/1000))+((B31/1000)*(D31/1000)))*2)*VLOOKUP(WardrobeCarcassMaterial,SheetsData,8,0))+(((C31/1000)*(D31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box",A31))=FALSE),(((((B31/1000)*(C31/1000))+((B31/1000)*(D31/1000)))*2)*(16/1000)*VLOOKUP(LEFT(WardrobeCarcassMaterial,FIND(" ",WardrobeCarcassMaterial))&amp;"(solid m3)",SolidData,4,0))+(((C31/1000)*(D31/1000))*VLOOKUP(LEFT(WardrobeCarcassMaterial,FIND("(",WardrobeCarcassMaterial)-1)&amp;IF(OR(ISERROR(FIND("ply",WardrobeCarcassMaterial))=FALSE,ISERROR(FIND("H/F",WardrobeCarcassMaterial))=FALSE),"(9mm)","(10mm)"),SheetsData,8,0)),IF(ISERROR(FIND("shelf",A31))=FALSE,((C31/1000)*(D31/1000))*VLOOKUP(WardrobeCarcassMaterial,SheetsData,7,FALSE),IF(ISERROR(FIND("Office pod",A31))=FALSE,3*VLOOKUP(WardrobeCarcassMaterial,SheetsData,5,0),IF(ISERROR(FIND(" panel",A31))=FALSE,((B31/1000)*(C31/1000))*VLOOKUP(WardrobeDoorMaterial,SheetsData,8,0),IF(ISERROR(FIND("Fillers",A31))=FALSE,(((0.06*(C31/1000))*2)*VLOOKUP("H/F (18mm)",SheetsData,8,0))+(((0.06*(C31/1000))*2)*VLOOKUP("H/F (9mm)",SheetsData,8,0)),IF(ISERROR(FIND("Cornice (stacked)",A31))=FALSE,((0.08*(C31/1000))*2)*VLOOKUP("H/F (22mm)",SheetsData,8,0),IF(OR(ISERROR(FIND("Plinth",A31))=FALSE,ISERROR(FIND("Cornice (flat)",A31))=FALSE),((B31/1000)*(C31/1000))*VLOOKUP("H/F (18mm)",SheetsData,8,0),IF(ISERROR(FIND("Pelmet",A31))=FALSE,((((B31/1000)*(C31/1000))*2)*VLOOKUP("H/F (18mm)",SheetsData,8,0)),IF(ISERROR(FIND("Fireplace",A31))=FALSE,IF(ISERROR(FIND("over 1600",A31))=FALSE,2*VLOOKUP(WardrobeCarcassMaterial,SheetsData,5,FALSE),VLOOKUP(WardrobeCarcassMaterial,SheetsData,5,FALSE)),IF(ISERROR(FIND("table",A31))=FALSE,((B31/1000)*0.6)*VLOOKUP("Birch ply (24mm)",SheetsData,7,FALSE),IF(ISERROR(FIND("Worktop",A31))=FALSE,((B31/1000)*(C31/1000))*VLOOKUP(WardrobeDoorMaterial,SheetsData,7,FALSE),"Check formula")))))))))))))))))</f>
        <v>17.30704112</v>
      </c>
      <c r="F31" s="152">
        <f>IFERROR(__xludf.DUMMYFUNCTION("IF(OR(A31="""",AND(ISERROR(FIND(""drawer box"",A31))=FALSE,WardrobeDrawerType=""Solid dovetail"")),"""",IF(ISERROR(FIND(""bins"",A31))=FALSE,VLOOKUP(""Base carcass 600"",Wardrobes_etcData,6,0),IF(OR(ISERROR(FIND(""larder"",A31))=FALSE,ISERROR(FIND(""unit"&amp;""",A31))=FALSE),VLOOKUP(LEFT(A31,FIND("" "",A31))&amp;""carcass ""&amp;RIGHT(A31,LEN(A31)-len(regexextract(A31,"".* ""))),Wardrobes_etcData,6,0),IF(ISERROR(FIND(""drawer front"",A31))=FALSE,IF(ISERROR(FIND(""veneer"",WardrobeCarcassMaterial))=TRUE,0,(((B31+C31)/1"&amp;"000)*2)*VLOOKUP(""Edge banding (per M)"",SheetsData,5,0)),IF(ISERROR(FIND(""drawer box"",A31))=FALSE,IF(ISERROR(FIND(""veneer"",WardrobeCarcassMaterial))=TRUE,0,(((C31+D31)/1000)*2)*VLOOKUP(""Edge banding (per M)"",SheetsData,5,0)),IF(ISERROR(FIND(""shelf"&amp;""",A31))=FALSE,IF(ISERROR(FIND(""veneer"",WardrobeCarcassMaterial))=TRUE,0,(C31/1000)*VLOOKUP(""Edge banding (per M)"",SheetsData,5,0)),IF(AND(OR(ISERROR(FIND(""arcass"",A31))=FALSE,ISERROR(FIND(""Fireplace"",A31))=FALSE),ISERROR(FIND(""shelf"",A31))=TRUE"&amp;"),IF(ISERROR(FIND(""veneer"",WardrobeCarcassMaterial))=TRUE,0,((2*(B31+C31))/1000)*VLOOKUP(""Edge banding (per M)"",SheetsData,5,0)),IF(ISERROR(FIND(""door"",A31))=TRUE,"""",IF(ISERROR(FIND(""veneer"",WardrobeDoorMaterial))=TRUE,"""",((2*(B31+C31))/1000)*"&amp;"VLOOKUP(""Edge banding (per M)"",SheetsData,5,0))))))))))"),0.0)</f>
        <v>0</v>
      </c>
      <c r="G31" s="153" t="str">
        <f>IF(A31="","",IF(AND(ISERROR(FIND("arcass",A31))=TRUE,ISERROR(FIND("Fireplace",A31))=TRUE),"",IF(VALUE(C31)&lt;606,4*VLOOKUP("Plinth foot (2 Parts 80mm)",FurnitureData,5,FALSE),IF(VALUE(C31)&lt;1211,6*VLOOKUP("Plinth foot (2 Parts 80mm)",FurnitureData,5,FALSE),8*VLOOKUP("Plinth foot (2 Parts 80mm)",FurnitureData,5,FALSE)))))</f>
        <v/>
      </c>
      <c r="H31" s="115" t="str">
        <f>IF(OR(A31="",ISERROR(FIND("door",A31))=TRUE),"",VLOOKUP("Hinges &amp; plates (Hettich thick door)",FurnitureData,5,0)*5)</f>
        <v/>
      </c>
      <c r="I31" s="115" t="str">
        <f>IF(ISERROR(FIND("shelf",A31))=FALSE,(VLOOKUP("Shelf pegs",FurnitureData,5,0)/100)*4,"")</f>
        <v/>
      </c>
      <c r="J31" s="152" t="str">
        <f>IF(OR(ISERROR(FIND("fridge/freezer",A31))=FALSE,ISERROR(FIND("sink",A31))=FALSE,ISERROR(FIND("larder",A31))=FALSE),VLOOKUP("Deep shelf "&amp;C31,Wardrobes_etcData,18,0),IF(OR(ISERROR(FIND("single oven",A31))=FALSE,ISERROR(FIND("Base carcass",A31))=FALSE),2*VLOOKUP("Deep shelf "&amp;C31,Wardrobes_etcData,18,0),IF(AND(ISERROR(FIND("wall carcass",A31))=FALSE,ISERROR(FIND("Boiler",A31))=TRUE),2*VLOOKUP("Shallow shelf "&amp;C31,Wardrobes_etcData,18,0),IF(ISERROR(FIND("double oven",A31))=FALSE,3*VLOOKUP("Deep shelf "&amp;C31,Wardrobes_etcData,18,0),IF(ISERROR(FIND("Tower carcass",A31))=FALSE,6*VLOOKUP("Deep shelf "&amp;C31,Wardrobes_etcData,18,0),"")))))</f>
        <v/>
      </c>
      <c r="K31" s="152">
        <f>IF(ISERROR(FIND("sink",A31))=FALSE,VLOOKUP("Sink liner - Aluminium "&amp;RIGHT(A31,LEN(A31)-22)&amp;"mm",ExceptionalData,5,0),IF(ISERROR(FIND("bins",A31))=FALSE,VLOOKUP("Drawer runners and clip set for bin unit (500) Dynapro",FurnitureData,5,0)+(2*VLOOKUP("Bin (42L Anthracite)",FurnitureData,5,0)),IF(ISERROR(FIND("larder",A31))=FALSE,VLOOKUP("Pull out larder unit 600mm",FurnitureData,5,0),IF(AND(ISERROR(FIND("drawer box",A31))=FALSE,ISERROR(FIND("internal",A31))=TRUE),VLOOKUP("Drawer runners and clip set (550) Dynapro",FurnitureData,5,0),IF(ISERROR(FIND("internal drawer box",A31))=FALSE,VLOOKUP("Drawer runners and clip set (450) Dynapro",FurnitureData,5,0),IF(ISERROR(FIND("table",A31))=FALSE,VLOOKUP("Hairpin Leg (12mm Black "&amp;MID(A31,FIND("(",A31)+1,LEN(A31)-(FIND("(",A31))-1)&amp;"mm)",ExceptionalData,4,FALSE),""))))))</f>
        <v>39.72</v>
      </c>
      <c r="L31" s="152">
        <f t="shared" si="3"/>
        <v>57.02704112</v>
      </c>
      <c r="M31" s="154">
        <f>IF(A31="","",IF(AND(ISERROR(FIND("drawer front",A31))=FALSE,WardrobeDoorStyle="Flat"),(((B31/1000)*(C31/1000))*2)+((((B31+C31)/1000)*2)*0.022),IF(AND(ISERROR(FIND("drawer front",A31))=FALSE,LEFT(WardrobeDoorStyle,5)="Panel"),(((B31/1000)*(C31/1000))*2)+((((B31+C31)/1000)*2)*0.022)+((((C31/1000)-0.16)*0.013)*2)+((((D31/1000)-0.16)*0.013)*2),IF(AND(ISERROR(FIND("drawer front",A31))=FALSE,WardrobeDoorStyle="In-frame flat"),((((B31-76)/1000)*((C31-38)/1000))*2)+(MID(WardrobeDoorMaterial,FIND("(",WardrobeDoorMaterial)+1,2)/1000)*((((B31-76)+(C31-38))/1000)*2)+(((B31/1000)*0.032)*2)+((((B31-76)/1000)*0.032)*2)+(((B31/1000)*0.019)*4)+(((C31/1000)*0.032)*2)+((((C31-38)/1000)*0.032)*2)+(((C31/1000)*0.038)*4),IF(AND(ISERROR(FIND("drawer front",A31))=FALSE,LEFT(WardrobeDoorStyle,14)="In-frame panel"),((((B31-76)/1000)*((C31-38)/1000))*2)+((MID(WardrobeDoorMaterial,FIND("(",WardrobeDoorMaterial)+1,2)/1000)*((((B31-76)+(C31-38))/1000)*2))+((((B31-236)/1000)+((C31-198)/1000)*2)*0.013)+(((B31/1000)*0.032)*2)+((((B31-76)/1000)*0.032)*2)+(((B31/1000)*0.019)*4)+(((C31/1000)*0.032)*2)+((((C31-38)/1000)*0.032)*2)+(((C31/1000)*0.038)*4),IF(ISERROR(FIND("drawer box",A31))=FALSE,((((B31/1000)*(D31/1000))+((B31/1000)*(C31/1000)))*4)+((((D31/1000)+(C31/1000))*0.016)*4)+(((C31/1000)*(D31/1000))*2),IF(OR(ISERROR(FIND("shelf",A31))=FALSE,ISERROR(FIND("Filler panel",A31))=FALSE),(((C31/1000)*(D31/1000))*2)+((((C31+D31)*2)/1000)*0.022),IF(ISERROR(FIND("Fireplace",A31))=FALSE,((B31/1000)*(C31/1000)),IF(ISERROR(FIND("Worktop",A31))=FALSE,(B31/1000)*(C31/1000),IF(ISERROR(FIND("table",A31))=FALSE,(B31/1000)*0.6,IF(ISERROR(FIND("arcass",A31))=FALSE,(((C31/1000)*(D31/1000))*2)+(((B31/1000)*(D31/1000))*2)+((B31/1000)*(C31/1000))+((((B31/1000)*0.025)+((C31/1000)*0.025))*2),IF(AND(ISERROR(FIND("door",A31))=FALSE,WardrobeDoorStyle="Flat"),(((B31/1000)*(C31/1000))*2)+(MID(WardrobeDoorMaterial,FIND("(",WardrobeDoorMaterial)+1,2)/1000)*(((B31+C31)/1000)*2),IF(AND(ISERROR(FIND("door",A31))=FALSE,LEFT(WardrobeDoorStyle,5)="Panel"),(((B31/1000)*(C31/1000))*2)+((MID(WardrobeDoorMaterial,FIND("(",WardrobeDoorMaterial)+1,2)/1000)*(((B31+C31)/1000)*2))+(((((B31-160)+(C31-160))*2)/1000)*(0.013)),IF(AND(ISERROR(FIND("door",A31))=FALSE,WardrobeDoorStyle="In-frame flat"),((((B31-76)/1000)*((C31-38)/1000))*2)+(MID(WardrobeDoorMaterial,FIND("(",WardrobeDoorMaterial)+1,2)/1000)*((((B31-76)+(C31-38))/1000)*2)+(((B31/1000)*0.032)*2)+((((B31-76)/1000)*0.032)*2)+(((B31/1000)*0.019)*4)+(((C31/1000)*0.032)*2)+((((C31-38)/1000)*0.032)*2)+(((C31/1000)*0.038)*4),IF(AND(ISERROR(FIND("door",A31))=FALSE,LEFT(WardrobeDoorStyle,14)="In-frame panel"),((((B31-76)/1000)*((C31-38)/1000))*2)+((MID(WardrobeDoorMaterial,FIND("(",WardrobeDoorMaterial)+1,2)/1000)*((((B31-76)+(C31-38))/1000)*2))+((((B31-236)/1000)+((C31-198)/1000)*2)*0.013)+(((B31/1000)*0.032)*2)+((((B31-76)/1000)*0.032)*2)+(((B31/1000)*0.019)*4)+(((C31/1000)*0.032)*2)+((((C31-38)/1000)*0.032)*2)+(((C31/1000)*0.038)*4),IF(ISERROR(FIND("Plinth",A31))=FALSE,((B31/1000)*(C31/1000))+(((C31/1000)*0.018)*2)+(((B31/1000)*0.018)*2),IF(ISERROR(FIND("Cornice",A31))=FALSE,(((C31/1000)*0.1)*2)+(((C31/1000)*0.044)*2)+(((B31/1000)*0.08)*2),IF(ISERROR(FIND("Office pod",A31))=FALSE,((2400/1000)*(1200/1000))*6,IF(ISERROR(FIND("panel",A31))=FALSE,((B31/1000)*(C31/1000))+(0.022*((B31/1000)+((C31/1000)*2)))+((B31/1000)*0.05),IF(ISERROR(FIND("Fillers",A31))=FALSE,((C31/1000)*0.06)+((C31/1000)*0.069)+((0.06*0.018)*2)+((0.06*0.009)*2)+((C31/1000)*0.009)+((C31/1000)*0.018),IF(ISERROR(FIND("Pelmet",A31))=FALSE,((C31/1000)*0.05)+((C31/1000)*0.068)+((0.05*0.018)*4)+(((C31/1000)*0.018))*2)))))))))))))))))))))</f>
        <v>1.3728</v>
      </c>
      <c r="N31" s="152">
        <f>IF(M31="","",IF(AND(ISERROR(FIND("carcass",A31))=TRUE,ISERROR(FIND("unit",A31))=TRUE,ISERROR(FIND("insert",A31))=TRUE,ISERROR(FIND("rack",A31))=TRUE,ISERROR(FIND("box",A31))=TRUE,ISERROR(FIND("shelf",A31))=TRUE),VLOOKUP(WardrobeDoorFinish,Finishing!$A$2:$K$10,9,0)*M31,IF(ISERROR(FIND("table",A31))=FALSE,VLOOKUP("Sayerlack AF0072 Interior Clear Self-Sealer",FinishingData,9,FALSE)*M31,VLOOKUP(WardrobeCarcassFinish,Finishing!$A$2:$K$40,9,0)*M31)))</f>
        <v>5.148</v>
      </c>
      <c r="O31" s="155">
        <v>2.5</v>
      </c>
      <c r="P31" s="155">
        <v>1.0</v>
      </c>
      <c r="Q31" s="152">
        <f>IF(OR(O31="",P31=""),"",((O31*X31)*(VLOOKUP("Workshop",Labour!$A$3:$E$20,4,0)/8))+((P31*AE31)*(VLOOKUP("Finishing",Labour!$A$3:$E$20,4,0)/8)))</f>
        <v>137.375</v>
      </c>
      <c r="R31" s="152">
        <f t="shared" si="4"/>
        <v>199.5500411</v>
      </c>
      <c r="S31" s="156">
        <f>IF(OR(O31="",P31=""),"",IF(OR(ISERROR(FIND("carcass",$A31))=FALSE,ISERROR(FIND("unit",$A31))=FALSE),VLOOKUP(WardrobeCarcassMaterial,FixedListsCarcassMaterial,2,0),0))</f>
        <v>0</v>
      </c>
      <c r="T31" s="156">
        <f>IF(OR(O31="",P31=""),"",IF(ISERROR(FIND("door",$A31))=FALSE,VLOOKUP(WardrobeDoorStyle,FixedListsDoorStyle,2,0),0))</f>
        <v>0</v>
      </c>
      <c r="U31" s="156">
        <f>IF(OR(O31="",P31=""),"",IF(ISERROR(FIND("door",$A31))=FALSE,VLOOKUP(WardrobeDoorMaterial,FixedListsDoorMaterial,2,0),0))</f>
        <v>0</v>
      </c>
      <c r="V31" s="156">
        <f>IF(OR(O31="",P31=""),"",IF(ISERROR(FIND("drawer",$A31))=FALSE,VLOOKUP(WardrobeDrawerType,FixedListsDrawerType,2,0),0))</f>
        <v>1</v>
      </c>
      <c r="W31" s="156">
        <f>IF(OR(O31="",P31=""),"",IF(S31&gt;0,VLOOKUP(WardrobeHandleType,FixedListsHandleType,2,FALSE),0))</f>
        <v>0</v>
      </c>
      <c r="X31" s="156">
        <f t="shared" si="5"/>
        <v>1</v>
      </c>
      <c r="Y31" s="156">
        <f>IF(OR(O31="",P31=""),"",IF(OR(ISERROR(FIND("carcass",$A31))=FALSE,ISERROR(FIND("unit",$A31))=FALSE),VLOOKUP(WardrobeCarcassMaterial,FixedListsCarcassMaterial,3,0),0))</f>
        <v>0</v>
      </c>
      <c r="Z31" s="156">
        <f>IF(OR(O31="",P31=""),"",IF(ISERROR(FIND("door",$A31))=FALSE,VLOOKUP(WardrobeDoorStyle,FixedListsDoorStyle,3,0),0))</f>
        <v>0</v>
      </c>
      <c r="AA31" s="156">
        <f>IF(OR(O31="",P31=""),"",IF(ISERROR(FIND("door",$A31))=FALSE,VLOOKUP(WardrobeDoorMaterial,FixedListsDoorMaterial,3,0),0))</f>
        <v>0</v>
      </c>
      <c r="AB31" s="156">
        <f>IF(OR(O31="",P31=""),"",IF(ISERROR(FIND("drawer",$A31))=FALSE,VLOOKUP(WardrobeDrawerType,FixedListsDrawerType,3,0),0))</f>
        <v>1</v>
      </c>
      <c r="AC31" s="156">
        <f>IF(OR(O31="",P31=""),"",IF(S31&gt;0,VLOOKUP(WardrobeHandleType,FixedListsHandleType,3,FALSE),0))</f>
        <v>0</v>
      </c>
      <c r="AD31" s="156">
        <f>IF(OR(O31="",P31=""),"",IF(OR(ISERROR(FIND("carcass",$A31))=FALSE,ISERROR(FIND("unit",$A31))=FALSE),VLOOKUP(WardrobeCarcassFinish,FixedListsFinishes,3,0),IF(OR(ISERROR(FIND("door",$A31))=FALSE,ISERROR(FIND("Plinth",$A31))=FALSE,ISERROR(FIND("Cornice",$A31))=FALSE,ISERROR(FIND("Fillers",$A31))=FALSE,ISERROR(FIND("Pelmet",$A31))=FALSE,ISERROR(FIND("panel",$A31))=FALSE,ISERROR(FIND("post",$A31))=FALSE),VLOOKUP(WardrobeDoorFinish,FixedListsFinishes,3,0),IF(OR(ISERROR(FIND("drawer",$A31))=FALSE,ISERROR(FIND("insert",$A31))=FALSE,ISERROR(FIND("rck",$A31))=FALSE),VLOOKUP(WardrobeCarcassFinish,FixedListsFinishes,3,0),0))))</f>
        <v>1</v>
      </c>
      <c r="AE31" s="156">
        <f t="shared" si="6"/>
        <v>1</v>
      </c>
      <c r="AF31" s="157" t="str">
        <f>IF(AND(WardrobeHandleType="Channel",OR(ISERROR(FIND("arcass",$A31))=FALSE,ISERROR(FIND("unit",$A31))=FALSE)),IF(ISERROR(FIND("Tower",$A31))=TRUE,IF(WardrobeHandleFinish="Match carcass",IF(ISERROR(FIND("Walnut",WardrobeCarcassMaterial))=FALSE,(0.035*0.075*($C31/1000))*VLOOKUP("Walnut (solid m3)",SolidData,4,FALSE),IF(ISERROR(FIND("Oak",WardrobeCarcassMaterial))=FALSE,(0.035*0.075*($C31/1000))*VLOOKUP("Oak (solid m3)",SolidData,4,FALSE),IF(ISERROR(FIND("ply",WardrobeCarcassMaterial))=FALSE,(0.1*($C31/1000))*VLOOKUP("Birch ply (24mm)",SheetsData,7,FALSE),IF(ISERROR(FIND("H/F",WardrobeCarcassMaterial))=FALSE,(0.1*($C31/1000))*VLOOKUP("H/F (22mm)",SheetsData,7,FALSE),"Carcass - not tower - new material")))),IF(WardrobeHandleFinish="Match door",IF(ISERROR(FIND("Walnut",WardrobeDoorMaterial))=FALSE,(0.035*0.075*($C31/1000))*VLOOKUP("Walnut (solid m3)",SolidData,4,FALSE),IF(ISERROR(FIND("Oak",WardrobeDoorMaterial))=FALSE,(0.035*0.075*($C31/1000))*VLOOKUP("Oak (solid m3)",SolidData,4,FALSE),IF(ISERROR(FIND("ply",WardrobeDoorMaterial))=FALSE,(0.1*($C31/1000))*VLOOKUP("Birch ply (24mm)",SheetsData,7,FALSE),IF(ISERROR(FIND("H/F",WardrobeCarcassMaterial))=FALSE,(0.1*($C31/1000))*VLOOKUP("H/F (22mm)",SheetsData,7,FALSE),"Door - not tower - new material")))),"Channel - not tower - handle set to other")),IF(ISERROR(FIND("Tower",$A31))=FALSE,IF(WardrobeHandleFinish="Match carcass",IF(ISERROR(FIND("Walnut",WardrobeCarcassMaterial))=FALSE,(0.035*0.075*($B31/1000))*VLOOKUP("Walnut (solid m3)",SolidData,4,FALSE),IF(ISERROR(FIND("Oak",WardrobeCarcassMaterial))=FALSE,(0.035*0.075*($B31/1000))*VLOOKUP("Oak (solid m3)",SolidData,4,FALSE),IF(ISERROR(FIND("ply",WardrobeCarcassMaterial))=FALSE,(0.1*($B31/1000))*VLOOKUP("Birch ply (24mm)",SheetsData,7,FALSE),IF(ISERROR(FIND("H/F",WardrobeCarcassMaterial))=FALSE,(0.1*($C31/1000))*VLOOKUP("H/F (22mm)",SheetsData,7,FALSE),"Carcass - tower - new material")))),IF(WardrobeHandleFinish="Match door",IF(ISERROR(FIND("Walnut",WardrobeDoorMaterial))=FALSE,(0.035*0.075*($B31/1000))*VLOOKUP("Walnut (solid m3)",SolidData,4,FALSE),IF(ISERROR(FIND("Oak",WardrobeDoorMaterial))=FALSE,(0.035*0.075*($B31/1000))*VLOOKUP("Oak (solid m3)",SolidData,4,FALSE),IF(ISERROR(FIND("ply",WardrobeDoorMaterial))=FALSE,(0.1*($B31/1000))*VLOOKUP("Birch ply (24mm)",SheetData,7,FALSE),IF(ISERROR(FIND("H/F",WardrobeCarcassMaterial))=FALSE,(0.1*($C31/1000))*VLOOKUP("H/F (22mm)",SheetsData,7,FALSE),"Door - tower - new material")))),"Channel - tower - handle set to other")))),"")</f>
        <v/>
      </c>
    </row>
    <row r="32">
      <c r="A32" s="150" t="s">
        <v>197</v>
      </c>
      <c r="B32" s="160" t="str">
        <f t="shared" si="1"/>
        <v>120</v>
      </c>
      <c r="C32" s="160" t="str">
        <f>IFERROR(__xludf.DUMMYFUNCTION("IF(A32="""","""",IF(ISERROR(FIND(""arcass"",A32))=FALSE,MID(A32,FIND(""*"",A32)+1,FIND(""*"",A32,FIND(""*"",A32)+1)-FIND(""*"",A32)-1),IF(ISERROR(FIND(""End panel"",A32))=FALSE,RIGHT(A32,3),IF(OR(ISERROR(FIND(""drawer"",A32))=FALSE,ISERROR(FIND(""door"",A"&amp;"32))=FALSE,ISERROR(FIND(""shelf"",A32))=FALSE,ISERROR(FIND(""panel"",A32))=FALSE,ISERROR(FIND(""Plinth"",A32))=FALSE,ISERROR(FIND(""Cornice"",A32))=FALSE,ISERROR(FIND(""Fillers"",A32))=FALSE,ISERROR(FIND(""Pelmet"",A32))=FALSE,ISERROR(FIND(""Fireplace up "&amp;"to 1600"",A32))=FALSE),RIGHT(A32,LEN(A32)-LEN(regexextract(A32,"".* ""))),IF(ISERROR(FIND(""table"",A32))=FALSE,""560"",IF(ISERROR(FIND(""Office pod"",A32))=FALSE,""1600"",IF(ISERROR(FIND(""Fireplace over 1600"",A32))=FALSE,""2400"",IF(ISERROR(FIND(""Work"&amp;"top"",A32))=FALSE,""650"",""Whoops""))))))))"),"1200")</f>
        <v>1200</v>
      </c>
      <c r="D32" s="161" t="str">
        <f t="shared" si="2"/>
        <v>600</v>
      </c>
      <c r="E32" s="152">
        <f>IF(OR(A32="",AND(ISERROR(FIND("drawer",A32))=FALSE,WardrobeDrawerType="")),"",IF(ISERROR(FIND("door",A32))=FALSE,IF(WardrobeDoorStyle="Flat",((B32/1000)*(C32/1000))*VLOOKUP(WardrobeDoorMaterial,SheetsData,8,0),IF(LEFT(WardrobeDoorStyle,5)="Panel",(((((B32/1000)*2)*0.08)+((((C32/1000)-0.16)*2)*0.08))*VLOOKUP("H/F (22mm)",SheetsData,8,0))+(((B32/1000)-0.14)*((C32/1000)-0.14)*VLOOKUP("H/F (9mm)",SheetsData,8,0)),IF(WardrobeDoorStyle="In-frame flat",((((((B32/1000)*0.019)*0.038)+((((C32-38)/1000)*0.038)*0.038))*2)*VLOOKUP("Tulip (solid m3)",SolidData,4,0))+(((B32-76)/1000)*((C32-38)/1000))*VLOOKUP("H/F (22mm)",SheetsData,8,0),IF(LEFT(WardrobeDoorStyle,14)="In-frame panel",(((((((B32/1000)*0.019)*0.038)+((((C32-38)/1000)*0.038)*0.038))*2)*VLOOKUP("Tulip (solid m3)",SolidData,4,0))+(((((((B32-76)/1000)*2)*0.08)+(((((C32-198)/1000)*2)*0.08)))*VLOOKUP("H/F (22mm)",SheetsData,8,0))+(((B32-216)/1000)*((C32-178)/1000)*VLOOKUP("H/F (9mm)",SheetsData,8,0)))))))),IF(AND(ISERROR(FIND("arcass",A32))=FALSE,ISERROR(FIND("ost corner",A32))=TRUE),IF(AND(VALUE(B32)&lt;1211,VALUE(C32)&lt;1211,VALUE(D32)&lt;606),1*VLOOKUP(WardrobeCarcassMaterial,SheetsData,5,FALSE),IF(AND(VALUE(B32)&lt;2421,VALUE(C32)&lt;2421,VALUE(D32)&lt;606),2*VLOOKUP(WardrobeCarcassMaterial,SheetsData,5,FALSE),IF(AND(VALUE(B32)&lt;2421,VALUE(C32)&lt;1211,VALUE(D32)&lt;1211),3*VLOOKUP(WardrobeCarcassMaterial,SheetsData,5,FALSE),IF(AND(VALUE(B32)&lt;2421,VALUE(C32)&lt;2421,VALUE(D32)&lt;1211),4*VLOOKUP(WardrobeCarcassMaterial,SheetsData,5,FALSE))))),IF(AND(ISERROR(FIND("arcass",A32))=FALSE,ISERROR(FIND("ost corner",A32))=FALSE),IF(AND(VALUE(B32)&lt;1211,VALUE(C32)&lt;1211,VALUE(D32)&lt;606),(1*VLOOKUP(WardrobeCarcassMaterial,SheetsData,5,FALSE))+(VLOOKUP("H/F (22mm)",SheetsData,7,FALSE)*1.44),IF(AND(VALUE(B32)&lt;2421,VALUE(C32)&lt;2421,VALUE(D32)&lt;606),(2*VLOOKUP(WardrobeCarcassMaterial,SheetsData,5,FALSE))+(VLOOKUP("H/F (22mm)",SheetsData,7,FALSE)*1.44),IF(AND(VALUE(B32)&lt;2421,VALUE(C32)&lt;1211,VALUE(D32)&lt;1211),(3*VLOOKUP(WardrobeCarcassMaterial,SheetsData,5,FALSE))+(VLOOKUP("H/F (22mm)",SheetsData,7,FALSE)*1.44),IF(AND(VALUE(B32)&lt;2421,VALUE(C32)&lt;2421,VALUE(D32)&lt;1211),(4*VLOOKUP(WardrobeCarcassMaterial,SheetsData,5,FALSE))+(VLOOKUP("H/F (22mm)",SheetsData,7,FALSE)*1.44))))),IF(ISERROR(FIND("drawer front",A32))=FALSE,((B32/1000)*(C32/1000))*VLOOKUP(WardrobeDoorMaterial,SheetsData,8,0),IF(AND(WardrobeDrawerType="Match carcass",ISERROR(FIND("drawer box",A32))=FALSE),(((((B32/1000)*(C32/1000))+((B32/1000)*(D32/1000)))*2)*VLOOKUP(WardrobeCarcassMaterial,SheetsData,8,0))+(((C32/1000)*(D32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box",A32))=FALSE),(((((B32/1000)*(C32/1000))+((B32/1000)*(D32/1000)))*2)*(16/1000)*VLOOKUP(LEFT(WardrobeCarcassMaterial,FIND(" ",WardrobeCarcassMaterial))&amp;"(solid m3)",SolidData,4,0))+(((C32/1000)*(D32/1000))*VLOOKUP(LEFT(WardrobeCarcassMaterial,FIND("(",WardrobeCarcassMaterial)-1)&amp;IF(OR(ISERROR(FIND("ply",WardrobeCarcassMaterial))=FALSE,ISERROR(FIND("H/F",WardrobeCarcassMaterial))=FALSE),"(9mm)","(10mm)"),SheetsData,8,0)),IF(ISERROR(FIND("shelf",A32))=FALSE,((C32/1000)*(D32/1000))*VLOOKUP(WardrobeCarcassMaterial,SheetsData,7,FALSE),IF(ISERROR(FIND("Office pod",A32))=FALSE,3*VLOOKUP(WardrobeCarcassMaterial,SheetsData,5,0),IF(ISERROR(FIND(" panel",A32))=FALSE,((B32/1000)*(C32/1000))*VLOOKUP(WardrobeDoorMaterial,SheetsData,8,0),IF(ISERROR(FIND("Fillers",A32))=FALSE,(((0.06*(C32/1000))*2)*VLOOKUP("H/F (18mm)",SheetsData,8,0))+(((0.06*(C32/1000))*2)*VLOOKUP("H/F (9mm)",SheetsData,8,0)),IF(ISERROR(FIND("Cornice (stacked)",A32))=FALSE,((0.08*(C32/1000))*2)*VLOOKUP("H/F (22mm)",SheetsData,8,0),IF(OR(ISERROR(FIND("Plinth",A32))=FALSE,ISERROR(FIND("Cornice (flat)",A32))=FALSE),((B32/1000)*(C32/1000))*VLOOKUP("H/F (18mm)",SheetsData,8,0),IF(ISERROR(FIND("Pelmet",A32))=FALSE,((((B32/1000)*(C32/1000))*2)*VLOOKUP("H/F (18mm)",SheetsData,8,0)),IF(ISERROR(FIND("Fireplace",A32))=FALSE,IF(ISERROR(FIND("over 1600",A32))=FALSE,2*VLOOKUP(WardrobeCarcassMaterial,SheetsData,5,FALSE),VLOOKUP(WardrobeCarcassMaterial,SheetsData,5,FALSE)),IF(ISERROR(FIND("table",A32))=FALSE,((B32/1000)*0.6)*VLOOKUP("Birch ply (24mm)",SheetsData,7,FALSE),IF(ISERROR(FIND("Worktop",A32))=FALSE,((B32/1000)*(C32/1000))*VLOOKUP(WardrobeDoorMaterial,SheetsData,7,FALSE),"Check formula")))))))))))))))))</f>
        <v>29.82746574</v>
      </c>
      <c r="F32" s="152">
        <f>IFERROR(__xludf.DUMMYFUNCTION("IF(OR(A32="""",AND(ISERROR(FIND(""drawer box"",A32))=FALSE,WardrobeDrawerType=""Solid dovetail"")),"""",IF(ISERROR(FIND(""bins"",A32))=FALSE,VLOOKUP(""Base carcass 600"",Wardrobes_etcData,6,0),IF(OR(ISERROR(FIND(""larder"",A32))=FALSE,ISERROR(FIND(""unit"&amp;""",A32))=FALSE),VLOOKUP(LEFT(A32,FIND("" "",A32))&amp;""carcass ""&amp;RIGHT(A32,LEN(A32)-len(regexextract(A32,"".* ""))),Wardrobes_etcData,6,0),IF(ISERROR(FIND(""drawer front"",A32))=FALSE,IF(ISERROR(FIND(""veneer"",WardrobeCarcassMaterial))=TRUE,0,(((B32+C32)/1"&amp;"000)*2)*VLOOKUP(""Edge banding (per M)"",SheetsData,5,0)),IF(ISERROR(FIND(""drawer box"",A32))=FALSE,IF(ISERROR(FIND(""veneer"",WardrobeCarcassMaterial))=TRUE,0,(((C32+D32)/1000)*2)*VLOOKUP(""Edge banding (per M)"",SheetsData,5,0)),IF(ISERROR(FIND(""shelf"&amp;""",A32))=FALSE,IF(ISERROR(FIND(""veneer"",WardrobeCarcassMaterial))=TRUE,0,(C32/1000)*VLOOKUP(""Edge banding (per M)"",SheetsData,5,0)),IF(AND(OR(ISERROR(FIND(""arcass"",A32))=FALSE,ISERROR(FIND(""Fireplace"",A32))=FALSE),ISERROR(FIND(""shelf"",A32))=TRUE"&amp;"),IF(ISERROR(FIND(""veneer"",WardrobeCarcassMaterial))=TRUE,0,((2*(B32+C32))/1000)*VLOOKUP(""Edge banding (per M)"",SheetsData,5,0)),IF(ISERROR(FIND(""door"",A32))=TRUE,"""",IF(ISERROR(FIND(""veneer"",WardrobeDoorMaterial))=TRUE,"""",((2*(B32+C32))/1000)*"&amp;"VLOOKUP(""Edge banding (per M)"",SheetsData,5,0))))))))))"),0.0)</f>
        <v>0</v>
      </c>
      <c r="G32" s="153" t="str">
        <f>IF(A32="","",IF(AND(ISERROR(FIND("arcass",A32))=TRUE,ISERROR(FIND("Fireplace",A32))=TRUE),"",IF(VALUE(C32)&lt;606,4*VLOOKUP("Plinth foot (2 Parts 80mm)",FurnitureData,5,FALSE),IF(VALUE(C32)&lt;1211,6*VLOOKUP("Plinth foot (2 Parts 80mm)",FurnitureData,5,FALSE),8*VLOOKUP("Plinth foot (2 Parts 80mm)",FurnitureData,5,FALSE)))))</f>
        <v/>
      </c>
      <c r="H32" s="115" t="str">
        <f>IF(OR(A32="",ISERROR(FIND("door",A32))=TRUE),"",VLOOKUP("Hinges &amp; plates (Hettich thick door)",FurnitureData,5,0)*5)</f>
        <v/>
      </c>
      <c r="I32" s="115" t="str">
        <f>IF(ISERROR(FIND("shelf",A32))=FALSE,(VLOOKUP("Shelf pegs",FurnitureData,5,0)/100)*4,"")</f>
        <v/>
      </c>
      <c r="J32" s="152" t="str">
        <f>IF(OR(ISERROR(FIND("fridge/freezer",A32))=FALSE,ISERROR(FIND("sink",A32))=FALSE,ISERROR(FIND("larder",A32))=FALSE),VLOOKUP("Deep shelf "&amp;C32,Wardrobes_etcData,18,0),IF(OR(ISERROR(FIND("single oven",A32))=FALSE,ISERROR(FIND("Base carcass",A32))=FALSE),2*VLOOKUP("Deep shelf "&amp;C32,Wardrobes_etcData,18,0),IF(AND(ISERROR(FIND("wall carcass",A32))=FALSE,ISERROR(FIND("Boiler",A32))=TRUE),2*VLOOKUP("Shallow shelf "&amp;C32,Wardrobes_etcData,18,0),IF(ISERROR(FIND("double oven",A32))=FALSE,3*VLOOKUP("Deep shelf "&amp;C32,Wardrobes_etcData,18,0),IF(ISERROR(FIND("Tower carcass",A32))=FALSE,6*VLOOKUP("Deep shelf "&amp;C32,Wardrobes_etcData,18,0),"")))))</f>
        <v/>
      </c>
      <c r="K32" s="152">
        <f>IF(ISERROR(FIND("sink",A32))=FALSE,VLOOKUP("Sink liner - Aluminium "&amp;RIGHT(A32,LEN(A32)-22)&amp;"mm",ExceptionalData,5,0),IF(ISERROR(FIND("bins",A32))=FALSE,VLOOKUP("Drawer runners and clip set for bin unit (500) Dynapro",FurnitureData,5,0)+(2*VLOOKUP("Bin (42L Anthracite)",FurnitureData,5,0)),IF(ISERROR(FIND("larder",A32))=FALSE,VLOOKUP("Pull out larder unit 600mm",FurnitureData,5,0),IF(AND(ISERROR(FIND("drawer box",A32))=FALSE,ISERROR(FIND("internal",A32))=TRUE),VLOOKUP("Drawer runners and clip set (550) Dynapro",FurnitureData,5,0),IF(ISERROR(FIND("internal drawer box",A32))=FALSE,VLOOKUP("Drawer runners and clip set (450) Dynapro",FurnitureData,5,0),IF(ISERROR(FIND("table",A32))=FALSE,VLOOKUP("Hairpin Leg (12mm Black "&amp;MID(A32,FIND("(",A32)+1,LEN(A32)-(FIND("(",A32))-1)&amp;"mm)",ExceptionalData,4,FALSE),""))))))</f>
        <v>39.72</v>
      </c>
      <c r="L32" s="152">
        <f t="shared" si="3"/>
        <v>69.54746574</v>
      </c>
      <c r="M32" s="154">
        <f>IF(A32="","",IF(AND(ISERROR(FIND("drawer front",A32))=FALSE,WardrobeDoorStyle="Flat"),(((B32/1000)*(C32/1000))*2)+((((B32+C32)/1000)*2)*0.022),IF(AND(ISERROR(FIND("drawer front",A32))=FALSE,LEFT(WardrobeDoorStyle,5)="Panel"),(((B32/1000)*(C32/1000))*2)+((((B32+C32)/1000)*2)*0.022)+((((C32/1000)-0.16)*0.013)*2)+((((D32/1000)-0.16)*0.013)*2),IF(AND(ISERROR(FIND("drawer front",A32))=FALSE,WardrobeDoorStyle="In-frame flat"),((((B32-76)/1000)*((C32-38)/1000))*2)+(MID(WardrobeDoorMaterial,FIND("(",WardrobeDoorMaterial)+1,2)/1000)*((((B32-76)+(C32-38))/1000)*2)+(((B32/1000)*0.032)*2)+((((B32-76)/1000)*0.032)*2)+(((B32/1000)*0.019)*4)+(((C32/1000)*0.032)*2)+((((C32-38)/1000)*0.032)*2)+(((C32/1000)*0.038)*4),IF(AND(ISERROR(FIND("drawer front",A32))=FALSE,LEFT(WardrobeDoorStyle,14)="In-frame panel"),((((B32-76)/1000)*((C32-38)/1000))*2)+((MID(WardrobeDoorMaterial,FIND("(",WardrobeDoorMaterial)+1,2)/1000)*((((B32-76)+(C32-38))/1000)*2))+((((B32-236)/1000)+((C32-198)/1000)*2)*0.013)+(((B32/1000)*0.032)*2)+((((B32-76)/1000)*0.032)*2)+(((B32/1000)*0.019)*4)+(((C32/1000)*0.032)*2)+((((C32-38)/1000)*0.032)*2)+(((C32/1000)*0.038)*4),IF(ISERROR(FIND("drawer box",A32))=FALSE,((((B32/1000)*(D32/1000))+((B32/1000)*(C32/1000)))*4)+((((D32/1000)+(C32/1000))*0.016)*4)+(((C32/1000)*(D32/1000))*2),IF(OR(ISERROR(FIND("shelf",A32))=FALSE,ISERROR(FIND("Filler panel",A32))=FALSE),(((C32/1000)*(D32/1000))*2)+((((C32+D32)*2)/1000)*0.022),IF(ISERROR(FIND("Fireplace",A32))=FALSE,((B32/1000)*(C32/1000)),IF(ISERROR(FIND("Worktop",A32))=FALSE,(B32/1000)*(C32/1000),IF(ISERROR(FIND("table",A32))=FALSE,(B32/1000)*0.6,IF(ISERROR(FIND("arcass",A32))=FALSE,(((C32/1000)*(D32/1000))*2)+(((B32/1000)*(D32/1000))*2)+((B32/1000)*(C32/1000))+((((B32/1000)*0.025)+((C32/1000)*0.025))*2),IF(AND(ISERROR(FIND("door",A32))=FALSE,WardrobeDoorStyle="Flat"),(((B32/1000)*(C32/1000))*2)+(MID(WardrobeDoorMaterial,FIND("(",WardrobeDoorMaterial)+1,2)/1000)*(((B32+C32)/1000)*2),IF(AND(ISERROR(FIND("door",A32))=FALSE,LEFT(WardrobeDoorStyle,5)="Panel"),(((B32/1000)*(C32/1000))*2)+((MID(WardrobeDoorMaterial,FIND("(",WardrobeDoorMaterial)+1,2)/1000)*(((B32+C32)/1000)*2))+(((((B32-160)+(C32-160))*2)/1000)*(0.013)),IF(AND(ISERROR(FIND("door",A32))=FALSE,WardrobeDoorStyle="In-frame flat"),((((B32-76)/1000)*((C32-38)/1000))*2)+(MID(WardrobeDoorMaterial,FIND("(",WardrobeDoorMaterial)+1,2)/1000)*((((B32-76)+(C32-38))/1000)*2)+(((B32/1000)*0.032)*2)+((((B32-76)/1000)*0.032)*2)+(((B32/1000)*0.019)*4)+(((C32/1000)*0.032)*2)+((((C32-38)/1000)*0.032)*2)+(((C32/1000)*0.038)*4),IF(AND(ISERROR(FIND("door",A32))=FALSE,LEFT(WardrobeDoorStyle,14)="In-frame panel"),((((B32-76)/1000)*((C32-38)/1000))*2)+((MID(WardrobeDoorMaterial,FIND("(",WardrobeDoorMaterial)+1,2)/1000)*((((B32-76)+(C32-38))/1000)*2))+((((B32-236)/1000)+((C32-198)/1000)*2)*0.013)+(((B32/1000)*0.032)*2)+((((B32-76)/1000)*0.032)*2)+(((B32/1000)*0.019)*4)+(((C32/1000)*0.032)*2)+((((C32-38)/1000)*0.032)*2)+(((C32/1000)*0.038)*4),IF(ISERROR(FIND("Plinth",A32))=FALSE,((B32/1000)*(C32/1000))+(((C32/1000)*0.018)*2)+(((B32/1000)*0.018)*2),IF(ISERROR(FIND("Cornice",A32))=FALSE,(((C32/1000)*0.1)*2)+(((C32/1000)*0.044)*2)+(((B32/1000)*0.08)*2),IF(ISERROR(FIND("Office pod",A32))=FALSE,((2400/1000)*(1200/1000))*6,IF(ISERROR(FIND("panel",A32))=FALSE,((B32/1000)*(C32/1000))+(0.022*((B32/1000)+((C32/1000)*2)))+((B32/1000)*0.05),IF(ISERROR(FIND("Fillers",A32))=FALSE,((C32/1000)*0.06)+((C32/1000)*0.069)+((0.06*0.018)*2)+((0.06*0.009)*2)+((C32/1000)*0.009)+((C32/1000)*0.018),IF(ISERROR(FIND("Pelmet",A32))=FALSE,((C32/1000)*0.05)+((C32/1000)*0.068)+((0.05*0.018)*4)+(((C32/1000)*0.018))*2)))))))))))))))))))))</f>
        <v>2.4192</v>
      </c>
      <c r="N32" s="152">
        <f>IF(M32="","",IF(AND(ISERROR(FIND("carcass",A32))=TRUE,ISERROR(FIND("unit",A32))=TRUE,ISERROR(FIND("insert",A32))=TRUE,ISERROR(FIND("rack",A32))=TRUE,ISERROR(FIND("box",A32))=TRUE,ISERROR(FIND("shelf",A32))=TRUE),VLOOKUP(WardrobeDoorFinish,Finishing!$A$2:$K$10,9,0)*M32,IF(ISERROR(FIND("table",A32))=FALSE,VLOOKUP("Sayerlack AF0072 Interior Clear Self-Sealer",FinishingData,9,FALSE)*M32,VLOOKUP(WardrobeCarcassFinish,Finishing!$A$2:$K$40,9,0)*M32)))</f>
        <v>9.072</v>
      </c>
      <c r="O32" s="155">
        <v>3.5</v>
      </c>
      <c r="P32" s="155">
        <v>1.0</v>
      </c>
      <c r="Q32" s="152">
        <f>IF(OR(O32="",P32=""),"",((O32*X32)*(VLOOKUP("Workshop",Labour!$A$3:$E$20,4,0)/8))+((P32*AE32)*(VLOOKUP("Finishing",Labour!$A$3:$E$20,4,0)/8)))</f>
        <v>181.125</v>
      </c>
      <c r="R32" s="152">
        <f t="shared" si="4"/>
        <v>259.7444657</v>
      </c>
      <c r="S32" s="156">
        <f>IF(OR(O32="",P32=""),"",IF(OR(ISERROR(FIND("carcass",$A32))=FALSE,ISERROR(FIND("unit",$A32))=FALSE),VLOOKUP(WardrobeCarcassMaterial,FixedListsCarcassMaterial,2,0),0))</f>
        <v>0</v>
      </c>
      <c r="T32" s="156">
        <f>IF(OR(O32="",P32=""),"",IF(ISERROR(FIND("door",$A32))=FALSE,VLOOKUP(WardrobeDoorStyle,FixedListsDoorStyle,2,0),0))</f>
        <v>0</v>
      </c>
      <c r="U32" s="156">
        <f>IF(OR(O32="",P32=""),"",IF(ISERROR(FIND("door",$A32))=FALSE,VLOOKUP(WardrobeDoorMaterial,FixedListsDoorMaterial,2,0),0))</f>
        <v>0</v>
      </c>
      <c r="V32" s="156">
        <f>IF(OR(O32="",P32=""),"",IF(ISERROR(FIND("drawer",$A32))=FALSE,VLOOKUP(WardrobeDrawerType,FixedListsDrawerType,2,0),0))</f>
        <v>1</v>
      </c>
      <c r="W32" s="156">
        <f>IF(OR(O32="",P32=""),"",IF(S32&gt;0,VLOOKUP(WardrobeHandleType,FixedListsHandleType,2,FALSE),0))</f>
        <v>0</v>
      </c>
      <c r="X32" s="156">
        <f t="shared" si="5"/>
        <v>1</v>
      </c>
      <c r="Y32" s="156">
        <f>IF(OR(O32="",P32=""),"",IF(OR(ISERROR(FIND("carcass",$A32))=FALSE,ISERROR(FIND("unit",$A32))=FALSE),VLOOKUP(WardrobeCarcassMaterial,FixedListsCarcassMaterial,3,0),0))</f>
        <v>0</v>
      </c>
      <c r="Z32" s="156">
        <f>IF(OR(O32="",P32=""),"",IF(ISERROR(FIND("door",$A32))=FALSE,VLOOKUP(WardrobeDoorStyle,FixedListsDoorStyle,3,0),0))</f>
        <v>0</v>
      </c>
      <c r="AA32" s="156">
        <f>IF(OR(O32="",P32=""),"",IF(ISERROR(FIND("door",$A32))=FALSE,VLOOKUP(WardrobeDoorMaterial,FixedListsDoorMaterial,3,0),0))</f>
        <v>0</v>
      </c>
      <c r="AB32" s="156">
        <f>IF(OR(O32="",P32=""),"",IF(ISERROR(FIND("drawer",$A32))=FALSE,VLOOKUP(WardrobeDrawerType,FixedListsDrawerType,3,0),0))</f>
        <v>1</v>
      </c>
      <c r="AC32" s="156">
        <f>IF(OR(O32="",P32=""),"",IF(S32&gt;0,VLOOKUP(WardrobeHandleType,FixedListsHandleType,3,FALSE),0))</f>
        <v>0</v>
      </c>
      <c r="AD32" s="156">
        <f>IF(OR(O32="",P32=""),"",IF(OR(ISERROR(FIND("carcass",$A32))=FALSE,ISERROR(FIND("unit",$A32))=FALSE),VLOOKUP(WardrobeCarcassFinish,FixedListsFinishes,3,0),IF(OR(ISERROR(FIND("door",$A32))=FALSE,ISERROR(FIND("Plinth",$A32))=FALSE,ISERROR(FIND("Cornice",$A32))=FALSE,ISERROR(FIND("Fillers",$A32))=FALSE,ISERROR(FIND("Pelmet",$A32))=FALSE,ISERROR(FIND("panel",$A32))=FALSE,ISERROR(FIND("post",$A32))=FALSE),VLOOKUP(WardrobeDoorFinish,FixedListsFinishes,3,0),IF(OR(ISERROR(FIND("drawer",$A32))=FALSE,ISERROR(FIND("insert",$A32))=FALSE,ISERROR(FIND("rck",$A32))=FALSE),VLOOKUP(WardrobeCarcassFinish,FixedListsFinishes,3,0),0))))</f>
        <v>1</v>
      </c>
      <c r="AE32" s="156">
        <f t="shared" si="6"/>
        <v>1</v>
      </c>
      <c r="AF32" s="157" t="str">
        <f>IF(AND(WardrobeHandleType="Channel",OR(ISERROR(FIND("arcass",$A32))=FALSE,ISERROR(FIND("unit",$A32))=FALSE)),IF(ISERROR(FIND("Tower",$A32))=TRUE,IF(WardrobeHandleFinish="Match carcass",IF(ISERROR(FIND("Walnut",WardrobeCarcassMaterial))=FALSE,(0.035*0.075*($C32/1000))*VLOOKUP("Walnut (solid m3)",SolidData,4,FALSE),IF(ISERROR(FIND("Oak",WardrobeCarcassMaterial))=FALSE,(0.035*0.075*($C32/1000))*VLOOKUP("Oak (solid m3)",SolidData,4,FALSE),IF(ISERROR(FIND("ply",WardrobeCarcassMaterial))=FALSE,(0.1*($C32/1000))*VLOOKUP("Birch ply (24mm)",SheetsData,7,FALSE),IF(ISERROR(FIND("H/F",WardrobeCarcassMaterial))=FALSE,(0.1*($C32/1000))*VLOOKUP("H/F (22mm)",SheetsData,7,FALSE),"Carcass - not tower - new material")))),IF(WardrobeHandleFinish="Match door",IF(ISERROR(FIND("Walnut",WardrobeDoorMaterial))=FALSE,(0.035*0.075*($C32/1000))*VLOOKUP("Walnut (solid m3)",SolidData,4,FALSE),IF(ISERROR(FIND("Oak",WardrobeDoorMaterial))=FALSE,(0.035*0.075*($C32/1000))*VLOOKUP("Oak (solid m3)",SolidData,4,FALSE),IF(ISERROR(FIND("ply",WardrobeDoorMaterial))=FALSE,(0.1*($C32/1000))*VLOOKUP("Birch ply (24mm)",SheetsData,7,FALSE),IF(ISERROR(FIND("H/F",WardrobeCarcassMaterial))=FALSE,(0.1*($C32/1000))*VLOOKUP("H/F (22mm)",SheetsData,7,FALSE),"Door - not tower - new material")))),"Channel - not tower - handle set to other")),IF(ISERROR(FIND("Tower",$A32))=FALSE,IF(WardrobeHandleFinish="Match carcass",IF(ISERROR(FIND("Walnut",WardrobeCarcassMaterial))=FALSE,(0.035*0.075*($B32/1000))*VLOOKUP("Walnut (solid m3)",SolidData,4,FALSE),IF(ISERROR(FIND("Oak",WardrobeCarcassMaterial))=FALSE,(0.035*0.075*($B32/1000))*VLOOKUP("Oak (solid m3)",SolidData,4,FALSE),IF(ISERROR(FIND("ply",WardrobeCarcassMaterial))=FALSE,(0.1*($B32/1000))*VLOOKUP("Birch ply (24mm)",SheetsData,7,FALSE),IF(ISERROR(FIND("H/F",WardrobeCarcassMaterial))=FALSE,(0.1*($C32/1000))*VLOOKUP("H/F (22mm)",SheetsData,7,FALSE),"Carcass - tower - new material")))),IF(WardrobeHandleFinish="Match door",IF(ISERROR(FIND("Walnut",WardrobeDoorMaterial))=FALSE,(0.035*0.075*($B32/1000))*VLOOKUP("Walnut (solid m3)",SolidData,4,FALSE),IF(ISERROR(FIND("Oak",WardrobeDoorMaterial))=FALSE,(0.035*0.075*($B32/1000))*VLOOKUP("Oak (solid m3)",SolidData,4,FALSE),IF(ISERROR(FIND("ply",WardrobeDoorMaterial))=FALSE,(0.1*($B32/1000))*VLOOKUP("Birch ply (24mm)",SheetData,7,FALSE),IF(ISERROR(FIND("H/F",WardrobeCarcassMaterial))=FALSE,(0.1*($C32/1000))*VLOOKUP("H/F (22mm)",SheetsData,7,FALSE),"Door - tower - new material")))),"Channel - tower - handle set to other")))),"")</f>
        <v/>
      </c>
    </row>
    <row r="33">
      <c r="A33" s="150" t="s">
        <v>198</v>
      </c>
      <c r="B33" s="160" t="str">
        <f t="shared" si="1"/>
        <v>180</v>
      </c>
      <c r="C33" s="160" t="str">
        <f>IFERROR(__xludf.DUMMYFUNCTION("IF(A33="""","""",IF(ISERROR(FIND(""arcass"",A33))=FALSE,MID(A33,FIND(""*"",A33)+1,FIND(""*"",A33,FIND(""*"",A33)+1)-FIND(""*"",A33)-1),IF(ISERROR(FIND(""End panel"",A33))=FALSE,RIGHT(A33,3),IF(OR(ISERROR(FIND(""drawer"",A33))=FALSE,ISERROR(FIND(""door"",A"&amp;"33))=FALSE,ISERROR(FIND(""shelf"",A33))=FALSE,ISERROR(FIND(""panel"",A33))=FALSE,ISERROR(FIND(""Plinth"",A33))=FALSE,ISERROR(FIND(""Cornice"",A33))=FALSE,ISERROR(FIND(""Fillers"",A33))=FALSE,ISERROR(FIND(""Pelmet"",A33))=FALSE,ISERROR(FIND(""Fireplace up "&amp;"to 1600"",A33))=FALSE),RIGHT(A33,LEN(A33)-LEN(regexextract(A33,"".* ""))),IF(ISERROR(FIND(""table"",A33))=FALSE,""560"",IF(ISERROR(FIND(""Office pod"",A33))=FALSE,""1600"",IF(ISERROR(FIND(""Fireplace over 1600"",A33))=FALSE,""2400"",IF(ISERROR(FIND(""Work"&amp;"top"",A33))=FALSE,""650"",""Whoops""))))))))"),"600")</f>
        <v>600</v>
      </c>
      <c r="D33" s="161" t="str">
        <f t="shared" si="2"/>
        <v>600</v>
      </c>
      <c r="E33" s="152">
        <f>IF(OR(A33="",AND(ISERROR(FIND("drawer",A33))=FALSE,WardrobeDrawerType="")),"",IF(ISERROR(FIND("door",A33))=FALSE,IF(WardrobeDoorStyle="Flat",((B33/1000)*(C33/1000))*VLOOKUP(WardrobeDoorMaterial,SheetsData,8,0),IF(LEFT(WardrobeDoorStyle,5)="Panel",(((((B33/1000)*2)*0.08)+((((C33/1000)-0.16)*2)*0.08))*VLOOKUP("H/F (22mm)",SheetsData,8,0))+(((B33/1000)-0.14)*((C33/1000)-0.14)*VLOOKUP("H/F (9mm)",SheetsData,8,0)),IF(WardrobeDoorStyle="In-frame flat",((((((B33/1000)*0.019)*0.038)+((((C33-38)/1000)*0.038)*0.038))*2)*VLOOKUP("Tulip (solid m3)",SolidData,4,0))+(((B33-76)/1000)*((C33-38)/1000))*VLOOKUP("H/F (22mm)",SheetsData,8,0),IF(LEFT(WardrobeDoorStyle,14)="In-frame panel",(((((((B33/1000)*0.019)*0.038)+((((C33-38)/1000)*0.038)*0.038))*2)*VLOOKUP("Tulip (solid m3)",SolidData,4,0))+(((((((B33-76)/1000)*2)*0.08)+(((((C33-198)/1000)*2)*0.08)))*VLOOKUP("H/F (22mm)",SheetsData,8,0))+(((B33-216)/1000)*((C33-178)/1000)*VLOOKUP("H/F (9mm)",SheetsData,8,0)))))))),IF(AND(ISERROR(FIND("arcass",A33))=FALSE,ISERROR(FIND("ost corner",A33))=TRUE),IF(AND(VALUE(B33)&lt;1211,VALUE(C33)&lt;1211,VALUE(D33)&lt;606),1*VLOOKUP(WardrobeCarcassMaterial,SheetsData,5,FALSE),IF(AND(VALUE(B33)&lt;2421,VALUE(C33)&lt;2421,VALUE(D33)&lt;606),2*VLOOKUP(WardrobeCarcassMaterial,SheetsData,5,FALSE),IF(AND(VALUE(B33)&lt;2421,VALUE(C33)&lt;1211,VALUE(D33)&lt;1211),3*VLOOKUP(WardrobeCarcassMaterial,SheetsData,5,FALSE),IF(AND(VALUE(B33)&lt;2421,VALUE(C33)&lt;2421,VALUE(D33)&lt;1211),4*VLOOKUP(WardrobeCarcassMaterial,SheetsData,5,FALSE))))),IF(AND(ISERROR(FIND("arcass",A33))=FALSE,ISERROR(FIND("ost corner",A33))=FALSE),IF(AND(VALUE(B33)&lt;1211,VALUE(C33)&lt;1211,VALUE(D33)&lt;606),(1*VLOOKUP(WardrobeCarcassMaterial,SheetsData,5,FALSE))+(VLOOKUP("H/F (22mm)",SheetsData,7,FALSE)*1.44),IF(AND(VALUE(B33)&lt;2421,VALUE(C33)&lt;2421,VALUE(D33)&lt;606),(2*VLOOKUP(WardrobeCarcassMaterial,SheetsData,5,FALSE))+(VLOOKUP("H/F (22mm)",SheetsData,7,FALSE)*1.44),IF(AND(VALUE(B33)&lt;2421,VALUE(C33)&lt;1211,VALUE(D33)&lt;1211),(3*VLOOKUP(WardrobeCarcassMaterial,SheetsData,5,FALSE))+(VLOOKUP("H/F (22mm)",SheetsData,7,FALSE)*1.44),IF(AND(VALUE(B33)&lt;2421,VALUE(C33)&lt;2421,VALUE(D33)&lt;1211),(4*VLOOKUP(WardrobeCarcassMaterial,SheetsData,5,FALSE))+(VLOOKUP("H/F (22mm)",SheetsData,7,FALSE)*1.44))))),IF(ISERROR(FIND("drawer front",A33))=FALSE,((B33/1000)*(C33/1000))*VLOOKUP(WardrobeDoorMaterial,SheetsData,8,0),IF(AND(WardrobeDrawerType="Match carcass",ISERROR(FIND("drawer box",A33))=FALSE),(((((B33/1000)*(C33/1000))+((B33/1000)*(D33/1000)))*2)*VLOOKUP(WardrobeCarcassMaterial,SheetsData,8,0))+(((C33/1000)*(D33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box",A33))=FALSE),(((((B33/1000)*(C33/1000))+((B33/1000)*(D33/1000)))*2)*(16/1000)*VLOOKUP(LEFT(WardrobeCarcassMaterial,FIND(" ",WardrobeCarcassMaterial))&amp;"(solid m3)",SolidData,4,0))+(((C33/1000)*(D33/1000))*VLOOKUP(LEFT(WardrobeCarcassMaterial,FIND("(",WardrobeCarcassMaterial)-1)&amp;IF(OR(ISERROR(FIND("ply",WardrobeCarcassMaterial))=FALSE,ISERROR(FIND("H/F",WardrobeCarcassMaterial))=FALSE),"(9mm)","(10mm)"),SheetsData,8,0)),IF(ISERROR(FIND("shelf",A33))=FALSE,((C33/1000)*(D33/1000))*VLOOKUP(WardrobeCarcassMaterial,SheetsData,7,FALSE),IF(ISERROR(FIND("Office pod",A33))=FALSE,3*VLOOKUP(WardrobeCarcassMaterial,SheetsData,5,0),IF(ISERROR(FIND(" panel",A33))=FALSE,((B33/1000)*(C33/1000))*VLOOKUP(WardrobeDoorMaterial,SheetsData,8,0),IF(ISERROR(FIND("Fillers",A33))=FALSE,(((0.06*(C33/1000))*2)*VLOOKUP("H/F (18mm)",SheetsData,8,0))+(((0.06*(C33/1000))*2)*VLOOKUP("H/F (9mm)",SheetsData,8,0)),IF(ISERROR(FIND("Cornice (stacked)",A33))=FALSE,((0.08*(C33/1000))*2)*VLOOKUP("H/F (22mm)",SheetsData,8,0),IF(OR(ISERROR(FIND("Plinth",A33))=FALSE,ISERROR(FIND("Cornice (flat)",A33))=FALSE),((B33/1000)*(C33/1000))*VLOOKUP("H/F (18mm)",SheetsData,8,0),IF(ISERROR(FIND("Pelmet",A33))=FALSE,((((B33/1000)*(C33/1000))*2)*VLOOKUP("H/F (18mm)",SheetsData,8,0)),IF(ISERROR(FIND("Fireplace",A33))=FALSE,IF(ISERROR(FIND("over 1600",A33))=FALSE,2*VLOOKUP(WardrobeCarcassMaterial,SheetsData,5,FALSE),VLOOKUP(WardrobeCarcassMaterial,SheetsData,5,FALSE)),IF(ISERROR(FIND("table",A33))=FALSE,((B33/1000)*0.6)*VLOOKUP("Birch ply (24mm)",SheetsData,7,FALSE),IF(ISERROR(FIND("Worktop",A33))=FALSE,((B33/1000)*(C33/1000))*VLOOKUP(WardrobeDoorMaterial,SheetsData,7,FALSE),"Check formula")))))))))))))))))</f>
        <v>22.09365762</v>
      </c>
      <c r="F33" s="152">
        <f>IFERROR(__xludf.DUMMYFUNCTION("IF(OR(A33="""",AND(ISERROR(FIND(""drawer box"",A33))=FALSE,WardrobeDrawerType=""Solid dovetail"")),"""",IF(ISERROR(FIND(""bins"",A33))=FALSE,VLOOKUP(""Base carcass 600"",Wardrobes_etcData,6,0),IF(OR(ISERROR(FIND(""larder"",A33))=FALSE,ISERROR(FIND(""unit"&amp;""",A33))=FALSE),VLOOKUP(LEFT(A33,FIND("" "",A33))&amp;""carcass ""&amp;RIGHT(A33,LEN(A33)-len(regexextract(A33,"".* ""))),Wardrobes_etcData,6,0),IF(ISERROR(FIND(""drawer front"",A33))=FALSE,IF(ISERROR(FIND(""veneer"",WardrobeCarcassMaterial))=TRUE,0,(((B33+C33)/1"&amp;"000)*2)*VLOOKUP(""Edge banding (per M)"",SheetsData,5,0)),IF(ISERROR(FIND(""drawer box"",A33))=FALSE,IF(ISERROR(FIND(""veneer"",WardrobeCarcassMaterial))=TRUE,0,(((C33+D33)/1000)*2)*VLOOKUP(""Edge banding (per M)"",SheetsData,5,0)),IF(ISERROR(FIND(""shelf"&amp;""",A33))=FALSE,IF(ISERROR(FIND(""veneer"",WardrobeCarcassMaterial))=TRUE,0,(C33/1000)*VLOOKUP(""Edge banding (per M)"",SheetsData,5,0)),IF(AND(OR(ISERROR(FIND(""arcass"",A33))=FALSE,ISERROR(FIND(""Fireplace"",A33))=FALSE),ISERROR(FIND(""shelf"",A33))=TRUE"&amp;"),IF(ISERROR(FIND(""veneer"",WardrobeCarcassMaterial))=TRUE,0,((2*(B33+C33))/1000)*VLOOKUP(""Edge banding (per M)"",SheetsData,5,0)),IF(ISERROR(FIND(""door"",A33))=TRUE,"""",IF(ISERROR(FIND(""veneer"",WardrobeDoorMaterial))=TRUE,"""",((2*(B33+C33))/1000)*"&amp;"VLOOKUP(""Edge banding (per M)"",SheetsData,5,0))))))))))"),0.0)</f>
        <v>0</v>
      </c>
      <c r="G33" s="153" t="str">
        <f>IF(A33="","",IF(AND(ISERROR(FIND("arcass",A33))=TRUE,ISERROR(FIND("Fireplace",A33))=TRUE),"",IF(VALUE(C33)&lt;606,4*VLOOKUP("Plinth foot (2 Parts 80mm)",FurnitureData,5,FALSE),IF(VALUE(C33)&lt;1211,6*VLOOKUP("Plinth foot (2 Parts 80mm)",FurnitureData,5,FALSE),8*VLOOKUP("Plinth foot (2 Parts 80mm)",FurnitureData,5,FALSE)))))</f>
        <v/>
      </c>
      <c r="H33" s="115" t="str">
        <f>IF(OR(A33="",ISERROR(FIND("door",A33))=TRUE),"",VLOOKUP("Hinges &amp; plates (Hettich thick door)",FurnitureData,5,0)*5)</f>
        <v/>
      </c>
      <c r="I33" s="115" t="str">
        <f>IF(ISERROR(FIND("shelf",A33))=FALSE,(VLOOKUP("Shelf pegs",FurnitureData,5,0)/100)*4,"")</f>
        <v/>
      </c>
      <c r="J33" s="152" t="str">
        <f>IF(OR(ISERROR(FIND("fridge/freezer",A33))=FALSE,ISERROR(FIND("sink",A33))=FALSE,ISERROR(FIND("larder",A33))=FALSE),VLOOKUP("Deep shelf "&amp;C33,Wardrobes_etcData,18,0),IF(OR(ISERROR(FIND("single oven",A33))=FALSE,ISERROR(FIND("Base carcass",A33))=FALSE),2*VLOOKUP("Deep shelf "&amp;C33,Wardrobes_etcData,18,0),IF(AND(ISERROR(FIND("wall carcass",A33))=FALSE,ISERROR(FIND("Boiler",A33))=TRUE),2*VLOOKUP("Shallow shelf "&amp;C33,Wardrobes_etcData,18,0),IF(ISERROR(FIND("double oven",A33))=FALSE,3*VLOOKUP("Deep shelf "&amp;C33,Wardrobes_etcData,18,0),IF(ISERROR(FIND("Tower carcass",A33))=FALSE,6*VLOOKUP("Deep shelf "&amp;C33,Wardrobes_etcData,18,0),"")))))</f>
        <v/>
      </c>
      <c r="K33" s="152">
        <f>IF(ISERROR(FIND("sink",A33))=FALSE,VLOOKUP("Sink liner - Aluminium "&amp;RIGHT(A33,LEN(A33)-22)&amp;"mm",ExceptionalData,5,0),IF(ISERROR(FIND("bins",A33))=FALSE,VLOOKUP("Drawer runners and clip set for bin unit (500) Dynapro",FurnitureData,5,0)+(2*VLOOKUP("Bin (42L Anthracite)",FurnitureData,5,0)),IF(ISERROR(FIND("larder",A33))=FALSE,VLOOKUP("Pull out larder unit 600mm",FurnitureData,5,0),IF(AND(ISERROR(FIND("drawer box",A33))=FALSE,ISERROR(FIND("internal",A33))=TRUE),VLOOKUP("Drawer runners and clip set (550) Dynapro",FurnitureData,5,0),IF(ISERROR(FIND("internal drawer box",A33))=FALSE,VLOOKUP("Drawer runners and clip set (450) Dynapro",FurnitureData,5,0),IF(ISERROR(FIND("table",A33))=FALSE,VLOOKUP("Hairpin Leg (12mm Black "&amp;MID(A33,FIND("(",A33)+1,LEN(A33)-(FIND("(",A33))-1)&amp;"mm)",ExceptionalData,4,FALSE),""))))))</f>
        <v>39.72</v>
      </c>
      <c r="L33" s="152">
        <f t="shared" si="3"/>
        <v>61.81365762</v>
      </c>
      <c r="M33" s="154">
        <f>IF(A33="","",IF(AND(ISERROR(FIND("drawer front",A33))=FALSE,WardrobeDoorStyle="Flat"),(((B33/1000)*(C33/1000))*2)+((((B33+C33)/1000)*2)*0.022),IF(AND(ISERROR(FIND("drawer front",A33))=FALSE,LEFT(WardrobeDoorStyle,5)="Panel"),(((B33/1000)*(C33/1000))*2)+((((B33+C33)/1000)*2)*0.022)+((((C33/1000)-0.16)*0.013)*2)+((((D33/1000)-0.16)*0.013)*2),IF(AND(ISERROR(FIND("drawer front",A33))=FALSE,WardrobeDoorStyle="In-frame flat"),((((B33-76)/1000)*((C33-38)/1000))*2)+(MID(WardrobeDoorMaterial,FIND("(",WardrobeDoorMaterial)+1,2)/1000)*((((B33-76)+(C33-38))/1000)*2)+(((B33/1000)*0.032)*2)+((((B33-76)/1000)*0.032)*2)+(((B33/1000)*0.019)*4)+(((C33/1000)*0.032)*2)+((((C33-38)/1000)*0.032)*2)+(((C33/1000)*0.038)*4),IF(AND(ISERROR(FIND("drawer front",A33))=FALSE,LEFT(WardrobeDoorStyle,14)="In-frame panel"),((((B33-76)/1000)*((C33-38)/1000))*2)+((MID(WardrobeDoorMaterial,FIND("(",WardrobeDoorMaterial)+1,2)/1000)*((((B33-76)+(C33-38))/1000)*2))+((((B33-236)/1000)+((C33-198)/1000)*2)*0.013)+(((B33/1000)*0.032)*2)+((((B33-76)/1000)*0.032)*2)+(((B33/1000)*0.019)*4)+(((C33/1000)*0.032)*2)+((((C33-38)/1000)*0.032)*2)+(((C33/1000)*0.038)*4),IF(ISERROR(FIND("drawer box",A33))=FALSE,((((B33/1000)*(D33/1000))+((B33/1000)*(C33/1000)))*4)+((((D33/1000)+(C33/1000))*0.016)*4)+(((C33/1000)*(D33/1000))*2),IF(OR(ISERROR(FIND("shelf",A33))=FALSE,ISERROR(FIND("Filler panel",A33))=FALSE),(((C33/1000)*(D33/1000))*2)+((((C33+D33)*2)/1000)*0.022),IF(ISERROR(FIND("Fireplace",A33))=FALSE,((B33/1000)*(C33/1000)),IF(ISERROR(FIND("Worktop",A33))=FALSE,(B33/1000)*(C33/1000),IF(ISERROR(FIND("table",A33))=FALSE,(B33/1000)*0.6,IF(ISERROR(FIND("arcass",A33))=FALSE,(((C33/1000)*(D33/1000))*2)+(((B33/1000)*(D33/1000))*2)+((B33/1000)*(C33/1000))+((((B33/1000)*0.025)+((C33/1000)*0.025))*2),IF(AND(ISERROR(FIND("door",A33))=FALSE,WardrobeDoorStyle="Flat"),(((B33/1000)*(C33/1000))*2)+(MID(WardrobeDoorMaterial,FIND("(",WardrobeDoorMaterial)+1,2)/1000)*(((B33+C33)/1000)*2),IF(AND(ISERROR(FIND("door",A33))=FALSE,LEFT(WardrobeDoorStyle,5)="Panel"),(((B33/1000)*(C33/1000))*2)+((MID(WardrobeDoorMaterial,FIND("(",WardrobeDoorMaterial)+1,2)/1000)*(((B33+C33)/1000)*2))+(((((B33-160)+(C33-160))*2)/1000)*(0.013)),IF(AND(ISERROR(FIND("door",A33))=FALSE,WardrobeDoorStyle="In-frame flat"),((((B33-76)/1000)*((C33-38)/1000))*2)+(MID(WardrobeDoorMaterial,FIND("(",WardrobeDoorMaterial)+1,2)/1000)*((((B33-76)+(C33-38))/1000)*2)+(((B33/1000)*0.032)*2)+((((B33-76)/1000)*0.032)*2)+(((B33/1000)*0.019)*4)+(((C33/1000)*0.032)*2)+((((C33-38)/1000)*0.032)*2)+(((C33/1000)*0.038)*4),IF(AND(ISERROR(FIND("door",A33))=FALSE,LEFT(WardrobeDoorStyle,14)="In-frame panel"),((((B33-76)/1000)*((C33-38)/1000))*2)+((MID(WardrobeDoorMaterial,FIND("(",WardrobeDoorMaterial)+1,2)/1000)*((((B33-76)+(C33-38))/1000)*2))+((((B33-236)/1000)+((C33-198)/1000)*2)*0.013)+(((B33/1000)*0.032)*2)+((((B33-76)/1000)*0.032)*2)+(((B33/1000)*0.019)*4)+(((C33/1000)*0.032)*2)+((((C33-38)/1000)*0.032)*2)+(((C33/1000)*0.038)*4),IF(ISERROR(FIND("Plinth",A33))=FALSE,((B33/1000)*(C33/1000))+(((C33/1000)*0.018)*2)+(((B33/1000)*0.018)*2),IF(ISERROR(FIND("Cornice",A33))=FALSE,(((C33/1000)*0.1)*2)+(((C33/1000)*0.044)*2)+(((B33/1000)*0.08)*2),IF(ISERROR(FIND("Office pod",A33))=FALSE,((2400/1000)*(1200/1000))*6,IF(ISERROR(FIND("panel",A33))=FALSE,((B33/1000)*(C33/1000))+(0.022*((B33/1000)+((C33/1000)*2)))+((B33/1000)*0.05),IF(ISERROR(FIND("Fillers",A33))=FALSE,((C33/1000)*0.06)+((C33/1000)*0.069)+((0.06*0.018)*2)+((0.06*0.009)*2)+((C33/1000)*0.009)+((C33/1000)*0.018),IF(ISERROR(FIND("Pelmet",A33))=FALSE,((C33/1000)*0.05)+((C33/1000)*0.068)+((0.05*0.018)*4)+(((C33/1000)*0.018))*2)))))))))))))))))))))</f>
        <v>1.6608</v>
      </c>
      <c r="N33" s="152">
        <f>IF(M33="","",IF(AND(ISERROR(FIND("carcass",A33))=TRUE,ISERROR(FIND("unit",A33))=TRUE,ISERROR(FIND("insert",A33))=TRUE,ISERROR(FIND("rack",A33))=TRUE,ISERROR(FIND("box",A33))=TRUE,ISERROR(FIND("shelf",A33))=TRUE),VLOOKUP(WardrobeDoorFinish,Finishing!$A$2:$K$10,9,0)*M33,IF(ISERROR(FIND("table",A33))=FALSE,VLOOKUP("Sayerlack AF0072 Interior Clear Self-Sealer",FinishingData,9,FALSE)*M33,VLOOKUP(WardrobeCarcassFinish,Finishing!$A$2:$K$40,9,0)*M33)))</f>
        <v>6.228</v>
      </c>
      <c r="O33" s="155">
        <v>2.5</v>
      </c>
      <c r="P33" s="155">
        <v>1.0</v>
      </c>
      <c r="Q33" s="152">
        <f>IF(OR(O33="",P33=""),"",((O33*X33)*(VLOOKUP("Workshop",Labour!$A$3:$E$20,4,0)/8))+((P33*AE33)*(VLOOKUP("Finishing",Labour!$A$3:$E$20,4,0)/8)))</f>
        <v>137.375</v>
      </c>
      <c r="R33" s="152">
        <f t="shared" si="4"/>
        <v>205.4166576</v>
      </c>
      <c r="S33" s="156">
        <f>IF(OR(O33="",P33=""),"",IF(OR(ISERROR(FIND("carcass",$A33))=FALSE,ISERROR(FIND("unit",$A33))=FALSE),VLOOKUP(WardrobeCarcassMaterial,FixedListsCarcassMaterial,2,0),0))</f>
        <v>0</v>
      </c>
      <c r="T33" s="156">
        <f>IF(OR(O33="",P33=""),"",IF(ISERROR(FIND("door",$A33))=FALSE,VLOOKUP(WardrobeDoorStyle,FixedListsDoorStyle,2,0),0))</f>
        <v>0</v>
      </c>
      <c r="U33" s="156">
        <f>IF(OR(O33="",P33=""),"",IF(ISERROR(FIND("door",$A33))=FALSE,VLOOKUP(WardrobeDoorMaterial,FixedListsDoorMaterial,2,0),0))</f>
        <v>0</v>
      </c>
      <c r="V33" s="156">
        <f>IF(OR(O33="",P33=""),"",IF(ISERROR(FIND("drawer",$A33))=FALSE,VLOOKUP(WardrobeDrawerType,FixedListsDrawerType,2,0),0))</f>
        <v>1</v>
      </c>
      <c r="W33" s="156">
        <f>IF(OR(O33="",P33=""),"",IF(S33&gt;0,VLOOKUP(WardrobeHandleType,FixedListsHandleType,2,FALSE),0))</f>
        <v>0</v>
      </c>
      <c r="X33" s="156">
        <f t="shared" si="5"/>
        <v>1</v>
      </c>
      <c r="Y33" s="156">
        <f>IF(OR(O33="",P33=""),"",IF(OR(ISERROR(FIND("carcass",$A33))=FALSE,ISERROR(FIND("unit",$A33))=FALSE),VLOOKUP(WardrobeCarcassMaterial,FixedListsCarcassMaterial,3,0),0))</f>
        <v>0</v>
      </c>
      <c r="Z33" s="156">
        <f>IF(OR(O33="",P33=""),"",IF(ISERROR(FIND("door",$A33))=FALSE,VLOOKUP(WardrobeDoorStyle,FixedListsDoorStyle,3,0),0))</f>
        <v>0</v>
      </c>
      <c r="AA33" s="156">
        <f>IF(OR(O33="",P33=""),"",IF(ISERROR(FIND("door",$A33))=FALSE,VLOOKUP(WardrobeDoorMaterial,FixedListsDoorMaterial,3,0),0))</f>
        <v>0</v>
      </c>
      <c r="AB33" s="156">
        <f>IF(OR(O33="",P33=""),"",IF(ISERROR(FIND("drawer",$A33))=FALSE,VLOOKUP(WardrobeDrawerType,FixedListsDrawerType,3,0),0))</f>
        <v>1</v>
      </c>
      <c r="AC33" s="156">
        <f>IF(OR(O33="",P33=""),"",IF(S33&gt;0,VLOOKUP(WardrobeHandleType,FixedListsHandleType,3,FALSE),0))</f>
        <v>0</v>
      </c>
      <c r="AD33" s="156">
        <f>IF(OR(O33="",P33=""),"",IF(OR(ISERROR(FIND("carcass",$A33))=FALSE,ISERROR(FIND("unit",$A33))=FALSE),VLOOKUP(WardrobeCarcassFinish,FixedListsFinishes,3,0),IF(OR(ISERROR(FIND("door",$A33))=FALSE,ISERROR(FIND("Plinth",$A33))=FALSE,ISERROR(FIND("Cornice",$A33))=FALSE,ISERROR(FIND("Fillers",$A33))=FALSE,ISERROR(FIND("Pelmet",$A33))=FALSE,ISERROR(FIND("panel",$A33))=FALSE,ISERROR(FIND("post",$A33))=FALSE),VLOOKUP(WardrobeDoorFinish,FixedListsFinishes,3,0),IF(OR(ISERROR(FIND("drawer",$A33))=FALSE,ISERROR(FIND("insert",$A33))=FALSE,ISERROR(FIND("rck",$A33))=FALSE),VLOOKUP(WardrobeCarcassFinish,FixedListsFinishes,3,0),0))))</f>
        <v>1</v>
      </c>
      <c r="AE33" s="156">
        <f t="shared" si="6"/>
        <v>1</v>
      </c>
      <c r="AF33" s="157" t="str">
        <f>IF(AND(WardrobeHandleType="Channel",OR(ISERROR(FIND("arcass",$A33))=FALSE,ISERROR(FIND("unit",$A33))=FALSE)),IF(ISERROR(FIND("Tower",$A33))=TRUE,IF(WardrobeHandleFinish="Match carcass",IF(ISERROR(FIND("Walnut",WardrobeCarcassMaterial))=FALSE,(0.035*0.075*($C33/1000))*VLOOKUP("Walnut (solid m3)",SolidData,4,FALSE),IF(ISERROR(FIND("Oak",WardrobeCarcassMaterial))=FALSE,(0.035*0.075*($C33/1000))*VLOOKUP("Oak (solid m3)",SolidData,4,FALSE),IF(ISERROR(FIND("ply",WardrobeCarcassMaterial))=FALSE,(0.1*($C33/1000))*VLOOKUP("Birch ply (24mm)",SheetsData,7,FALSE),IF(ISERROR(FIND("H/F",WardrobeCarcassMaterial))=FALSE,(0.1*($C33/1000))*VLOOKUP("H/F (22mm)",SheetsData,7,FALSE),"Carcass - not tower - new material")))),IF(WardrobeHandleFinish="Match door",IF(ISERROR(FIND("Walnut",WardrobeDoorMaterial))=FALSE,(0.035*0.075*($C33/1000))*VLOOKUP("Walnut (solid m3)",SolidData,4,FALSE),IF(ISERROR(FIND("Oak",WardrobeDoorMaterial))=FALSE,(0.035*0.075*($C33/1000))*VLOOKUP("Oak (solid m3)",SolidData,4,FALSE),IF(ISERROR(FIND("ply",WardrobeDoorMaterial))=FALSE,(0.1*($C33/1000))*VLOOKUP("Birch ply (24mm)",SheetsData,7,FALSE),IF(ISERROR(FIND("H/F",WardrobeCarcassMaterial))=FALSE,(0.1*($C33/1000))*VLOOKUP("H/F (22mm)",SheetsData,7,FALSE),"Door - not tower - new material")))),"Channel - not tower - handle set to other")),IF(ISERROR(FIND("Tower",$A33))=FALSE,IF(WardrobeHandleFinish="Match carcass",IF(ISERROR(FIND("Walnut",WardrobeCarcassMaterial))=FALSE,(0.035*0.075*($B33/1000))*VLOOKUP("Walnut (solid m3)",SolidData,4,FALSE),IF(ISERROR(FIND("Oak",WardrobeCarcassMaterial))=FALSE,(0.035*0.075*($B33/1000))*VLOOKUP("Oak (solid m3)",SolidData,4,FALSE),IF(ISERROR(FIND("ply",WardrobeCarcassMaterial))=FALSE,(0.1*($B33/1000))*VLOOKUP("Birch ply (24mm)",SheetsData,7,FALSE),IF(ISERROR(FIND("H/F",WardrobeCarcassMaterial))=FALSE,(0.1*($C33/1000))*VLOOKUP("H/F (22mm)",SheetsData,7,FALSE),"Carcass - tower - new material")))),IF(WardrobeHandleFinish="Match door",IF(ISERROR(FIND("Walnut",WardrobeDoorMaterial))=FALSE,(0.035*0.075*($B33/1000))*VLOOKUP("Walnut (solid m3)",SolidData,4,FALSE),IF(ISERROR(FIND("Oak",WardrobeDoorMaterial))=FALSE,(0.035*0.075*($B33/1000))*VLOOKUP("Oak (solid m3)",SolidData,4,FALSE),IF(ISERROR(FIND("ply",WardrobeDoorMaterial))=FALSE,(0.1*($B33/1000))*VLOOKUP("Birch ply (24mm)",SheetData,7,FALSE),IF(ISERROR(FIND("H/F",WardrobeCarcassMaterial))=FALSE,(0.1*($C33/1000))*VLOOKUP("H/F (22mm)",SheetsData,7,FALSE),"Door - tower - new material")))),"Channel - tower - handle set to other")))),"")</f>
        <v/>
      </c>
    </row>
    <row r="34">
      <c r="A34" s="150" t="s">
        <v>199</v>
      </c>
      <c r="B34" s="160" t="str">
        <f t="shared" si="1"/>
        <v>180</v>
      </c>
      <c r="C34" s="160" t="str">
        <f>IFERROR(__xludf.DUMMYFUNCTION("IF(A34="""","""",IF(ISERROR(FIND(""arcass"",A34))=FALSE,MID(A34,FIND(""*"",A34)+1,FIND(""*"",A34,FIND(""*"",A34)+1)-FIND(""*"",A34)-1),IF(ISERROR(FIND(""End panel"",A34))=FALSE,RIGHT(A34,3),IF(OR(ISERROR(FIND(""drawer"",A34))=FALSE,ISERROR(FIND(""door"",A"&amp;"34))=FALSE,ISERROR(FIND(""shelf"",A34))=FALSE,ISERROR(FIND(""panel"",A34))=FALSE,ISERROR(FIND(""Plinth"",A34))=FALSE,ISERROR(FIND(""Cornice"",A34))=FALSE,ISERROR(FIND(""Fillers"",A34))=FALSE,ISERROR(FIND(""Pelmet"",A34))=FALSE,ISERROR(FIND(""Fireplace up "&amp;"to 1600"",A34))=FALSE),RIGHT(A34,LEN(A34)-LEN(regexextract(A34,"".* ""))),IF(ISERROR(FIND(""table"",A34))=FALSE,""560"",IF(ISERROR(FIND(""Office pod"",A34))=FALSE,""1600"",IF(ISERROR(FIND(""Fireplace over 1600"",A34))=FALSE,""2400"",IF(ISERROR(FIND(""Work"&amp;"top"",A34))=FALSE,""650"",""Whoops""))))))))"),"1200")</f>
        <v>1200</v>
      </c>
      <c r="D34" s="161" t="str">
        <f t="shared" si="2"/>
        <v>600</v>
      </c>
      <c r="E34" s="152">
        <f>IF(OR(A34="",AND(ISERROR(FIND("drawer",A34))=FALSE,WardrobeDrawerType="")),"",IF(ISERROR(FIND("door",A34))=FALSE,IF(WardrobeDoorStyle="Flat",((B34/1000)*(C34/1000))*VLOOKUP(WardrobeDoorMaterial,SheetsData,8,0),IF(LEFT(WardrobeDoorStyle,5)="Panel",(((((B34/1000)*2)*0.08)+((((C34/1000)-0.16)*2)*0.08))*VLOOKUP("H/F (22mm)",SheetsData,8,0))+(((B34/1000)-0.14)*((C34/1000)-0.14)*VLOOKUP("H/F (9mm)",SheetsData,8,0)),IF(WardrobeDoorStyle="In-frame flat",((((((B34/1000)*0.019)*0.038)+((((C34-38)/1000)*0.038)*0.038))*2)*VLOOKUP("Tulip (solid m3)",SolidData,4,0))+(((B34-76)/1000)*((C34-38)/1000))*VLOOKUP("H/F (22mm)",SheetsData,8,0),IF(LEFT(WardrobeDoorStyle,14)="In-frame panel",(((((((B34/1000)*0.019)*0.038)+((((C34-38)/1000)*0.038)*0.038))*2)*VLOOKUP("Tulip (solid m3)",SolidData,4,0))+(((((((B34-76)/1000)*2)*0.08)+(((((C34-198)/1000)*2)*0.08)))*VLOOKUP("H/F (22mm)",SheetsData,8,0))+(((B34-216)/1000)*((C34-178)/1000)*VLOOKUP("H/F (9mm)",SheetsData,8,0)))))))),IF(AND(ISERROR(FIND("arcass",A34))=FALSE,ISERROR(FIND("ost corner",A34))=TRUE),IF(AND(VALUE(B34)&lt;1211,VALUE(C34)&lt;1211,VALUE(D34)&lt;606),1*VLOOKUP(WardrobeCarcassMaterial,SheetsData,5,FALSE),IF(AND(VALUE(B34)&lt;2421,VALUE(C34)&lt;2421,VALUE(D34)&lt;606),2*VLOOKUP(WardrobeCarcassMaterial,SheetsData,5,FALSE),IF(AND(VALUE(B34)&lt;2421,VALUE(C34)&lt;1211,VALUE(D34)&lt;1211),3*VLOOKUP(WardrobeCarcassMaterial,SheetsData,5,FALSE),IF(AND(VALUE(B34)&lt;2421,VALUE(C34)&lt;2421,VALUE(D34)&lt;1211),4*VLOOKUP(WardrobeCarcassMaterial,SheetsData,5,FALSE))))),IF(AND(ISERROR(FIND("arcass",A34))=FALSE,ISERROR(FIND("ost corner",A34))=FALSE),IF(AND(VALUE(B34)&lt;1211,VALUE(C34)&lt;1211,VALUE(D34)&lt;606),(1*VLOOKUP(WardrobeCarcassMaterial,SheetsData,5,FALSE))+(VLOOKUP("H/F (22mm)",SheetsData,7,FALSE)*1.44),IF(AND(VALUE(B34)&lt;2421,VALUE(C34)&lt;2421,VALUE(D34)&lt;606),(2*VLOOKUP(WardrobeCarcassMaterial,SheetsData,5,FALSE))+(VLOOKUP("H/F (22mm)",SheetsData,7,FALSE)*1.44),IF(AND(VALUE(B34)&lt;2421,VALUE(C34)&lt;1211,VALUE(D34)&lt;1211),(3*VLOOKUP(WardrobeCarcassMaterial,SheetsData,5,FALSE))+(VLOOKUP("H/F (22mm)",SheetsData,7,FALSE)*1.44),IF(AND(VALUE(B34)&lt;2421,VALUE(C34)&lt;2421,VALUE(D34)&lt;1211),(4*VLOOKUP(WardrobeCarcassMaterial,SheetsData,5,FALSE))+(VLOOKUP("H/F (22mm)",SheetsData,7,FALSE)*1.44))))),IF(ISERROR(FIND("drawer front",A34))=FALSE,((B34/1000)*(C34/1000))*VLOOKUP(WardrobeDoorMaterial,SheetsData,8,0),IF(AND(WardrobeDrawerType="Match carcass",ISERROR(FIND("drawer box",A34))=FALSE),(((((B34/1000)*(C34/1000))+((B34/1000)*(D34/1000)))*2)*VLOOKUP(WardrobeCarcassMaterial,SheetsData,8,0))+(((C34/1000)*(D34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box",A34))=FALSE),(((((B34/1000)*(C34/1000))+((B34/1000)*(D34/1000)))*2)*(16/1000)*VLOOKUP(LEFT(WardrobeCarcassMaterial,FIND(" ",WardrobeCarcassMaterial))&amp;"(solid m3)",SolidData,4,0))+(((C34/1000)*(D34/1000))*VLOOKUP(LEFT(WardrobeCarcassMaterial,FIND("(",WardrobeCarcassMaterial)-1)&amp;IF(OR(ISERROR(FIND("ply",WardrobeCarcassMaterial))=FALSE,ISERROR(FIND("H/F",WardrobeCarcassMaterial))=FALSE),"(9mm)","(10mm)"),SheetsData,8,0)),IF(ISERROR(FIND("shelf",A34))=FALSE,((C34/1000)*(D34/1000))*VLOOKUP(WardrobeCarcassMaterial,SheetsData,7,FALSE),IF(ISERROR(FIND("Office pod",A34))=FALSE,3*VLOOKUP(WardrobeCarcassMaterial,SheetsData,5,0),IF(ISERROR(FIND(" panel",A34))=FALSE,((B34/1000)*(C34/1000))*VLOOKUP(WardrobeDoorMaterial,SheetsData,8,0),IF(ISERROR(FIND("Fillers",A34))=FALSE,(((0.06*(C34/1000))*2)*VLOOKUP("H/F (18mm)",SheetsData,8,0))+(((0.06*(C34/1000))*2)*VLOOKUP("H/F (9mm)",SheetsData,8,0)),IF(ISERROR(FIND("Cornice (stacked)",A34))=FALSE,((0.08*(C34/1000))*2)*VLOOKUP("H/F (22mm)",SheetsData,8,0),IF(OR(ISERROR(FIND("Plinth",A34))=FALSE,ISERROR(FIND("Cornice (flat)",A34))=FALSE),((B34/1000)*(C34/1000))*VLOOKUP("H/F (18mm)",SheetsData,8,0),IF(ISERROR(FIND("Pelmet",A34))=FALSE,((((B34/1000)*(C34/1000))*2)*VLOOKUP("H/F (18mm)",SheetsData,8,0)),IF(ISERROR(FIND("Fireplace",A34))=FALSE,IF(ISERROR(FIND("over 1600",A34))=FALSE,2*VLOOKUP(WardrobeCarcassMaterial,SheetsData,5,FALSE),VLOOKUP(WardrobeCarcassMaterial,SheetsData,5,FALSE)),IF(ISERROR(FIND("table",A34))=FALSE,((B34/1000)*0.6)*VLOOKUP("Birch ply (24mm)",SheetsData,7,FALSE),IF(ISERROR(FIND("Worktop",A34))=FALSE,((B34/1000)*(C34/1000))*VLOOKUP(WardrobeDoorMaterial,SheetsData,7,FALSE),"Check formula")))))))))))))))))</f>
        <v>37.00739049</v>
      </c>
      <c r="F34" s="152">
        <f>IFERROR(__xludf.DUMMYFUNCTION("IF(OR(A34="""",AND(ISERROR(FIND(""drawer box"",A34))=FALSE,WardrobeDrawerType=""Solid dovetail"")),"""",IF(ISERROR(FIND(""bins"",A34))=FALSE,VLOOKUP(""Base carcass 600"",Wardrobes_etcData,6,0),IF(OR(ISERROR(FIND(""larder"",A34))=FALSE,ISERROR(FIND(""unit"&amp;""",A34))=FALSE),VLOOKUP(LEFT(A34,FIND("" "",A34))&amp;""carcass ""&amp;RIGHT(A34,LEN(A34)-len(regexextract(A34,"".* ""))),Wardrobes_etcData,6,0),IF(ISERROR(FIND(""drawer front"",A34))=FALSE,IF(ISERROR(FIND(""veneer"",WardrobeCarcassMaterial))=TRUE,0,(((B34+C34)/1"&amp;"000)*2)*VLOOKUP(""Edge banding (per M)"",SheetsData,5,0)),IF(ISERROR(FIND(""drawer box"",A34))=FALSE,IF(ISERROR(FIND(""veneer"",WardrobeCarcassMaterial))=TRUE,0,(((C34+D34)/1000)*2)*VLOOKUP(""Edge banding (per M)"",SheetsData,5,0)),IF(ISERROR(FIND(""shelf"&amp;""",A34))=FALSE,IF(ISERROR(FIND(""veneer"",WardrobeCarcassMaterial))=TRUE,0,(C34/1000)*VLOOKUP(""Edge banding (per M)"",SheetsData,5,0)),IF(AND(OR(ISERROR(FIND(""arcass"",A34))=FALSE,ISERROR(FIND(""Fireplace"",A34))=FALSE),ISERROR(FIND(""shelf"",A34))=TRUE"&amp;"),IF(ISERROR(FIND(""veneer"",WardrobeCarcassMaterial))=TRUE,0,((2*(B34+C34))/1000)*VLOOKUP(""Edge banding (per M)"",SheetsData,5,0)),IF(ISERROR(FIND(""door"",A34))=TRUE,"""",IF(ISERROR(FIND(""veneer"",WardrobeDoorMaterial))=TRUE,"""",((2*(B34+C34))/1000)*"&amp;"VLOOKUP(""Edge banding (per M)"",SheetsData,5,0))))))))))"),0.0)</f>
        <v>0</v>
      </c>
      <c r="G34" s="153" t="str">
        <f>IF(A34="","",IF(AND(ISERROR(FIND("arcass",A34))=TRUE,ISERROR(FIND("Fireplace",A34))=TRUE),"",IF(VALUE(C34)&lt;606,4*VLOOKUP("Plinth foot (2 Parts 80mm)",FurnitureData,5,FALSE),IF(VALUE(C34)&lt;1211,6*VLOOKUP("Plinth foot (2 Parts 80mm)",FurnitureData,5,FALSE),8*VLOOKUP("Plinth foot (2 Parts 80mm)",FurnitureData,5,FALSE)))))</f>
        <v/>
      </c>
      <c r="H34" s="115" t="str">
        <f>IF(OR(A34="",ISERROR(FIND("door",A34))=TRUE),"",VLOOKUP("Hinges &amp; plates (Hettich thick door)",FurnitureData,5,0)*5)</f>
        <v/>
      </c>
      <c r="I34" s="115" t="str">
        <f>IF(ISERROR(FIND("shelf",A34))=FALSE,(VLOOKUP("Shelf pegs",FurnitureData,5,0)/100)*4,"")</f>
        <v/>
      </c>
      <c r="J34" s="152" t="str">
        <f>IF(OR(ISERROR(FIND("fridge/freezer",A34))=FALSE,ISERROR(FIND("sink",A34))=FALSE,ISERROR(FIND("larder",A34))=FALSE),VLOOKUP("Deep shelf "&amp;C34,Wardrobes_etcData,18,0),IF(OR(ISERROR(FIND("single oven",A34))=FALSE,ISERROR(FIND("Base carcass",A34))=FALSE),2*VLOOKUP("Deep shelf "&amp;C34,Wardrobes_etcData,18,0),IF(AND(ISERROR(FIND("wall carcass",A34))=FALSE,ISERROR(FIND("Boiler",A34))=TRUE),2*VLOOKUP("Shallow shelf "&amp;C34,Wardrobes_etcData,18,0),IF(ISERROR(FIND("double oven",A34))=FALSE,3*VLOOKUP("Deep shelf "&amp;C34,Wardrobes_etcData,18,0),IF(ISERROR(FIND("Tower carcass",A34))=FALSE,6*VLOOKUP("Deep shelf "&amp;C34,Wardrobes_etcData,18,0),"")))))</f>
        <v/>
      </c>
      <c r="K34" s="152">
        <f>IF(ISERROR(FIND("sink",A34))=FALSE,VLOOKUP("Sink liner - Aluminium "&amp;RIGHT(A34,LEN(A34)-22)&amp;"mm",ExceptionalData,5,0),IF(ISERROR(FIND("bins",A34))=FALSE,VLOOKUP("Drawer runners and clip set for bin unit (500) Dynapro",FurnitureData,5,0)+(2*VLOOKUP("Bin (42L Anthracite)",FurnitureData,5,0)),IF(ISERROR(FIND("larder",A34))=FALSE,VLOOKUP("Pull out larder unit 600mm",FurnitureData,5,0),IF(AND(ISERROR(FIND("drawer box",A34))=FALSE,ISERROR(FIND("internal",A34))=TRUE),VLOOKUP("Drawer runners and clip set (550) Dynapro",FurnitureData,5,0),IF(ISERROR(FIND("internal drawer box",A34))=FALSE,VLOOKUP("Drawer runners and clip set (450) Dynapro",FurnitureData,5,0),IF(ISERROR(FIND("table",A34))=FALSE,VLOOKUP("Hairpin Leg (12mm Black "&amp;MID(A34,FIND("(",A34)+1,LEN(A34)-(FIND("(",A34))-1)&amp;"mm)",ExceptionalData,4,FALSE),""))))))</f>
        <v>39.72</v>
      </c>
      <c r="L34" s="152">
        <f t="shared" si="3"/>
        <v>76.72739049</v>
      </c>
      <c r="M34" s="154">
        <f>IF(A34="","",IF(AND(ISERROR(FIND("drawer front",A34))=FALSE,WardrobeDoorStyle="Flat"),(((B34/1000)*(C34/1000))*2)+((((B34+C34)/1000)*2)*0.022),IF(AND(ISERROR(FIND("drawer front",A34))=FALSE,LEFT(WardrobeDoorStyle,5)="Panel"),(((B34/1000)*(C34/1000))*2)+((((B34+C34)/1000)*2)*0.022)+((((C34/1000)-0.16)*0.013)*2)+((((D34/1000)-0.16)*0.013)*2),IF(AND(ISERROR(FIND("drawer front",A34))=FALSE,WardrobeDoorStyle="In-frame flat"),((((B34-76)/1000)*((C34-38)/1000))*2)+(MID(WardrobeDoorMaterial,FIND("(",WardrobeDoorMaterial)+1,2)/1000)*((((B34-76)+(C34-38))/1000)*2)+(((B34/1000)*0.032)*2)+((((B34-76)/1000)*0.032)*2)+(((B34/1000)*0.019)*4)+(((C34/1000)*0.032)*2)+((((C34-38)/1000)*0.032)*2)+(((C34/1000)*0.038)*4),IF(AND(ISERROR(FIND("drawer front",A34))=FALSE,LEFT(WardrobeDoorStyle,14)="In-frame panel"),((((B34-76)/1000)*((C34-38)/1000))*2)+((MID(WardrobeDoorMaterial,FIND("(",WardrobeDoorMaterial)+1,2)/1000)*((((B34-76)+(C34-38))/1000)*2))+((((B34-236)/1000)+((C34-198)/1000)*2)*0.013)+(((B34/1000)*0.032)*2)+((((B34-76)/1000)*0.032)*2)+(((B34/1000)*0.019)*4)+(((C34/1000)*0.032)*2)+((((C34-38)/1000)*0.032)*2)+(((C34/1000)*0.038)*4),IF(ISERROR(FIND("drawer box",A34))=FALSE,((((B34/1000)*(D34/1000))+((B34/1000)*(C34/1000)))*4)+((((D34/1000)+(C34/1000))*0.016)*4)+(((C34/1000)*(D34/1000))*2),IF(OR(ISERROR(FIND("shelf",A34))=FALSE,ISERROR(FIND("Filler panel",A34))=FALSE),(((C34/1000)*(D34/1000))*2)+((((C34+D34)*2)/1000)*0.022),IF(ISERROR(FIND("Fireplace",A34))=FALSE,((B34/1000)*(C34/1000)),IF(ISERROR(FIND("Worktop",A34))=FALSE,(B34/1000)*(C34/1000),IF(ISERROR(FIND("table",A34))=FALSE,(B34/1000)*0.6,IF(ISERROR(FIND("arcass",A34))=FALSE,(((C34/1000)*(D34/1000))*2)+(((B34/1000)*(D34/1000))*2)+((B34/1000)*(C34/1000))+((((B34/1000)*0.025)+((C34/1000)*0.025))*2),IF(AND(ISERROR(FIND("door",A34))=FALSE,WardrobeDoorStyle="Flat"),(((B34/1000)*(C34/1000))*2)+(MID(WardrobeDoorMaterial,FIND("(",WardrobeDoorMaterial)+1,2)/1000)*(((B34+C34)/1000)*2),IF(AND(ISERROR(FIND("door",A34))=FALSE,LEFT(WardrobeDoorStyle,5)="Panel"),(((B34/1000)*(C34/1000))*2)+((MID(WardrobeDoorMaterial,FIND("(",WardrobeDoorMaterial)+1,2)/1000)*(((B34+C34)/1000)*2))+(((((B34-160)+(C34-160))*2)/1000)*(0.013)),IF(AND(ISERROR(FIND("door",A34))=FALSE,WardrobeDoorStyle="In-frame flat"),((((B34-76)/1000)*((C34-38)/1000))*2)+(MID(WardrobeDoorMaterial,FIND("(",WardrobeDoorMaterial)+1,2)/1000)*((((B34-76)+(C34-38))/1000)*2)+(((B34/1000)*0.032)*2)+((((B34-76)/1000)*0.032)*2)+(((B34/1000)*0.019)*4)+(((C34/1000)*0.032)*2)+((((C34-38)/1000)*0.032)*2)+(((C34/1000)*0.038)*4),IF(AND(ISERROR(FIND("door",A34))=FALSE,LEFT(WardrobeDoorStyle,14)="In-frame panel"),((((B34-76)/1000)*((C34-38)/1000))*2)+((MID(WardrobeDoorMaterial,FIND("(",WardrobeDoorMaterial)+1,2)/1000)*((((B34-76)+(C34-38))/1000)*2))+((((B34-236)/1000)+((C34-198)/1000)*2)*0.013)+(((B34/1000)*0.032)*2)+((((B34-76)/1000)*0.032)*2)+(((B34/1000)*0.019)*4)+(((C34/1000)*0.032)*2)+((((C34-38)/1000)*0.032)*2)+(((C34/1000)*0.038)*4),IF(ISERROR(FIND("Plinth",A34))=FALSE,((B34/1000)*(C34/1000))+(((C34/1000)*0.018)*2)+(((B34/1000)*0.018)*2),IF(ISERROR(FIND("Cornice",A34))=FALSE,(((C34/1000)*0.1)*2)+(((C34/1000)*0.044)*2)+(((B34/1000)*0.08)*2),IF(ISERROR(FIND("Office pod",A34))=FALSE,((2400/1000)*(1200/1000))*6,IF(ISERROR(FIND("panel",A34))=FALSE,((B34/1000)*(C34/1000))+(0.022*((B34/1000)+((C34/1000)*2)))+((B34/1000)*0.05),IF(ISERROR(FIND("Fillers",A34))=FALSE,((C34/1000)*0.06)+((C34/1000)*0.069)+((0.06*0.018)*2)+((0.06*0.009)*2)+((C34/1000)*0.009)+((C34/1000)*0.018),IF(ISERROR(FIND("Pelmet",A34))=FALSE,((C34/1000)*0.05)+((C34/1000)*0.068)+((0.05*0.018)*4)+(((C34/1000)*0.018))*2)))))))))))))))))))))</f>
        <v>2.8512</v>
      </c>
      <c r="N34" s="152">
        <f>IF(M34="","",IF(AND(ISERROR(FIND("carcass",A34))=TRUE,ISERROR(FIND("unit",A34))=TRUE,ISERROR(FIND("insert",A34))=TRUE,ISERROR(FIND("rack",A34))=TRUE,ISERROR(FIND("box",A34))=TRUE,ISERROR(FIND("shelf",A34))=TRUE),VLOOKUP(WardrobeDoorFinish,Finishing!$A$2:$K$10,9,0)*M34,IF(ISERROR(FIND("table",A34))=FALSE,VLOOKUP("Sayerlack AF0072 Interior Clear Self-Sealer",FinishingData,9,FALSE)*M34,VLOOKUP(WardrobeCarcassFinish,Finishing!$A$2:$K$40,9,0)*M34)))</f>
        <v>10.692</v>
      </c>
      <c r="O34" s="155">
        <v>3.5</v>
      </c>
      <c r="P34" s="155">
        <v>1.0</v>
      </c>
      <c r="Q34" s="152">
        <f>IF(OR(O34="",P34=""),"",((O34*X34)*(VLOOKUP("Workshop",Labour!$A$3:$E$20,4,0)/8))+((P34*AE34)*(VLOOKUP("Finishing",Labour!$A$3:$E$20,4,0)/8)))</f>
        <v>181.125</v>
      </c>
      <c r="R34" s="152">
        <f t="shared" si="4"/>
        <v>268.5443905</v>
      </c>
      <c r="S34" s="156">
        <f>IF(OR(O34="",P34=""),"",IF(OR(ISERROR(FIND("carcass",$A34))=FALSE,ISERROR(FIND("unit",$A34))=FALSE),VLOOKUP(WardrobeCarcassMaterial,FixedListsCarcassMaterial,2,0),0))</f>
        <v>0</v>
      </c>
      <c r="T34" s="156">
        <f>IF(OR(O34="",P34=""),"",IF(ISERROR(FIND("door",$A34))=FALSE,VLOOKUP(WardrobeDoorStyle,FixedListsDoorStyle,2,0),0))</f>
        <v>0</v>
      </c>
      <c r="U34" s="156">
        <f>IF(OR(O34="",P34=""),"",IF(ISERROR(FIND("door",$A34))=FALSE,VLOOKUP(WardrobeDoorMaterial,FixedListsDoorMaterial,2,0),0))</f>
        <v>0</v>
      </c>
      <c r="V34" s="156">
        <f>IF(OR(O34="",P34=""),"",IF(ISERROR(FIND("drawer",$A34))=FALSE,VLOOKUP(WardrobeDrawerType,FixedListsDrawerType,2,0),0))</f>
        <v>1</v>
      </c>
      <c r="W34" s="156">
        <f>IF(OR(O34="",P34=""),"",IF(S34&gt;0,VLOOKUP(WardrobeHandleType,FixedListsHandleType,2,FALSE),0))</f>
        <v>0</v>
      </c>
      <c r="X34" s="156">
        <f t="shared" si="5"/>
        <v>1</v>
      </c>
      <c r="Y34" s="156">
        <f>IF(OR(O34="",P34=""),"",IF(OR(ISERROR(FIND("carcass",$A34))=FALSE,ISERROR(FIND("unit",$A34))=FALSE),VLOOKUP(WardrobeCarcassMaterial,FixedListsCarcassMaterial,3,0),0))</f>
        <v>0</v>
      </c>
      <c r="Z34" s="156">
        <f>IF(OR(O34="",P34=""),"",IF(ISERROR(FIND("door",$A34))=FALSE,VLOOKUP(WardrobeDoorStyle,FixedListsDoorStyle,3,0),0))</f>
        <v>0</v>
      </c>
      <c r="AA34" s="156">
        <f>IF(OR(O34="",P34=""),"",IF(ISERROR(FIND("door",$A34))=FALSE,VLOOKUP(WardrobeDoorMaterial,FixedListsDoorMaterial,3,0),0))</f>
        <v>0</v>
      </c>
      <c r="AB34" s="156">
        <f>IF(OR(O34="",P34=""),"",IF(ISERROR(FIND("drawer",$A34))=FALSE,VLOOKUP(WardrobeDrawerType,FixedListsDrawerType,3,0),0))</f>
        <v>1</v>
      </c>
      <c r="AC34" s="156">
        <f>IF(OR(O34="",P34=""),"",IF(S34&gt;0,VLOOKUP(WardrobeHandleType,FixedListsHandleType,3,FALSE),0))</f>
        <v>0</v>
      </c>
      <c r="AD34" s="156">
        <f>IF(OR(O34="",P34=""),"",IF(OR(ISERROR(FIND("carcass",$A34))=FALSE,ISERROR(FIND("unit",$A34))=FALSE),VLOOKUP(WardrobeCarcassFinish,FixedListsFinishes,3,0),IF(OR(ISERROR(FIND("door",$A34))=FALSE,ISERROR(FIND("Plinth",$A34))=FALSE,ISERROR(FIND("Cornice",$A34))=FALSE,ISERROR(FIND("Fillers",$A34))=FALSE,ISERROR(FIND("Pelmet",$A34))=FALSE,ISERROR(FIND("panel",$A34))=FALSE,ISERROR(FIND("post",$A34))=FALSE),VLOOKUP(WardrobeDoorFinish,FixedListsFinishes,3,0),IF(OR(ISERROR(FIND("drawer",$A34))=FALSE,ISERROR(FIND("insert",$A34))=FALSE,ISERROR(FIND("rck",$A34))=FALSE),VLOOKUP(WardrobeCarcassFinish,FixedListsFinishes,3,0),0))))</f>
        <v>1</v>
      </c>
      <c r="AE34" s="156">
        <f t="shared" si="6"/>
        <v>1</v>
      </c>
      <c r="AF34" s="157" t="str">
        <f>IF(AND(WardrobeHandleType="Channel",OR(ISERROR(FIND("arcass",$A34))=FALSE,ISERROR(FIND("unit",$A34))=FALSE)),IF(ISERROR(FIND("Tower",$A34))=TRUE,IF(WardrobeHandleFinish="Match carcass",IF(ISERROR(FIND("Walnut",WardrobeCarcassMaterial))=FALSE,(0.035*0.075*($C34/1000))*VLOOKUP("Walnut (solid m3)",SolidData,4,FALSE),IF(ISERROR(FIND("Oak",WardrobeCarcassMaterial))=FALSE,(0.035*0.075*($C34/1000))*VLOOKUP("Oak (solid m3)",SolidData,4,FALSE),IF(ISERROR(FIND("ply",WardrobeCarcassMaterial))=FALSE,(0.1*($C34/1000))*VLOOKUP("Birch ply (24mm)",SheetsData,7,FALSE),IF(ISERROR(FIND("H/F",WardrobeCarcassMaterial))=FALSE,(0.1*($C34/1000))*VLOOKUP("H/F (22mm)",SheetsData,7,FALSE),"Carcass - not tower - new material")))),IF(WardrobeHandleFinish="Match door",IF(ISERROR(FIND("Walnut",WardrobeDoorMaterial))=FALSE,(0.035*0.075*($C34/1000))*VLOOKUP("Walnut (solid m3)",SolidData,4,FALSE),IF(ISERROR(FIND("Oak",WardrobeDoorMaterial))=FALSE,(0.035*0.075*($C34/1000))*VLOOKUP("Oak (solid m3)",SolidData,4,FALSE),IF(ISERROR(FIND("ply",WardrobeDoorMaterial))=FALSE,(0.1*($C34/1000))*VLOOKUP("Birch ply (24mm)",SheetsData,7,FALSE),IF(ISERROR(FIND("H/F",WardrobeCarcassMaterial))=FALSE,(0.1*($C34/1000))*VLOOKUP("H/F (22mm)",SheetsData,7,FALSE),"Door - not tower - new material")))),"Channel - not tower - handle set to other")),IF(ISERROR(FIND("Tower",$A34))=FALSE,IF(WardrobeHandleFinish="Match carcass",IF(ISERROR(FIND("Walnut",WardrobeCarcassMaterial))=FALSE,(0.035*0.075*($B34/1000))*VLOOKUP("Walnut (solid m3)",SolidData,4,FALSE),IF(ISERROR(FIND("Oak",WardrobeCarcassMaterial))=FALSE,(0.035*0.075*($B34/1000))*VLOOKUP("Oak (solid m3)",SolidData,4,FALSE),IF(ISERROR(FIND("ply",WardrobeCarcassMaterial))=FALSE,(0.1*($B34/1000))*VLOOKUP("Birch ply (24mm)",SheetsData,7,FALSE),IF(ISERROR(FIND("H/F",WardrobeCarcassMaterial))=FALSE,(0.1*($C34/1000))*VLOOKUP("H/F (22mm)",SheetsData,7,FALSE),"Carcass - tower - new material")))),IF(WardrobeHandleFinish="Match door",IF(ISERROR(FIND("Walnut",WardrobeDoorMaterial))=FALSE,(0.035*0.075*($B34/1000))*VLOOKUP("Walnut (solid m3)",SolidData,4,FALSE),IF(ISERROR(FIND("Oak",WardrobeDoorMaterial))=FALSE,(0.035*0.075*($B34/1000))*VLOOKUP("Oak (solid m3)",SolidData,4,FALSE),IF(ISERROR(FIND("ply",WardrobeDoorMaterial))=FALSE,(0.1*($B34/1000))*VLOOKUP("Birch ply (24mm)",SheetData,7,FALSE),IF(ISERROR(FIND("H/F",WardrobeCarcassMaterial))=FALSE,(0.1*($C34/1000))*VLOOKUP("H/F (22mm)",SheetsData,7,FALSE),"Door - tower - new material")))),"Channel - tower - handle set to other")))),"")</f>
        <v/>
      </c>
    </row>
    <row r="35">
      <c r="A35" s="150" t="s">
        <v>200</v>
      </c>
      <c r="B35" s="160" t="str">
        <f t="shared" si="1"/>
        <v>300</v>
      </c>
      <c r="C35" s="160" t="str">
        <f>IFERROR(__xludf.DUMMYFUNCTION("IF(A35="""","""",IF(ISERROR(FIND(""arcass"",A35))=FALSE,MID(A35,FIND(""*"",A35)+1,FIND(""*"",A35,FIND(""*"",A35)+1)-FIND(""*"",A35)-1),IF(ISERROR(FIND(""End panel"",A35))=FALSE,RIGHT(A35,3),IF(OR(ISERROR(FIND(""drawer"",A35))=FALSE,ISERROR(FIND(""door"",A"&amp;"35))=FALSE,ISERROR(FIND(""shelf"",A35))=FALSE,ISERROR(FIND(""panel"",A35))=FALSE,ISERROR(FIND(""Plinth"",A35))=FALSE,ISERROR(FIND(""Cornice"",A35))=FALSE,ISERROR(FIND(""Fillers"",A35))=FALSE,ISERROR(FIND(""Pelmet"",A35))=FALSE,ISERROR(FIND(""Fireplace up "&amp;"to 1600"",A35))=FALSE),RIGHT(A35,LEN(A35)-LEN(regexextract(A35,"".* ""))),IF(ISERROR(FIND(""table"",A35))=FALSE,""560"",IF(ISERROR(FIND(""Office pod"",A35))=FALSE,""1600"",IF(ISERROR(FIND(""Fireplace over 1600"",A35))=FALSE,""2400"",IF(ISERROR(FIND(""Work"&amp;"top"",A35))=FALSE,""650"",""Whoops""))))))))"),"600")</f>
        <v>600</v>
      </c>
      <c r="D35" s="161" t="str">
        <f t="shared" si="2"/>
        <v>600</v>
      </c>
      <c r="E35" s="152">
        <f>IF(OR(A35="",AND(ISERROR(FIND("drawer",A35))=FALSE,WardrobeDrawerType="")),"",IF(ISERROR(FIND("door",A35))=FALSE,IF(WardrobeDoorStyle="Flat",((B35/1000)*(C35/1000))*VLOOKUP(WardrobeDoorMaterial,SheetsData,8,0),IF(LEFT(WardrobeDoorStyle,5)="Panel",(((((B35/1000)*2)*0.08)+((((C35/1000)-0.16)*2)*0.08))*VLOOKUP("H/F (22mm)",SheetsData,8,0))+(((B35/1000)-0.14)*((C35/1000)-0.14)*VLOOKUP("H/F (9mm)",SheetsData,8,0)),IF(WardrobeDoorStyle="In-frame flat",((((((B35/1000)*0.019)*0.038)+((((C35-38)/1000)*0.038)*0.038))*2)*VLOOKUP("Tulip (solid m3)",SolidData,4,0))+(((B35-76)/1000)*((C35-38)/1000))*VLOOKUP("H/F (22mm)",SheetsData,8,0),IF(LEFT(WardrobeDoorStyle,14)="In-frame panel",(((((((B35/1000)*0.019)*0.038)+((((C35-38)/1000)*0.038)*0.038))*2)*VLOOKUP("Tulip (solid m3)",SolidData,4,0))+(((((((B35-76)/1000)*2)*0.08)+(((((C35-198)/1000)*2)*0.08)))*VLOOKUP("H/F (22mm)",SheetsData,8,0))+(((B35-216)/1000)*((C35-178)/1000)*VLOOKUP("H/F (9mm)",SheetsData,8,0)))))))),IF(AND(ISERROR(FIND("arcass",A35))=FALSE,ISERROR(FIND("ost corner",A35))=TRUE),IF(AND(VALUE(B35)&lt;1211,VALUE(C35)&lt;1211,VALUE(D35)&lt;606),1*VLOOKUP(WardrobeCarcassMaterial,SheetsData,5,FALSE),IF(AND(VALUE(B35)&lt;2421,VALUE(C35)&lt;2421,VALUE(D35)&lt;606),2*VLOOKUP(WardrobeCarcassMaterial,SheetsData,5,FALSE),IF(AND(VALUE(B35)&lt;2421,VALUE(C35)&lt;1211,VALUE(D35)&lt;1211),3*VLOOKUP(WardrobeCarcassMaterial,SheetsData,5,FALSE),IF(AND(VALUE(B35)&lt;2421,VALUE(C35)&lt;2421,VALUE(D35)&lt;1211),4*VLOOKUP(WardrobeCarcassMaterial,SheetsData,5,FALSE))))),IF(AND(ISERROR(FIND("arcass",A35))=FALSE,ISERROR(FIND("ost corner",A35))=FALSE),IF(AND(VALUE(B35)&lt;1211,VALUE(C35)&lt;1211,VALUE(D35)&lt;606),(1*VLOOKUP(WardrobeCarcassMaterial,SheetsData,5,FALSE))+(VLOOKUP("H/F (22mm)",SheetsData,7,FALSE)*1.44),IF(AND(VALUE(B35)&lt;2421,VALUE(C35)&lt;2421,VALUE(D35)&lt;606),(2*VLOOKUP(WardrobeCarcassMaterial,SheetsData,5,FALSE))+(VLOOKUP("H/F (22mm)",SheetsData,7,FALSE)*1.44),IF(AND(VALUE(B35)&lt;2421,VALUE(C35)&lt;1211,VALUE(D35)&lt;1211),(3*VLOOKUP(WardrobeCarcassMaterial,SheetsData,5,FALSE))+(VLOOKUP("H/F (22mm)",SheetsData,7,FALSE)*1.44),IF(AND(VALUE(B35)&lt;2421,VALUE(C35)&lt;2421,VALUE(D35)&lt;1211),(4*VLOOKUP(WardrobeCarcassMaterial,SheetsData,5,FALSE))+(VLOOKUP("H/F (22mm)",SheetsData,7,FALSE)*1.44))))),IF(ISERROR(FIND("drawer front",A35))=FALSE,((B35/1000)*(C35/1000))*VLOOKUP(WardrobeDoorMaterial,SheetsData,8,0),IF(AND(WardrobeDrawerType="Match carcass",ISERROR(FIND("drawer box",A35))=FALSE),(((((B35/1000)*(C35/1000))+((B35/1000)*(D35/1000)))*2)*VLOOKUP(WardrobeCarcassMaterial,SheetsData,8,0))+(((C35/1000)*(D35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box",A35))=FALSE),(((((B35/1000)*(C35/1000))+((B35/1000)*(D35/1000)))*2)*(16/1000)*VLOOKUP(LEFT(WardrobeCarcassMaterial,FIND(" ",WardrobeCarcassMaterial))&amp;"(solid m3)",SolidData,4,0))+(((C35/1000)*(D35/1000))*VLOOKUP(LEFT(WardrobeCarcassMaterial,FIND("(",WardrobeCarcassMaterial)-1)&amp;IF(OR(ISERROR(FIND("ply",WardrobeCarcassMaterial))=FALSE,ISERROR(FIND("H/F",WardrobeCarcassMaterial))=FALSE),"(9mm)","(10mm)"),SheetsData,8,0)),IF(ISERROR(FIND("shelf",A35))=FALSE,((C35/1000)*(D35/1000))*VLOOKUP(WardrobeCarcassMaterial,SheetsData,7,FALSE),IF(ISERROR(FIND("Office pod",A35))=FALSE,3*VLOOKUP(WardrobeCarcassMaterial,SheetsData,5,0),IF(ISERROR(FIND(" panel",A35))=FALSE,((B35/1000)*(C35/1000))*VLOOKUP(WardrobeDoorMaterial,SheetsData,8,0),IF(ISERROR(FIND("Fillers",A35))=FALSE,(((0.06*(C35/1000))*2)*VLOOKUP("H/F (18mm)",SheetsData,8,0))+(((0.06*(C35/1000))*2)*VLOOKUP("H/F (9mm)",SheetsData,8,0)),IF(ISERROR(FIND("Cornice (stacked)",A35))=FALSE,((0.08*(C35/1000))*2)*VLOOKUP("H/F (22mm)",SheetsData,8,0),IF(OR(ISERROR(FIND("Plinth",A35))=FALSE,ISERROR(FIND("Cornice (flat)",A35))=FALSE),((B35/1000)*(C35/1000))*VLOOKUP("H/F (18mm)",SheetsData,8,0),IF(ISERROR(FIND("Pelmet",A35))=FALSE,((((B35/1000)*(C35/1000))*2)*VLOOKUP("H/F (18mm)",SheetsData,8,0)),IF(ISERROR(FIND("Fireplace",A35))=FALSE,IF(ISERROR(FIND("over 1600",A35))=FALSE,2*VLOOKUP(WardrobeCarcassMaterial,SheetsData,5,FALSE),VLOOKUP(WardrobeCarcassMaterial,SheetsData,5,FALSE)),IF(ISERROR(FIND("table",A35))=FALSE,((B35/1000)*0.6)*VLOOKUP("Birch ply (24mm)",SheetsData,7,FALSE),IF(ISERROR(FIND("Worktop",A35))=FALSE,((B35/1000)*(C35/1000))*VLOOKUP(WardrobeDoorMaterial,SheetsData,7,FALSE),"Check formula")))))))))))))))))</f>
        <v>31.66689062</v>
      </c>
      <c r="F35" s="152">
        <f>IFERROR(__xludf.DUMMYFUNCTION("IF(OR(A35="""",AND(ISERROR(FIND(""drawer box"",A35))=FALSE,WardrobeDrawerType=""Solid dovetail"")),"""",IF(ISERROR(FIND(""bins"",A35))=FALSE,VLOOKUP(""Base carcass 600"",Wardrobes_etcData,6,0),IF(OR(ISERROR(FIND(""larder"",A35))=FALSE,ISERROR(FIND(""unit"&amp;""",A35))=FALSE),VLOOKUP(LEFT(A35,FIND("" "",A35))&amp;""carcass ""&amp;RIGHT(A35,LEN(A35)-len(regexextract(A35,"".* ""))),Wardrobes_etcData,6,0),IF(ISERROR(FIND(""drawer front"",A35))=FALSE,IF(ISERROR(FIND(""veneer"",WardrobeCarcassMaterial))=TRUE,0,(((B35+C35)/1"&amp;"000)*2)*VLOOKUP(""Edge banding (per M)"",SheetsData,5,0)),IF(ISERROR(FIND(""drawer box"",A35))=FALSE,IF(ISERROR(FIND(""veneer"",WardrobeCarcassMaterial))=TRUE,0,(((C35+D35)/1000)*2)*VLOOKUP(""Edge banding (per M)"",SheetsData,5,0)),IF(ISERROR(FIND(""shelf"&amp;""",A35))=FALSE,IF(ISERROR(FIND(""veneer"",WardrobeCarcassMaterial))=TRUE,0,(C35/1000)*VLOOKUP(""Edge banding (per M)"",SheetsData,5,0)),IF(AND(OR(ISERROR(FIND(""arcass"",A35))=FALSE,ISERROR(FIND(""Fireplace"",A35))=FALSE),ISERROR(FIND(""shelf"",A35))=TRUE"&amp;"),IF(ISERROR(FIND(""veneer"",WardrobeCarcassMaterial))=TRUE,0,((2*(B35+C35))/1000)*VLOOKUP(""Edge banding (per M)"",SheetsData,5,0)),IF(ISERROR(FIND(""door"",A35))=TRUE,"""",IF(ISERROR(FIND(""veneer"",WardrobeDoorMaterial))=TRUE,"""",((2*(B35+C35))/1000)*"&amp;"VLOOKUP(""Edge banding (per M)"",SheetsData,5,0))))))))))"),0.0)</f>
        <v>0</v>
      </c>
      <c r="G35" s="153" t="str">
        <f>IF(A35="","",IF(AND(ISERROR(FIND("arcass",A35))=TRUE,ISERROR(FIND("Fireplace",A35))=TRUE),"",IF(VALUE(C35)&lt;606,4*VLOOKUP("Plinth foot (2 Parts 80mm)",FurnitureData,5,FALSE),IF(VALUE(C35)&lt;1211,6*VLOOKUP("Plinth foot (2 Parts 80mm)",FurnitureData,5,FALSE),8*VLOOKUP("Plinth foot (2 Parts 80mm)",FurnitureData,5,FALSE)))))</f>
        <v/>
      </c>
      <c r="H35" s="115" t="str">
        <f>IF(OR(A35="",ISERROR(FIND("door",A35))=TRUE),"",VLOOKUP("Hinges &amp; plates (Hettich thick door)",FurnitureData,5,0)*5)</f>
        <v/>
      </c>
      <c r="I35" s="115" t="str">
        <f>IF(ISERROR(FIND("shelf",A35))=FALSE,(VLOOKUP("Shelf pegs",FurnitureData,5,0)/100)*4,"")</f>
        <v/>
      </c>
      <c r="J35" s="152" t="str">
        <f>IF(OR(ISERROR(FIND("fridge/freezer",A35))=FALSE,ISERROR(FIND("sink",A35))=FALSE,ISERROR(FIND("larder",A35))=FALSE),VLOOKUP("Deep shelf "&amp;C35,Wardrobes_etcData,18,0),IF(OR(ISERROR(FIND("single oven",A35))=FALSE,ISERROR(FIND("Base carcass",A35))=FALSE),2*VLOOKUP("Deep shelf "&amp;C35,Wardrobes_etcData,18,0),IF(AND(ISERROR(FIND("wall carcass",A35))=FALSE,ISERROR(FIND("Boiler",A35))=TRUE),2*VLOOKUP("Shallow shelf "&amp;C35,Wardrobes_etcData,18,0),IF(ISERROR(FIND("double oven",A35))=FALSE,3*VLOOKUP("Deep shelf "&amp;C35,Wardrobes_etcData,18,0),IF(ISERROR(FIND("Tower carcass",A35))=FALSE,6*VLOOKUP("Deep shelf "&amp;C35,Wardrobes_etcData,18,0),"")))))</f>
        <v/>
      </c>
      <c r="K35" s="152">
        <f>IF(ISERROR(FIND("sink",A35))=FALSE,VLOOKUP("Sink liner - Aluminium "&amp;RIGHT(A35,LEN(A35)-22)&amp;"mm",ExceptionalData,5,0),IF(ISERROR(FIND("bins",A35))=FALSE,VLOOKUP("Drawer runners and clip set for bin unit (500) Dynapro",FurnitureData,5,0)+(2*VLOOKUP("Bin (42L Anthracite)",FurnitureData,5,0)),IF(ISERROR(FIND("larder",A35))=FALSE,VLOOKUP("Pull out larder unit 600mm",FurnitureData,5,0),IF(AND(ISERROR(FIND("drawer box",A35))=FALSE,ISERROR(FIND("internal",A35))=TRUE),VLOOKUP("Drawer runners and clip set (550) Dynapro",FurnitureData,5,0),IF(ISERROR(FIND("internal drawer box",A35))=FALSE,VLOOKUP("Drawer runners and clip set (450) Dynapro",FurnitureData,5,0),IF(ISERROR(FIND("table",A35))=FALSE,VLOOKUP("Hairpin Leg (12mm Black "&amp;MID(A35,FIND("(",A35)+1,LEN(A35)-(FIND("(",A35))-1)&amp;"mm)",ExceptionalData,4,FALSE),""))))))</f>
        <v>39.72</v>
      </c>
      <c r="L35" s="152">
        <f t="shared" si="3"/>
        <v>71.38689062</v>
      </c>
      <c r="M35" s="154">
        <f>IF(A35="","",IF(AND(ISERROR(FIND("drawer front",A35))=FALSE,WardrobeDoorStyle="Flat"),(((B35/1000)*(C35/1000))*2)+((((B35+C35)/1000)*2)*0.022),IF(AND(ISERROR(FIND("drawer front",A35))=FALSE,LEFT(WardrobeDoorStyle,5)="Panel"),(((B35/1000)*(C35/1000))*2)+((((B35+C35)/1000)*2)*0.022)+((((C35/1000)-0.16)*0.013)*2)+((((D35/1000)-0.16)*0.013)*2),IF(AND(ISERROR(FIND("drawer front",A35))=FALSE,WardrobeDoorStyle="In-frame flat"),((((B35-76)/1000)*((C35-38)/1000))*2)+(MID(WardrobeDoorMaterial,FIND("(",WardrobeDoorMaterial)+1,2)/1000)*((((B35-76)+(C35-38))/1000)*2)+(((B35/1000)*0.032)*2)+((((B35-76)/1000)*0.032)*2)+(((B35/1000)*0.019)*4)+(((C35/1000)*0.032)*2)+((((C35-38)/1000)*0.032)*2)+(((C35/1000)*0.038)*4),IF(AND(ISERROR(FIND("drawer front",A35))=FALSE,LEFT(WardrobeDoorStyle,14)="In-frame panel"),((((B35-76)/1000)*((C35-38)/1000))*2)+((MID(WardrobeDoorMaterial,FIND("(",WardrobeDoorMaterial)+1,2)/1000)*((((B35-76)+(C35-38))/1000)*2))+((((B35-236)/1000)+((C35-198)/1000)*2)*0.013)+(((B35/1000)*0.032)*2)+((((B35-76)/1000)*0.032)*2)+(((B35/1000)*0.019)*4)+(((C35/1000)*0.032)*2)+((((C35-38)/1000)*0.032)*2)+(((C35/1000)*0.038)*4),IF(ISERROR(FIND("drawer box",A35))=FALSE,((((B35/1000)*(D35/1000))+((B35/1000)*(C35/1000)))*4)+((((D35/1000)+(C35/1000))*0.016)*4)+(((C35/1000)*(D35/1000))*2),IF(OR(ISERROR(FIND("shelf",A35))=FALSE,ISERROR(FIND("Filler panel",A35))=FALSE),(((C35/1000)*(D35/1000))*2)+((((C35+D35)*2)/1000)*0.022),IF(ISERROR(FIND("Fireplace",A35))=FALSE,((B35/1000)*(C35/1000)),IF(ISERROR(FIND("Worktop",A35))=FALSE,(B35/1000)*(C35/1000),IF(ISERROR(FIND("table",A35))=FALSE,(B35/1000)*0.6,IF(ISERROR(FIND("arcass",A35))=FALSE,(((C35/1000)*(D35/1000))*2)+(((B35/1000)*(D35/1000))*2)+((B35/1000)*(C35/1000))+((((B35/1000)*0.025)+((C35/1000)*0.025))*2),IF(AND(ISERROR(FIND("door",A35))=FALSE,WardrobeDoorStyle="Flat"),(((B35/1000)*(C35/1000))*2)+(MID(WardrobeDoorMaterial,FIND("(",WardrobeDoorMaterial)+1,2)/1000)*(((B35+C35)/1000)*2),IF(AND(ISERROR(FIND("door",A35))=FALSE,LEFT(WardrobeDoorStyle,5)="Panel"),(((B35/1000)*(C35/1000))*2)+((MID(WardrobeDoorMaterial,FIND("(",WardrobeDoorMaterial)+1,2)/1000)*(((B35+C35)/1000)*2))+(((((B35-160)+(C35-160))*2)/1000)*(0.013)),IF(AND(ISERROR(FIND("door",A35))=FALSE,WardrobeDoorStyle="In-frame flat"),((((B35-76)/1000)*((C35-38)/1000))*2)+(MID(WardrobeDoorMaterial,FIND("(",WardrobeDoorMaterial)+1,2)/1000)*((((B35-76)+(C35-38))/1000)*2)+(((B35/1000)*0.032)*2)+((((B35-76)/1000)*0.032)*2)+(((B35/1000)*0.019)*4)+(((C35/1000)*0.032)*2)+((((C35-38)/1000)*0.032)*2)+(((C35/1000)*0.038)*4),IF(AND(ISERROR(FIND("door",A35))=FALSE,LEFT(WardrobeDoorStyle,14)="In-frame panel"),((((B35-76)/1000)*((C35-38)/1000))*2)+((MID(WardrobeDoorMaterial,FIND("(",WardrobeDoorMaterial)+1,2)/1000)*((((B35-76)+(C35-38))/1000)*2))+((((B35-236)/1000)+((C35-198)/1000)*2)*0.013)+(((B35/1000)*0.032)*2)+((((B35-76)/1000)*0.032)*2)+(((B35/1000)*0.019)*4)+(((C35/1000)*0.032)*2)+((((C35-38)/1000)*0.032)*2)+(((C35/1000)*0.038)*4),IF(ISERROR(FIND("Plinth",A35))=FALSE,((B35/1000)*(C35/1000))+(((C35/1000)*0.018)*2)+(((B35/1000)*0.018)*2),IF(ISERROR(FIND("Cornice",A35))=FALSE,(((C35/1000)*0.1)*2)+(((C35/1000)*0.044)*2)+(((B35/1000)*0.08)*2),IF(ISERROR(FIND("Office pod",A35))=FALSE,((2400/1000)*(1200/1000))*6,IF(ISERROR(FIND("panel",A35))=FALSE,((B35/1000)*(C35/1000))+(0.022*((B35/1000)+((C35/1000)*2)))+((B35/1000)*0.05),IF(ISERROR(FIND("Fillers",A35))=FALSE,((C35/1000)*0.06)+((C35/1000)*0.069)+((0.06*0.018)*2)+((0.06*0.009)*2)+((C35/1000)*0.009)+((C35/1000)*0.018),IF(ISERROR(FIND("Pelmet",A35))=FALSE,((C35/1000)*0.05)+((C35/1000)*0.068)+((0.05*0.018)*4)+(((C35/1000)*0.018))*2)))))))))))))))))))))</f>
        <v>2.2368</v>
      </c>
      <c r="N35" s="152">
        <f>IF(M35="","",IF(AND(ISERROR(FIND("carcass",A35))=TRUE,ISERROR(FIND("unit",A35))=TRUE,ISERROR(FIND("insert",A35))=TRUE,ISERROR(FIND("rack",A35))=TRUE,ISERROR(FIND("box",A35))=TRUE,ISERROR(FIND("shelf",A35))=TRUE),VLOOKUP(WardrobeDoorFinish,Finishing!$A$2:$K$10,9,0)*M35,IF(ISERROR(FIND("table",A35))=FALSE,VLOOKUP("Sayerlack AF0072 Interior Clear Self-Sealer",FinishingData,9,FALSE)*M35,VLOOKUP(WardrobeCarcassFinish,Finishing!$A$2:$K$40,9,0)*M35)))</f>
        <v>8.388</v>
      </c>
      <c r="O35" s="155">
        <v>2.5</v>
      </c>
      <c r="P35" s="155">
        <v>1.0</v>
      </c>
      <c r="Q35" s="152">
        <f>IF(OR(O35="",P35=""),"",((O35*X35)*(VLOOKUP("Workshop",Labour!$A$3:$E$20,4,0)/8))+((P35*AE35)*(VLOOKUP("Finishing",Labour!$A$3:$E$20,4,0)/8)))</f>
        <v>137.375</v>
      </c>
      <c r="R35" s="152">
        <f t="shared" si="4"/>
        <v>217.1498906</v>
      </c>
      <c r="S35" s="156">
        <f>IF(OR(O35="",P35=""),"",IF(OR(ISERROR(FIND("carcass",$A35))=FALSE,ISERROR(FIND("unit",$A35))=FALSE),VLOOKUP(WardrobeCarcassMaterial,FixedListsCarcassMaterial,2,0),0))</f>
        <v>0</v>
      </c>
      <c r="T35" s="156">
        <f>IF(OR(O35="",P35=""),"",IF(ISERROR(FIND("door",$A35))=FALSE,VLOOKUP(WardrobeDoorStyle,FixedListsDoorStyle,2,0),0))</f>
        <v>0</v>
      </c>
      <c r="U35" s="156">
        <f>IF(OR(O35="",P35=""),"",IF(ISERROR(FIND("door",$A35))=FALSE,VLOOKUP(WardrobeDoorMaterial,FixedListsDoorMaterial,2,0),0))</f>
        <v>0</v>
      </c>
      <c r="V35" s="156">
        <f>IF(OR(O35="",P35=""),"",IF(ISERROR(FIND("drawer",$A35))=FALSE,VLOOKUP(WardrobeDrawerType,FixedListsDrawerType,2,0),0))</f>
        <v>1</v>
      </c>
      <c r="W35" s="156">
        <f>IF(OR(O35="",P35=""),"",IF(S35&gt;0,VLOOKUP(WardrobeHandleType,FixedListsHandleType,2,FALSE),0))</f>
        <v>0</v>
      </c>
      <c r="X35" s="156">
        <f t="shared" si="5"/>
        <v>1</v>
      </c>
      <c r="Y35" s="156">
        <f>IF(OR(O35="",P35=""),"",IF(OR(ISERROR(FIND("carcass",$A35))=FALSE,ISERROR(FIND("unit",$A35))=FALSE),VLOOKUP(WardrobeCarcassMaterial,FixedListsCarcassMaterial,3,0),0))</f>
        <v>0</v>
      </c>
      <c r="Z35" s="156">
        <f>IF(OR(O35="",P35=""),"",IF(ISERROR(FIND("door",$A35))=FALSE,VLOOKUP(WardrobeDoorStyle,FixedListsDoorStyle,3,0),0))</f>
        <v>0</v>
      </c>
      <c r="AA35" s="156">
        <f>IF(OR(O35="",P35=""),"",IF(ISERROR(FIND("door",$A35))=FALSE,VLOOKUP(WardrobeDoorMaterial,FixedListsDoorMaterial,3,0),0))</f>
        <v>0</v>
      </c>
      <c r="AB35" s="156">
        <f>IF(OR(O35="",P35=""),"",IF(ISERROR(FIND("drawer",$A35))=FALSE,VLOOKUP(WardrobeDrawerType,FixedListsDrawerType,3,0),0))</f>
        <v>1</v>
      </c>
      <c r="AC35" s="156">
        <f>IF(OR(O35="",P35=""),"",IF(S35&gt;0,VLOOKUP(WardrobeHandleType,FixedListsHandleType,3,FALSE),0))</f>
        <v>0</v>
      </c>
      <c r="AD35" s="156">
        <f>IF(OR(O35="",P35=""),"",IF(OR(ISERROR(FIND("carcass",$A35))=FALSE,ISERROR(FIND("unit",$A35))=FALSE),VLOOKUP(WardrobeCarcassFinish,FixedListsFinishes,3,0),IF(OR(ISERROR(FIND("door",$A35))=FALSE,ISERROR(FIND("Plinth",$A35))=FALSE,ISERROR(FIND("Cornice",$A35))=FALSE,ISERROR(FIND("Fillers",$A35))=FALSE,ISERROR(FIND("Pelmet",$A35))=FALSE,ISERROR(FIND("panel",$A35))=FALSE,ISERROR(FIND("post",$A35))=FALSE),VLOOKUP(WardrobeDoorFinish,FixedListsFinishes,3,0),IF(OR(ISERROR(FIND("drawer",$A35))=FALSE,ISERROR(FIND("insert",$A35))=FALSE,ISERROR(FIND("rck",$A35))=FALSE),VLOOKUP(WardrobeCarcassFinish,FixedListsFinishes,3,0),0))))</f>
        <v>1</v>
      </c>
      <c r="AE35" s="156">
        <f t="shared" si="6"/>
        <v>1</v>
      </c>
      <c r="AF35" s="157" t="str">
        <f>IF(AND(WardrobeHandleType="Channel",OR(ISERROR(FIND("arcass",$A35))=FALSE,ISERROR(FIND("unit",$A35))=FALSE)),IF(ISERROR(FIND("Tower",$A35))=TRUE,IF(WardrobeHandleFinish="Match carcass",IF(ISERROR(FIND("Walnut",WardrobeCarcassMaterial))=FALSE,(0.035*0.075*($C35/1000))*VLOOKUP("Walnut (solid m3)",SolidData,4,FALSE),IF(ISERROR(FIND("Oak",WardrobeCarcassMaterial))=FALSE,(0.035*0.075*($C35/1000))*VLOOKUP("Oak (solid m3)",SolidData,4,FALSE),IF(ISERROR(FIND("ply",WardrobeCarcassMaterial))=FALSE,(0.1*($C35/1000))*VLOOKUP("Birch ply (24mm)",SheetsData,7,FALSE),IF(ISERROR(FIND("H/F",WardrobeCarcassMaterial))=FALSE,(0.1*($C35/1000))*VLOOKUP("H/F (22mm)",SheetsData,7,FALSE),"Carcass - not tower - new material")))),IF(WardrobeHandleFinish="Match door",IF(ISERROR(FIND("Walnut",WardrobeDoorMaterial))=FALSE,(0.035*0.075*($C35/1000))*VLOOKUP("Walnut (solid m3)",SolidData,4,FALSE),IF(ISERROR(FIND("Oak",WardrobeDoorMaterial))=FALSE,(0.035*0.075*($C35/1000))*VLOOKUP("Oak (solid m3)",SolidData,4,FALSE),IF(ISERROR(FIND("ply",WardrobeDoorMaterial))=FALSE,(0.1*($C35/1000))*VLOOKUP("Birch ply (24mm)",SheetsData,7,FALSE),IF(ISERROR(FIND("H/F",WardrobeCarcassMaterial))=FALSE,(0.1*($C35/1000))*VLOOKUP("H/F (22mm)",SheetsData,7,FALSE),"Door - not tower - new material")))),"Channel - not tower - handle set to other")),IF(ISERROR(FIND("Tower",$A35))=FALSE,IF(WardrobeHandleFinish="Match carcass",IF(ISERROR(FIND("Walnut",WardrobeCarcassMaterial))=FALSE,(0.035*0.075*($B35/1000))*VLOOKUP("Walnut (solid m3)",SolidData,4,FALSE),IF(ISERROR(FIND("Oak",WardrobeCarcassMaterial))=FALSE,(0.035*0.075*($B35/1000))*VLOOKUP("Oak (solid m3)",SolidData,4,FALSE),IF(ISERROR(FIND("ply",WardrobeCarcassMaterial))=FALSE,(0.1*($B35/1000))*VLOOKUP("Birch ply (24mm)",SheetsData,7,FALSE),IF(ISERROR(FIND("H/F",WardrobeCarcassMaterial))=FALSE,(0.1*($C35/1000))*VLOOKUP("H/F (22mm)",SheetsData,7,FALSE),"Carcass - tower - new material")))),IF(WardrobeHandleFinish="Match door",IF(ISERROR(FIND("Walnut",WardrobeDoorMaterial))=FALSE,(0.035*0.075*($B35/1000))*VLOOKUP("Walnut (solid m3)",SolidData,4,FALSE),IF(ISERROR(FIND("Oak",WardrobeDoorMaterial))=FALSE,(0.035*0.075*($B35/1000))*VLOOKUP("Oak (solid m3)",SolidData,4,FALSE),IF(ISERROR(FIND("ply",WardrobeDoorMaterial))=FALSE,(0.1*($B35/1000))*VLOOKUP("Birch ply (24mm)",SheetData,7,FALSE),IF(ISERROR(FIND("H/F",WardrobeCarcassMaterial))=FALSE,(0.1*($C35/1000))*VLOOKUP("H/F (22mm)",SheetsData,7,FALSE),"Door - tower - new material")))),"Channel - tower - handle set to other")))),"")</f>
        <v/>
      </c>
    </row>
    <row r="36">
      <c r="A36" s="150" t="s">
        <v>201</v>
      </c>
      <c r="B36" s="160" t="str">
        <f t="shared" si="1"/>
        <v>300</v>
      </c>
      <c r="C36" s="160" t="str">
        <f>IFERROR(__xludf.DUMMYFUNCTION("IF(A36="""","""",IF(ISERROR(FIND(""arcass"",A36))=FALSE,MID(A36,FIND(""*"",A36)+1,FIND(""*"",A36,FIND(""*"",A36)+1)-FIND(""*"",A36)-1),IF(ISERROR(FIND(""End panel"",A36))=FALSE,RIGHT(A36,3),IF(OR(ISERROR(FIND(""drawer"",A36))=FALSE,ISERROR(FIND(""door"",A"&amp;"36))=FALSE,ISERROR(FIND(""shelf"",A36))=FALSE,ISERROR(FIND(""panel"",A36))=FALSE,ISERROR(FIND(""Plinth"",A36))=FALSE,ISERROR(FIND(""Cornice"",A36))=FALSE,ISERROR(FIND(""Fillers"",A36))=FALSE,ISERROR(FIND(""Pelmet"",A36))=FALSE,ISERROR(FIND(""Fireplace up "&amp;"to 1600"",A36))=FALSE),RIGHT(A36,LEN(A36)-LEN(regexextract(A36,"".* ""))),IF(ISERROR(FIND(""table"",A36))=FALSE,""560"",IF(ISERROR(FIND(""Office pod"",A36))=FALSE,""1600"",IF(ISERROR(FIND(""Fireplace over 1600"",A36))=FALSE,""2400"",IF(ISERROR(FIND(""Work"&amp;"top"",A36))=FALSE,""650"",""Whoops""))))))))"),"1200")</f>
        <v>1200</v>
      </c>
      <c r="D36" s="161" t="str">
        <f t="shared" si="2"/>
        <v>600</v>
      </c>
      <c r="E36" s="152">
        <f>IF(OR(A36="",AND(ISERROR(FIND("drawer",A36))=FALSE,WardrobeDrawerType="")),"",IF(ISERROR(FIND("door",A36))=FALSE,IF(WardrobeDoorStyle="Flat",((B36/1000)*(C36/1000))*VLOOKUP(WardrobeDoorMaterial,SheetsData,8,0),IF(LEFT(WardrobeDoorStyle,5)="Panel",(((((B36/1000)*2)*0.08)+((((C36/1000)-0.16)*2)*0.08))*VLOOKUP("H/F (22mm)",SheetsData,8,0))+(((B36/1000)-0.14)*((C36/1000)-0.14)*VLOOKUP("H/F (9mm)",SheetsData,8,0)),IF(WardrobeDoorStyle="In-frame flat",((((((B36/1000)*0.019)*0.038)+((((C36-38)/1000)*0.038)*0.038))*2)*VLOOKUP("Tulip (solid m3)",SolidData,4,0))+(((B36-76)/1000)*((C36-38)/1000))*VLOOKUP("H/F (22mm)",SheetsData,8,0),IF(LEFT(WardrobeDoorStyle,14)="In-frame panel",(((((((B36/1000)*0.019)*0.038)+((((C36-38)/1000)*0.038)*0.038))*2)*VLOOKUP("Tulip (solid m3)",SolidData,4,0))+(((((((B36-76)/1000)*2)*0.08)+(((((C36-198)/1000)*2)*0.08)))*VLOOKUP("H/F (22mm)",SheetsData,8,0))+(((B36-216)/1000)*((C36-178)/1000)*VLOOKUP("H/F (9mm)",SheetsData,8,0)))))))),IF(AND(ISERROR(FIND("arcass",A36))=FALSE,ISERROR(FIND("ost corner",A36))=TRUE),IF(AND(VALUE(B36)&lt;1211,VALUE(C36)&lt;1211,VALUE(D36)&lt;606),1*VLOOKUP(WardrobeCarcassMaterial,SheetsData,5,FALSE),IF(AND(VALUE(B36)&lt;2421,VALUE(C36)&lt;2421,VALUE(D36)&lt;606),2*VLOOKUP(WardrobeCarcassMaterial,SheetsData,5,FALSE),IF(AND(VALUE(B36)&lt;2421,VALUE(C36)&lt;1211,VALUE(D36)&lt;1211),3*VLOOKUP(WardrobeCarcassMaterial,SheetsData,5,FALSE),IF(AND(VALUE(B36)&lt;2421,VALUE(C36)&lt;2421,VALUE(D36)&lt;1211),4*VLOOKUP(WardrobeCarcassMaterial,SheetsData,5,FALSE))))),IF(AND(ISERROR(FIND("arcass",A36))=FALSE,ISERROR(FIND("ost corner",A36))=FALSE),IF(AND(VALUE(B36)&lt;1211,VALUE(C36)&lt;1211,VALUE(D36)&lt;606),(1*VLOOKUP(WardrobeCarcassMaterial,SheetsData,5,FALSE))+(VLOOKUP("H/F (22mm)",SheetsData,7,FALSE)*1.44),IF(AND(VALUE(B36)&lt;2421,VALUE(C36)&lt;2421,VALUE(D36)&lt;606),(2*VLOOKUP(WardrobeCarcassMaterial,SheetsData,5,FALSE))+(VLOOKUP("H/F (22mm)",SheetsData,7,FALSE)*1.44),IF(AND(VALUE(B36)&lt;2421,VALUE(C36)&lt;1211,VALUE(D36)&lt;1211),(3*VLOOKUP(WardrobeCarcassMaterial,SheetsData,5,FALSE))+(VLOOKUP("H/F (22mm)",SheetsData,7,FALSE)*1.44),IF(AND(VALUE(B36)&lt;2421,VALUE(C36)&lt;2421,VALUE(D36)&lt;1211),(4*VLOOKUP(WardrobeCarcassMaterial,SheetsData,5,FALSE))+(VLOOKUP("H/F (22mm)",SheetsData,7,FALSE)*1.44))))),IF(ISERROR(FIND("drawer front",A36))=FALSE,((B36/1000)*(C36/1000))*VLOOKUP(WardrobeDoorMaterial,SheetsData,8,0),IF(AND(WardrobeDrawerType="Match carcass",ISERROR(FIND("drawer box",A36))=FALSE),(((((B36/1000)*(C36/1000))+((B36/1000)*(D36/1000)))*2)*VLOOKUP(WardrobeCarcassMaterial,SheetsData,8,0))+(((C36/1000)*(D36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box",A36))=FALSE),(((((B36/1000)*(C36/1000))+((B36/1000)*(D36/1000)))*2)*(16/1000)*VLOOKUP(LEFT(WardrobeCarcassMaterial,FIND(" ",WardrobeCarcassMaterial))&amp;"(solid m3)",SolidData,4,0))+(((C36/1000)*(D36/1000))*VLOOKUP(LEFT(WardrobeCarcassMaterial,FIND("(",WardrobeCarcassMaterial)-1)&amp;IF(OR(ISERROR(FIND("ply",WardrobeCarcassMaterial))=FALSE,ISERROR(FIND("H/F",WardrobeCarcassMaterial))=FALSE),"(9mm)","(10mm)"),SheetsData,8,0)),IF(ISERROR(FIND("shelf",A36))=FALSE,((C36/1000)*(D36/1000))*VLOOKUP(WardrobeCarcassMaterial,SheetsData,7,FALSE),IF(ISERROR(FIND("Office pod",A36))=FALSE,3*VLOOKUP(WardrobeCarcassMaterial,SheetsData,5,0),IF(ISERROR(FIND(" panel",A36))=FALSE,((B36/1000)*(C36/1000))*VLOOKUP(WardrobeDoorMaterial,SheetsData,8,0),IF(ISERROR(FIND("Fillers",A36))=FALSE,(((0.06*(C36/1000))*2)*VLOOKUP("H/F (18mm)",SheetsData,8,0))+(((0.06*(C36/1000))*2)*VLOOKUP("H/F (9mm)",SheetsData,8,0)),IF(ISERROR(FIND("Cornice (stacked)",A36))=FALSE,((0.08*(C36/1000))*2)*VLOOKUP("H/F (22mm)",SheetsData,8,0),IF(OR(ISERROR(FIND("Plinth",A36))=FALSE,ISERROR(FIND("Cornice (flat)",A36))=FALSE),((B36/1000)*(C36/1000))*VLOOKUP("H/F (18mm)",SheetsData,8,0),IF(ISERROR(FIND("Pelmet",A36))=FALSE,((((B36/1000)*(C36/1000))*2)*VLOOKUP("H/F (18mm)",SheetsData,8,0)),IF(ISERROR(FIND("Fireplace",A36))=FALSE,IF(ISERROR(FIND("over 1600",A36))=FALSE,2*VLOOKUP(WardrobeCarcassMaterial,SheetsData,5,FALSE),VLOOKUP(WardrobeCarcassMaterial,SheetsData,5,FALSE)),IF(ISERROR(FIND("table",A36))=FALSE,((B36/1000)*0.6)*VLOOKUP("Birch ply (24mm)",SheetsData,7,FALSE),IF(ISERROR(FIND("Worktop",A36))=FALSE,((B36/1000)*(C36/1000))*VLOOKUP(WardrobeDoorMaterial,SheetsData,7,FALSE),"Check formula")))))))))))))))))</f>
        <v>51.36723999</v>
      </c>
      <c r="F36" s="152">
        <f>IFERROR(__xludf.DUMMYFUNCTION("IF(OR(A36="""",AND(ISERROR(FIND(""drawer box"",A36))=FALSE,WardrobeDrawerType=""Solid dovetail"")),"""",IF(ISERROR(FIND(""bins"",A36))=FALSE,VLOOKUP(""Base carcass 600"",Wardrobes_etcData,6,0),IF(OR(ISERROR(FIND(""larder"",A36))=FALSE,ISERROR(FIND(""unit"&amp;""",A36))=FALSE),VLOOKUP(LEFT(A36,FIND("" "",A36))&amp;""carcass ""&amp;RIGHT(A36,LEN(A36)-len(regexextract(A36,"".* ""))),Wardrobes_etcData,6,0),IF(ISERROR(FIND(""drawer front"",A36))=FALSE,IF(ISERROR(FIND(""veneer"",WardrobeCarcassMaterial))=TRUE,0,(((B36+C36)/1"&amp;"000)*2)*VLOOKUP(""Edge banding (per M)"",SheetsData,5,0)),IF(ISERROR(FIND(""drawer box"",A36))=FALSE,IF(ISERROR(FIND(""veneer"",WardrobeCarcassMaterial))=TRUE,0,(((C36+D36)/1000)*2)*VLOOKUP(""Edge banding (per M)"",SheetsData,5,0)),IF(ISERROR(FIND(""shelf"&amp;""",A36))=FALSE,IF(ISERROR(FIND(""veneer"",WardrobeCarcassMaterial))=TRUE,0,(C36/1000)*VLOOKUP(""Edge banding (per M)"",SheetsData,5,0)),IF(AND(OR(ISERROR(FIND(""arcass"",A36))=FALSE,ISERROR(FIND(""Fireplace"",A36))=FALSE),ISERROR(FIND(""shelf"",A36))=TRUE"&amp;"),IF(ISERROR(FIND(""veneer"",WardrobeCarcassMaterial))=TRUE,0,((2*(B36+C36))/1000)*VLOOKUP(""Edge banding (per M)"",SheetsData,5,0)),IF(ISERROR(FIND(""door"",A36))=TRUE,"""",IF(ISERROR(FIND(""veneer"",WardrobeDoorMaterial))=TRUE,"""",((2*(B36+C36))/1000)*"&amp;"VLOOKUP(""Edge banding (per M)"",SheetsData,5,0))))))))))"),0.0)</f>
        <v>0</v>
      </c>
      <c r="G36" s="153" t="str">
        <f>IF(A36="","",IF(AND(ISERROR(FIND("arcass",A36))=TRUE,ISERROR(FIND("Fireplace",A36))=TRUE),"",IF(VALUE(C36)&lt;606,4*VLOOKUP("Plinth foot (2 Parts 80mm)",FurnitureData,5,FALSE),IF(VALUE(C36)&lt;1211,6*VLOOKUP("Plinth foot (2 Parts 80mm)",FurnitureData,5,FALSE),8*VLOOKUP("Plinth foot (2 Parts 80mm)",FurnitureData,5,FALSE)))))</f>
        <v/>
      </c>
      <c r="H36" s="115" t="str">
        <f>IF(OR(A36="",ISERROR(FIND("door",A36))=TRUE),"",VLOOKUP("Hinges &amp; plates (Hettich thick door)",FurnitureData,5,0)*5)</f>
        <v/>
      </c>
      <c r="I36" s="115" t="str">
        <f>IF(ISERROR(FIND("shelf",A36))=FALSE,(VLOOKUP("Shelf pegs",FurnitureData,5,0)/100)*4,"")</f>
        <v/>
      </c>
      <c r="J36" s="152" t="str">
        <f>IF(OR(ISERROR(FIND("fridge/freezer",A36))=FALSE,ISERROR(FIND("sink",A36))=FALSE,ISERROR(FIND("larder",A36))=FALSE),VLOOKUP("Deep shelf "&amp;C36,Wardrobes_etcData,18,0),IF(OR(ISERROR(FIND("single oven",A36))=FALSE,ISERROR(FIND("Base carcass",A36))=FALSE),2*VLOOKUP("Deep shelf "&amp;C36,Wardrobes_etcData,18,0),IF(AND(ISERROR(FIND("wall carcass",A36))=FALSE,ISERROR(FIND("Boiler",A36))=TRUE),2*VLOOKUP("Shallow shelf "&amp;C36,Wardrobes_etcData,18,0),IF(ISERROR(FIND("double oven",A36))=FALSE,3*VLOOKUP("Deep shelf "&amp;C36,Wardrobes_etcData,18,0),IF(ISERROR(FIND("Tower carcass",A36))=FALSE,6*VLOOKUP("Deep shelf "&amp;C36,Wardrobes_etcData,18,0),"")))))</f>
        <v/>
      </c>
      <c r="K36" s="152">
        <f>IF(ISERROR(FIND("sink",A36))=FALSE,VLOOKUP("Sink liner - Aluminium "&amp;RIGHT(A36,LEN(A36)-22)&amp;"mm",ExceptionalData,5,0),IF(ISERROR(FIND("bins",A36))=FALSE,VLOOKUP("Drawer runners and clip set for bin unit (500) Dynapro",FurnitureData,5,0)+(2*VLOOKUP("Bin (42L Anthracite)",FurnitureData,5,0)),IF(ISERROR(FIND("larder",A36))=FALSE,VLOOKUP("Pull out larder unit 600mm",FurnitureData,5,0),IF(AND(ISERROR(FIND("drawer box",A36))=FALSE,ISERROR(FIND("internal",A36))=TRUE),VLOOKUP("Drawer runners and clip set (550) Dynapro",FurnitureData,5,0),IF(ISERROR(FIND("internal drawer box",A36))=FALSE,VLOOKUP("Drawer runners and clip set (450) Dynapro",FurnitureData,5,0),IF(ISERROR(FIND("table",A36))=FALSE,VLOOKUP("Hairpin Leg (12mm Black "&amp;MID(A36,FIND("(",A36)+1,LEN(A36)-(FIND("(",A36))-1)&amp;"mm)",ExceptionalData,4,FALSE),""))))))</f>
        <v>39.72</v>
      </c>
      <c r="L36" s="152">
        <f t="shared" si="3"/>
        <v>91.08723999</v>
      </c>
      <c r="M36" s="154">
        <f>IF(A36="","",IF(AND(ISERROR(FIND("drawer front",A36))=FALSE,WardrobeDoorStyle="Flat"),(((B36/1000)*(C36/1000))*2)+((((B36+C36)/1000)*2)*0.022),IF(AND(ISERROR(FIND("drawer front",A36))=FALSE,LEFT(WardrobeDoorStyle,5)="Panel"),(((B36/1000)*(C36/1000))*2)+((((B36+C36)/1000)*2)*0.022)+((((C36/1000)-0.16)*0.013)*2)+((((D36/1000)-0.16)*0.013)*2),IF(AND(ISERROR(FIND("drawer front",A36))=FALSE,WardrobeDoorStyle="In-frame flat"),((((B36-76)/1000)*((C36-38)/1000))*2)+(MID(WardrobeDoorMaterial,FIND("(",WardrobeDoorMaterial)+1,2)/1000)*((((B36-76)+(C36-38))/1000)*2)+(((B36/1000)*0.032)*2)+((((B36-76)/1000)*0.032)*2)+(((B36/1000)*0.019)*4)+(((C36/1000)*0.032)*2)+((((C36-38)/1000)*0.032)*2)+(((C36/1000)*0.038)*4),IF(AND(ISERROR(FIND("drawer front",A36))=FALSE,LEFT(WardrobeDoorStyle,14)="In-frame panel"),((((B36-76)/1000)*((C36-38)/1000))*2)+((MID(WardrobeDoorMaterial,FIND("(",WardrobeDoorMaterial)+1,2)/1000)*((((B36-76)+(C36-38))/1000)*2))+((((B36-236)/1000)+((C36-198)/1000)*2)*0.013)+(((B36/1000)*0.032)*2)+((((B36-76)/1000)*0.032)*2)+(((B36/1000)*0.019)*4)+(((C36/1000)*0.032)*2)+((((C36-38)/1000)*0.032)*2)+(((C36/1000)*0.038)*4),IF(ISERROR(FIND("drawer box",A36))=FALSE,((((B36/1000)*(D36/1000))+((B36/1000)*(C36/1000)))*4)+((((D36/1000)+(C36/1000))*0.016)*4)+(((C36/1000)*(D36/1000))*2),IF(OR(ISERROR(FIND("shelf",A36))=FALSE,ISERROR(FIND("Filler panel",A36))=FALSE),(((C36/1000)*(D36/1000))*2)+((((C36+D36)*2)/1000)*0.022),IF(ISERROR(FIND("Fireplace",A36))=FALSE,((B36/1000)*(C36/1000)),IF(ISERROR(FIND("Worktop",A36))=FALSE,(B36/1000)*(C36/1000),IF(ISERROR(FIND("table",A36))=FALSE,(B36/1000)*0.6,IF(ISERROR(FIND("arcass",A36))=FALSE,(((C36/1000)*(D36/1000))*2)+(((B36/1000)*(D36/1000))*2)+((B36/1000)*(C36/1000))+((((B36/1000)*0.025)+((C36/1000)*0.025))*2),IF(AND(ISERROR(FIND("door",A36))=FALSE,WardrobeDoorStyle="Flat"),(((B36/1000)*(C36/1000))*2)+(MID(WardrobeDoorMaterial,FIND("(",WardrobeDoorMaterial)+1,2)/1000)*(((B36+C36)/1000)*2),IF(AND(ISERROR(FIND("door",A36))=FALSE,LEFT(WardrobeDoorStyle,5)="Panel"),(((B36/1000)*(C36/1000))*2)+((MID(WardrobeDoorMaterial,FIND("(",WardrobeDoorMaterial)+1,2)/1000)*(((B36+C36)/1000)*2))+(((((B36-160)+(C36-160))*2)/1000)*(0.013)),IF(AND(ISERROR(FIND("door",A36))=FALSE,WardrobeDoorStyle="In-frame flat"),((((B36-76)/1000)*((C36-38)/1000))*2)+(MID(WardrobeDoorMaterial,FIND("(",WardrobeDoorMaterial)+1,2)/1000)*((((B36-76)+(C36-38))/1000)*2)+(((B36/1000)*0.032)*2)+((((B36-76)/1000)*0.032)*2)+(((B36/1000)*0.019)*4)+(((C36/1000)*0.032)*2)+((((C36-38)/1000)*0.032)*2)+(((C36/1000)*0.038)*4),IF(AND(ISERROR(FIND("door",A36))=FALSE,LEFT(WardrobeDoorStyle,14)="In-frame panel"),((((B36-76)/1000)*((C36-38)/1000))*2)+((MID(WardrobeDoorMaterial,FIND("(",WardrobeDoorMaterial)+1,2)/1000)*((((B36-76)+(C36-38))/1000)*2))+((((B36-236)/1000)+((C36-198)/1000)*2)*0.013)+(((B36/1000)*0.032)*2)+((((B36-76)/1000)*0.032)*2)+(((B36/1000)*0.019)*4)+(((C36/1000)*0.032)*2)+((((C36-38)/1000)*0.032)*2)+(((C36/1000)*0.038)*4),IF(ISERROR(FIND("Plinth",A36))=FALSE,((B36/1000)*(C36/1000))+(((C36/1000)*0.018)*2)+(((B36/1000)*0.018)*2),IF(ISERROR(FIND("Cornice",A36))=FALSE,(((C36/1000)*0.1)*2)+(((C36/1000)*0.044)*2)+(((B36/1000)*0.08)*2),IF(ISERROR(FIND("Office pod",A36))=FALSE,((2400/1000)*(1200/1000))*6,IF(ISERROR(FIND("panel",A36))=FALSE,((B36/1000)*(C36/1000))+(0.022*((B36/1000)+((C36/1000)*2)))+((B36/1000)*0.05),IF(ISERROR(FIND("Fillers",A36))=FALSE,((C36/1000)*0.06)+((C36/1000)*0.069)+((0.06*0.018)*2)+((0.06*0.009)*2)+((C36/1000)*0.009)+((C36/1000)*0.018),IF(ISERROR(FIND("Pelmet",A36))=FALSE,((C36/1000)*0.05)+((C36/1000)*0.068)+((0.05*0.018)*4)+(((C36/1000)*0.018))*2)))))))))))))))))))))</f>
        <v>3.7152</v>
      </c>
      <c r="N36" s="152">
        <f>IF(M36="","",IF(AND(ISERROR(FIND("carcass",A36))=TRUE,ISERROR(FIND("unit",A36))=TRUE,ISERROR(FIND("insert",A36))=TRUE,ISERROR(FIND("rack",A36))=TRUE,ISERROR(FIND("box",A36))=TRUE,ISERROR(FIND("shelf",A36))=TRUE),VLOOKUP(WardrobeDoorFinish,Finishing!$A$2:$K$10,9,0)*M36,IF(ISERROR(FIND("table",A36))=FALSE,VLOOKUP("Sayerlack AF0072 Interior Clear Self-Sealer",FinishingData,9,FALSE)*M36,VLOOKUP(WardrobeCarcassFinish,Finishing!$A$2:$K$40,9,0)*M36)))</f>
        <v>13.932</v>
      </c>
      <c r="O36" s="155">
        <v>3.5</v>
      </c>
      <c r="P36" s="155">
        <v>1.0</v>
      </c>
      <c r="Q36" s="152">
        <f>IF(OR(O36="",P36=""),"",((O36*X36)*(VLOOKUP("Workshop",Labour!$A$3:$E$20,4,0)/8))+((P36*AE36)*(VLOOKUP("Finishing",Labour!$A$3:$E$20,4,0)/8)))</f>
        <v>181.125</v>
      </c>
      <c r="R36" s="152">
        <f t="shared" si="4"/>
        <v>286.14424</v>
      </c>
      <c r="S36" s="156">
        <f>IF(OR(O36="",P36=""),"",IF(OR(ISERROR(FIND("carcass",$A36))=FALSE,ISERROR(FIND("unit",$A36))=FALSE),VLOOKUP(WardrobeCarcassMaterial,FixedListsCarcassMaterial,2,0),0))</f>
        <v>0</v>
      </c>
      <c r="T36" s="156">
        <f>IF(OR(O36="",P36=""),"",IF(ISERROR(FIND("door",$A36))=FALSE,VLOOKUP(WardrobeDoorStyle,FixedListsDoorStyle,2,0),0))</f>
        <v>0</v>
      </c>
      <c r="U36" s="156">
        <f>IF(OR(O36="",P36=""),"",IF(ISERROR(FIND("door",$A36))=FALSE,VLOOKUP(WardrobeDoorMaterial,FixedListsDoorMaterial,2,0),0))</f>
        <v>0</v>
      </c>
      <c r="V36" s="156">
        <f>IF(OR(O36="",P36=""),"",IF(ISERROR(FIND("drawer",$A36))=FALSE,VLOOKUP(WardrobeDrawerType,FixedListsDrawerType,2,0),0))</f>
        <v>1</v>
      </c>
      <c r="W36" s="156">
        <f>IF(OR(O36="",P36=""),"",IF(S36&gt;0,VLOOKUP(WardrobeHandleType,FixedListsHandleType,2,FALSE),0))</f>
        <v>0</v>
      </c>
      <c r="X36" s="156">
        <f t="shared" si="5"/>
        <v>1</v>
      </c>
      <c r="Y36" s="156">
        <f>IF(OR(O36="",P36=""),"",IF(OR(ISERROR(FIND("carcass",$A36))=FALSE,ISERROR(FIND("unit",$A36))=FALSE),VLOOKUP(WardrobeCarcassMaterial,FixedListsCarcassMaterial,3,0),0))</f>
        <v>0</v>
      </c>
      <c r="Z36" s="156">
        <f>IF(OR(O36="",P36=""),"",IF(ISERROR(FIND("door",$A36))=FALSE,VLOOKUP(WardrobeDoorStyle,FixedListsDoorStyle,3,0),0))</f>
        <v>0</v>
      </c>
      <c r="AA36" s="156">
        <f>IF(OR(O36="",P36=""),"",IF(ISERROR(FIND("door",$A36))=FALSE,VLOOKUP(WardrobeDoorMaterial,FixedListsDoorMaterial,3,0),0))</f>
        <v>0</v>
      </c>
      <c r="AB36" s="156">
        <f>IF(OR(O36="",P36=""),"",IF(ISERROR(FIND("drawer",$A36))=FALSE,VLOOKUP(WardrobeDrawerType,FixedListsDrawerType,3,0),0))</f>
        <v>1</v>
      </c>
      <c r="AC36" s="156">
        <f>IF(OR(O36="",P36=""),"",IF(S36&gt;0,VLOOKUP(WardrobeHandleType,FixedListsHandleType,3,FALSE),0))</f>
        <v>0</v>
      </c>
      <c r="AD36" s="156">
        <f>IF(OR(O36="",P36=""),"",IF(OR(ISERROR(FIND("carcass",$A36))=FALSE,ISERROR(FIND("unit",$A36))=FALSE),VLOOKUP(WardrobeCarcassFinish,FixedListsFinishes,3,0),IF(OR(ISERROR(FIND("door",$A36))=FALSE,ISERROR(FIND("Plinth",$A36))=FALSE,ISERROR(FIND("Cornice",$A36))=FALSE,ISERROR(FIND("Fillers",$A36))=FALSE,ISERROR(FIND("Pelmet",$A36))=FALSE,ISERROR(FIND("panel",$A36))=FALSE,ISERROR(FIND("post",$A36))=FALSE),VLOOKUP(WardrobeDoorFinish,FixedListsFinishes,3,0),IF(OR(ISERROR(FIND("drawer",$A36))=FALSE,ISERROR(FIND("insert",$A36))=FALSE,ISERROR(FIND("rck",$A36))=FALSE),VLOOKUP(WardrobeCarcassFinish,FixedListsFinishes,3,0),0))))</f>
        <v>1</v>
      </c>
      <c r="AE36" s="156">
        <f t="shared" si="6"/>
        <v>1</v>
      </c>
      <c r="AF36" s="157" t="str">
        <f>IF(AND(WardrobeHandleType="Channel",OR(ISERROR(FIND("arcass",$A36))=FALSE,ISERROR(FIND("unit",$A36))=FALSE)),IF(ISERROR(FIND("Tower",$A36))=TRUE,IF(WardrobeHandleFinish="Match carcass",IF(ISERROR(FIND("Walnut",WardrobeCarcassMaterial))=FALSE,(0.035*0.075*($C36/1000))*VLOOKUP("Walnut (solid m3)",SolidData,4,FALSE),IF(ISERROR(FIND("Oak",WardrobeCarcassMaterial))=FALSE,(0.035*0.075*($C36/1000))*VLOOKUP("Oak (solid m3)",SolidData,4,FALSE),IF(ISERROR(FIND("ply",WardrobeCarcassMaterial))=FALSE,(0.1*($C36/1000))*VLOOKUP("Birch ply (24mm)",SheetsData,7,FALSE),IF(ISERROR(FIND("H/F",WardrobeCarcassMaterial))=FALSE,(0.1*($C36/1000))*VLOOKUP("H/F (22mm)",SheetsData,7,FALSE),"Carcass - not tower - new material")))),IF(WardrobeHandleFinish="Match door",IF(ISERROR(FIND("Walnut",WardrobeDoorMaterial))=FALSE,(0.035*0.075*($C36/1000))*VLOOKUP("Walnut (solid m3)",SolidData,4,FALSE),IF(ISERROR(FIND("Oak",WardrobeDoorMaterial))=FALSE,(0.035*0.075*($C36/1000))*VLOOKUP("Oak (solid m3)",SolidData,4,FALSE),IF(ISERROR(FIND("ply",WardrobeDoorMaterial))=FALSE,(0.1*($C36/1000))*VLOOKUP("Birch ply (24mm)",SheetsData,7,FALSE),IF(ISERROR(FIND("H/F",WardrobeCarcassMaterial))=FALSE,(0.1*($C36/1000))*VLOOKUP("H/F (22mm)",SheetsData,7,FALSE),"Door - not tower - new material")))),"Channel - not tower - handle set to other")),IF(ISERROR(FIND("Tower",$A36))=FALSE,IF(WardrobeHandleFinish="Match carcass",IF(ISERROR(FIND("Walnut",WardrobeCarcassMaterial))=FALSE,(0.035*0.075*($B36/1000))*VLOOKUP("Walnut (solid m3)",SolidData,4,FALSE),IF(ISERROR(FIND("Oak",WardrobeCarcassMaterial))=FALSE,(0.035*0.075*($B36/1000))*VLOOKUP("Oak (solid m3)",SolidData,4,FALSE),IF(ISERROR(FIND("ply",WardrobeCarcassMaterial))=FALSE,(0.1*($B36/1000))*VLOOKUP("Birch ply (24mm)",SheetsData,7,FALSE),IF(ISERROR(FIND("H/F",WardrobeCarcassMaterial))=FALSE,(0.1*($C36/1000))*VLOOKUP("H/F (22mm)",SheetsData,7,FALSE),"Carcass - tower - new material")))),IF(WardrobeHandleFinish="Match door",IF(ISERROR(FIND("Walnut",WardrobeDoorMaterial))=FALSE,(0.035*0.075*($B36/1000))*VLOOKUP("Walnut (solid m3)",SolidData,4,FALSE),IF(ISERROR(FIND("Oak",WardrobeDoorMaterial))=FALSE,(0.035*0.075*($B36/1000))*VLOOKUP("Oak (solid m3)",SolidData,4,FALSE),IF(ISERROR(FIND("ply",WardrobeDoorMaterial))=FALSE,(0.1*($B36/1000))*VLOOKUP("Birch ply (24mm)",SheetData,7,FALSE),IF(ISERROR(FIND("H/F",WardrobeCarcassMaterial))=FALSE,(0.1*($C36/1000))*VLOOKUP("H/F (22mm)",SheetsData,7,FALSE),"Door - tower - new material")))),"Channel - tower - handle set to other")))),"")</f>
        <v/>
      </c>
    </row>
    <row r="37">
      <c r="A37" s="150" t="s">
        <v>202</v>
      </c>
      <c r="B37" s="160" t="str">
        <f t="shared" si="1"/>
        <v>180</v>
      </c>
      <c r="C37" s="160" t="str">
        <f>IFERROR(__xludf.DUMMYFUNCTION("IF(A37="""","""",IF(ISERROR(FIND(""arcass"",A37))=FALSE,MID(A37,FIND(""*"",A37)+1,FIND(""*"",A37,FIND(""*"",A37)+1)-FIND(""*"",A37)-1),IF(ISERROR(FIND(""End panel"",A37))=FALSE,RIGHT(A37,3),IF(OR(ISERROR(FIND(""drawer"",A37))=FALSE,ISERROR(FIND(""door"",A"&amp;"37))=FALSE,ISERROR(FIND(""shelf"",A37))=FALSE,ISERROR(FIND(""panel"",A37))=FALSE,ISERROR(FIND(""Plinth"",A37))=FALSE,ISERROR(FIND(""Cornice"",A37))=FALSE,ISERROR(FIND(""Fillers"",A37))=FALSE,ISERROR(FIND(""Pelmet"",A37))=FALSE,ISERROR(FIND(""Fireplace up "&amp;"to 1600"",A37))=FALSE),RIGHT(A37,LEN(A37)-LEN(regexextract(A37,"".* ""))),IF(ISERROR(FIND(""table"",A37))=FALSE,""560"",IF(ISERROR(FIND(""Office pod"",A37))=FALSE,""1600"",IF(ISERROR(FIND(""Fireplace over 1600"",A37))=FALSE,""2400"",IF(ISERROR(FIND(""Work"&amp;"top"",A37))=FALSE,""650"",""Whoops""))))))))"),"600")</f>
        <v>600</v>
      </c>
      <c r="D37" s="161" t="str">
        <f t="shared" si="2"/>
        <v/>
      </c>
      <c r="E37" s="152">
        <f>IF(OR(A37="",AND(ISERROR(FIND("drawer",A37))=FALSE,WardrobeDrawerType="")),"",IF(ISERROR(FIND("door",A37))=FALSE,IF(WardrobeDoorStyle="Flat",((B37/1000)*(C37/1000))*VLOOKUP(WardrobeDoorMaterial,SheetsData,8,0),IF(LEFT(WardrobeDoorStyle,5)="Panel",(((((B37/1000)*2)*0.08)+((((C37/1000)-0.16)*2)*0.08))*VLOOKUP("H/F (22mm)",SheetsData,8,0))+(((B37/1000)-0.14)*((C37/1000)-0.14)*VLOOKUP("H/F (9mm)",SheetsData,8,0)),IF(WardrobeDoorStyle="In-frame flat",((((((B37/1000)*0.019)*0.038)+((((C37-38)/1000)*0.038)*0.038))*2)*VLOOKUP("Tulip (solid m3)",SolidData,4,0))+(((B37-76)/1000)*((C37-38)/1000))*VLOOKUP("H/F (22mm)",SheetsData,8,0),IF(LEFT(WardrobeDoorStyle,14)="In-frame panel",(((((((B37/1000)*0.019)*0.038)+((((C37-38)/1000)*0.038)*0.038))*2)*VLOOKUP("Tulip (solid m3)",SolidData,4,0))+(((((((B37-76)/1000)*2)*0.08)+(((((C37-198)/1000)*2)*0.08)))*VLOOKUP("H/F (22mm)",SheetsData,8,0))+(((B37-216)/1000)*((C37-178)/1000)*VLOOKUP("H/F (9mm)",SheetsData,8,0)))))))),IF(AND(ISERROR(FIND("arcass",A37))=FALSE,ISERROR(FIND("ost corner",A37))=TRUE),IF(AND(VALUE(B37)&lt;1211,VALUE(C37)&lt;1211,VALUE(D37)&lt;606),1*VLOOKUP(WardrobeCarcassMaterial,SheetsData,5,FALSE),IF(AND(VALUE(B37)&lt;2421,VALUE(C37)&lt;2421,VALUE(D37)&lt;606),2*VLOOKUP(WardrobeCarcassMaterial,SheetsData,5,FALSE),IF(AND(VALUE(B37)&lt;2421,VALUE(C37)&lt;1211,VALUE(D37)&lt;1211),3*VLOOKUP(WardrobeCarcassMaterial,SheetsData,5,FALSE),IF(AND(VALUE(B37)&lt;2421,VALUE(C37)&lt;2421,VALUE(D37)&lt;1211),4*VLOOKUP(WardrobeCarcassMaterial,SheetsData,5,FALSE))))),IF(AND(ISERROR(FIND("arcass",A37))=FALSE,ISERROR(FIND("ost corner",A37))=FALSE),IF(AND(VALUE(B37)&lt;1211,VALUE(C37)&lt;1211,VALUE(D37)&lt;606),(1*VLOOKUP(WardrobeCarcassMaterial,SheetsData,5,FALSE))+(VLOOKUP("H/F (22mm)",SheetsData,7,FALSE)*1.44),IF(AND(VALUE(B37)&lt;2421,VALUE(C37)&lt;2421,VALUE(D37)&lt;606),(2*VLOOKUP(WardrobeCarcassMaterial,SheetsData,5,FALSE))+(VLOOKUP("H/F (22mm)",SheetsData,7,FALSE)*1.44),IF(AND(VALUE(B37)&lt;2421,VALUE(C37)&lt;1211,VALUE(D37)&lt;1211),(3*VLOOKUP(WardrobeCarcassMaterial,SheetsData,5,FALSE))+(VLOOKUP("H/F (22mm)",SheetsData,7,FALSE)*1.44),IF(AND(VALUE(B37)&lt;2421,VALUE(C37)&lt;2421,VALUE(D37)&lt;1211),(4*VLOOKUP(WardrobeCarcassMaterial,SheetsData,5,FALSE))+(VLOOKUP("H/F (22mm)",SheetsData,7,FALSE)*1.44))))),IF(ISERROR(FIND("drawer front",A37))=FALSE,((B37/1000)*(C37/1000))*VLOOKUP(WardrobeDoorMaterial,SheetsData,8,0),IF(AND(WardrobeDrawerType="Match carcass",ISERROR(FIND("drawer box",A37))=FALSE),(((((B37/1000)*(C37/1000))+((B37/1000)*(D37/1000)))*2)*VLOOKUP(WardrobeCarcassMaterial,SheetsData,8,0))+(((C37/1000)*(D37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box",A37))=FALSE),(((((B37/1000)*(C37/1000))+((B37/1000)*(D37/1000)))*2)*(16/1000)*VLOOKUP(LEFT(WardrobeCarcassMaterial,FIND(" ",WardrobeCarcassMaterial))&amp;"(solid m3)",SolidData,4,0))+(((C37/1000)*(D37/1000))*VLOOKUP(LEFT(WardrobeCarcassMaterial,FIND("(",WardrobeCarcassMaterial)-1)&amp;IF(OR(ISERROR(FIND("ply",WardrobeCarcassMaterial))=FALSE,ISERROR(FIND("H/F",WardrobeCarcassMaterial))=FALSE),"(9mm)","(10mm)"),SheetsData,8,0)),IF(ISERROR(FIND("shelf",A37))=FALSE,((C37/1000)*(D37/1000))*VLOOKUP(WardrobeCarcassMaterial,SheetsData,7,FALSE),IF(ISERROR(FIND("Office pod",A37))=FALSE,3*VLOOKUP(WardrobeCarcassMaterial,SheetsData,5,0),IF(ISERROR(FIND(" panel",A37))=FALSE,((B37/1000)*(C37/1000))*VLOOKUP(WardrobeDoorMaterial,SheetsData,8,0),IF(ISERROR(FIND("Fillers",A37))=FALSE,(((0.06*(C37/1000))*2)*VLOOKUP("H/F (18mm)",SheetsData,8,0))+(((0.06*(C37/1000))*2)*VLOOKUP("H/F (9mm)",SheetsData,8,0)),IF(ISERROR(FIND("Cornice (stacked)",A37))=FALSE,((0.08*(C37/1000))*2)*VLOOKUP("H/F (22mm)",SheetsData,8,0),IF(OR(ISERROR(FIND("Plinth",A37))=FALSE,ISERROR(FIND("Cornice (flat)",A37))=FALSE),((B37/1000)*(C37/1000))*VLOOKUP("H/F (18mm)",SheetsData,8,0),IF(ISERROR(FIND("Pelmet",A37))=FALSE,((((B37/1000)*(C37/1000))*2)*VLOOKUP("H/F (18mm)",SheetsData,8,0)),IF(ISERROR(FIND("Fireplace",A37))=FALSE,IF(ISERROR(FIND("over 1600",A37))=FALSE,2*VLOOKUP(WardrobeCarcassMaterial,SheetsData,5,FALSE),VLOOKUP(WardrobeCarcassMaterial,SheetsData,5,FALSE)),IF(ISERROR(FIND("table",A37))=FALSE,((B37/1000)*0.6)*VLOOKUP("Birch ply (24mm)",SheetsData,7,FALSE),IF(ISERROR(FIND("Worktop",A37))=FALSE,((B37/1000)*(C37/1000))*VLOOKUP(WardrobeDoorMaterial,SheetsData,7,FALSE),"Check formula")))))))))))))))))</f>
        <v>1.993617307</v>
      </c>
      <c r="F37" s="152">
        <f>IFERROR(__xludf.DUMMYFUNCTION("IF(OR(A37="""",AND(ISERROR(FIND(""drawer box"",A37))=FALSE,WardrobeDrawerType=""Solid dovetail"")),"""",IF(ISERROR(FIND(""bins"",A37))=FALSE,VLOOKUP(""Base carcass 600"",Wardrobes_etcData,6,0),IF(OR(ISERROR(FIND(""larder"",A37))=FALSE,ISERROR(FIND(""unit"&amp;""",A37))=FALSE),VLOOKUP(LEFT(A37,FIND("" "",A37))&amp;""carcass ""&amp;RIGHT(A37,LEN(A37)-len(regexextract(A37,"".* ""))),Wardrobes_etcData,6,0),IF(ISERROR(FIND(""drawer front"",A37))=FALSE,IF(ISERROR(FIND(""veneer"",WardrobeCarcassMaterial))=TRUE,0,(((B37+C37)/1"&amp;"000)*2)*VLOOKUP(""Edge banding (per M)"",SheetsData,5,0)),IF(ISERROR(FIND(""drawer box"",A37))=FALSE,IF(ISERROR(FIND(""veneer"",WardrobeCarcassMaterial))=TRUE,0,(((C37+D37)/1000)*2)*VLOOKUP(""Edge banding (per M)"",SheetsData,5,0)),IF(ISERROR(FIND(""shelf"&amp;""",A37))=FALSE,IF(ISERROR(FIND(""veneer"",WardrobeCarcassMaterial))=TRUE,0,(C37/1000)*VLOOKUP(""Edge banding (per M)"",SheetsData,5,0)),IF(AND(OR(ISERROR(FIND(""arcass"",A37))=FALSE,ISERROR(FIND(""Fireplace"",A37))=FALSE),ISERROR(FIND(""shelf"",A37))=TRUE"&amp;"),IF(ISERROR(FIND(""veneer"",WardrobeCarcassMaterial))=TRUE,0,((2*(B37+C37))/1000)*VLOOKUP(""Edge banding (per M)"",SheetsData,5,0)),IF(ISERROR(FIND(""door"",A37))=TRUE,"""",IF(ISERROR(FIND(""veneer"",WardrobeDoorMaterial))=TRUE,"""",((2*(B37+C37))/1000)*"&amp;"VLOOKUP(""Edge banding (per M)"",SheetsData,5,0))))))))))"),0.0)</f>
        <v>0</v>
      </c>
      <c r="G37" s="153" t="str">
        <f>IF(A37="","",IF(AND(ISERROR(FIND("arcass",A37))=TRUE,ISERROR(FIND("Fireplace",A37))=TRUE),"",IF(VALUE(C37)&lt;606,4*VLOOKUP("Plinth foot (2 Parts 80mm)",FurnitureData,5,FALSE),IF(VALUE(C37)&lt;1211,6*VLOOKUP("Plinth foot (2 Parts 80mm)",FurnitureData,5,FALSE),8*VLOOKUP("Plinth foot (2 Parts 80mm)",FurnitureData,5,FALSE)))))</f>
        <v/>
      </c>
      <c r="H37" s="115" t="str">
        <f>IF(OR(A37="",ISERROR(FIND("door",A37))=TRUE),"",VLOOKUP("Hinges &amp; plates (Hettich thick door)",FurnitureData,5,0)*5)</f>
        <v/>
      </c>
      <c r="I37" s="115" t="str">
        <f>IF(ISERROR(FIND("shelf",A37))=FALSE,(VLOOKUP("Shelf pegs",FurnitureData,5,0)/100)*4,"")</f>
        <v/>
      </c>
      <c r="J37" s="152" t="str">
        <f>IF(OR(ISERROR(FIND("fridge/freezer",A37))=FALSE,ISERROR(FIND("sink",A37))=FALSE,ISERROR(FIND("larder",A37))=FALSE),VLOOKUP("Deep shelf "&amp;C37,Wardrobes_etcData,18,0),IF(OR(ISERROR(FIND("single oven",A37))=FALSE,ISERROR(FIND("Base carcass",A37))=FALSE),2*VLOOKUP("Deep shelf "&amp;C37,Wardrobes_etcData,18,0),IF(AND(ISERROR(FIND("wall carcass",A37))=FALSE,ISERROR(FIND("Boiler",A37))=TRUE),2*VLOOKUP("Shallow shelf "&amp;C37,Wardrobes_etcData,18,0),IF(ISERROR(FIND("double oven",A37))=FALSE,3*VLOOKUP("Deep shelf "&amp;C37,Wardrobes_etcData,18,0),IF(ISERROR(FIND("Tower carcass",A37))=FALSE,6*VLOOKUP("Deep shelf "&amp;C37,Wardrobes_etcData,18,0),"")))))</f>
        <v/>
      </c>
      <c r="K37" s="152" t="str">
        <f>IF(ISERROR(FIND("sink",A37))=FALSE,VLOOKUP("Sink liner - Aluminium "&amp;RIGHT(A37,LEN(A37)-22)&amp;"mm",ExceptionalData,5,0),IF(ISERROR(FIND("bins",A37))=FALSE,VLOOKUP("Drawer runners and clip set for bin unit (500) Dynapro",FurnitureData,5,0)+(2*VLOOKUP("Bin (42L Anthracite)",FurnitureData,5,0)),IF(ISERROR(FIND("larder",A37))=FALSE,VLOOKUP("Pull out larder unit 600mm",FurnitureData,5,0),IF(AND(ISERROR(FIND("drawer box",A37))=FALSE,ISERROR(FIND("internal",A37))=TRUE),VLOOKUP("Drawer runners and clip set (550) Dynapro",FurnitureData,5,0),IF(ISERROR(FIND("internal drawer box",A37))=FALSE,VLOOKUP("Drawer runners and clip set (450) Dynapro",FurnitureData,5,0),IF(ISERROR(FIND("table",A37))=FALSE,VLOOKUP("Hairpin Leg (12mm Black "&amp;MID(A37,FIND("(",A37)+1,LEN(A37)-(FIND("(",A37))-1)&amp;"mm)",ExceptionalData,4,FALSE),""))))))</f>
        <v/>
      </c>
      <c r="L37" s="152">
        <f t="shared" si="3"/>
        <v>1.993617307</v>
      </c>
      <c r="M37" s="154">
        <f>IF(A37="","",IF(AND(ISERROR(FIND("drawer front",A37))=FALSE,WardrobeDoorStyle="Flat"),(((B37/1000)*(C37/1000))*2)+((((B37+C37)/1000)*2)*0.022),IF(AND(ISERROR(FIND("drawer front",A37))=FALSE,LEFT(WardrobeDoorStyle,5)="Panel"),(((B37/1000)*(C37/1000))*2)+((((B37+C37)/1000)*2)*0.022)+((((C37/1000)-0.16)*0.013)*2)+((((D37/1000)-0.16)*0.013)*2),IF(AND(ISERROR(FIND("drawer front",A37))=FALSE,WardrobeDoorStyle="In-frame flat"),((((B37-76)/1000)*((C37-38)/1000))*2)+(MID(WardrobeDoorMaterial,FIND("(",WardrobeDoorMaterial)+1,2)/1000)*((((B37-76)+(C37-38))/1000)*2)+(((B37/1000)*0.032)*2)+((((B37-76)/1000)*0.032)*2)+(((B37/1000)*0.019)*4)+(((C37/1000)*0.032)*2)+((((C37-38)/1000)*0.032)*2)+(((C37/1000)*0.038)*4),IF(AND(ISERROR(FIND("drawer front",A37))=FALSE,LEFT(WardrobeDoorStyle,14)="In-frame panel"),((((B37-76)/1000)*((C37-38)/1000))*2)+((MID(WardrobeDoorMaterial,FIND("(",WardrobeDoorMaterial)+1,2)/1000)*((((B37-76)+(C37-38))/1000)*2))+((((B37-236)/1000)+((C37-198)/1000)*2)*0.013)+(((B37/1000)*0.032)*2)+((((B37-76)/1000)*0.032)*2)+(((B37/1000)*0.019)*4)+(((C37/1000)*0.032)*2)+((((C37-38)/1000)*0.032)*2)+(((C37/1000)*0.038)*4),IF(ISERROR(FIND("drawer box",A37))=FALSE,((((B37/1000)*(D37/1000))+((B37/1000)*(C37/1000)))*4)+((((D37/1000)+(C37/1000))*0.016)*4)+(((C37/1000)*(D37/1000))*2),IF(OR(ISERROR(FIND("shelf",A37))=FALSE,ISERROR(FIND("Filler panel",A37))=FALSE),(((C37/1000)*(D37/1000))*2)+((((C37+D37)*2)/1000)*0.022),IF(ISERROR(FIND("Fireplace",A37))=FALSE,((B37/1000)*(C37/1000)),IF(ISERROR(FIND("Worktop",A37))=FALSE,(B37/1000)*(C37/1000),IF(ISERROR(FIND("table",A37))=FALSE,(B37/1000)*0.6,IF(ISERROR(FIND("arcass",A37))=FALSE,(((C37/1000)*(D37/1000))*2)+(((B37/1000)*(D37/1000))*2)+((B37/1000)*(C37/1000))+((((B37/1000)*0.025)+((C37/1000)*0.025))*2),IF(AND(ISERROR(FIND("door",A37))=FALSE,WardrobeDoorStyle="Flat"),(((B37/1000)*(C37/1000))*2)+(MID(WardrobeDoorMaterial,FIND("(",WardrobeDoorMaterial)+1,2)/1000)*(((B37+C37)/1000)*2),IF(AND(ISERROR(FIND("door",A37))=FALSE,LEFT(WardrobeDoorStyle,5)="Panel"),(((B37/1000)*(C37/1000))*2)+((MID(WardrobeDoorMaterial,FIND("(",WardrobeDoorMaterial)+1,2)/1000)*(((B37+C37)/1000)*2))+(((((B37-160)+(C37-160))*2)/1000)*(0.013)),IF(AND(ISERROR(FIND("door",A37))=FALSE,WardrobeDoorStyle="In-frame flat"),((((B37-76)/1000)*((C37-38)/1000))*2)+(MID(WardrobeDoorMaterial,FIND("(",WardrobeDoorMaterial)+1,2)/1000)*((((B37-76)+(C37-38))/1000)*2)+(((B37/1000)*0.032)*2)+((((B37-76)/1000)*0.032)*2)+(((B37/1000)*0.019)*4)+(((C37/1000)*0.032)*2)+((((C37-38)/1000)*0.032)*2)+(((C37/1000)*0.038)*4),IF(AND(ISERROR(FIND("door",A37))=FALSE,LEFT(WardrobeDoorStyle,14)="In-frame panel"),((((B37-76)/1000)*((C37-38)/1000))*2)+((MID(WardrobeDoorMaterial,FIND("(",WardrobeDoorMaterial)+1,2)/1000)*((((B37-76)+(C37-38))/1000)*2))+((((B37-236)/1000)+((C37-198)/1000)*2)*0.013)+(((B37/1000)*0.032)*2)+((((B37-76)/1000)*0.032)*2)+(((B37/1000)*0.019)*4)+(((C37/1000)*0.032)*2)+((((C37-38)/1000)*0.032)*2)+(((C37/1000)*0.038)*4),IF(ISERROR(FIND("Plinth",A37))=FALSE,((B37/1000)*(C37/1000))+(((C37/1000)*0.018)*2)+(((B37/1000)*0.018)*2),IF(ISERROR(FIND("Cornice",A37))=FALSE,(((C37/1000)*0.1)*2)+(((C37/1000)*0.044)*2)+(((B37/1000)*0.08)*2),IF(ISERROR(FIND("Office pod",A37))=FALSE,((2400/1000)*(1200/1000))*6,IF(ISERROR(FIND("panel",A37))=FALSE,((B37/1000)*(C37/1000))+(0.022*((B37/1000)+((C37/1000)*2)))+((B37/1000)*0.05),IF(ISERROR(FIND("Fillers",A37))=FALSE,((C37/1000)*0.06)+((C37/1000)*0.069)+((0.06*0.018)*2)+((0.06*0.009)*2)+((C37/1000)*0.009)+((C37/1000)*0.018),IF(ISERROR(FIND("Pelmet",A37))=FALSE,((C37/1000)*0.05)+((C37/1000)*0.068)+((0.05*0.018)*4)+(((C37/1000)*0.018))*2)))))))))))))))))))))</f>
        <v>0.2576</v>
      </c>
      <c r="N37" s="152">
        <f>IF(M37="","",IF(AND(ISERROR(FIND("carcass",A37))=TRUE,ISERROR(FIND("unit",A37))=TRUE,ISERROR(FIND("insert",A37))=TRUE,ISERROR(FIND("rack",A37))=TRUE,ISERROR(FIND("box",A37))=TRUE,ISERROR(FIND("shelf",A37))=TRUE),VLOOKUP(WardrobeDoorFinish,Finishing!$A$2:$K$10,9,0)*M37,IF(ISERROR(FIND("table",A37))=FALSE,VLOOKUP("Sayerlack AF0072 Interior Clear Self-Sealer",FinishingData,9,FALSE)*M37,VLOOKUP(WardrobeCarcassFinish,Finishing!$A$2:$K$40,9,0)*M37)))</f>
        <v>1.932</v>
      </c>
      <c r="O37" s="155">
        <v>0.5</v>
      </c>
      <c r="P37" s="155">
        <v>0.5</v>
      </c>
      <c r="Q37" s="152">
        <f>IF(OR(O37="",P37=""),"",((O37*X37)*(VLOOKUP("Workshop",Labour!$A$3:$E$20,4,0)/8))+((P37*AE37)*(VLOOKUP("Finishing",Labour!$A$3:$E$20,4,0)/8)))</f>
        <v>35.875</v>
      </c>
      <c r="R37" s="152">
        <f t="shared" si="4"/>
        <v>39.80061731</v>
      </c>
      <c r="S37" s="156">
        <f>IF(OR(O37="",P37=""),"",IF(OR(ISERROR(FIND("carcass",$A37))=FALSE,ISERROR(FIND("unit",$A37))=FALSE),VLOOKUP(WardrobeCarcassMaterial,FixedListsCarcassMaterial,2,0),0))</f>
        <v>0</v>
      </c>
      <c r="T37" s="156">
        <f>IF(OR(O37="",P37=""),"",IF(ISERROR(FIND("door",$A37))=FALSE,VLOOKUP(WardrobeDoorStyle,FixedListsDoorStyle,2,0),0))</f>
        <v>0</v>
      </c>
      <c r="U37" s="156">
        <f>IF(OR(O37="",P37=""),"",IF(ISERROR(FIND("door",$A37))=FALSE,VLOOKUP(WardrobeDoorMaterial,FixedListsDoorMaterial,2,0),0))</f>
        <v>0</v>
      </c>
      <c r="V37" s="156">
        <f>IF(OR(O37="",P37=""),"",IF(ISERROR(FIND("drawer",$A37))=FALSE,VLOOKUP(WardrobeDrawerType,FixedListsDrawerType,2,0),0))</f>
        <v>1</v>
      </c>
      <c r="W37" s="156">
        <f>IF(OR(O37="",P37=""),"",IF(S37&gt;0,VLOOKUP(WardrobeHandleType,FixedListsHandleType,2,FALSE),0))</f>
        <v>0</v>
      </c>
      <c r="X37" s="156">
        <f t="shared" si="5"/>
        <v>1</v>
      </c>
      <c r="Y37" s="156">
        <f>IF(OR(O37="",P37=""),"",IF(OR(ISERROR(FIND("carcass",$A37))=FALSE,ISERROR(FIND("unit",$A37))=FALSE),VLOOKUP(WardrobeCarcassMaterial,FixedListsCarcassMaterial,3,0),0))</f>
        <v>0</v>
      </c>
      <c r="Z37" s="156">
        <f>IF(OR(O37="",P37=""),"",IF(ISERROR(FIND("door",$A37))=FALSE,VLOOKUP(WardrobeDoorStyle,FixedListsDoorStyle,3,0),0))</f>
        <v>0</v>
      </c>
      <c r="AA37" s="156">
        <f>IF(OR(O37="",P37=""),"",IF(ISERROR(FIND("door",$A37))=FALSE,VLOOKUP(WardrobeDoorMaterial,FixedListsDoorMaterial,3,0),0))</f>
        <v>0</v>
      </c>
      <c r="AB37" s="156">
        <f>IF(OR(O37="",P37=""),"",IF(ISERROR(FIND("drawer",$A37))=FALSE,VLOOKUP(WardrobeDrawerType,FixedListsDrawerType,3,0),0))</f>
        <v>1</v>
      </c>
      <c r="AC37" s="156">
        <f>IF(OR(O37="",P37=""),"",IF(S37&gt;0,VLOOKUP(WardrobeHandleType,FixedListsHandleType,3,FALSE),0))</f>
        <v>0</v>
      </c>
      <c r="AD37" s="156">
        <f>IF(OR(O37="",P37=""),"",IF(OR(ISERROR(FIND("carcass",$A37))=FALSE,ISERROR(FIND("unit",$A37))=FALSE),VLOOKUP(WardrobeCarcassFinish,FixedListsFinishes,3,0),IF(OR(ISERROR(FIND("door",$A37))=FALSE,ISERROR(FIND("Plinth",$A37))=FALSE,ISERROR(FIND("Cornice",$A37))=FALSE,ISERROR(FIND("Fillers",$A37))=FALSE,ISERROR(FIND("Pelmet",$A37))=FALSE,ISERROR(FIND("panel",$A37))=FALSE,ISERROR(FIND("post",$A37))=FALSE),VLOOKUP(WardrobeDoorFinish,FixedListsFinishes,3,0),IF(OR(ISERROR(FIND("drawer",$A37))=FALSE,ISERROR(FIND("insert",$A37))=FALSE,ISERROR(FIND("rck",$A37))=FALSE),VLOOKUP(WardrobeCarcassFinish,FixedListsFinishes,3,0),0))))</f>
        <v>1</v>
      </c>
      <c r="AE37" s="156">
        <f t="shared" si="6"/>
        <v>1</v>
      </c>
      <c r="AF37" s="157" t="str">
        <f>IF(AND(WardrobeHandleType="Channel",OR(ISERROR(FIND("arcass",$A37))=FALSE,ISERROR(FIND("unit",$A37))=FALSE)),IF(ISERROR(FIND("Tower",$A37))=TRUE,IF(WardrobeHandleFinish="Match carcass",IF(ISERROR(FIND("Walnut",WardrobeCarcassMaterial))=FALSE,(0.035*0.075*($C37/1000))*VLOOKUP("Walnut (solid m3)",SolidData,4,FALSE),IF(ISERROR(FIND("Oak",WardrobeCarcassMaterial))=FALSE,(0.035*0.075*($C37/1000))*VLOOKUP("Oak (solid m3)",SolidData,4,FALSE),IF(ISERROR(FIND("ply",WardrobeCarcassMaterial))=FALSE,(0.1*($C37/1000))*VLOOKUP("Birch ply (24mm)",SheetsData,7,FALSE),IF(ISERROR(FIND("H/F",WardrobeCarcassMaterial))=FALSE,(0.1*($C37/1000))*VLOOKUP("H/F (22mm)",SheetsData,7,FALSE),"Carcass - not tower - new material")))),IF(WardrobeHandleFinish="Match door",IF(ISERROR(FIND("Walnut",WardrobeDoorMaterial))=FALSE,(0.035*0.075*($C37/1000))*VLOOKUP("Walnut (solid m3)",SolidData,4,FALSE),IF(ISERROR(FIND("Oak",WardrobeDoorMaterial))=FALSE,(0.035*0.075*($C37/1000))*VLOOKUP("Oak (solid m3)",SolidData,4,FALSE),IF(ISERROR(FIND("ply",WardrobeDoorMaterial))=FALSE,(0.1*($C37/1000))*VLOOKUP("Birch ply (24mm)",SheetsData,7,FALSE),IF(ISERROR(FIND("H/F",WardrobeCarcassMaterial))=FALSE,(0.1*($C37/1000))*VLOOKUP("H/F (22mm)",SheetsData,7,FALSE),"Door - not tower - new material")))),"Channel - not tower - handle set to other")),IF(ISERROR(FIND("Tower",$A37))=FALSE,IF(WardrobeHandleFinish="Match carcass",IF(ISERROR(FIND("Walnut",WardrobeCarcassMaterial))=FALSE,(0.035*0.075*($B37/1000))*VLOOKUP("Walnut (solid m3)",SolidData,4,FALSE),IF(ISERROR(FIND("Oak",WardrobeCarcassMaterial))=FALSE,(0.035*0.075*($B37/1000))*VLOOKUP("Oak (solid m3)",SolidData,4,FALSE),IF(ISERROR(FIND("ply",WardrobeCarcassMaterial))=FALSE,(0.1*($B37/1000))*VLOOKUP("Birch ply (24mm)",SheetsData,7,FALSE),IF(ISERROR(FIND("H/F",WardrobeCarcassMaterial))=FALSE,(0.1*($C37/1000))*VLOOKUP("H/F (22mm)",SheetsData,7,FALSE),"Carcass - tower - new material")))),IF(WardrobeHandleFinish="Match door",IF(ISERROR(FIND("Walnut",WardrobeDoorMaterial))=FALSE,(0.035*0.075*($B37/1000))*VLOOKUP("Walnut (solid m3)",SolidData,4,FALSE),IF(ISERROR(FIND("Oak",WardrobeDoorMaterial))=FALSE,(0.035*0.075*($B37/1000))*VLOOKUP("Oak (solid m3)",SolidData,4,FALSE),IF(ISERROR(FIND("ply",WardrobeDoorMaterial))=FALSE,(0.1*($B37/1000))*VLOOKUP("Birch ply (24mm)",SheetData,7,FALSE),IF(ISERROR(FIND("H/F",WardrobeCarcassMaterial))=FALSE,(0.1*($C37/1000))*VLOOKUP("H/F (22mm)",SheetsData,7,FALSE),"Door - tower - new material")))),"Channel - tower - handle set to other")))),"")</f>
        <v/>
      </c>
    </row>
    <row r="38">
      <c r="A38" s="150" t="s">
        <v>203</v>
      </c>
      <c r="B38" s="160" t="str">
        <f t="shared" si="1"/>
        <v>180</v>
      </c>
      <c r="C38" s="160" t="str">
        <f>IFERROR(__xludf.DUMMYFUNCTION("IF(A38="""","""",IF(ISERROR(FIND(""arcass"",A38))=FALSE,MID(A38,FIND(""*"",A38)+1,FIND(""*"",A38,FIND(""*"",A38)+1)-FIND(""*"",A38)-1),IF(ISERROR(FIND(""End panel"",A38))=FALSE,RIGHT(A38,3),IF(OR(ISERROR(FIND(""drawer"",A38))=FALSE,ISERROR(FIND(""door"",A"&amp;"38))=FALSE,ISERROR(FIND(""shelf"",A38))=FALSE,ISERROR(FIND(""panel"",A38))=FALSE,ISERROR(FIND(""Plinth"",A38))=FALSE,ISERROR(FIND(""Cornice"",A38))=FALSE,ISERROR(FIND(""Fillers"",A38))=FALSE,ISERROR(FIND(""Pelmet"",A38))=FALSE,ISERROR(FIND(""Fireplace up "&amp;"to 1600"",A38))=FALSE),RIGHT(A38,LEN(A38)-LEN(regexextract(A38,"".* ""))),IF(ISERROR(FIND(""table"",A38))=FALSE,""560"",IF(ISERROR(FIND(""Office pod"",A38))=FALSE,""1600"",IF(ISERROR(FIND(""Fireplace over 1600"",A38))=FALSE,""2400"",IF(ISERROR(FIND(""Work"&amp;"top"",A38))=FALSE,""650"",""Whoops""))))))))"),"1200")</f>
        <v>1200</v>
      </c>
      <c r="D38" s="161" t="str">
        <f t="shared" si="2"/>
        <v/>
      </c>
      <c r="E38" s="152">
        <f>IF(OR(A38="",AND(ISERROR(FIND("drawer",A38))=FALSE,WardrobeDrawerType="")),"",IF(ISERROR(FIND("door",A38))=FALSE,IF(WardrobeDoorStyle="Flat",((B38/1000)*(C38/1000))*VLOOKUP(WardrobeDoorMaterial,SheetsData,8,0),IF(LEFT(WardrobeDoorStyle,5)="Panel",(((((B38/1000)*2)*0.08)+((((C38/1000)-0.16)*2)*0.08))*VLOOKUP("H/F (22mm)",SheetsData,8,0))+(((B38/1000)-0.14)*((C38/1000)-0.14)*VLOOKUP("H/F (9mm)",SheetsData,8,0)),IF(WardrobeDoorStyle="In-frame flat",((((((B38/1000)*0.019)*0.038)+((((C38-38)/1000)*0.038)*0.038))*2)*VLOOKUP("Tulip (solid m3)",SolidData,4,0))+(((B38-76)/1000)*((C38-38)/1000))*VLOOKUP("H/F (22mm)",SheetsData,8,0),IF(LEFT(WardrobeDoorStyle,14)="In-frame panel",(((((((B38/1000)*0.019)*0.038)+((((C38-38)/1000)*0.038)*0.038))*2)*VLOOKUP("Tulip (solid m3)",SolidData,4,0))+(((((((B38-76)/1000)*2)*0.08)+(((((C38-198)/1000)*2)*0.08)))*VLOOKUP("H/F (22mm)",SheetsData,8,0))+(((B38-216)/1000)*((C38-178)/1000)*VLOOKUP("H/F (9mm)",SheetsData,8,0)))))))),IF(AND(ISERROR(FIND("arcass",A38))=FALSE,ISERROR(FIND("ost corner",A38))=TRUE),IF(AND(VALUE(B38)&lt;1211,VALUE(C38)&lt;1211,VALUE(D38)&lt;606),1*VLOOKUP(WardrobeCarcassMaterial,SheetsData,5,FALSE),IF(AND(VALUE(B38)&lt;2421,VALUE(C38)&lt;2421,VALUE(D38)&lt;606),2*VLOOKUP(WardrobeCarcassMaterial,SheetsData,5,FALSE),IF(AND(VALUE(B38)&lt;2421,VALUE(C38)&lt;1211,VALUE(D38)&lt;1211),3*VLOOKUP(WardrobeCarcassMaterial,SheetsData,5,FALSE),IF(AND(VALUE(B38)&lt;2421,VALUE(C38)&lt;2421,VALUE(D38)&lt;1211),4*VLOOKUP(WardrobeCarcassMaterial,SheetsData,5,FALSE))))),IF(AND(ISERROR(FIND("arcass",A38))=FALSE,ISERROR(FIND("ost corner",A38))=FALSE),IF(AND(VALUE(B38)&lt;1211,VALUE(C38)&lt;1211,VALUE(D38)&lt;606),(1*VLOOKUP(WardrobeCarcassMaterial,SheetsData,5,FALSE))+(VLOOKUP("H/F (22mm)",SheetsData,7,FALSE)*1.44),IF(AND(VALUE(B38)&lt;2421,VALUE(C38)&lt;2421,VALUE(D38)&lt;606),(2*VLOOKUP(WardrobeCarcassMaterial,SheetsData,5,FALSE))+(VLOOKUP("H/F (22mm)",SheetsData,7,FALSE)*1.44),IF(AND(VALUE(B38)&lt;2421,VALUE(C38)&lt;1211,VALUE(D38)&lt;1211),(3*VLOOKUP(WardrobeCarcassMaterial,SheetsData,5,FALSE))+(VLOOKUP("H/F (22mm)",SheetsData,7,FALSE)*1.44),IF(AND(VALUE(B38)&lt;2421,VALUE(C38)&lt;2421,VALUE(D38)&lt;1211),(4*VLOOKUP(WardrobeCarcassMaterial,SheetsData,5,FALSE))+(VLOOKUP("H/F (22mm)",SheetsData,7,FALSE)*1.44))))),IF(ISERROR(FIND("drawer front",A38))=FALSE,((B38/1000)*(C38/1000))*VLOOKUP(WardrobeDoorMaterial,SheetsData,8,0),IF(AND(WardrobeDrawerType="Match carcass",ISERROR(FIND("drawer box",A38))=FALSE),(((((B38/1000)*(C38/1000))+((B38/1000)*(D38/1000)))*2)*VLOOKUP(WardrobeCarcassMaterial,SheetsData,8,0))+(((C38/1000)*(D38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box",A38))=FALSE),(((((B38/1000)*(C38/1000))+((B38/1000)*(D38/1000)))*2)*(16/1000)*VLOOKUP(LEFT(WardrobeCarcassMaterial,FIND(" ",WardrobeCarcassMaterial))&amp;"(solid m3)",SolidData,4,0))+(((C38/1000)*(D38/1000))*VLOOKUP(LEFT(WardrobeCarcassMaterial,FIND("(",WardrobeCarcassMaterial)-1)&amp;IF(OR(ISERROR(FIND("ply",WardrobeCarcassMaterial))=FALSE,ISERROR(FIND("H/F",WardrobeCarcassMaterial))=FALSE),"(9mm)","(10mm)"),SheetsData,8,0)),IF(ISERROR(FIND("shelf",A38))=FALSE,((C38/1000)*(D38/1000))*VLOOKUP(WardrobeCarcassMaterial,SheetsData,7,FALSE),IF(ISERROR(FIND("Office pod",A38))=FALSE,3*VLOOKUP(WardrobeCarcassMaterial,SheetsData,5,0),IF(ISERROR(FIND(" panel",A38))=FALSE,((B38/1000)*(C38/1000))*VLOOKUP(WardrobeDoorMaterial,SheetsData,8,0),IF(ISERROR(FIND("Fillers",A38))=FALSE,(((0.06*(C38/1000))*2)*VLOOKUP("H/F (18mm)",SheetsData,8,0))+(((0.06*(C38/1000))*2)*VLOOKUP("H/F (9mm)",SheetsData,8,0)),IF(ISERROR(FIND("Cornice (stacked)",A38))=FALSE,((0.08*(C38/1000))*2)*VLOOKUP("H/F (22mm)",SheetsData,8,0),IF(OR(ISERROR(FIND("Plinth",A38))=FALSE,ISERROR(FIND("Cornice (flat)",A38))=FALSE),((B38/1000)*(C38/1000))*VLOOKUP("H/F (18mm)",SheetsData,8,0),IF(ISERROR(FIND("Pelmet",A38))=FALSE,((((B38/1000)*(C38/1000))*2)*VLOOKUP("H/F (18mm)",SheetsData,8,0)),IF(ISERROR(FIND("Fireplace",A38))=FALSE,IF(ISERROR(FIND("over 1600",A38))=FALSE,2*VLOOKUP(WardrobeCarcassMaterial,SheetsData,5,FALSE),VLOOKUP(WardrobeCarcassMaterial,SheetsData,5,FALSE)),IF(ISERROR(FIND("table",A38))=FALSE,((B38/1000)*0.6)*VLOOKUP("Birch ply (24mm)",SheetsData,7,FALSE),IF(ISERROR(FIND("Worktop",A38))=FALSE,((B38/1000)*(C38/1000))*VLOOKUP(WardrobeDoorMaterial,SheetsData,7,FALSE),"Check formula")))))))))))))))))</f>
        <v>3.987234614</v>
      </c>
      <c r="F38" s="152">
        <f>IFERROR(__xludf.DUMMYFUNCTION("IF(OR(A38="""",AND(ISERROR(FIND(""drawer box"",A38))=FALSE,WardrobeDrawerType=""Solid dovetail"")),"""",IF(ISERROR(FIND(""bins"",A38))=FALSE,VLOOKUP(""Base carcass 600"",Wardrobes_etcData,6,0),IF(OR(ISERROR(FIND(""larder"",A38))=FALSE,ISERROR(FIND(""unit"&amp;""",A38))=FALSE),VLOOKUP(LEFT(A38,FIND("" "",A38))&amp;""carcass ""&amp;RIGHT(A38,LEN(A38)-len(regexextract(A38,"".* ""))),Wardrobes_etcData,6,0),IF(ISERROR(FIND(""drawer front"",A38))=FALSE,IF(ISERROR(FIND(""veneer"",WardrobeCarcassMaterial))=TRUE,0,(((B38+C38)/1"&amp;"000)*2)*VLOOKUP(""Edge banding (per M)"",SheetsData,5,0)),IF(ISERROR(FIND(""drawer box"",A38))=FALSE,IF(ISERROR(FIND(""veneer"",WardrobeCarcassMaterial))=TRUE,0,(((C38+D38)/1000)*2)*VLOOKUP(""Edge banding (per M)"",SheetsData,5,0)),IF(ISERROR(FIND(""shelf"&amp;""",A38))=FALSE,IF(ISERROR(FIND(""veneer"",WardrobeCarcassMaterial))=TRUE,0,(C38/1000)*VLOOKUP(""Edge banding (per M)"",SheetsData,5,0)),IF(AND(OR(ISERROR(FIND(""arcass"",A38))=FALSE,ISERROR(FIND(""Fireplace"",A38))=FALSE),ISERROR(FIND(""shelf"",A38))=TRUE"&amp;"),IF(ISERROR(FIND(""veneer"",WardrobeCarcassMaterial))=TRUE,0,((2*(B38+C38))/1000)*VLOOKUP(""Edge banding (per M)"",SheetsData,5,0)),IF(ISERROR(FIND(""door"",A38))=TRUE,"""",IF(ISERROR(FIND(""veneer"",WardrobeDoorMaterial))=TRUE,"""",((2*(B38+C38))/1000)*"&amp;"VLOOKUP(""Edge banding (per M)"",SheetsData,5,0))))))))))"),0.0)</f>
        <v>0</v>
      </c>
      <c r="G38" s="153" t="str">
        <f>IF(A38="","",IF(AND(ISERROR(FIND("arcass",A38))=TRUE,ISERROR(FIND("Fireplace",A38))=TRUE),"",IF(VALUE(C38)&lt;606,4*VLOOKUP("Plinth foot (2 Parts 80mm)",FurnitureData,5,FALSE),IF(VALUE(C38)&lt;1211,6*VLOOKUP("Plinth foot (2 Parts 80mm)",FurnitureData,5,FALSE),8*VLOOKUP("Plinth foot (2 Parts 80mm)",FurnitureData,5,FALSE)))))</f>
        <v/>
      </c>
      <c r="H38" s="115" t="str">
        <f>IF(OR(A38="",ISERROR(FIND("door",A38))=TRUE),"",VLOOKUP("Hinges &amp; plates (Hettich thick door)",FurnitureData,5,0)*5)</f>
        <v/>
      </c>
      <c r="I38" s="115" t="str">
        <f>IF(ISERROR(FIND("shelf",A38))=FALSE,(VLOOKUP("Shelf pegs",FurnitureData,5,0)/100)*4,"")</f>
        <v/>
      </c>
      <c r="J38" s="152" t="str">
        <f>IF(OR(ISERROR(FIND("fridge/freezer",A38))=FALSE,ISERROR(FIND("sink",A38))=FALSE,ISERROR(FIND("larder",A38))=FALSE),VLOOKUP("Deep shelf "&amp;C38,Wardrobes_etcData,18,0),IF(OR(ISERROR(FIND("single oven",A38))=FALSE,ISERROR(FIND("Base carcass",A38))=FALSE),2*VLOOKUP("Deep shelf "&amp;C38,Wardrobes_etcData,18,0),IF(AND(ISERROR(FIND("wall carcass",A38))=FALSE,ISERROR(FIND("Boiler",A38))=TRUE),2*VLOOKUP("Shallow shelf "&amp;C38,Wardrobes_etcData,18,0),IF(ISERROR(FIND("double oven",A38))=FALSE,3*VLOOKUP("Deep shelf "&amp;C38,Wardrobes_etcData,18,0),IF(ISERROR(FIND("Tower carcass",A38))=FALSE,6*VLOOKUP("Deep shelf "&amp;C38,Wardrobes_etcData,18,0),"")))))</f>
        <v/>
      </c>
      <c r="K38" s="152" t="str">
        <f>IF(ISERROR(FIND("sink",A38))=FALSE,VLOOKUP("Sink liner - Aluminium "&amp;RIGHT(A38,LEN(A38)-22)&amp;"mm",ExceptionalData,5,0),IF(ISERROR(FIND("bins",A38))=FALSE,VLOOKUP("Drawer runners and clip set for bin unit (500) Dynapro",FurnitureData,5,0)+(2*VLOOKUP("Bin (42L Anthracite)",FurnitureData,5,0)),IF(ISERROR(FIND("larder",A38))=FALSE,VLOOKUP("Pull out larder unit 600mm",FurnitureData,5,0),IF(AND(ISERROR(FIND("drawer box",A38))=FALSE,ISERROR(FIND("internal",A38))=TRUE),VLOOKUP("Drawer runners and clip set (550) Dynapro",FurnitureData,5,0),IF(ISERROR(FIND("internal drawer box",A38))=FALSE,VLOOKUP("Drawer runners and clip set (450) Dynapro",FurnitureData,5,0),IF(ISERROR(FIND("table",A38))=FALSE,VLOOKUP("Hairpin Leg (12mm Black "&amp;MID(A38,FIND("(",A38)+1,LEN(A38)-(FIND("(",A38))-1)&amp;"mm)",ExceptionalData,4,FALSE),""))))))</f>
        <v/>
      </c>
      <c r="L38" s="152">
        <f t="shared" si="3"/>
        <v>3.987234614</v>
      </c>
      <c r="M38" s="154">
        <f>IF(A38="","",IF(AND(ISERROR(FIND("drawer front",A38))=FALSE,WardrobeDoorStyle="Flat"),(((B38/1000)*(C38/1000))*2)+((((B38+C38)/1000)*2)*0.022),IF(AND(ISERROR(FIND("drawer front",A38))=FALSE,LEFT(WardrobeDoorStyle,5)="Panel"),(((B38/1000)*(C38/1000))*2)+((((B38+C38)/1000)*2)*0.022)+((((C38/1000)-0.16)*0.013)*2)+((((D38/1000)-0.16)*0.013)*2),IF(AND(ISERROR(FIND("drawer front",A38))=FALSE,WardrobeDoorStyle="In-frame flat"),((((B38-76)/1000)*((C38-38)/1000))*2)+(MID(WardrobeDoorMaterial,FIND("(",WardrobeDoorMaterial)+1,2)/1000)*((((B38-76)+(C38-38))/1000)*2)+(((B38/1000)*0.032)*2)+((((B38-76)/1000)*0.032)*2)+(((B38/1000)*0.019)*4)+(((C38/1000)*0.032)*2)+((((C38-38)/1000)*0.032)*2)+(((C38/1000)*0.038)*4),IF(AND(ISERROR(FIND("drawer front",A38))=FALSE,LEFT(WardrobeDoorStyle,14)="In-frame panel"),((((B38-76)/1000)*((C38-38)/1000))*2)+((MID(WardrobeDoorMaterial,FIND("(",WardrobeDoorMaterial)+1,2)/1000)*((((B38-76)+(C38-38))/1000)*2))+((((B38-236)/1000)+((C38-198)/1000)*2)*0.013)+(((B38/1000)*0.032)*2)+((((B38-76)/1000)*0.032)*2)+(((B38/1000)*0.019)*4)+(((C38/1000)*0.032)*2)+((((C38-38)/1000)*0.032)*2)+(((C38/1000)*0.038)*4),IF(ISERROR(FIND("drawer box",A38))=FALSE,((((B38/1000)*(D38/1000))+((B38/1000)*(C38/1000)))*4)+((((D38/1000)+(C38/1000))*0.016)*4)+(((C38/1000)*(D38/1000))*2),IF(OR(ISERROR(FIND("shelf",A38))=FALSE,ISERROR(FIND("Filler panel",A38))=FALSE),(((C38/1000)*(D38/1000))*2)+((((C38+D38)*2)/1000)*0.022),IF(ISERROR(FIND("Fireplace",A38))=FALSE,((B38/1000)*(C38/1000)),IF(ISERROR(FIND("Worktop",A38))=FALSE,(B38/1000)*(C38/1000),IF(ISERROR(FIND("table",A38))=FALSE,(B38/1000)*0.6,IF(ISERROR(FIND("arcass",A38))=FALSE,(((C38/1000)*(D38/1000))*2)+(((B38/1000)*(D38/1000))*2)+((B38/1000)*(C38/1000))+((((B38/1000)*0.025)+((C38/1000)*0.025))*2),IF(AND(ISERROR(FIND("door",A38))=FALSE,WardrobeDoorStyle="Flat"),(((B38/1000)*(C38/1000))*2)+(MID(WardrobeDoorMaterial,FIND("(",WardrobeDoorMaterial)+1,2)/1000)*(((B38+C38)/1000)*2),IF(AND(ISERROR(FIND("door",A38))=FALSE,LEFT(WardrobeDoorStyle,5)="Panel"),(((B38/1000)*(C38/1000))*2)+((MID(WardrobeDoorMaterial,FIND("(",WardrobeDoorMaterial)+1,2)/1000)*(((B38+C38)/1000)*2))+(((((B38-160)+(C38-160))*2)/1000)*(0.013)),IF(AND(ISERROR(FIND("door",A38))=FALSE,WardrobeDoorStyle="In-frame flat"),((((B38-76)/1000)*((C38-38)/1000))*2)+(MID(WardrobeDoorMaterial,FIND("(",WardrobeDoorMaterial)+1,2)/1000)*((((B38-76)+(C38-38))/1000)*2)+(((B38/1000)*0.032)*2)+((((B38-76)/1000)*0.032)*2)+(((B38/1000)*0.019)*4)+(((C38/1000)*0.032)*2)+((((C38-38)/1000)*0.032)*2)+(((C38/1000)*0.038)*4),IF(AND(ISERROR(FIND("door",A38))=FALSE,LEFT(WardrobeDoorStyle,14)="In-frame panel"),((((B38-76)/1000)*((C38-38)/1000))*2)+((MID(WardrobeDoorMaterial,FIND("(",WardrobeDoorMaterial)+1,2)/1000)*((((B38-76)+(C38-38))/1000)*2))+((((B38-236)/1000)+((C38-198)/1000)*2)*0.013)+(((B38/1000)*0.032)*2)+((((B38-76)/1000)*0.032)*2)+(((B38/1000)*0.019)*4)+(((C38/1000)*0.032)*2)+((((C38-38)/1000)*0.032)*2)+(((C38/1000)*0.038)*4),IF(ISERROR(FIND("Plinth",A38))=FALSE,((B38/1000)*(C38/1000))+(((C38/1000)*0.018)*2)+(((B38/1000)*0.018)*2),IF(ISERROR(FIND("Cornice",A38))=FALSE,(((C38/1000)*0.1)*2)+(((C38/1000)*0.044)*2)+(((B38/1000)*0.08)*2),IF(ISERROR(FIND("Office pod",A38))=FALSE,((2400/1000)*(1200/1000))*6,IF(ISERROR(FIND("panel",A38))=FALSE,((B38/1000)*(C38/1000))+(0.022*((B38/1000)+((C38/1000)*2)))+((B38/1000)*0.05),IF(ISERROR(FIND("Fillers",A38))=FALSE,((C38/1000)*0.06)+((C38/1000)*0.069)+((0.06*0.018)*2)+((0.06*0.009)*2)+((C38/1000)*0.009)+((C38/1000)*0.018),IF(ISERROR(FIND("Pelmet",A38))=FALSE,((C38/1000)*0.05)+((C38/1000)*0.068)+((0.05*0.018)*4)+(((C38/1000)*0.018))*2)))))))))))))))))))))</f>
        <v>0.5156</v>
      </c>
      <c r="N38" s="152">
        <f>IF(M38="","",IF(AND(ISERROR(FIND("carcass",A38))=TRUE,ISERROR(FIND("unit",A38))=TRUE,ISERROR(FIND("insert",A38))=TRUE,ISERROR(FIND("rack",A38))=TRUE,ISERROR(FIND("box",A38))=TRUE,ISERROR(FIND("shelf",A38))=TRUE),VLOOKUP(WardrobeDoorFinish,Finishing!$A$2:$K$10,9,0)*M38,IF(ISERROR(FIND("table",A38))=FALSE,VLOOKUP("Sayerlack AF0072 Interior Clear Self-Sealer",FinishingData,9,FALSE)*M38,VLOOKUP(WardrobeCarcassFinish,Finishing!$A$2:$K$40,9,0)*M38)))</f>
        <v>3.867</v>
      </c>
      <c r="O38" s="155">
        <v>0.5</v>
      </c>
      <c r="P38" s="155">
        <v>0.5</v>
      </c>
      <c r="Q38" s="152">
        <f>IF(OR(O38="",P38=""),"",((O38*X38)*(VLOOKUP("Workshop",Labour!$A$3:$E$20,4,0)/8))+((P38*AE38)*(VLOOKUP("Finishing",Labour!$A$3:$E$20,4,0)/8)))</f>
        <v>35.875</v>
      </c>
      <c r="R38" s="152">
        <f t="shared" si="4"/>
        <v>43.72923461</v>
      </c>
      <c r="S38" s="156">
        <f>IF(OR(O38="",P38=""),"",IF(OR(ISERROR(FIND("carcass",$A38))=FALSE,ISERROR(FIND("unit",$A38))=FALSE),VLOOKUP(WardrobeCarcassMaterial,FixedListsCarcassMaterial,2,0),0))</f>
        <v>0</v>
      </c>
      <c r="T38" s="156">
        <f>IF(OR(O38="",P38=""),"",IF(ISERROR(FIND("door",$A38))=FALSE,VLOOKUP(WardrobeDoorStyle,FixedListsDoorStyle,2,0),0))</f>
        <v>0</v>
      </c>
      <c r="U38" s="156">
        <f>IF(OR(O38="",P38=""),"",IF(ISERROR(FIND("door",$A38))=FALSE,VLOOKUP(WardrobeDoorMaterial,FixedListsDoorMaterial,2,0),0))</f>
        <v>0</v>
      </c>
      <c r="V38" s="156">
        <f>IF(OR(O38="",P38=""),"",IF(ISERROR(FIND("drawer",$A38))=FALSE,VLOOKUP(WardrobeDrawerType,FixedListsDrawerType,2,0),0))</f>
        <v>1</v>
      </c>
      <c r="W38" s="156">
        <f>IF(OR(O38="",P38=""),"",IF(S38&gt;0,VLOOKUP(WardrobeHandleType,FixedListsHandleType,2,FALSE),0))</f>
        <v>0</v>
      </c>
      <c r="X38" s="156">
        <f t="shared" si="5"/>
        <v>1</v>
      </c>
      <c r="Y38" s="156">
        <f>IF(OR(O38="",P38=""),"",IF(OR(ISERROR(FIND("carcass",$A38))=FALSE,ISERROR(FIND("unit",$A38))=FALSE),VLOOKUP(WardrobeCarcassMaterial,FixedListsCarcassMaterial,3,0),0))</f>
        <v>0</v>
      </c>
      <c r="Z38" s="156">
        <f>IF(OR(O38="",P38=""),"",IF(ISERROR(FIND("door",$A38))=FALSE,VLOOKUP(WardrobeDoorStyle,FixedListsDoorStyle,3,0),0))</f>
        <v>0</v>
      </c>
      <c r="AA38" s="156">
        <f>IF(OR(O38="",P38=""),"",IF(ISERROR(FIND("door",$A38))=FALSE,VLOOKUP(WardrobeDoorMaterial,FixedListsDoorMaterial,3,0),0))</f>
        <v>0</v>
      </c>
      <c r="AB38" s="156">
        <f>IF(OR(O38="",P38=""),"",IF(ISERROR(FIND("drawer",$A38))=FALSE,VLOOKUP(WardrobeDrawerType,FixedListsDrawerType,3,0),0))</f>
        <v>1</v>
      </c>
      <c r="AC38" s="156">
        <f>IF(OR(O38="",P38=""),"",IF(S38&gt;0,VLOOKUP(WardrobeHandleType,FixedListsHandleType,3,FALSE),0))</f>
        <v>0</v>
      </c>
      <c r="AD38" s="156">
        <f>IF(OR(O38="",P38=""),"",IF(OR(ISERROR(FIND("carcass",$A38))=FALSE,ISERROR(FIND("unit",$A38))=FALSE),VLOOKUP(WardrobeCarcassFinish,FixedListsFinishes,3,0),IF(OR(ISERROR(FIND("door",$A38))=FALSE,ISERROR(FIND("Plinth",$A38))=FALSE,ISERROR(FIND("Cornice",$A38))=FALSE,ISERROR(FIND("Fillers",$A38))=FALSE,ISERROR(FIND("Pelmet",$A38))=FALSE,ISERROR(FIND("panel",$A38))=FALSE,ISERROR(FIND("post",$A38))=FALSE),VLOOKUP(WardrobeDoorFinish,FixedListsFinishes,3,0),IF(OR(ISERROR(FIND("drawer",$A38))=FALSE,ISERROR(FIND("insert",$A38))=FALSE,ISERROR(FIND("rck",$A38))=FALSE),VLOOKUP(WardrobeCarcassFinish,FixedListsFinishes,3,0),0))))</f>
        <v>1</v>
      </c>
      <c r="AE38" s="156">
        <f t="shared" si="6"/>
        <v>1</v>
      </c>
      <c r="AF38" s="157" t="str">
        <f>IF(AND(WardrobeHandleType="Channel",OR(ISERROR(FIND("arcass",$A38))=FALSE,ISERROR(FIND("unit",$A38))=FALSE)),IF(ISERROR(FIND("Tower",$A38))=TRUE,IF(WardrobeHandleFinish="Match carcass",IF(ISERROR(FIND("Walnut",WardrobeCarcassMaterial))=FALSE,(0.035*0.075*($C38/1000))*VLOOKUP("Walnut (solid m3)",SolidData,4,FALSE),IF(ISERROR(FIND("Oak",WardrobeCarcassMaterial))=FALSE,(0.035*0.075*($C38/1000))*VLOOKUP("Oak (solid m3)",SolidData,4,FALSE),IF(ISERROR(FIND("ply",WardrobeCarcassMaterial))=FALSE,(0.1*($C38/1000))*VLOOKUP("Birch ply (24mm)",SheetsData,7,FALSE),IF(ISERROR(FIND("H/F",WardrobeCarcassMaterial))=FALSE,(0.1*($C38/1000))*VLOOKUP("H/F (22mm)",SheetsData,7,FALSE),"Carcass - not tower - new material")))),IF(WardrobeHandleFinish="Match door",IF(ISERROR(FIND("Walnut",WardrobeDoorMaterial))=FALSE,(0.035*0.075*($C38/1000))*VLOOKUP("Walnut (solid m3)",SolidData,4,FALSE),IF(ISERROR(FIND("Oak",WardrobeDoorMaterial))=FALSE,(0.035*0.075*($C38/1000))*VLOOKUP("Oak (solid m3)",SolidData,4,FALSE),IF(ISERROR(FIND("ply",WardrobeDoorMaterial))=FALSE,(0.1*($C38/1000))*VLOOKUP("Birch ply (24mm)",SheetsData,7,FALSE),IF(ISERROR(FIND("H/F",WardrobeCarcassMaterial))=FALSE,(0.1*($C38/1000))*VLOOKUP("H/F (22mm)",SheetsData,7,FALSE),"Door - not tower - new material")))),"Channel - not tower - handle set to other")),IF(ISERROR(FIND("Tower",$A38))=FALSE,IF(WardrobeHandleFinish="Match carcass",IF(ISERROR(FIND("Walnut",WardrobeCarcassMaterial))=FALSE,(0.035*0.075*($B38/1000))*VLOOKUP("Walnut (solid m3)",SolidData,4,FALSE),IF(ISERROR(FIND("Oak",WardrobeCarcassMaterial))=FALSE,(0.035*0.075*($B38/1000))*VLOOKUP("Oak (solid m3)",SolidData,4,FALSE),IF(ISERROR(FIND("ply",WardrobeCarcassMaterial))=FALSE,(0.1*($B38/1000))*VLOOKUP("Birch ply (24mm)",SheetsData,7,FALSE),IF(ISERROR(FIND("H/F",WardrobeCarcassMaterial))=FALSE,(0.1*($C38/1000))*VLOOKUP("H/F (22mm)",SheetsData,7,FALSE),"Carcass - tower - new material")))),IF(WardrobeHandleFinish="Match door",IF(ISERROR(FIND("Walnut",WardrobeDoorMaterial))=FALSE,(0.035*0.075*($B38/1000))*VLOOKUP("Walnut (solid m3)",SolidData,4,FALSE),IF(ISERROR(FIND("Oak",WardrobeDoorMaterial))=FALSE,(0.035*0.075*($B38/1000))*VLOOKUP("Oak (solid m3)",SolidData,4,FALSE),IF(ISERROR(FIND("ply",WardrobeDoorMaterial))=FALSE,(0.1*($B38/1000))*VLOOKUP("Birch ply (24mm)",SheetData,7,FALSE),IF(ISERROR(FIND("H/F",WardrobeCarcassMaterial))=FALSE,(0.1*($C38/1000))*VLOOKUP("H/F (22mm)",SheetsData,7,FALSE),"Door - tower - new material")))),"Channel - tower - handle set to other")))),"")</f>
        <v/>
      </c>
    </row>
    <row r="39">
      <c r="A39" s="150" t="s">
        <v>204</v>
      </c>
      <c r="B39" s="160" t="str">
        <f t="shared" si="1"/>
        <v>240</v>
      </c>
      <c r="C39" s="160" t="str">
        <f>IFERROR(__xludf.DUMMYFUNCTION("IF(A39="""","""",IF(ISERROR(FIND(""arcass"",A39))=FALSE,MID(A39,FIND(""*"",A39)+1,FIND(""*"",A39,FIND(""*"",A39)+1)-FIND(""*"",A39)-1),IF(ISERROR(FIND(""End panel"",A39))=FALSE,RIGHT(A39,3),IF(OR(ISERROR(FIND(""drawer"",A39))=FALSE,ISERROR(FIND(""door"",A"&amp;"39))=FALSE,ISERROR(FIND(""shelf"",A39))=FALSE,ISERROR(FIND(""panel"",A39))=FALSE,ISERROR(FIND(""Plinth"",A39))=FALSE,ISERROR(FIND(""Cornice"",A39))=FALSE,ISERROR(FIND(""Fillers"",A39))=FALSE,ISERROR(FIND(""Pelmet"",A39))=FALSE,ISERROR(FIND(""Fireplace up "&amp;"to 1600"",A39))=FALSE),RIGHT(A39,LEN(A39)-LEN(regexextract(A39,"".* ""))),IF(ISERROR(FIND(""table"",A39))=FALSE,""560"",IF(ISERROR(FIND(""Office pod"",A39))=FALSE,""1600"",IF(ISERROR(FIND(""Fireplace over 1600"",A39))=FALSE,""2400"",IF(ISERROR(FIND(""Work"&amp;"top"",A39))=FALSE,""650"",""Whoops""))))))))"),"600")</f>
        <v>600</v>
      </c>
      <c r="D39" s="161" t="str">
        <f t="shared" si="2"/>
        <v/>
      </c>
      <c r="E39" s="152">
        <f>IF(OR(A39="",AND(ISERROR(FIND("drawer",A39))=FALSE,WardrobeDrawerType="")),"",IF(ISERROR(FIND("door",A39))=FALSE,IF(WardrobeDoorStyle="Flat",((B39/1000)*(C39/1000))*VLOOKUP(WardrobeDoorMaterial,SheetsData,8,0),IF(LEFT(WardrobeDoorStyle,5)="Panel",(((((B39/1000)*2)*0.08)+((((C39/1000)-0.16)*2)*0.08))*VLOOKUP("H/F (22mm)",SheetsData,8,0))+(((B39/1000)-0.14)*((C39/1000)-0.14)*VLOOKUP("H/F (9mm)",SheetsData,8,0)),IF(WardrobeDoorStyle="In-frame flat",((((((B39/1000)*0.019)*0.038)+((((C39-38)/1000)*0.038)*0.038))*2)*VLOOKUP("Tulip (solid m3)",SolidData,4,0))+(((B39-76)/1000)*((C39-38)/1000))*VLOOKUP("H/F (22mm)",SheetsData,8,0),IF(LEFT(WardrobeDoorStyle,14)="In-frame panel",(((((((B39/1000)*0.019)*0.038)+((((C39-38)/1000)*0.038)*0.038))*2)*VLOOKUP("Tulip (solid m3)",SolidData,4,0))+(((((((B39-76)/1000)*2)*0.08)+(((((C39-198)/1000)*2)*0.08)))*VLOOKUP("H/F (22mm)",SheetsData,8,0))+(((B39-216)/1000)*((C39-178)/1000)*VLOOKUP("H/F (9mm)",SheetsData,8,0)))))))),IF(AND(ISERROR(FIND("arcass",A39))=FALSE,ISERROR(FIND("ost corner",A39))=TRUE),IF(AND(VALUE(B39)&lt;1211,VALUE(C39)&lt;1211,VALUE(D39)&lt;606),1*VLOOKUP(WardrobeCarcassMaterial,SheetsData,5,FALSE),IF(AND(VALUE(B39)&lt;2421,VALUE(C39)&lt;2421,VALUE(D39)&lt;606),2*VLOOKUP(WardrobeCarcassMaterial,SheetsData,5,FALSE),IF(AND(VALUE(B39)&lt;2421,VALUE(C39)&lt;1211,VALUE(D39)&lt;1211),3*VLOOKUP(WardrobeCarcassMaterial,SheetsData,5,FALSE),IF(AND(VALUE(B39)&lt;2421,VALUE(C39)&lt;2421,VALUE(D39)&lt;1211),4*VLOOKUP(WardrobeCarcassMaterial,SheetsData,5,FALSE))))),IF(AND(ISERROR(FIND("arcass",A39))=FALSE,ISERROR(FIND("ost corner",A39))=FALSE),IF(AND(VALUE(B39)&lt;1211,VALUE(C39)&lt;1211,VALUE(D39)&lt;606),(1*VLOOKUP(WardrobeCarcassMaterial,SheetsData,5,FALSE))+(VLOOKUP("H/F (22mm)",SheetsData,7,FALSE)*1.44),IF(AND(VALUE(B39)&lt;2421,VALUE(C39)&lt;2421,VALUE(D39)&lt;606),(2*VLOOKUP(WardrobeCarcassMaterial,SheetsData,5,FALSE))+(VLOOKUP("H/F (22mm)",SheetsData,7,FALSE)*1.44),IF(AND(VALUE(B39)&lt;2421,VALUE(C39)&lt;1211,VALUE(D39)&lt;1211),(3*VLOOKUP(WardrobeCarcassMaterial,SheetsData,5,FALSE))+(VLOOKUP("H/F (22mm)",SheetsData,7,FALSE)*1.44),IF(AND(VALUE(B39)&lt;2421,VALUE(C39)&lt;2421,VALUE(D39)&lt;1211),(4*VLOOKUP(WardrobeCarcassMaterial,SheetsData,5,FALSE))+(VLOOKUP("H/F (22mm)",SheetsData,7,FALSE)*1.44))))),IF(ISERROR(FIND("drawer front",A39))=FALSE,((B39/1000)*(C39/1000))*VLOOKUP(WardrobeDoorMaterial,SheetsData,8,0),IF(AND(WardrobeDrawerType="Match carcass",ISERROR(FIND("drawer box",A39))=FALSE),(((((B39/1000)*(C39/1000))+((B39/1000)*(D39/1000)))*2)*VLOOKUP(WardrobeCarcassMaterial,SheetsData,8,0))+(((C39/1000)*(D39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box",A39))=FALSE),(((((B39/1000)*(C39/1000))+((B39/1000)*(D39/1000)))*2)*(16/1000)*VLOOKUP(LEFT(WardrobeCarcassMaterial,FIND(" ",WardrobeCarcassMaterial))&amp;"(solid m3)",SolidData,4,0))+(((C39/1000)*(D39/1000))*VLOOKUP(LEFT(WardrobeCarcassMaterial,FIND("(",WardrobeCarcassMaterial)-1)&amp;IF(OR(ISERROR(FIND("ply",WardrobeCarcassMaterial))=FALSE,ISERROR(FIND("H/F",WardrobeCarcassMaterial))=FALSE),"(9mm)","(10mm)"),SheetsData,8,0)),IF(ISERROR(FIND("shelf",A39))=FALSE,((C39/1000)*(D39/1000))*VLOOKUP(WardrobeCarcassMaterial,SheetsData,7,FALSE),IF(ISERROR(FIND("Office pod",A39))=FALSE,3*VLOOKUP(WardrobeCarcassMaterial,SheetsData,5,0),IF(ISERROR(FIND(" panel",A39))=FALSE,((B39/1000)*(C39/1000))*VLOOKUP(WardrobeDoorMaterial,SheetsData,8,0),IF(ISERROR(FIND("Fillers",A39))=FALSE,(((0.06*(C39/1000))*2)*VLOOKUP("H/F (18mm)",SheetsData,8,0))+(((0.06*(C39/1000))*2)*VLOOKUP("H/F (9mm)",SheetsData,8,0)),IF(ISERROR(FIND("Cornice (stacked)",A39))=FALSE,((0.08*(C39/1000))*2)*VLOOKUP("H/F (22mm)",SheetsData,8,0),IF(OR(ISERROR(FIND("Plinth",A39))=FALSE,ISERROR(FIND("Cornice (flat)",A39))=FALSE),((B39/1000)*(C39/1000))*VLOOKUP("H/F (18mm)",SheetsData,8,0),IF(ISERROR(FIND("Pelmet",A39))=FALSE,((((B39/1000)*(C39/1000))*2)*VLOOKUP("H/F (18mm)",SheetsData,8,0)),IF(ISERROR(FIND("Fireplace",A39))=FALSE,IF(ISERROR(FIND("over 1600",A39))=FALSE,2*VLOOKUP(WardrobeCarcassMaterial,SheetsData,5,FALSE),VLOOKUP(WardrobeCarcassMaterial,SheetsData,5,FALSE)),IF(ISERROR(FIND("table",A39))=FALSE,((B39/1000)*0.6)*VLOOKUP("Birch ply (24mm)",SheetsData,7,FALSE),IF(ISERROR(FIND("Worktop",A39))=FALSE,((B39/1000)*(C39/1000))*VLOOKUP(WardrobeDoorMaterial,SheetsData,7,FALSE),"Check formula")))))))))))))))))</f>
        <v>2.65815641</v>
      </c>
      <c r="F39" s="152">
        <f>IFERROR(__xludf.DUMMYFUNCTION("IF(OR(A39="""",AND(ISERROR(FIND(""drawer box"",A39))=FALSE,WardrobeDrawerType=""Solid dovetail"")),"""",IF(ISERROR(FIND(""bins"",A39))=FALSE,VLOOKUP(""Base carcass 600"",Wardrobes_etcData,6,0),IF(OR(ISERROR(FIND(""larder"",A39))=FALSE,ISERROR(FIND(""unit"&amp;""",A39))=FALSE),VLOOKUP(LEFT(A39,FIND("" "",A39))&amp;""carcass ""&amp;RIGHT(A39,LEN(A39)-len(regexextract(A39,"".* ""))),Wardrobes_etcData,6,0),IF(ISERROR(FIND(""drawer front"",A39))=FALSE,IF(ISERROR(FIND(""veneer"",WardrobeCarcassMaterial))=TRUE,0,(((B39+C39)/1"&amp;"000)*2)*VLOOKUP(""Edge banding (per M)"",SheetsData,5,0)),IF(ISERROR(FIND(""drawer box"",A39))=FALSE,IF(ISERROR(FIND(""veneer"",WardrobeCarcassMaterial))=TRUE,0,(((C39+D39)/1000)*2)*VLOOKUP(""Edge banding (per M)"",SheetsData,5,0)),IF(ISERROR(FIND(""shelf"&amp;""",A39))=FALSE,IF(ISERROR(FIND(""veneer"",WardrobeCarcassMaterial))=TRUE,0,(C39/1000)*VLOOKUP(""Edge banding (per M)"",SheetsData,5,0)),IF(AND(OR(ISERROR(FIND(""arcass"",A39))=FALSE,ISERROR(FIND(""Fireplace"",A39))=FALSE),ISERROR(FIND(""shelf"",A39))=TRUE"&amp;"),IF(ISERROR(FIND(""veneer"",WardrobeCarcassMaterial))=TRUE,0,((2*(B39+C39))/1000)*VLOOKUP(""Edge banding (per M)"",SheetsData,5,0)),IF(ISERROR(FIND(""door"",A39))=TRUE,"""",IF(ISERROR(FIND(""veneer"",WardrobeDoorMaterial))=TRUE,"""",((2*(B39+C39))/1000)*"&amp;"VLOOKUP(""Edge banding (per M)"",SheetsData,5,0))))))))))"),0.0)</f>
        <v>0</v>
      </c>
      <c r="G39" s="153" t="str">
        <f>IF(A39="","",IF(AND(ISERROR(FIND("arcass",A39))=TRUE,ISERROR(FIND("Fireplace",A39))=TRUE),"",IF(VALUE(C39)&lt;606,4*VLOOKUP("Plinth foot (2 Parts 80mm)",FurnitureData,5,FALSE),IF(VALUE(C39)&lt;1211,6*VLOOKUP("Plinth foot (2 Parts 80mm)",FurnitureData,5,FALSE),8*VLOOKUP("Plinth foot (2 Parts 80mm)",FurnitureData,5,FALSE)))))</f>
        <v/>
      </c>
      <c r="H39" s="115" t="str">
        <f>IF(OR(A39="",ISERROR(FIND("door",A39))=TRUE),"",VLOOKUP("Hinges &amp; plates (Hettich thick door)",FurnitureData,5,0)*5)</f>
        <v/>
      </c>
      <c r="I39" s="115" t="str">
        <f>IF(ISERROR(FIND("shelf",A39))=FALSE,(VLOOKUP("Shelf pegs",FurnitureData,5,0)/100)*4,"")</f>
        <v/>
      </c>
      <c r="J39" s="152" t="str">
        <f>IF(OR(ISERROR(FIND("fridge/freezer",A39))=FALSE,ISERROR(FIND("sink",A39))=FALSE,ISERROR(FIND("larder",A39))=FALSE),VLOOKUP("Deep shelf "&amp;C39,Wardrobes_etcData,18,0),IF(OR(ISERROR(FIND("single oven",A39))=FALSE,ISERROR(FIND("Base carcass",A39))=FALSE),2*VLOOKUP("Deep shelf "&amp;C39,Wardrobes_etcData,18,0),IF(AND(ISERROR(FIND("wall carcass",A39))=FALSE,ISERROR(FIND("Boiler",A39))=TRUE),2*VLOOKUP("Shallow shelf "&amp;C39,Wardrobes_etcData,18,0),IF(ISERROR(FIND("double oven",A39))=FALSE,3*VLOOKUP("Deep shelf "&amp;C39,Wardrobes_etcData,18,0),IF(ISERROR(FIND("Tower carcass",A39))=FALSE,6*VLOOKUP("Deep shelf "&amp;C39,Wardrobes_etcData,18,0),"")))))</f>
        <v/>
      </c>
      <c r="K39" s="152" t="str">
        <f>IF(ISERROR(FIND("sink",A39))=FALSE,VLOOKUP("Sink liner - Aluminium "&amp;RIGHT(A39,LEN(A39)-22)&amp;"mm",ExceptionalData,5,0),IF(ISERROR(FIND("bins",A39))=FALSE,VLOOKUP("Drawer runners and clip set for bin unit (500) Dynapro",FurnitureData,5,0)+(2*VLOOKUP("Bin (42L Anthracite)",FurnitureData,5,0)),IF(ISERROR(FIND("larder",A39))=FALSE,VLOOKUP("Pull out larder unit 600mm",FurnitureData,5,0),IF(AND(ISERROR(FIND("drawer box",A39))=FALSE,ISERROR(FIND("internal",A39))=TRUE),VLOOKUP("Drawer runners and clip set (550) Dynapro",FurnitureData,5,0),IF(ISERROR(FIND("internal drawer box",A39))=FALSE,VLOOKUP("Drawer runners and clip set (450) Dynapro",FurnitureData,5,0),IF(ISERROR(FIND("table",A39))=FALSE,VLOOKUP("Hairpin Leg (12mm Black "&amp;MID(A39,FIND("(",A39)+1,LEN(A39)-(FIND("(",A39))-1)&amp;"mm)",ExceptionalData,4,FALSE),""))))))</f>
        <v/>
      </c>
      <c r="L39" s="152">
        <f t="shared" si="3"/>
        <v>2.65815641</v>
      </c>
      <c r="M39" s="154">
        <f>IF(A39="","",IF(AND(ISERROR(FIND("drawer front",A39))=FALSE,WardrobeDoorStyle="Flat"),(((B39/1000)*(C39/1000))*2)+((((B39+C39)/1000)*2)*0.022),IF(AND(ISERROR(FIND("drawer front",A39))=FALSE,LEFT(WardrobeDoorStyle,5)="Panel"),(((B39/1000)*(C39/1000))*2)+((((B39+C39)/1000)*2)*0.022)+((((C39/1000)-0.16)*0.013)*2)+((((D39/1000)-0.16)*0.013)*2),IF(AND(ISERROR(FIND("drawer front",A39))=FALSE,WardrobeDoorStyle="In-frame flat"),((((B39-76)/1000)*((C39-38)/1000))*2)+(MID(WardrobeDoorMaterial,FIND("(",WardrobeDoorMaterial)+1,2)/1000)*((((B39-76)+(C39-38))/1000)*2)+(((B39/1000)*0.032)*2)+((((B39-76)/1000)*0.032)*2)+(((B39/1000)*0.019)*4)+(((C39/1000)*0.032)*2)+((((C39-38)/1000)*0.032)*2)+(((C39/1000)*0.038)*4),IF(AND(ISERROR(FIND("drawer front",A39))=FALSE,LEFT(WardrobeDoorStyle,14)="In-frame panel"),((((B39-76)/1000)*((C39-38)/1000))*2)+((MID(WardrobeDoorMaterial,FIND("(",WardrobeDoorMaterial)+1,2)/1000)*((((B39-76)+(C39-38))/1000)*2))+((((B39-236)/1000)+((C39-198)/1000)*2)*0.013)+(((B39/1000)*0.032)*2)+((((B39-76)/1000)*0.032)*2)+(((B39/1000)*0.019)*4)+(((C39/1000)*0.032)*2)+((((C39-38)/1000)*0.032)*2)+(((C39/1000)*0.038)*4),IF(ISERROR(FIND("drawer box",A39))=FALSE,((((B39/1000)*(D39/1000))+((B39/1000)*(C39/1000)))*4)+((((D39/1000)+(C39/1000))*0.016)*4)+(((C39/1000)*(D39/1000))*2),IF(OR(ISERROR(FIND("shelf",A39))=FALSE,ISERROR(FIND("Filler panel",A39))=FALSE),(((C39/1000)*(D39/1000))*2)+((((C39+D39)*2)/1000)*0.022),IF(ISERROR(FIND("Fireplace",A39))=FALSE,((B39/1000)*(C39/1000)),IF(ISERROR(FIND("Worktop",A39))=FALSE,(B39/1000)*(C39/1000),IF(ISERROR(FIND("table",A39))=FALSE,(B39/1000)*0.6,IF(ISERROR(FIND("arcass",A39))=FALSE,(((C39/1000)*(D39/1000))*2)+(((B39/1000)*(D39/1000))*2)+((B39/1000)*(C39/1000))+((((B39/1000)*0.025)+((C39/1000)*0.025))*2),IF(AND(ISERROR(FIND("door",A39))=FALSE,WardrobeDoorStyle="Flat"),(((B39/1000)*(C39/1000))*2)+(MID(WardrobeDoorMaterial,FIND("(",WardrobeDoorMaterial)+1,2)/1000)*(((B39+C39)/1000)*2),IF(AND(ISERROR(FIND("door",A39))=FALSE,LEFT(WardrobeDoorStyle,5)="Panel"),(((B39/1000)*(C39/1000))*2)+((MID(WardrobeDoorMaterial,FIND("(",WardrobeDoorMaterial)+1,2)/1000)*(((B39+C39)/1000)*2))+(((((B39-160)+(C39-160))*2)/1000)*(0.013)),IF(AND(ISERROR(FIND("door",A39))=FALSE,WardrobeDoorStyle="In-frame flat"),((((B39-76)/1000)*((C39-38)/1000))*2)+(MID(WardrobeDoorMaterial,FIND("(",WardrobeDoorMaterial)+1,2)/1000)*((((B39-76)+(C39-38))/1000)*2)+(((B39/1000)*0.032)*2)+((((B39-76)/1000)*0.032)*2)+(((B39/1000)*0.019)*4)+(((C39/1000)*0.032)*2)+((((C39-38)/1000)*0.032)*2)+(((C39/1000)*0.038)*4),IF(AND(ISERROR(FIND("door",A39))=FALSE,LEFT(WardrobeDoorStyle,14)="In-frame panel"),((((B39-76)/1000)*((C39-38)/1000))*2)+((MID(WardrobeDoorMaterial,FIND("(",WardrobeDoorMaterial)+1,2)/1000)*((((B39-76)+(C39-38))/1000)*2))+((((B39-236)/1000)+((C39-198)/1000)*2)*0.013)+(((B39/1000)*0.032)*2)+((((B39-76)/1000)*0.032)*2)+(((B39/1000)*0.019)*4)+(((C39/1000)*0.032)*2)+((((C39-38)/1000)*0.032)*2)+(((C39/1000)*0.038)*4),IF(ISERROR(FIND("Plinth",A39))=FALSE,((B39/1000)*(C39/1000))+(((C39/1000)*0.018)*2)+(((B39/1000)*0.018)*2),IF(ISERROR(FIND("Cornice",A39))=FALSE,(((C39/1000)*0.1)*2)+(((C39/1000)*0.044)*2)+(((B39/1000)*0.08)*2),IF(ISERROR(FIND("Office pod",A39))=FALSE,((2400/1000)*(1200/1000))*6,IF(ISERROR(FIND("panel",A39))=FALSE,((B39/1000)*(C39/1000))+(0.022*((B39/1000)+((C39/1000)*2)))+((B39/1000)*0.05),IF(ISERROR(FIND("Fillers",A39))=FALSE,((C39/1000)*0.06)+((C39/1000)*0.069)+((0.06*0.018)*2)+((0.06*0.009)*2)+((C39/1000)*0.009)+((C39/1000)*0.018),IF(ISERROR(FIND("Pelmet",A39))=FALSE,((C39/1000)*0.05)+((C39/1000)*0.068)+((0.05*0.018)*4)+(((C39/1000)*0.018))*2)))))))))))))))))))))</f>
        <v>0.33224</v>
      </c>
      <c r="N39" s="152">
        <f>IF(M39="","",IF(AND(ISERROR(FIND("carcass",A39))=TRUE,ISERROR(FIND("unit",A39))=TRUE,ISERROR(FIND("insert",A39))=TRUE,ISERROR(FIND("rack",A39))=TRUE,ISERROR(FIND("box",A39))=TRUE,ISERROR(FIND("shelf",A39))=TRUE),VLOOKUP(WardrobeDoorFinish,Finishing!$A$2:$K$10,9,0)*M39,IF(ISERROR(FIND("table",A39))=FALSE,VLOOKUP("Sayerlack AF0072 Interior Clear Self-Sealer",FinishingData,9,FALSE)*M39,VLOOKUP(WardrobeCarcassFinish,Finishing!$A$2:$K$40,9,0)*M39)))</f>
        <v>2.4918</v>
      </c>
      <c r="O39" s="155">
        <v>0.5</v>
      </c>
      <c r="P39" s="155">
        <v>0.5</v>
      </c>
      <c r="Q39" s="152">
        <f>IF(OR(O39="",P39=""),"",((O39*X39)*(VLOOKUP("Workshop",Labour!$A$3:$E$20,4,0)/8))+((P39*AE39)*(VLOOKUP("Finishing",Labour!$A$3:$E$20,4,0)/8)))</f>
        <v>35.875</v>
      </c>
      <c r="R39" s="152">
        <f t="shared" si="4"/>
        <v>41.02495641</v>
      </c>
      <c r="S39" s="156">
        <f>IF(OR(O39="",P39=""),"",IF(OR(ISERROR(FIND("carcass",$A39))=FALSE,ISERROR(FIND("unit",$A39))=FALSE),VLOOKUP(WardrobeCarcassMaterial,FixedListsCarcassMaterial,2,0),0))</f>
        <v>0</v>
      </c>
      <c r="T39" s="156">
        <f>IF(OR(O39="",P39=""),"",IF(ISERROR(FIND("door",$A39))=FALSE,VLOOKUP(WardrobeDoorStyle,FixedListsDoorStyle,2,0),0))</f>
        <v>0</v>
      </c>
      <c r="U39" s="156">
        <f>IF(OR(O39="",P39=""),"",IF(ISERROR(FIND("door",$A39))=FALSE,VLOOKUP(WardrobeDoorMaterial,FixedListsDoorMaterial,2,0),0))</f>
        <v>0</v>
      </c>
      <c r="V39" s="156">
        <f>IF(OR(O39="",P39=""),"",IF(ISERROR(FIND("drawer",$A39))=FALSE,VLOOKUP(WardrobeDrawerType,FixedListsDrawerType,2,0),0))</f>
        <v>1</v>
      </c>
      <c r="W39" s="156">
        <f>IF(OR(O39="",P39=""),"",IF(S39&gt;0,VLOOKUP(WardrobeHandleType,FixedListsHandleType,2,FALSE),0))</f>
        <v>0</v>
      </c>
      <c r="X39" s="156">
        <f t="shared" si="5"/>
        <v>1</v>
      </c>
      <c r="Y39" s="156">
        <f>IF(OR(O39="",P39=""),"",IF(OR(ISERROR(FIND("carcass",$A39))=FALSE,ISERROR(FIND("unit",$A39))=FALSE),VLOOKUP(WardrobeCarcassMaterial,FixedListsCarcassMaterial,3,0),0))</f>
        <v>0</v>
      </c>
      <c r="Z39" s="156">
        <f>IF(OR(O39="",P39=""),"",IF(ISERROR(FIND("door",$A39))=FALSE,VLOOKUP(WardrobeDoorStyle,FixedListsDoorStyle,3,0),0))</f>
        <v>0</v>
      </c>
      <c r="AA39" s="156">
        <f>IF(OR(O39="",P39=""),"",IF(ISERROR(FIND("door",$A39))=FALSE,VLOOKUP(WardrobeDoorMaterial,FixedListsDoorMaterial,3,0),0))</f>
        <v>0</v>
      </c>
      <c r="AB39" s="156">
        <f>IF(OR(O39="",P39=""),"",IF(ISERROR(FIND("drawer",$A39))=FALSE,VLOOKUP(WardrobeDrawerType,FixedListsDrawerType,3,0),0))</f>
        <v>1</v>
      </c>
      <c r="AC39" s="156">
        <f>IF(OR(O39="",P39=""),"",IF(S39&gt;0,VLOOKUP(WardrobeHandleType,FixedListsHandleType,3,FALSE),0))</f>
        <v>0</v>
      </c>
      <c r="AD39" s="156">
        <f>IF(OR(O39="",P39=""),"",IF(OR(ISERROR(FIND("carcass",$A39))=FALSE,ISERROR(FIND("unit",$A39))=FALSE),VLOOKUP(WardrobeCarcassFinish,FixedListsFinishes,3,0),IF(OR(ISERROR(FIND("door",$A39))=FALSE,ISERROR(FIND("Plinth",$A39))=FALSE,ISERROR(FIND("Cornice",$A39))=FALSE,ISERROR(FIND("Fillers",$A39))=FALSE,ISERROR(FIND("Pelmet",$A39))=FALSE,ISERROR(FIND("panel",$A39))=FALSE,ISERROR(FIND("post",$A39))=FALSE),VLOOKUP(WardrobeDoorFinish,FixedListsFinishes,3,0),IF(OR(ISERROR(FIND("drawer",$A39))=FALSE,ISERROR(FIND("insert",$A39))=FALSE,ISERROR(FIND("rck",$A39))=FALSE),VLOOKUP(WardrobeCarcassFinish,FixedListsFinishes,3,0),0))))</f>
        <v>1</v>
      </c>
      <c r="AE39" s="156">
        <f t="shared" si="6"/>
        <v>1</v>
      </c>
      <c r="AF39" s="157" t="str">
        <f>IF(AND(WardrobeHandleType="Channel",OR(ISERROR(FIND("arcass",$A39))=FALSE,ISERROR(FIND("unit",$A39))=FALSE)),IF(ISERROR(FIND("Tower",$A39))=TRUE,IF(WardrobeHandleFinish="Match carcass",IF(ISERROR(FIND("Walnut",WardrobeCarcassMaterial))=FALSE,(0.035*0.075*($C39/1000))*VLOOKUP("Walnut (solid m3)",SolidData,4,FALSE),IF(ISERROR(FIND("Oak",WardrobeCarcassMaterial))=FALSE,(0.035*0.075*($C39/1000))*VLOOKUP("Oak (solid m3)",SolidData,4,FALSE),IF(ISERROR(FIND("ply",WardrobeCarcassMaterial))=FALSE,(0.1*($C39/1000))*VLOOKUP("Birch ply (24mm)",SheetsData,7,FALSE),IF(ISERROR(FIND("H/F",WardrobeCarcassMaterial))=FALSE,(0.1*($C39/1000))*VLOOKUP("H/F (22mm)",SheetsData,7,FALSE),"Carcass - not tower - new material")))),IF(WardrobeHandleFinish="Match door",IF(ISERROR(FIND("Walnut",WardrobeDoorMaterial))=FALSE,(0.035*0.075*($C39/1000))*VLOOKUP("Walnut (solid m3)",SolidData,4,FALSE),IF(ISERROR(FIND("Oak",WardrobeDoorMaterial))=FALSE,(0.035*0.075*($C39/1000))*VLOOKUP("Oak (solid m3)",SolidData,4,FALSE),IF(ISERROR(FIND("ply",WardrobeDoorMaterial))=FALSE,(0.1*($C39/1000))*VLOOKUP("Birch ply (24mm)",SheetsData,7,FALSE),IF(ISERROR(FIND("H/F",WardrobeCarcassMaterial))=FALSE,(0.1*($C39/1000))*VLOOKUP("H/F (22mm)",SheetsData,7,FALSE),"Door - not tower - new material")))),"Channel - not tower - handle set to other")),IF(ISERROR(FIND("Tower",$A39))=FALSE,IF(WardrobeHandleFinish="Match carcass",IF(ISERROR(FIND("Walnut",WardrobeCarcassMaterial))=FALSE,(0.035*0.075*($B39/1000))*VLOOKUP("Walnut (solid m3)",SolidData,4,FALSE),IF(ISERROR(FIND("Oak",WardrobeCarcassMaterial))=FALSE,(0.035*0.075*($B39/1000))*VLOOKUP("Oak (solid m3)",SolidData,4,FALSE),IF(ISERROR(FIND("ply",WardrobeCarcassMaterial))=FALSE,(0.1*($B39/1000))*VLOOKUP("Birch ply (24mm)",SheetsData,7,FALSE),IF(ISERROR(FIND("H/F",WardrobeCarcassMaterial))=FALSE,(0.1*($C39/1000))*VLOOKUP("H/F (22mm)",SheetsData,7,FALSE),"Carcass - tower - new material")))),IF(WardrobeHandleFinish="Match door",IF(ISERROR(FIND("Walnut",WardrobeDoorMaterial))=FALSE,(0.035*0.075*($B39/1000))*VLOOKUP("Walnut (solid m3)",SolidData,4,FALSE),IF(ISERROR(FIND("Oak",WardrobeDoorMaterial))=FALSE,(0.035*0.075*($B39/1000))*VLOOKUP("Oak (solid m3)",SolidData,4,FALSE),IF(ISERROR(FIND("ply",WardrobeDoorMaterial))=FALSE,(0.1*($B39/1000))*VLOOKUP("Birch ply (24mm)",SheetData,7,FALSE),IF(ISERROR(FIND("H/F",WardrobeCarcassMaterial))=FALSE,(0.1*($C39/1000))*VLOOKUP("H/F (22mm)",SheetsData,7,FALSE),"Door - tower - new material")))),"Channel - tower - handle set to other")))),"")</f>
        <v/>
      </c>
    </row>
    <row r="40">
      <c r="A40" s="150" t="s">
        <v>205</v>
      </c>
      <c r="B40" s="160" t="str">
        <f t="shared" si="1"/>
        <v>240</v>
      </c>
      <c r="C40" s="160" t="str">
        <f>IFERROR(__xludf.DUMMYFUNCTION("IF(A40="""","""",IF(ISERROR(FIND(""arcass"",A40))=FALSE,MID(A40,FIND(""*"",A40)+1,FIND(""*"",A40,FIND(""*"",A40)+1)-FIND(""*"",A40)-1),IF(ISERROR(FIND(""End panel"",A40))=FALSE,RIGHT(A40,3),IF(OR(ISERROR(FIND(""drawer"",A40))=FALSE,ISERROR(FIND(""door"",A"&amp;"40))=FALSE,ISERROR(FIND(""shelf"",A40))=FALSE,ISERROR(FIND(""panel"",A40))=FALSE,ISERROR(FIND(""Plinth"",A40))=FALSE,ISERROR(FIND(""Cornice"",A40))=FALSE,ISERROR(FIND(""Fillers"",A40))=FALSE,ISERROR(FIND(""Pelmet"",A40))=FALSE,ISERROR(FIND(""Fireplace up "&amp;"to 1600"",A40))=FALSE),RIGHT(A40,LEN(A40)-LEN(regexextract(A40,"".* ""))),IF(ISERROR(FIND(""table"",A40))=FALSE,""560"",IF(ISERROR(FIND(""Office pod"",A40))=FALSE,""1600"",IF(ISERROR(FIND(""Fireplace over 1600"",A40))=FALSE,""2400"",IF(ISERROR(FIND(""Work"&amp;"top"",A40))=FALSE,""650"",""Whoops""))))))))"),"1200")</f>
        <v>1200</v>
      </c>
      <c r="D40" s="161" t="str">
        <f t="shared" si="2"/>
        <v/>
      </c>
      <c r="E40" s="152">
        <f>IF(OR(A40="",AND(ISERROR(FIND("drawer",A40))=FALSE,WardrobeDrawerType="")),"",IF(ISERROR(FIND("door",A40))=FALSE,IF(WardrobeDoorStyle="Flat",((B40/1000)*(C40/1000))*VLOOKUP(WardrobeDoorMaterial,SheetsData,8,0),IF(LEFT(WardrobeDoorStyle,5)="Panel",(((((B40/1000)*2)*0.08)+((((C40/1000)-0.16)*2)*0.08))*VLOOKUP("H/F (22mm)",SheetsData,8,0))+(((B40/1000)-0.14)*((C40/1000)-0.14)*VLOOKUP("H/F (9mm)",SheetsData,8,0)),IF(WardrobeDoorStyle="In-frame flat",((((((B40/1000)*0.019)*0.038)+((((C40-38)/1000)*0.038)*0.038))*2)*VLOOKUP("Tulip (solid m3)",SolidData,4,0))+(((B40-76)/1000)*((C40-38)/1000))*VLOOKUP("H/F (22mm)",SheetsData,8,0),IF(LEFT(WardrobeDoorStyle,14)="In-frame panel",(((((((B40/1000)*0.019)*0.038)+((((C40-38)/1000)*0.038)*0.038))*2)*VLOOKUP("Tulip (solid m3)",SolidData,4,0))+(((((((B40-76)/1000)*2)*0.08)+(((((C40-198)/1000)*2)*0.08)))*VLOOKUP("H/F (22mm)",SheetsData,8,0))+(((B40-216)/1000)*((C40-178)/1000)*VLOOKUP("H/F (9mm)",SheetsData,8,0)))))))),IF(AND(ISERROR(FIND("arcass",A40))=FALSE,ISERROR(FIND("ost corner",A40))=TRUE),IF(AND(VALUE(B40)&lt;1211,VALUE(C40)&lt;1211,VALUE(D40)&lt;606),1*VLOOKUP(WardrobeCarcassMaterial,SheetsData,5,FALSE),IF(AND(VALUE(B40)&lt;2421,VALUE(C40)&lt;2421,VALUE(D40)&lt;606),2*VLOOKUP(WardrobeCarcassMaterial,SheetsData,5,FALSE),IF(AND(VALUE(B40)&lt;2421,VALUE(C40)&lt;1211,VALUE(D40)&lt;1211),3*VLOOKUP(WardrobeCarcassMaterial,SheetsData,5,FALSE),IF(AND(VALUE(B40)&lt;2421,VALUE(C40)&lt;2421,VALUE(D40)&lt;1211),4*VLOOKUP(WardrobeCarcassMaterial,SheetsData,5,FALSE))))),IF(AND(ISERROR(FIND("arcass",A40))=FALSE,ISERROR(FIND("ost corner",A40))=FALSE),IF(AND(VALUE(B40)&lt;1211,VALUE(C40)&lt;1211,VALUE(D40)&lt;606),(1*VLOOKUP(WardrobeCarcassMaterial,SheetsData,5,FALSE))+(VLOOKUP("H/F (22mm)",SheetsData,7,FALSE)*1.44),IF(AND(VALUE(B40)&lt;2421,VALUE(C40)&lt;2421,VALUE(D40)&lt;606),(2*VLOOKUP(WardrobeCarcassMaterial,SheetsData,5,FALSE))+(VLOOKUP("H/F (22mm)",SheetsData,7,FALSE)*1.44),IF(AND(VALUE(B40)&lt;2421,VALUE(C40)&lt;1211,VALUE(D40)&lt;1211),(3*VLOOKUP(WardrobeCarcassMaterial,SheetsData,5,FALSE))+(VLOOKUP("H/F (22mm)",SheetsData,7,FALSE)*1.44),IF(AND(VALUE(B40)&lt;2421,VALUE(C40)&lt;2421,VALUE(D40)&lt;1211),(4*VLOOKUP(WardrobeCarcassMaterial,SheetsData,5,FALSE))+(VLOOKUP("H/F (22mm)",SheetsData,7,FALSE)*1.44))))),IF(ISERROR(FIND("drawer front",A40))=FALSE,((B40/1000)*(C40/1000))*VLOOKUP(WardrobeDoorMaterial,SheetsData,8,0),IF(AND(WardrobeDrawerType="Match carcass",ISERROR(FIND("drawer box",A40))=FALSE),(((((B40/1000)*(C40/1000))+((B40/1000)*(D40/1000)))*2)*VLOOKUP(WardrobeCarcassMaterial,SheetsData,8,0))+(((C40/1000)*(D40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box",A40))=FALSE),(((((B40/1000)*(C40/1000))+((B40/1000)*(D40/1000)))*2)*(16/1000)*VLOOKUP(LEFT(WardrobeCarcassMaterial,FIND(" ",WardrobeCarcassMaterial))&amp;"(solid m3)",SolidData,4,0))+(((C40/1000)*(D40/1000))*VLOOKUP(LEFT(WardrobeCarcassMaterial,FIND("(",WardrobeCarcassMaterial)-1)&amp;IF(OR(ISERROR(FIND("ply",WardrobeCarcassMaterial))=FALSE,ISERROR(FIND("H/F",WardrobeCarcassMaterial))=FALSE),"(9mm)","(10mm)"),SheetsData,8,0)),IF(ISERROR(FIND("shelf",A40))=FALSE,((C40/1000)*(D40/1000))*VLOOKUP(WardrobeCarcassMaterial,SheetsData,7,FALSE),IF(ISERROR(FIND("Office pod",A40))=FALSE,3*VLOOKUP(WardrobeCarcassMaterial,SheetsData,5,0),IF(ISERROR(FIND(" panel",A40))=FALSE,((B40/1000)*(C40/1000))*VLOOKUP(WardrobeDoorMaterial,SheetsData,8,0),IF(ISERROR(FIND("Fillers",A40))=FALSE,(((0.06*(C40/1000))*2)*VLOOKUP("H/F (18mm)",SheetsData,8,0))+(((0.06*(C40/1000))*2)*VLOOKUP("H/F (9mm)",SheetsData,8,0)),IF(ISERROR(FIND("Cornice (stacked)",A40))=FALSE,((0.08*(C40/1000))*2)*VLOOKUP("H/F (22mm)",SheetsData,8,0),IF(OR(ISERROR(FIND("Plinth",A40))=FALSE,ISERROR(FIND("Cornice (flat)",A40))=FALSE),((B40/1000)*(C40/1000))*VLOOKUP("H/F (18mm)",SheetsData,8,0),IF(ISERROR(FIND("Pelmet",A40))=FALSE,((((B40/1000)*(C40/1000))*2)*VLOOKUP("H/F (18mm)",SheetsData,8,0)),IF(ISERROR(FIND("Fireplace",A40))=FALSE,IF(ISERROR(FIND("over 1600",A40))=FALSE,2*VLOOKUP(WardrobeCarcassMaterial,SheetsData,5,FALSE),VLOOKUP(WardrobeCarcassMaterial,SheetsData,5,FALSE)),IF(ISERROR(FIND("table",A40))=FALSE,((B40/1000)*0.6)*VLOOKUP("Birch ply (24mm)",SheetsData,7,FALSE),IF(ISERROR(FIND("Worktop",A40))=FALSE,((B40/1000)*(C40/1000))*VLOOKUP(WardrobeDoorMaterial,SheetsData,7,FALSE),"Check formula")))))))))))))))))</f>
        <v>5.316312819</v>
      </c>
      <c r="F40" s="152">
        <f>IFERROR(__xludf.DUMMYFUNCTION("IF(OR(A40="""",AND(ISERROR(FIND(""drawer box"",A40))=FALSE,WardrobeDrawerType=""Solid dovetail"")),"""",IF(ISERROR(FIND(""bins"",A40))=FALSE,VLOOKUP(""Base carcass 600"",Wardrobes_etcData,6,0),IF(OR(ISERROR(FIND(""larder"",A40))=FALSE,ISERROR(FIND(""unit"&amp;""",A40))=FALSE),VLOOKUP(LEFT(A40,FIND("" "",A40))&amp;""carcass ""&amp;RIGHT(A40,LEN(A40)-len(regexextract(A40,"".* ""))),Wardrobes_etcData,6,0),IF(ISERROR(FIND(""drawer front"",A40))=FALSE,IF(ISERROR(FIND(""veneer"",WardrobeCarcassMaterial))=TRUE,0,(((B40+C40)/1"&amp;"000)*2)*VLOOKUP(""Edge banding (per M)"",SheetsData,5,0)),IF(ISERROR(FIND(""drawer box"",A40))=FALSE,IF(ISERROR(FIND(""veneer"",WardrobeCarcassMaterial))=TRUE,0,(((C40+D40)/1000)*2)*VLOOKUP(""Edge banding (per M)"",SheetsData,5,0)),IF(ISERROR(FIND(""shelf"&amp;""",A40))=FALSE,IF(ISERROR(FIND(""veneer"",WardrobeCarcassMaterial))=TRUE,0,(C40/1000)*VLOOKUP(""Edge banding (per M)"",SheetsData,5,0)),IF(AND(OR(ISERROR(FIND(""arcass"",A40))=FALSE,ISERROR(FIND(""Fireplace"",A40))=FALSE),ISERROR(FIND(""shelf"",A40))=TRUE"&amp;"),IF(ISERROR(FIND(""veneer"",WardrobeCarcassMaterial))=TRUE,0,((2*(B40+C40))/1000)*VLOOKUP(""Edge banding (per M)"",SheetsData,5,0)),IF(ISERROR(FIND(""door"",A40))=TRUE,"""",IF(ISERROR(FIND(""veneer"",WardrobeDoorMaterial))=TRUE,"""",((2*(B40+C40))/1000)*"&amp;"VLOOKUP(""Edge banding (per M)"",SheetsData,5,0))))))))))"),0.0)</f>
        <v>0</v>
      </c>
      <c r="G40" s="153" t="str">
        <f>IF(A40="","",IF(AND(ISERROR(FIND("arcass",A40))=TRUE,ISERROR(FIND("Fireplace",A40))=TRUE),"",IF(VALUE(C40)&lt;606,4*VLOOKUP("Plinth foot (2 Parts 80mm)",FurnitureData,5,FALSE),IF(VALUE(C40)&lt;1211,6*VLOOKUP("Plinth foot (2 Parts 80mm)",FurnitureData,5,FALSE),8*VLOOKUP("Plinth foot (2 Parts 80mm)",FurnitureData,5,FALSE)))))</f>
        <v/>
      </c>
      <c r="H40" s="115" t="str">
        <f>IF(OR(A40="",ISERROR(FIND("door",A40))=TRUE),"",VLOOKUP("Hinges &amp; plates (Hettich thick door)",FurnitureData,5,0)*5)</f>
        <v/>
      </c>
      <c r="I40" s="115" t="str">
        <f>IF(ISERROR(FIND("shelf",A40))=FALSE,(VLOOKUP("Shelf pegs",FurnitureData,5,0)/100)*4,"")</f>
        <v/>
      </c>
      <c r="J40" s="152" t="str">
        <f>IF(OR(ISERROR(FIND("fridge/freezer",A40))=FALSE,ISERROR(FIND("sink",A40))=FALSE,ISERROR(FIND("larder",A40))=FALSE),VLOOKUP("Deep shelf "&amp;C40,Wardrobes_etcData,18,0),IF(OR(ISERROR(FIND("single oven",A40))=FALSE,ISERROR(FIND("Base carcass",A40))=FALSE),2*VLOOKUP("Deep shelf "&amp;C40,Wardrobes_etcData,18,0),IF(AND(ISERROR(FIND("wall carcass",A40))=FALSE,ISERROR(FIND("Boiler",A40))=TRUE),2*VLOOKUP("Shallow shelf "&amp;C40,Wardrobes_etcData,18,0),IF(ISERROR(FIND("double oven",A40))=FALSE,3*VLOOKUP("Deep shelf "&amp;C40,Wardrobes_etcData,18,0),IF(ISERROR(FIND("Tower carcass",A40))=FALSE,6*VLOOKUP("Deep shelf "&amp;C40,Wardrobes_etcData,18,0),"")))))</f>
        <v/>
      </c>
      <c r="K40" s="152" t="str">
        <f>IF(ISERROR(FIND("sink",A40))=FALSE,VLOOKUP("Sink liner - Aluminium "&amp;RIGHT(A40,LEN(A40)-22)&amp;"mm",ExceptionalData,5,0),IF(ISERROR(FIND("bins",A40))=FALSE,VLOOKUP("Drawer runners and clip set for bin unit (500) Dynapro",FurnitureData,5,0)+(2*VLOOKUP("Bin (42L Anthracite)",FurnitureData,5,0)),IF(ISERROR(FIND("larder",A40))=FALSE,VLOOKUP("Pull out larder unit 600mm",FurnitureData,5,0),IF(AND(ISERROR(FIND("drawer box",A40))=FALSE,ISERROR(FIND("internal",A40))=TRUE),VLOOKUP("Drawer runners and clip set (550) Dynapro",FurnitureData,5,0),IF(ISERROR(FIND("internal drawer box",A40))=FALSE,VLOOKUP("Drawer runners and clip set (450) Dynapro",FurnitureData,5,0),IF(ISERROR(FIND("table",A40))=FALSE,VLOOKUP("Hairpin Leg (12mm Black "&amp;MID(A40,FIND("(",A40)+1,LEN(A40)-(FIND("(",A40))-1)&amp;"mm)",ExceptionalData,4,FALSE),""))))))</f>
        <v/>
      </c>
      <c r="L40" s="152">
        <f t="shared" si="3"/>
        <v>5.316312819</v>
      </c>
      <c r="M40" s="154">
        <f>IF(A40="","",IF(AND(ISERROR(FIND("drawer front",A40))=FALSE,WardrobeDoorStyle="Flat"),(((B40/1000)*(C40/1000))*2)+((((B40+C40)/1000)*2)*0.022),IF(AND(ISERROR(FIND("drawer front",A40))=FALSE,LEFT(WardrobeDoorStyle,5)="Panel"),(((B40/1000)*(C40/1000))*2)+((((B40+C40)/1000)*2)*0.022)+((((C40/1000)-0.16)*0.013)*2)+((((D40/1000)-0.16)*0.013)*2),IF(AND(ISERROR(FIND("drawer front",A40))=FALSE,WardrobeDoorStyle="In-frame flat"),((((B40-76)/1000)*((C40-38)/1000))*2)+(MID(WardrobeDoorMaterial,FIND("(",WardrobeDoorMaterial)+1,2)/1000)*((((B40-76)+(C40-38))/1000)*2)+(((B40/1000)*0.032)*2)+((((B40-76)/1000)*0.032)*2)+(((B40/1000)*0.019)*4)+(((C40/1000)*0.032)*2)+((((C40-38)/1000)*0.032)*2)+(((C40/1000)*0.038)*4),IF(AND(ISERROR(FIND("drawer front",A40))=FALSE,LEFT(WardrobeDoorStyle,14)="In-frame panel"),((((B40-76)/1000)*((C40-38)/1000))*2)+((MID(WardrobeDoorMaterial,FIND("(",WardrobeDoorMaterial)+1,2)/1000)*((((B40-76)+(C40-38))/1000)*2))+((((B40-236)/1000)+((C40-198)/1000)*2)*0.013)+(((B40/1000)*0.032)*2)+((((B40-76)/1000)*0.032)*2)+(((B40/1000)*0.019)*4)+(((C40/1000)*0.032)*2)+((((C40-38)/1000)*0.032)*2)+(((C40/1000)*0.038)*4),IF(ISERROR(FIND("drawer box",A40))=FALSE,((((B40/1000)*(D40/1000))+((B40/1000)*(C40/1000)))*4)+((((D40/1000)+(C40/1000))*0.016)*4)+(((C40/1000)*(D40/1000))*2),IF(OR(ISERROR(FIND("shelf",A40))=FALSE,ISERROR(FIND("Filler panel",A40))=FALSE),(((C40/1000)*(D40/1000))*2)+((((C40+D40)*2)/1000)*0.022),IF(ISERROR(FIND("Fireplace",A40))=FALSE,((B40/1000)*(C40/1000)),IF(ISERROR(FIND("Worktop",A40))=FALSE,(B40/1000)*(C40/1000),IF(ISERROR(FIND("table",A40))=FALSE,(B40/1000)*0.6,IF(ISERROR(FIND("arcass",A40))=FALSE,(((C40/1000)*(D40/1000))*2)+(((B40/1000)*(D40/1000))*2)+((B40/1000)*(C40/1000))+((((B40/1000)*0.025)+((C40/1000)*0.025))*2),IF(AND(ISERROR(FIND("door",A40))=FALSE,WardrobeDoorStyle="Flat"),(((B40/1000)*(C40/1000))*2)+(MID(WardrobeDoorMaterial,FIND("(",WardrobeDoorMaterial)+1,2)/1000)*(((B40+C40)/1000)*2),IF(AND(ISERROR(FIND("door",A40))=FALSE,LEFT(WardrobeDoorStyle,5)="Panel"),(((B40/1000)*(C40/1000))*2)+((MID(WardrobeDoorMaterial,FIND("(",WardrobeDoorMaterial)+1,2)/1000)*(((B40+C40)/1000)*2))+(((((B40-160)+(C40-160))*2)/1000)*(0.013)),IF(AND(ISERROR(FIND("door",A40))=FALSE,WardrobeDoorStyle="In-frame flat"),((((B40-76)/1000)*((C40-38)/1000))*2)+(MID(WardrobeDoorMaterial,FIND("(",WardrobeDoorMaterial)+1,2)/1000)*((((B40-76)+(C40-38))/1000)*2)+(((B40/1000)*0.032)*2)+((((B40-76)/1000)*0.032)*2)+(((B40/1000)*0.019)*4)+(((C40/1000)*0.032)*2)+((((C40-38)/1000)*0.032)*2)+(((C40/1000)*0.038)*4),IF(AND(ISERROR(FIND("door",A40))=FALSE,LEFT(WardrobeDoorStyle,14)="In-frame panel"),((((B40-76)/1000)*((C40-38)/1000))*2)+((MID(WardrobeDoorMaterial,FIND("(",WardrobeDoorMaterial)+1,2)/1000)*((((B40-76)+(C40-38))/1000)*2))+((((B40-236)/1000)+((C40-198)/1000)*2)*0.013)+(((B40/1000)*0.032)*2)+((((B40-76)/1000)*0.032)*2)+(((B40/1000)*0.019)*4)+(((C40/1000)*0.032)*2)+((((C40-38)/1000)*0.032)*2)+(((C40/1000)*0.038)*4),IF(ISERROR(FIND("Plinth",A40))=FALSE,((B40/1000)*(C40/1000))+(((C40/1000)*0.018)*2)+(((B40/1000)*0.018)*2),IF(ISERROR(FIND("Cornice",A40))=FALSE,(((C40/1000)*0.1)*2)+(((C40/1000)*0.044)*2)+(((B40/1000)*0.08)*2),IF(ISERROR(FIND("Office pod",A40))=FALSE,((2400/1000)*(1200/1000))*6,IF(ISERROR(FIND("panel",A40))=FALSE,((B40/1000)*(C40/1000))+(0.022*((B40/1000)+((C40/1000)*2)))+((B40/1000)*0.05),IF(ISERROR(FIND("Fillers",A40))=FALSE,((C40/1000)*0.06)+((C40/1000)*0.069)+((0.06*0.018)*2)+((0.06*0.009)*2)+((C40/1000)*0.009)+((C40/1000)*0.018),IF(ISERROR(FIND("Pelmet",A40))=FALSE,((C40/1000)*0.05)+((C40/1000)*0.068)+((0.05*0.018)*4)+(((C40/1000)*0.018))*2)))))))))))))))))))))</f>
        <v>0.66224</v>
      </c>
      <c r="N40" s="152">
        <f>IF(M40="","",IF(AND(ISERROR(FIND("carcass",A40))=TRUE,ISERROR(FIND("unit",A40))=TRUE,ISERROR(FIND("insert",A40))=TRUE,ISERROR(FIND("rack",A40))=TRUE,ISERROR(FIND("box",A40))=TRUE,ISERROR(FIND("shelf",A40))=TRUE),VLOOKUP(WardrobeDoorFinish,Finishing!$A$2:$K$10,9,0)*M40,IF(ISERROR(FIND("table",A40))=FALSE,VLOOKUP("Sayerlack AF0072 Interior Clear Self-Sealer",FinishingData,9,FALSE)*M40,VLOOKUP(WardrobeCarcassFinish,Finishing!$A$2:$K$40,9,0)*M40)))</f>
        <v>4.9668</v>
      </c>
      <c r="O40" s="155">
        <v>0.5</v>
      </c>
      <c r="P40" s="155">
        <v>0.5</v>
      </c>
      <c r="Q40" s="152">
        <f>IF(OR(O40="",P40=""),"",((O40*X40)*(VLOOKUP("Workshop",Labour!$A$3:$E$20,4,0)/8))+((P40*AE40)*(VLOOKUP("Finishing",Labour!$A$3:$E$20,4,0)/8)))</f>
        <v>35.875</v>
      </c>
      <c r="R40" s="152">
        <f t="shared" si="4"/>
        <v>46.15811282</v>
      </c>
      <c r="S40" s="156">
        <f>IF(OR(O40="",P40=""),"",IF(OR(ISERROR(FIND("carcass",$A40))=FALSE,ISERROR(FIND("unit",$A40))=FALSE),VLOOKUP(WardrobeCarcassMaterial,FixedListsCarcassMaterial,2,0),0))</f>
        <v>0</v>
      </c>
      <c r="T40" s="156">
        <f>IF(OR(O40="",P40=""),"",IF(ISERROR(FIND("door",$A40))=FALSE,VLOOKUP(WardrobeDoorStyle,FixedListsDoorStyle,2,0),0))</f>
        <v>0</v>
      </c>
      <c r="U40" s="156">
        <f>IF(OR(O40="",P40=""),"",IF(ISERROR(FIND("door",$A40))=FALSE,VLOOKUP(WardrobeDoorMaterial,FixedListsDoorMaterial,2,0),0))</f>
        <v>0</v>
      </c>
      <c r="V40" s="156">
        <f>IF(OR(O40="",P40=""),"",IF(ISERROR(FIND("drawer",$A40))=FALSE,VLOOKUP(WardrobeDrawerType,FixedListsDrawerType,2,0),0))</f>
        <v>1</v>
      </c>
      <c r="W40" s="156">
        <f>IF(OR(O40="",P40=""),"",IF(S40&gt;0,VLOOKUP(WardrobeHandleType,FixedListsHandleType,2,FALSE),0))</f>
        <v>0</v>
      </c>
      <c r="X40" s="156">
        <f t="shared" si="5"/>
        <v>1</v>
      </c>
      <c r="Y40" s="156">
        <f>IF(OR(O40="",P40=""),"",IF(OR(ISERROR(FIND("carcass",$A40))=FALSE,ISERROR(FIND("unit",$A40))=FALSE),VLOOKUP(WardrobeCarcassMaterial,FixedListsCarcassMaterial,3,0),0))</f>
        <v>0</v>
      </c>
      <c r="Z40" s="156">
        <f>IF(OR(O40="",P40=""),"",IF(ISERROR(FIND("door",$A40))=FALSE,VLOOKUP(WardrobeDoorStyle,FixedListsDoorStyle,3,0),0))</f>
        <v>0</v>
      </c>
      <c r="AA40" s="156">
        <f>IF(OR(O40="",P40=""),"",IF(ISERROR(FIND("door",$A40))=FALSE,VLOOKUP(WardrobeDoorMaterial,FixedListsDoorMaterial,3,0),0))</f>
        <v>0</v>
      </c>
      <c r="AB40" s="156">
        <f>IF(OR(O40="",P40=""),"",IF(ISERROR(FIND("drawer",$A40))=FALSE,VLOOKUP(WardrobeDrawerType,FixedListsDrawerType,3,0),0))</f>
        <v>1</v>
      </c>
      <c r="AC40" s="156">
        <f>IF(OR(O40="",P40=""),"",IF(S40&gt;0,VLOOKUP(WardrobeHandleType,FixedListsHandleType,3,FALSE),0))</f>
        <v>0</v>
      </c>
      <c r="AD40" s="156">
        <f>IF(OR(O40="",P40=""),"",IF(OR(ISERROR(FIND("carcass",$A40))=FALSE,ISERROR(FIND("unit",$A40))=FALSE),VLOOKUP(WardrobeCarcassFinish,FixedListsFinishes,3,0),IF(OR(ISERROR(FIND("door",$A40))=FALSE,ISERROR(FIND("Plinth",$A40))=FALSE,ISERROR(FIND("Cornice",$A40))=FALSE,ISERROR(FIND("Fillers",$A40))=FALSE,ISERROR(FIND("Pelmet",$A40))=FALSE,ISERROR(FIND("panel",$A40))=FALSE,ISERROR(FIND("post",$A40))=FALSE),VLOOKUP(WardrobeDoorFinish,FixedListsFinishes,3,0),IF(OR(ISERROR(FIND("drawer",$A40))=FALSE,ISERROR(FIND("insert",$A40))=FALSE,ISERROR(FIND("rck",$A40))=FALSE),VLOOKUP(WardrobeCarcassFinish,FixedListsFinishes,3,0),0))))</f>
        <v>1</v>
      </c>
      <c r="AE40" s="156">
        <f t="shared" si="6"/>
        <v>1</v>
      </c>
      <c r="AF40" s="157" t="str">
        <f>IF(AND(WardrobeHandleType="Channel",OR(ISERROR(FIND("arcass",$A40))=FALSE,ISERROR(FIND("unit",$A40))=FALSE)),IF(ISERROR(FIND("Tower",$A40))=TRUE,IF(WardrobeHandleFinish="Match carcass",IF(ISERROR(FIND("Walnut",WardrobeCarcassMaterial))=FALSE,(0.035*0.075*($C40/1000))*VLOOKUP("Walnut (solid m3)",SolidData,4,FALSE),IF(ISERROR(FIND("Oak",WardrobeCarcassMaterial))=FALSE,(0.035*0.075*($C40/1000))*VLOOKUP("Oak (solid m3)",SolidData,4,FALSE),IF(ISERROR(FIND("ply",WardrobeCarcassMaterial))=FALSE,(0.1*($C40/1000))*VLOOKUP("Birch ply (24mm)",SheetsData,7,FALSE),IF(ISERROR(FIND("H/F",WardrobeCarcassMaterial))=FALSE,(0.1*($C40/1000))*VLOOKUP("H/F (22mm)",SheetsData,7,FALSE),"Carcass - not tower - new material")))),IF(WardrobeHandleFinish="Match door",IF(ISERROR(FIND("Walnut",WardrobeDoorMaterial))=FALSE,(0.035*0.075*($C40/1000))*VLOOKUP("Walnut (solid m3)",SolidData,4,FALSE),IF(ISERROR(FIND("Oak",WardrobeDoorMaterial))=FALSE,(0.035*0.075*($C40/1000))*VLOOKUP("Oak (solid m3)",SolidData,4,FALSE),IF(ISERROR(FIND("ply",WardrobeDoorMaterial))=FALSE,(0.1*($C40/1000))*VLOOKUP("Birch ply (24mm)",SheetsData,7,FALSE),IF(ISERROR(FIND("H/F",WardrobeCarcassMaterial))=FALSE,(0.1*($C40/1000))*VLOOKUP("H/F (22mm)",SheetsData,7,FALSE),"Door - not tower - new material")))),"Channel - not tower - handle set to other")),IF(ISERROR(FIND("Tower",$A40))=FALSE,IF(WardrobeHandleFinish="Match carcass",IF(ISERROR(FIND("Walnut",WardrobeCarcassMaterial))=FALSE,(0.035*0.075*($B40/1000))*VLOOKUP("Walnut (solid m3)",SolidData,4,FALSE),IF(ISERROR(FIND("Oak",WardrobeCarcassMaterial))=FALSE,(0.035*0.075*($B40/1000))*VLOOKUP("Oak (solid m3)",SolidData,4,FALSE),IF(ISERROR(FIND("ply",WardrobeCarcassMaterial))=FALSE,(0.1*($B40/1000))*VLOOKUP("Birch ply (24mm)",SheetsData,7,FALSE),IF(ISERROR(FIND("H/F",WardrobeCarcassMaterial))=FALSE,(0.1*($C40/1000))*VLOOKUP("H/F (22mm)",SheetsData,7,FALSE),"Carcass - tower - new material")))),IF(WardrobeHandleFinish="Match door",IF(ISERROR(FIND("Walnut",WardrobeDoorMaterial))=FALSE,(0.035*0.075*($B40/1000))*VLOOKUP("Walnut (solid m3)",SolidData,4,FALSE),IF(ISERROR(FIND("Oak",WardrobeDoorMaterial))=FALSE,(0.035*0.075*($B40/1000))*VLOOKUP("Oak (solid m3)",SolidData,4,FALSE),IF(ISERROR(FIND("ply",WardrobeDoorMaterial))=FALSE,(0.1*($B40/1000))*VLOOKUP("Birch ply (24mm)",SheetData,7,FALSE),IF(ISERROR(FIND("H/F",WardrobeCarcassMaterial))=FALSE,(0.1*($C40/1000))*VLOOKUP("H/F (22mm)",SheetsData,7,FALSE),"Door - tower - new material")))),"Channel - tower - handle set to other")))),"")</f>
        <v/>
      </c>
    </row>
    <row r="41">
      <c r="A41" s="150" t="s">
        <v>206</v>
      </c>
      <c r="B41" s="160" t="str">
        <f t="shared" si="1"/>
        <v>360</v>
      </c>
      <c r="C41" s="160" t="str">
        <f>IFERROR(__xludf.DUMMYFUNCTION("IF(A41="""","""",IF(ISERROR(FIND(""arcass"",A41))=FALSE,MID(A41,FIND(""*"",A41)+1,FIND(""*"",A41,FIND(""*"",A41)+1)-FIND(""*"",A41)-1),IF(ISERROR(FIND(""End panel"",A41))=FALSE,RIGHT(A41,3),IF(OR(ISERROR(FIND(""drawer"",A41))=FALSE,ISERROR(FIND(""door"",A"&amp;"41))=FALSE,ISERROR(FIND(""shelf"",A41))=FALSE,ISERROR(FIND(""panel"",A41))=FALSE,ISERROR(FIND(""Plinth"",A41))=FALSE,ISERROR(FIND(""Cornice"",A41))=FALSE,ISERROR(FIND(""Fillers"",A41))=FALSE,ISERROR(FIND(""Pelmet"",A41))=FALSE,ISERROR(FIND(""Fireplace up "&amp;"to 1600"",A41))=FALSE),RIGHT(A41,LEN(A41)-LEN(regexextract(A41,"".* ""))),IF(ISERROR(FIND(""table"",A41))=FALSE,""560"",IF(ISERROR(FIND(""Office pod"",A41))=FALSE,""1600"",IF(ISERROR(FIND(""Fireplace over 1600"",A41))=FALSE,""2400"",IF(ISERROR(FIND(""Work"&amp;"top"",A41))=FALSE,""650"",""Whoops""))))))))"),"600")</f>
        <v>600</v>
      </c>
      <c r="D41" s="161" t="str">
        <f t="shared" si="2"/>
        <v/>
      </c>
      <c r="E41" s="152">
        <f>IF(OR(A41="",AND(ISERROR(FIND("drawer",A41))=FALSE,WardrobeDrawerType="")),"",IF(ISERROR(FIND("door",A41))=FALSE,IF(WardrobeDoorStyle="Flat",((B41/1000)*(C41/1000))*VLOOKUP(WardrobeDoorMaterial,SheetsData,8,0),IF(LEFT(WardrobeDoorStyle,5)="Panel",(((((B41/1000)*2)*0.08)+((((C41/1000)-0.16)*2)*0.08))*VLOOKUP("H/F (22mm)",SheetsData,8,0))+(((B41/1000)-0.14)*((C41/1000)-0.14)*VLOOKUP("H/F (9mm)",SheetsData,8,0)),IF(WardrobeDoorStyle="In-frame flat",((((((B41/1000)*0.019)*0.038)+((((C41-38)/1000)*0.038)*0.038))*2)*VLOOKUP("Tulip (solid m3)",SolidData,4,0))+(((B41-76)/1000)*((C41-38)/1000))*VLOOKUP("H/F (22mm)",SheetsData,8,0),IF(LEFT(WardrobeDoorStyle,14)="In-frame panel",(((((((B41/1000)*0.019)*0.038)+((((C41-38)/1000)*0.038)*0.038))*2)*VLOOKUP("Tulip (solid m3)",SolidData,4,0))+(((((((B41-76)/1000)*2)*0.08)+(((((C41-198)/1000)*2)*0.08)))*VLOOKUP("H/F (22mm)",SheetsData,8,0))+(((B41-216)/1000)*((C41-178)/1000)*VLOOKUP("H/F (9mm)",SheetsData,8,0)))))))),IF(AND(ISERROR(FIND("arcass",A41))=FALSE,ISERROR(FIND("ost corner",A41))=TRUE),IF(AND(VALUE(B41)&lt;1211,VALUE(C41)&lt;1211,VALUE(D41)&lt;606),1*VLOOKUP(WardrobeCarcassMaterial,SheetsData,5,FALSE),IF(AND(VALUE(B41)&lt;2421,VALUE(C41)&lt;2421,VALUE(D41)&lt;606),2*VLOOKUP(WardrobeCarcassMaterial,SheetsData,5,FALSE),IF(AND(VALUE(B41)&lt;2421,VALUE(C41)&lt;1211,VALUE(D41)&lt;1211),3*VLOOKUP(WardrobeCarcassMaterial,SheetsData,5,FALSE),IF(AND(VALUE(B41)&lt;2421,VALUE(C41)&lt;2421,VALUE(D41)&lt;1211),4*VLOOKUP(WardrobeCarcassMaterial,SheetsData,5,FALSE))))),IF(AND(ISERROR(FIND("arcass",A41))=FALSE,ISERROR(FIND("ost corner",A41))=FALSE),IF(AND(VALUE(B41)&lt;1211,VALUE(C41)&lt;1211,VALUE(D41)&lt;606),(1*VLOOKUP(WardrobeCarcassMaterial,SheetsData,5,FALSE))+(VLOOKUP("H/F (22mm)",SheetsData,7,FALSE)*1.44),IF(AND(VALUE(B41)&lt;2421,VALUE(C41)&lt;2421,VALUE(D41)&lt;606),(2*VLOOKUP(WardrobeCarcassMaterial,SheetsData,5,FALSE))+(VLOOKUP("H/F (22mm)",SheetsData,7,FALSE)*1.44),IF(AND(VALUE(B41)&lt;2421,VALUE(C41)&lt;1211,VALUE(D41)&lt;1211),(3*VLOOKUP(WardrobeCarcassMaterial,SheetsData,5,FALSE))+(VLOOKUP("H/F (22mm)",SheetsData,7,FALSE)*1.44),IF(AND(VALUE(B41)&lt;2421,VALUE(C41)&lt;2421,VALUE(D41)&lt;1211),(4*VLOOKUP(WardrobeCarcassMaterial,SheetsData,5,FALSE))+(VLOOKUP("H/F (22mm)",SheetsData,7,FALSE)*1.44))))),IF(ISERROR(FIND("drawer front",A41))=FALSE,((B41/1000)*(C41/1000))*VLOOKUP(WardrobeDoorMaterial,SheetsData,8,0),IF(AND(WardrobeDrawerType="Match carcass",ISERROR(FIND("drawer box",A41))=FALSE),(((((B41/1000)*(C41/1000))+((B41/1000)*(D41/1000)))*2)*VLOOKUP(WardrobeCarcassMaterial,SheetsData,8,0))+(((C41/1000)*(D41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box",A41))=FALSE),(((((B41/1000)*(C41/1000))+((B41/1000)*(D41/1000)))*2)*(16/1000)*VLOOKUP(LEFT(WardrobeCarcassMaterial,FIND(" ",WardrobeCarcassMaterial))&amp;"(solid m3)",SolidData,4,0))+(((C41/1000)*(D41/1000))*VLOOKUP(LEFT(WardrobeCarcassMaterial,FIND("(",WardrobeCarcassMaterial)-1)&amp;IF(OR(ISERROR(FIND("ply",WardrobeCarcassMaterial))=FALSE,ISERROR(FIND("H/F",WardrobeCarcassMaterial))=FALSE),"(9mm)","(10mm)"),SheetsData,8,0)),IF(ISERROR(FIND("shelf",A41))=FALSE,((C41/1000)*(D41/1000))*VLOOKUP(WardrobeCarcassMaterial,SheetsData,7,FALSE),IF(ISERROR(FIND("Office pod",A41))=FALSE,3*VLOOKUP(WardrobeCarcassMaterial,SheetsData,5,0),IF(ISERROR(FIND(" panel",A41))=FALSE,((B41/1000)*(C41/1000))*VLOOKUP(WardrobeDoorMaterial,SheetsData,8,0),IF(ISERROR(FIND("Fillers",A41))=FALSE,(((0.06*(C41/1000))*2)*VLOOKUP("H/F (18mm)",SheetsData,8,0))+(((0.06*(C41/1000))*2)*VLOOKUP("H/F (9mm)",SheetsData,8,0)),IF(ISERROR(FIND("Cornice (stacked)",A41))=FALSE,((0.08*(C41/1000))*2)*VLOOKUP("H/F (22mm)",SheetsData,8,0),IF(OR(ISERROR(FIND("Plinth",A41))=FALSE,ISERROR(FIND("Cornice (flat)",A41))=FALSE),((B41/1000)*(C41/1000))*VLOOKUP("H/F (18mm)",SheetsData,8,0),IF(ISERROR(FIND("Pelmet",A41))=FALSE,((((B41/1000)*(C41/1000))*2)*VLOOKUP("H/F (18mm)",SheetsData,8,0)),IF(ISERROR(FIND("Fireplace",A41))=FALSE,IF(ISERROR(FIND("over 1600",A41))=FALSE,2*VLOOKUP(WardrobeCarcassMaterial,SheetsData,5,FALSE),VLOOKUP(WardrobeCarcassMaterial,SheetsData,5,FALSE)),IF(ISERROR(FIND("table",A41))=FALSE,((B41/1000)*0.6)*VLOOKUP("Birch ply (24mm)",SheetsData,7,FALSE),IF(ISERROR(FIND("Worktop",A41))=FALSE,((B41/1000)*(C41/1000))*VLOOKUP(WardrobeDoorMaterial,SheetsData,7,FALSE),"Check formula")))))))))))))))))</f>
        <v>3.987234614</v>
      </c>
      <c r="F41" s="152">
        <f>IFERROR(__xludf.DUMMYFUNCTION("IF(OR(A41="""",AND(ISERROR(FIND(""drawer box"",A41))=FALSE,WardrobeDrawerType=""Solid dovetail"")),"""",IF(ISERROR(FIND(""bins"",A41))=FALSE,VLOOKUP(""Base carcass 600"",Wardrobes_etcData,6,0),IF(OR(ISERROR(FIND(""larder"",A41))=FALSE,ISERROR(FIND(""unit"&amp;""",A41))=FALSE),VLOOKUP(LEFT(A41,FIND("" "",A41))&amp;""carcass ""&amp;RIGHT(A41,LEN(A41)-len(regexextract(A41,"".* ""))),Wardrobes_etcData,6,0),IF(ISERROR(FIND(""drawer front"",A41))=FALSE,IF(ISERROR(FIND(""veneer"",WardrobeCarcassMaterial))=TRUE,0,(((B41+C41)/1"&amp;"000)*2)*VLOOKUP(""Edge banding (per M)"",SheetsData,5,0)),IF(ISERROR(FIND(""drawer box"",A41))=FALSE,IF(ISERROR(FIND(""veneer"",WardrobeCarcassMaterial))=TRUE,0,(((C41+D41)/1000)*2)*VLOOKUP(""Edge banding (per M)"",SheetsData,5,0)),IF(ISERROR(FIND(""shelf"&amp;""",A41))=FALSE,IF(ISERROR(FIND(""veneer"",WardrobeCarcassMaterial))=TRUE,0,(C41/1000)*VLOOKUP(""Edge banding (per M)"",SheetsData,5,0)),IF(AND(OR(ISERROR(FIND(""arcass"",A41))=FALSE,ISERROR(FIND(""Fireplace"",A41))=FALSE),ISERROR(FIND(""shelf"",A41))=TRUE"&amp;"),IF(ISERROR(FIND(""veneer"",WardrobeCarcassMaterial))=TRUE,0,((2*(B41+C41))/1000)*VLOOKUP(""Edge banding (per M)"",SheetsData,5,0)),IF(ISERROR(FIND(""door"",A41))=TRUE,"""",IF(ISERROR(FIND(""veneer"",WardrobeDoorMaterial))=TRUE,"""",((2*(B41+C41))/1000)*"&amp;"VLOOKUP(""Edge banding (per M)"",SheetsData,5,0))))))))))"),0.0)</f>
        <v>0</v>
      </c>
      <c r="G41" s="153" t="str">
        <f>IF(A41="","",IF(AND(ISERROR(FIND("arcass",A41))=TRUE,ISERROR(FIND("Fireplace",A41))=TRUE),"",IF(VALUE(C41)&lt;606,4*VLOOKUP("Plinth foot (2 Parts 80mm)",FurnitureData,5,FALSE),IF(VALUE(C41)&lt;1211,6*VLOOKUP("Plinth foot (2 Parts 80mm)",FurnitureData,5,FALSE),8*VLOOKUP("Plinth foot (2 Parts 80mm)",FurnitureData,5,FALSE)))))</f>
        <v/>
      </c>
      <c r="H41" s="115" t="str">
        <f>IF(OR(A41="",ISERROR(FIND("door",A41))=TRUE),"",VLOOKUP("Hinges &amp; plates (Hettich thick door)",FurnitureData,5,0)*5)</f>
        <v/>
      </c>
      <c r="I41" s="115" t="str">
        <f>IF(ISERROR(FIND("shelf",A41))=FALSE,(VLOOKUP("Shelf pegs",FurnitureData,5,0)/100)*4,"")</f>
        <v/>
      </c>
      <c r="J41" s="152" t="str">
        <f>IF(OR(ISERROR(FIND("fridge/freezer",A41))=FALSE,ISERROR(FIND("sink",A41))=FALSE,ISERROR(FIND("larder",A41))=FALSE),VLOOKUP("Deep shelf "&amp;C41,Wardrobes_etcData,18,0),IF(OR(ISERROR(FIND("single oven",A41))=FALSE,ISERROR(FIND("Base carcass",A41))=FALSE),2*VLOOKUP("Deep shelf "&amp;C41,Wardrobes_etcData,18,0),IF(AND(ISERROR(FIND("wall carcass",A41))=FALSE,ISERROR(FIND("Boiler",A41))=TRUE),2*VLOOKUP("Shallow shelf "&amp;C41,Wardrobes_etcData,18,0),IF(ISERROR(FIND("double oven",A41))=FALSE,3*VLOOKUP("Deep shelf "&amp;C41,Wardrobes_etcData,18,0),IF(ISERROR(FIND("Tower carcass",A41))=FALSE,6*VLOOKUP("Deep shelf "&amp;C41,Wardrobes_etcData,18,0),"")))))</f>
        <v/>
      </c>
      <c r="K41" s="152" t="str">
        <f>IF(ISERROR(FIND("sink",A41))=FALSE,VLOOKUP("Sink liner - Aluminium "&amp;RIGHT(A41,LEN(A41)-22)&amp;"mm",ExceptionalData,5,0),IF(ISERROR(FIND("bins",A41))=FALSE,VLOOKUP("Drawer runners and clip set for bin unit (500) Dynapro",FurnitureData,5,0)+(2*VLOOKUP("Bin (42L Anthracite)",FurnitureData,5,0)),IF(ISERROR(FIND("larder",A41))=FALSE,VLOOKUP("Pull out larder unit 600mm",FurnitureData,5,0),IF(AND(ISERROR(FIND("drawer box",A41))=FALSE,ISERROR(FIND("internal",A41))=TRUE),VLOOKUP("Drawer runners and clip set (550) Dynapro",FurnitureData,5,0),IF(ISERROR(FIND("internal drawer box",A41))=FALSE,VLOOKUP("Drawer runners and clip set (450) Dynapro",FurnitureData,5,0),IF(ISERROR(FIND("table",A41))=FALSE,VLOOKUP("Hairpin Leg (12mm Black "&amp;MID(A41,FIND("(",A41)+1,LEN(A41)-(FIND("(",A41))-1)&amp;"mm)",ExceptionalData,4,FALSE),""))))))</f>
        <v/>
      </c>
      <c r="L41" s="152">
        <f t="shared" si="3"/>
        <v>3.987234614</v>
      </c>
      <c r="M41" s="154">
        <f>IF(A41="","",IF(AND(ISERROR(FIND("drawer front",A41))=FALSE,WardrobeDoorStyle="Flat"),(((B41/1000)*(C41/1000))*2)+((((B41+C41)/1000)*2)*0.022),IF(AND(ISERROR(FIND("drawer front",A41))=FALSE,LEFT(WardrobeDoorStyle,5)="Panel"),(((B41/1000)*(C41/1000))*2)+((((B41+C41)/1000)*2)*0.022)+((((C41/1000)-0.16)*0.013)*2)+((((D41/1000)-0.16)*0.013)*2),IF(AND(ISERROR(FIND("drawer front",A41))=FALSE,WardrobeDoorStyle="In-frame flat"),((((B41-76)/1000)*((C41-38)/1000))*2)+(MID(WardrobeDoorMaterial,FIND("(",WardrobeDoorMaterial)+1,2)/1000)*((((B41-76)+(C41-38))/1000)*2)+(((B41/1000)*0.032)*2)+((((B41-76)/1000)*0.032)*2)+(((B41/1000)*0.019)*4)+(((C41/1000)*0.032)*2)+((((C41-38)/1000)*0.032)*2)+(((C41/1000)*0.038)*4),IF(AND(ISERROR(FIND("drawer front",A41))=FALSE,LEFT(WardrobeDoorStyle,14)="In-frame panel"),((((B41-76)/1000)*((C41-38)/1000))*2)+((MID(WardrobeDoorMaterial,FIND("(",WardrobeDoorMaterial)+1,2)/1000)*((((B41-76)+(C41-38))/1000)*2))+((((B41-236)/1000)+((C41-198)/1000)*2)*0.013)+(((B41/1000)*0.032)*2)+((((B41-76)/1000)*0.032)*2)+(((B41/1000)*0.019)*4)+(((C41/1000)*0.032)*2)+((((C41-38)/1000)*0.032)*2)+(((C41/1000)*0.038)*4),IF(ISERROR(FIND("drawer box",A41))=FALSE,((((B41/1000)*(D41/1000))+((B41/1000)*(C41/1000)))*4)+((((D41/1000)+(C41/1000))*0.016)*4)+(((C41/1000)*(D41/1000))*2),IF(OR(ISERROR(FIND("shelf",A41))=FALSE,ISERROR(FIND("Filler panel",A41))=FALSE),(((C41/1000)*(D41/1000))*2)+((((C41+D41)*2)/1000)*0.022),IF(ISERROR(FIND("Fireplace",A41))=FALSE,((B41/1000)*(C41/1000)),IF(ISERROR(FIND("Worktop",A41))=FALSE,(B41/1000)*(C41/1000),IF(ISERROR(FIND("table",A41))=FALSE,(B41/1000)*0.6,IF(ISERROR(FIND("arcass",A41))=FALSE,(((C41/1000)*(D41/1000))*2)+(((B41/1000)*(D41/1000))*2)+((B41/1000)*(C41/1000))+((((B41/1000)*0.025)+((C41/1000)*0.025))*2),IF(AND(ISERROR(FIND("door",A41))=FALSE,WardrobeDoorStyle="Flat"),(((B41/1000)*(C41/1000))*2)+(MID(WardrobeDoorMaterial,FIND("(",WardrobeDoorMaterial)+1,2)/1000)*(((B41+C41)/1000)*2),IF(AND(ISERROR(FIND("door",A41))=FALSE,LEFT(WardrobeDoorStyle,5)="Panel"),(((B41/1000)*(C41/1000))*2)+((MID(WardrobeDoorMaterial,FIND("(",WardrobeDoorMaterial)+1,2)/1000)*(((B41+C41)/1000)*2))+(((((B41-160)+(C41-160))*2)/1000)*(0.013)),IF(AND(ISERROR(FIND("door",A41))=FALSE,WardrobeDoorStyle="In-frame flat"),((((B41-76)/1000)*((C41-38)/1000))*2)+(MID(WardrobeDoorMaterial,FIND("(",WardrobeDoorMaterial)+1,2)/1000)*((((B41-76)+(C41-38))/1000)*2)+(((B41/1000)*0.032)*2)+((((B41-76)/1000)*0.032)*2)+(((B41/1000)*0.019)*4)+(((C41/1000)*0.032)*2)+((((C41-38)/1000)*0.032)*2)+(((C41/1000)*0.038)*4),IF(AND(ISERROR(FIND("door",A41))=FALSE,LEFT(WardrobeDoorStyle,14)="In-frame panel"),((((B41-76)/1000)*((C41-38)/1000))*2)+((MID(WardrobeDoorMaterial,FIND("(",WardrobeDoorMaterial)+1,2)/1000)*((((B41-76)+(C41-38))/1000)*2))+((((B41-236)/1000)+((C41-198)/1000)*2)*0.013)+(((B41/1000)*0.032)*2)+((((B41-76)/1000)*0.032)*2)+(((B41/1000)*0.019)*4)+(((C41/1000)*0.032)*2)+((((C41-38)/1000)*0.032)*2)+(((C41/1000)*0.038)*4),IF(ISERROR(FIND("Plinth",A41))=FALSE,((B41/1000)*(C41/1000))+(((C41/1000)*0.018)*2)+(((B41/1000)*0.018)*2),IF(ISERROR(FIND("Cornice",A41))=FALSE,(((C41/1000)*0.1)*2)+(((C41/1000)*0.044)*2)+(((B41/1000)*0.08)*2),IF(ISERROR(FIND("Office pod",A41))=FALSE,((2400/1000)*(1200/1000))*6,IF(ISERROR(FIND("panel",A41))=FALSE,((B41/1000)*(C41/1000))+(0.022*((B41/1000)+((C41/1000)*2)))+((B41/1000)*0.05),IF(ISERROR(FIND("Fillers",A41))=FALSE,((C41/1000)*0.06)+((C41/1000)*0.069)+((0.06*0.018)*2)+((0.06*0.009)*2)+((C41/1000)*0.009)+((C41/1000)*0.018),IF(ISERROR(FIND("Pelmet",A41))=FALSE,((C41/1000)*0.05)+((C41/1000)*0.068)+((0.05*0.018)*4)+(((C41/1000)*0.018))*2)))))))))))))))))))))</f>
        <v>0.48152</v>
      </c>
      <c r="N41" s="152">
        <f>IF(M41="","",IF(AND(ISERROR(FIND("carcass",A41))=TRUE,ISERROR(FIND("unit",A41))=TRUE,ISERROR(FIND("insert",A41))=TRUE,ISERROR(FIND("rack",A41))=TRUE,ISERROR(FIND("box",A41))=TRUE,ISERROR(FIND("shelf",A41))=TRUE),VLOOKUP(WardrobeDoorFinish,Finishing!$A$2:$K$10,9,0)*M41,IF(ISERROR(FIND("table",A41))=FALSE,VLOOKUP("Sayerlack AF0072 Interior Clear Self-Sealer",FinishingData,9,FALSE)*M41,VLOOKUP(WardrobeCarcassFinish,Finishing!$A$2:$K$40,9,0)*M41)))</f>
        <v>3.6114</v>
      </c>
      <c r="O41" s="155">
        <v>0.5</v>
      </c>
      <c r="P41" s="155">
        <v>0.5</v>
      </c>
      <c r="Q41" s="152">
        <f>IF(OR(O41="",P41=""),"",((O41*X41)*(VLOOKUP("Workshop",Labour!$A$3:$E$20,4,0)/8))+((P41*AE41)*(VLOOKUP("Finishing",Labour!$A$3:$E$20,4,0)/8)))</f>
        <v>35.875</v>
      </c>
      <c r="R41" s="152">
        <f t="shared" si="4"/>
        <v>43.47363461</v>
      </c>
      <c r="S41" s="156">
        <f>IF(OR(O41="",P41=""),"",IF(OR(ISERROR(FIND("carcass",$A41))=FALSE,ISERROR(FIND("unit",$A41))=FALSE),VLOOKUP(WardrobeCarcassMaterial,FixedListsCarcassMaterial,2,0),0))</f>
        <v>0</v>
      </c>
      <c r="T41" s="156">
        <f>IF(OR(O41="",P41=""),"",IF(ISERROR(FIND("door",$A41))=FALSE,VLOOKUP(WardrobeDoorStyle,FixedListsDoorStyle,2,0),0))</f>
        <v>0</v>
      </c>
      <c r="U41" s="156">
        <f>IF(OR(O41="",P41=""),"",IF(ISERROR(FIND("door",$A41))=FALSE,VLOOKUP(WardrobeDoorMaterial,FixedListsDoorMaterial,2,0),0))</f>
        <v>0</v>
      </c>
      <c r="V41" s="156">
        <f>IF(OR(O41="",P41=""),"",IF(ISERROR(FIND("drawer",$A41))=FALSE,VLOOKUP(WardrobeDrawerType,FixedListsDrawerType,2,0),0))</f>
        <v>1</v>
      </c>
      <c r="W41" s="156">
        <f>IF(OR(O41="",P41=""),"",IF(S41&gt;0,VLOOKUP(WardrobeHandleType,FixedListsHandleType,2,FALSE),0))</f>
        <v>0</v>
      </c>
      <c r="X41" s="156">
        <f t="shared" si="5"/>
        <v>1</v>
      </c>
      <c r="Y41" s="156">
        <f>IF(OR(O41="",P41=""),"",IF(OR(ISERROR(FIND("carcass",$A41))=FALSE,ISERROR(FIND("unit",$A41))=FALSE),VLOOKUP(WardrobeCarcassMaterial,FixedListsCarcassMaterial,3,0),0))</f>
        <v>0</v>
      </c>
      <c r="Z41" s="156">
        <f>IF(OR(O41="",P41=""),"",IF(ISERROR(FIND("door",$A41))=FALSE,VLOOKUP(WardrobeDoorStyle,FixedListsDoorStyle,3,0),0))</f>
        <v>0</v>
      </c>
      <c r="AA41" s="156">
        <f>IF(OR(O41="",P41=""),"",IF(ISERROR(FIND("door",$A41))=FALSE,VLOOKUP(WardrobeDoorMaterial,FixedListsDoorMaterial,3,0),0))</f>
        <v>0</v>
      </c>
      <c r="AB41" s="156">
        <f>IF(OR(O41="",P41=""),"",IF(ISERROR(FIND("drawer",$A41))=FALSE,VLOOKUP(WardrobeDrawerType,FixedListsDrawerType,3,0),0))</f>
        <v>1</v>
      </c>
      <c r="AC41" s="156">
        <f>IF(OR(O41="",P41=""),"",IF(S41&gt;0,VLOOKUP(WardrobeHandleType,FixedListsHandleType,3,FALSE),0))</f>
        <v>0</v>
      </c>
      <c r="AD41" s="156">
        <f>IF(OR(O41="",P41=""),"",IF(OR(ISERROR(FIND("carcass",$A41))=FALSE,ISERROR(FIND("unit",$A41))=FALSE),VLOOKUP(WardrobeCarcassFinish,FixedListsFinishes,3,0),IF(OR(ISERROR(FIND("door",$A41))=FALSE,ISERROR(FIND("Plinth",$A41))=FALSE,ISERROR(FIND("Cornice",$A41))=FALSE,ISERROR(FIND("Fillers",$A41))=FALSE,ISERROR(FIND("Pelmet",$A41))=FALSE,ISERROR(FIND("panel",$A41))=FALSE,ISERROR(FIND("post",$A41))=FALSE),VLOOKUP(WardrobeDoorFinish,FixedListsFinishes,3,0),IF(OR(ISERROR(FIND("drawer",$A41))=FALSE,ISERROR(FIND("insert",$A41))=FALSE,ISERROR(FIND("rck",$A41))=FALSE),VLOOKUP(WardrobeCarcassFinish,FixedListsFinishes,3,0),0))))</f>
        <v>1</v>
      </c>
      <c r="AE41" s="156">
        <f t="shared" si="6"/>
        <v>1</v>
      </c>
      <c r="AF41" s="157" t="str">
        <f>IF(AND(WardrobeHandleType="Channel",OR(ISERROR(FIND("arcass",$A41))=FALSE,ISERROR(FIND("unit",$A41))=FALSE)),IF(ISERROR(FIND("Tower",$A41))=TRUE,IF(WardrobeHandleFinish="Match carcass",IF(ISERROR(FIND("Walnut",WardrobeCarcassMaterial))=FALSE,(0.035*0.075*($C41/1000))*VLOOKUP("Walnut (solid m3)",SolidData,4,FALSE),IF(ISERROR(FIND("Oak",WardrobeCarcassMaterial))=FALSE,(0.035*0.075*($C41/1000))*VLOOKUP("Oak (solid m3)",SolidData,4,FALSE),IF(ISERROR(FIND("ply",WardrobeCarcassMaterial))=FALSE,(0.1*($C41/1000))*VLOOKUP("Birch ply (24mm)",SheetsData,7,FALSE),IF(ISERROR(FIND("H/F",WardrobeCarcassMaterial))=FALSE,(0.1*($C41/1000))*VLOOKUP("H/F (22mm)",SheetsData,7,FALSE),"Carcass - not tower - new material")))),IF(WardrobeHandleFinish="Match door",IF(ISERROR(FIND("Walnut",WardrobeDoorMaterial))=FALSE,(0.035*0.075*($C41/1000))*VLOOKUP("Walnut (solid m3)",SolidData,4,FALSE),IF(ISERROR(FIND("Oak",WardrobeDoorMaterial))=FALSE,(0.035*0.075*($C41/1000))*VLOOKUP("Oak (solid m3)",SolidData,4,FALSE),IF(ISERROR(FIND("ply",WardrobeDoorMaterial))=FALSE,(0.1*($C41/1000))*VLOOKUP("Birch ply (24mm)",SheetsData,7,FALSE),IF(ISERROR(FIND("H/F",WardrobeCarcassMaterial))=FALSE,(0.1*($C41/1000))*VLOOKUP("H/F (22mm)",SheetsData,7,FALSE),"Door - not tower - new material")))),"Channel - not tower - handle set to other")),IF(ISERROR(FIND("Tower",$A41))=FALSE,IF(WardrobeHandleFinish="Match carcass",IF(ISERROR(FIND("Walnut",WardrobeCarcassMaterial))=FALSE,(0.035*0.075*($B41/1000))*VLOOKUP("Walnut (solid m3)",SolidData,4,FALSE),IF(ISERROR(FIND("Oak",WardrobeCarcassMaterial))=FALSE,(0.035*0.075*($B41/1000))*VLOOKUP("Oak (solid m3)",SolidData,4,FALSE),IF(ISERROR(FIND("ply",WardrobeCarcassMaterial))=FALSE,(0.1*($B41/1000))*VLOOKUP("Birch ply (24mm)",SheetsData,7,FALSE),IF(ISERROR(FIND("H/F",WardrobeCarcassMaterial))=FALSE,(0.1*($C41/1000))*VLOOKUP("H/F (22mm)",SheetsData,7,FALSE),"Carcass - tower - new material")))),IF(WardrobeHandleFinish="Match door",IF(ISERROR(FIND("Walnut",WardrobeDoorMaterial))=FALSE,(0.035*0.075*($B41/1000))*VLOOKUP("Walnut (solid m3)",SolidData,4,FALSE),IF(ISERROR(FIND("Oak",WardrobeDoorMaterial))=FALSE,(0.035*0.075*($B41/1000))*VLOOKUP("Oak (solid m3)",SolidData,4,FALSE),IF(ISERROR(FIND("ply",WardrobeDoorMaterial))=FALSE,(0.1*($B41/1000))*VLOOKUP("Birch ply (24mm)",SheetData,7,FALSE),IF(ISERROR(FIND("H/F",WardrobeCarcassMaterial))=FALSE,(0.1*($C41/1000))*VLOOKUP("H/F (22mm)",SheetsData,7,FALSE),"Door - tower - new material")))),"Channel - tower - handle set to other")))),"")</f>
        <v/>
      </c>
    </row>
    <row r="42">
      <c r="A42" s="150" t="s">
        <v>207</v>
      </c>
      <c r="B42" s="160" t="str">
        <f t="shared" si="1"/>
        <v>360</v>
      </c>
      <c r="C42" s="160" t="str">
        <f>IFERROR(__xludf.DUMMYFUNCTION("IF(A42="""","""",IF(ISERROR(FIND(""arcass"",A42))=FALSE,MID(A42,FIND(""*"",A42)+1,FIND(""*"",A42,FIND(""*"",A42)+1)-FIND(""*"",A42)-1),IF(ISERROR(FIND(""End panel"",A42))=FALSE,RIGHT(A42,3),IF(OR(ISERROR(FIND(""drawer"",A42))=FALSE,ISERROR(FIND(""door"",A"&amp;"42))=FALSE,ISERROR(FIND(""shelf"",A42))=FALSE,ISERROR(FIND(""panel"",A42))=FALSE,ISERROR(FIND(""Plinth"",A42))=FALSE,ISERROR(FIND(""Cornice"",A42))=FALSE,ISERROR(FIND(""Fillers"",A42))=FALSE,ISERROR(FIND(""Pelmet"",A42))=FALSE,ISERROR(FIND(""Fireplace up "&amp;"to 1600"",A42))=FALSE),RIGHT(A42,LEN(A42)-LEN(regexextract(A42,"".* ""))),IF(ISERROR(FIND(""table"",A42))=FALSE,""560"",IF(ISERROR(FIND(""Office pod"",A42))=FALSE,""1600"",IF(ISERROR(FIND(""Fireplace over 1600"",A42))=FALSE,""2400"",IF(ISERROR(FIND(""Work"&amp;"top"",A42))=FALSE,""650"",""Whoops""))))))))"),"1200")</f>
        <v>1200</v>
      </c>
      <c r="D42" s="161" t="str">
        <f t="shared" si="2"/>
        <v/>
      </c>
      <c r="E42" s="152">
        <f>IF(OR(A42="",AND(ISERROR(FIND("drawer",A42))=FALSE,WardrobeDrawerType="")),"",IF(ISERROR(FIND("door",A42))=FALSE,IF(WardrobeDoorStyle="Flat",((B42/1000)*(C42/1000))*VLOOKUP(WardrobeDoorMaterial,SheetsData,8,0),IF(LEFT(WardrobeDoorStyle,5)="Panel",(((((B42/1000)*2)*0.08)+((((C42/1000)-0.16)*2)*0.08))*VLOOKUP("H/F (22mm)",SheetsData,8,0))+(((B42/1000)-0.14)*((C42/1000)-0.14)*VLOOKUP("H/F (9mm)",SheetsData,8,0)),IF(WardrobeDoorStyle="In-frame flat",((((((B42/1000)*0.019)*0.038)+((((C42-38)/1000)*0.038)*0.038))*2)*VLOOKUP("Tulip (solid m3)",SolidData,4,0))+(((B42-76)/1000)*((C42-38)/1000))*VLOOKUP("H/F (22mm)",SheetsData,8,0),IF(LEFT(WardrobeDoorStyle,14)="In-frame panel",(((((((B42/1000)*0.019)*0.038)+((((C42-38)/1000)*0.038)*0.038))*2)*VLOOKUP("Tulip (solid m3)",SolidData,4,0))+(((((((B42-76)/1000)*2)*0.08)+(((((C42-198)/1000)*2)*0.08)))*VLOOKUP("H/F (22mm)",SheetsData,8,0))+(((B42-216)/1000)*((C42-178)/1000)*VLOOKUP("H/F (9mm)",SheetsData,8,0)))))))),IF(AND(ISERROR(FIND("arcass",A42))=FALSE,ISERROR(FIND("ost corner",A42))=TRUE),IF(AND(VALUE(B42)&lt;1211,VALUE(C42)&lt;1211,VALUE(D42)&lt;606),1*VLOOKUP(WardrobeCarcassMaterial,SheetsData,5,FALSE),IF(AND(VALUE(B42)&lt;2421,VALUE(C42)&lt;2421,VALUE(D42)&lt;606),2*VLOOKUP(WardrobeCarcassMaterial,SheetsData,5,FALSE),IF(AND(VALUE(B42)&lt;2421,VALUE(C42)&lt;1211,VALUE(D42)&lt;1211),3*VLOOKUP(WardrobeCarcassMaterial,SheetsData,5,FALSE),IF(AND(VALUE(B42)&lt;2421,VALUE(C42)&lt;2421,VALUE(D42)&lt;1211),4*VLOOKUP(WardrobeCarcassMaterial,SheetsData,5,FALSE))))),IF(AND(ISERROR(FIND("arcass",A42))=FALSE,ISERROR(FIND("ost corner",A42))=FALSE),IF(AND(VALUE(B42)&lt;1211,VALUE(C42)&lt;1211,VALUE(D42)&lt;606),(1*VLOOKUP(WardrobeCarcassMaterial,SheetsData,5,FALSE))+(VLOOKUP("H/F (22mm)",SheetsData,7,FALSE)*1.44),IF(AND(VALUE(B42)&lt;2421,VALUE(C42)&lt;2421,VALUE(D42)&lt;606),(2*VLOOKUP(WardrobeCarcassMaterial,SheetsData,5,FALSE))+(VLOOKUP("H/F (22mm)",SheetsData,7,FALSE)*1.44),IF(AND(VALUE(B42)&lt;2421,VALUE(C42)&lt;1211,VALUE(D42)&lt;1211),(3*VLOOKUP(WardrobeCarcassMaterial,SheetsData,5,FALSE))+(VLOOKUP("H/F (22mm)",SheetsData,7,FALSE)*1.44),IF(AND(VALUE(B42)&lt;2421,VALUE(C42)&lt;2421,VALUE(D42)&lt;1211),(4*VLOOKUP(WardrobeCarcassMaterial,SheetsData,5,FALSE))+(VLOOKUP("H/F (22mm)",SheetsData,7,FALSE)*1.44))))),IF(ISERROR(FIND("drawer front",A42))=FALSE,((B42/1000)*(C42/1000))*VLOOKUP(WardrobeDoorMaterial,SheetsData,8,0),IF(AND(WardrobeDrawerType="Match carcass",ISERROR(FIND("drawer box",A42))=FALSE),(((((B42/1000)*(C42/1000))+((B42/1000)*(D42/1000)))*2)*VLOOKUP(WardrobeCarcassMaterial,SheetsData,8,0))+(((C42/1000)*(D42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box",A42))=FALSE),(((((B42/1000)*(C42/1000))+((B42/1000)*(D42/1000)))*2)*(16/1000)*VLOOKUP(LEFT(WardrobeCarcassMaterial,FIND(" ",WardrobeCarcassMaterial))&amp;"(solid m3)",SolidData,4,0))+(((C42/1000)*(D42/1000))*VLOOKUP(LEFT(WardrobeCarcassMaterial,FIND("(",WardrobeCarcassMaterial)-1)&amp;IF(OR(ISERROR(FIND("ply",WardrobeCarcassMaterial))=FALSE,ISERROR(FIND("H/F",WardrobeCarcassMaterial))=FALSE),"(9mm)","(10mm)"),SheetsData,8,0)),IF(ISERROR(FIND("shelf",A42))=FALSE,((C42/1000)*(D42/1000))*VLOOKUP(WardrobeCarcassMaterial,SheetsData,7,FALSE),IF(ISERROR(FIND("Office pod",A42))=FALSE,3*VLOOKUP(WardrobeCarcassMaterial,SheetsData,5,0),IF(ISERROR(FIND(" panel",A42))=FALSE,((B42/1000)*(C42/1000))*VLOOKUP(WardrobeDoorMaterial,SheetsData,8,0),IF(ISERROR(FIND("Fillers",A42))=FALSE,(((0.06*(C42/1000))*2)*VLOOKUP("H/F (18mm)",SheetsData,8,0))+(((0.06*(C42/1000))*2)*VLOOKUP("H/F (9mm)",SheetsData,8,0)),IF(ISERROR(FIND("Cornice (stacked)",A42))=FALSE,((0.08*(C42/1000))*2)*VLOOKUP("H/F (22mm)",SheetsData,8,0),IF(OR(ISERROR(FIND("Plinth",A42))=FALSE,ISERROR(FIND("Cornice (flat)",A42))=FALSE),((B42/1000)*(C42/1000))*VLOOKUP("H/F (18mm)",SheetsData,8,0),IF(ISERROR(FIND("Pelmet",A42))=FALSE,((((B42/1000)*(C42/1000))*2)*VLOOKUP("H/F (18mm)",SheetsData,8,0)),IF(ISERROR(FIND("Fireplace",A42))=FALSE,IF(ISERROR(FIND("over 1600",A42))=FALSE,2*VLOOKUP(WardrobeCarcassMaterial,SheetsData,5,FALSE),VLOOKUP(WardrobeCarcassMaterial,SheetsData,5,FALSE)),IF(ISERROR(FIND("table",A42))=FALSE,((B42/1000)*0.6)*VLOOKUP("Birch ply (24mm)",SheetsData,7,FALSE),IF(ISERROR(FIND("Worktop",A42))=FALSE,((B42/1000)*(C42/1000))*VLOOKUP(WardrobeDoorMaterial,SheetsData,7,FALSE),"Check formula")))))))))))))))))</f>
        <v>7.974469229</v>
      </c>
      <c r="F42" s="152">
        <f>IFERROR(__xludf.DUMMYFUNCTION("IF(OR(A42="""",AND(ISERROR(FIND(""drawer box"",A42))=FALSE,WardrobeDrawerType=""Solid dovetail"")),"""",IF(ISERROR(FIND(""bins"",A42))=FALSE,VLOOKUP(""Base carcass 600"",Wardrobes_etcData,6,0),IF(OR(ISERROR(FIND(""larder"",A42))=FALSE,ISERROR(FIND(""unit"&amp;""",A42))=FALSE),VLOOKUP(LEFT(A42,FIND("" "",A42))&amp;""carcass ""&amp;RIGHT(A42,LEN(A42)-len(regexextract(A42,"".* ""))),Wardrobes_etcData,6,0),IF(ISERROR(FIND(""drawer front"",A42))=FALSE,IF(ISERROR(FIND(""veneer"",WardrobeCarcassMaterial))=TRUE,0,(((B42+C42)/1"&amp;"000)*2)*VLOOKUP(""Edge banding (per M)"",SheetsData,5,0)),IF(ISERROR(FIND(""drawer box"",A42))=FALSE,IF(ISERROR(FIND(""veneer"",WardrobeCarcassMaterial))=TRUE,0,(((C42+D42)/1000)*2)*VLOOKUP(""Edge banding (per M)"",SheetsData,5,0)),IF(ISERROR(FIND(""shelf"&amp;""",A42))=FALSE,IF(ISERROR(FIND(""veneer"",WardrobeCarcassMaterial))=TRUE,0,(C42/1000)*VLOOKUP(""Edge banding (per M)"",SheetsData,5,0)),IF(AND(OR(ISERROR(FIND(""arcass"",A42))=FALSE,ISERROR(FIND(""Fireplace"",A42))=FALSE),ISERROR(FIND(""shelf"",A42))=TRUE"&amp;"),IF(ISERROR(FIND(""veneer"",WardrobeCarcassMaterial))=TRUE,0,((2*(B42+C42))/1000)*VLOOKUP(""Edge banding (per M)"",SheetsData,5,0)),IF(ISERROR(FIND(""door"",A42))=TRUE,"""",IF(ISERROR(FIND(""veneer"",WardrobeDoorMaterial))=TRUE,"""",((2*(B42+C42))/1000)*"&amp;"VLOOKUP(""Edge banding (per M)"",SheetsData,5,0))))))))))"),0.0)</f>
        <v>0</v>
      </c>
      <c r="G42" s="153" t="str">
        <f>IF(A42="","",IF(AND(ISERROR(FIND("arcass",A42))=TRUE,ISERROR(FIND("Fireplace",A42))=TRUE),"",IF(VALUE(C42)&lt;606,4*VLOOKUP("Plinth foot (2 Parts 80mm)",FurnitureData,5,FALSE),IF(VALUE(C42)&lt;1211,6*VLOOKUP("Plinth foot (2 Parts 80mm)",FurnitureData,5,FALSE),8*VLOOKUP("Plinth foot (2 Parts 80mm)",FurnitureData,5,FALSE)))))</f>
        <v/>
      </c>
      <c r="H42" s="115" t="str">
        <f>IF(OR(A42="",ISERROR(FIND("door",A42))=TRUE),"",VLOOKUP("Hinges &amp; plates (Hettich thick door)",FurnitureData,5,0)*5)</f>
        <v/>
      </c>
      <c r="I42" s="115" t="str">
        <f>IF(ISERROR(FIND("shelf",A42))=FALSE,(VLOOKUP("Shelf pegs",FurnitureData,5,0)/100)*4,"")</f>
        <v/>
      </c>
      <c r="J42" s="152" t="str">
        <f>IF(OR(ISERROR(FIND("fridge/freezer",A42))=FALSE,ISERROR(FIND("sink",A42))=FALSE,ISERROR(FIND("larder",A42))=FALSE),VLOOKUP("Deep shelf "&amp;C42,Wardrobes_etcData,18,0),IF(OR(ISERROR(FIND("single oven",A42))=FALSE,ISERROR(FIND("Base carcass",A42))=FALSE),2*VLOOKUP("Deep shelf "&amp;C42,Wardrobes_etcData,18,0),IF(AND(ISERROR(FIND("wall carcass",A42))=FALSE,ISERROR(FIND("Boiler",A42))=TRUE),2*VLOOKUP("Shallow shelf "&amp;C42,Wardrobes_etcData,18,0),IF(ISERROR(FIND("double oven",A42))=FALSE,3*VLOOKUP("Deep shelf "&amp;C42,Wardrobes_etcData,18,0),IF(ISERROR(FIND("Tower carcass",A42))=FALSE,6*VLOOKUP("Deep shelf "&amp;C42,Wardrobes_etcData,18,0),"")))))</f>
        <v/>
      </c>
      <c r="K42" s="152" t="str">
        <f>IF(ISERROR(FIND("sink",A42))=FALSE,VLOOKUP("Sink liner - Aluminium "&amp;RIGHT(A42,LEN(A42)-22)&amp;"mm",ExceptionalData,5,0),IF(ISERROR(FIND("bins",A42))=FALSE,VLOOKUP("Drawer runners and clip set for bin unit (500) Dynapro",FurnitureData,5,0)+(2*VLOOKUP("Bin (42L Anthracite)",FurnitureData,5,0)),IF(ISERROR(FIND("larder",A42))=FALSE,VLOOKUP("Pull out larder unit 600mm",FurnitureData,5,0),IF(AND(ISERROR(FIND("drawer box",A42))=FALSE,ISERROR(FIND("internal",A42))=TRUE),VLOOKUP("Drawer runners and clip set (550) Dynapro",FurnitureData,5,0),IF(ISERROR(FIND("internal drawer box",A42))=FALSE,VLOOKUP("Drawer runners and clip set (450) Dynapro",FurnitureData,5,0),IF(ISERROR(FIND("table",A42))=FALSE,VLOOKUP("Hairpin Leg (12mm Black "&amp;MID(A42,FIND("(",A42)+1,LEN(A42)-(FIND("(",A42))-1)&amp;"mm)",ExceptionalData,4,FALSE),""))))))</f>
        <v/>
      </c>
      <c r="L42" s="152">
        <f t="shared" si="3"/>
        <v>7.974469229</v>
      </c>
      <c r="M42" s="154">
        <f>IF(A42="","",IF(AND(ISERROR(FIND("drawer front",A42))=FALSE,WardrobeDoorStyle="Flat"),(((B42/1000)*(C42/1000))*2)+((((B42+C42)/1000)*2)*0.022),IF(AND(ISERROR(FIND("drawer front",A42))=FALSE,LEFT(WardrobeDoorStyle,5)="Panel"),(((B42/1000)*(C42/1000))*2)+((((B42+C42)/1000)*2)*0.022)+((((C42/1000)-0.16)*0.013)*2)+((((D42/1000)-0.16)*0.013)*2),IF(AND(ISERROR(FIND("drawer front",A42))=FALSE,WardrobeDoorStyle="In-frame flat"),((((B42-76)/1000)*((C42-38)/1000))*2)+(MID(WardrobeDoorMaterial,FIND("(",WardrobeDoorMaterial)+1,2)/1000)*((((B42-76)+(C42-38))/1000)*2)+(((B42/1000)*0.032)*2)+((((B42-76)/1000)*0.032)*2)+(((B42/1000)*0.019)*4)+(((C42/1000)*0.032)*2)+((((C42-38)/1000)*0.032)*2)+(((C42/1000)*0.038)*4),IF(AND(ISERROR(FIND("drawer front",A42))=FALSE,LEFT(WardrobeDoorStyle,14)="In-frame panel"),((((B42-76)/1000)*((C42-38)/1000))*2)+((MID(WardrobeDoorMaterial,FIND("(",WardrobeDoorMaterial)+1,2)/1000)*((((B42-76)+(C42-38))/1000)*2))+((((B42-236)/1000)+((C42-198)/1000)*2)*0.013)+(((B42/1000)*0.032)*2)+((((B42-76)/1000)*0.032)*2)+(((B42/1000)*0.019)*4)+(((C42/1000)*0.032)*2)+((((C42-38)/1000)*0.032)*2)+(((C42/1000)*0.038)*4),IF(ISERROR(FIND("drawer box",A42))=FALSE,((((B42/1000)*(D42/1000))+((B42/1000)*(C42/1000)))*4)+((((D42/1000)+(C42/1000))*0.016)*4)+(((C42/1000)*(D42/1000))*2),IF(OR(ISERROR(FIND("shelf",A42))=FALSE,ISERROR(FIND("Filler panel",A42))=FALSE),(((C42/1000)*(D42/1000))*2)+((((C42+D42)*2)/1000)*0.022),IF(ISERROR(FIND("Fireplace",A42))=FALSE,((B42/1000)*(C42/1000)),IF(ISERROR(FIND("Worktop",A42))=FALSE,(B42/1000)*(C42/1000),IF(ISERROR(FIND("table",A42))=FALSE,(B42/1000)*0.6,IF(ISERROR(FIND("arcass",A42))=FALSE,(((C42/1000)*(D42/1000))*2)+(((B42/1000)*(D42/1000))*2)+((B42/1000)*(C42/1000))+((((B42/1000)*0.025)+((C42/1000)*0.025))*2),IF(AND(ISERROR(FIND("door",A42))=FALSE,WardrobeDoorStyle="Flat"),(((B42/1000)*(C42/1000))*2)+(MID(WardrobeDoorMaterial,FIND("(",WardrobeDoorMaterial)+1,2)/1000)*(((B42+C42)/1000)*2),IF(AND(ISERROR(FIND("door",A42))=FALSE,LEFT(WardrobeDoorStyle,5)="Panel"),(((B42/1000)*(C42/1000))*2)+((MID(WardrobeDoorMaterial,FIND("(",WardrobeDoorMaterial)+1,2)/1000)*(((B42+C42)/1000)*2))+(((((B42-160)+(C42-160))*2)/1000)*(0.013)),IF(AND(ISERROR(FIND("door",A42))=FALSE,WardrobeDoorStyle="In-frame flat"),((((B42-76)/1000)*((C42-38)/1000))*2)+(MID(WardrobeDoorMaterial,FIND("(",WardrobeDoorMaterial)+1,2)/1000)*((((B42-76)+(C42-38))/1000)*2)+(((B42/1000)*0.032)*2)+((((B42-76)/1000)*0.032)*2)+(((B42/1000)*0.019)*4)+(((C42/1000)*0.032)*2)+((((C42-38)/1000)*0.032)*2)+(((C42/1000)*0.038)*4),IF(AND(ISERROR(FIND("door",A42))=FALSE,LEFT(WardrobeDoorStyle,14)="In-frame panel"),((((B42-76)/1000)*((C42-38)/1000))*2)+((MID(WardrobeDoorMaterial,FIND("(",WardrobeDoorMaterial)+1,2)/1000)*((((B42-76)+(C42-38))/1000)*2))+((((B42-236)/1000)+((C42-198)/1000)*2)*0.013)+(((B42/1000)*0.032)*2)+((((B42-76)/1000)*0.032)*2)+(((B42/1000)*0.019)*4)+(((C42/1000)*0.032)*2)+((((C42-38)/1000)*0.032)*2)+(((C42/1000)*0.038)*4),IF(ISERROR(FIND("Plinth",A42))=FALSE,((B42/1000)*(C42/1000))+(((C42/1000)*0.018)*2)+(((B42/1000)*0.018)*2),IF(ISERROR(FIND("Cornice",A42))=FALSE,(((C42/1000)*0.1)*2)+(((C42/1000)*0.044)*2)+(((B42/1000)*0.08)*2),IF(ISERROR(FIND("Office pod",A42))=FALSE,((2400/1000)*(1200/1000))*6,IF(ISERROR(FIND("panel",A42))=FALSE,((B42/1000)*(C42/1000))+(0.022*((B42/1000)+((C42/1000)*2)))+((B42/1000)*0.05),IF(ISERROR(FIND("Fillers",A42))=FALSE,((C42/1000)*0.06)+((C42/1000)*0.069)+((0.06*0.018)*2)+((0.06*0.009)*2)+((C42/1000)*0.009)+((C42/1000)*0.018),IF(ISERROR(FIND("Pelmet",A42))=FALSE,((C42/1000)*0.05)+((C42/1000)*0.068)+((0.05*0.018)*4)+(((C42/1000)*0.018))*2)))))))))))))))))))))</f>
        <v>0.95552</v>
      </c>
      <c r="N42" s="152">
        <f>IF(M42="","",IF(AND(ISERROR(FIND("carcass",A42))=TRUE,ISERROR(FIND("unit",A42))=TRUE,ISERROR(FIND("insert",A42))=TRUE,ISERROR(FIND("rack",A42))=TRUE,ISERROR(FIND("box",A42))=TRUE,ISERROR(FIND("shelf",A42))=TRUE),VLOOKUP(WardrobeDoorFinish,Finishing!$A$2:$K$10,9,0)*M42,IF(ISERROR(FIND("table",A42))=FALSE,VLOOKUP("Sayerlack AF0072 Interior Clear Self-Sealer",FinishingData,9,FALSE)*M42,VLOOKUP(WardrobeCarcassFinish,Finishing!$A$2:$K$40,9,0)*M42)))</f>
        <v>7.1664</v>
      </c>
      <c r="O42" s="155">
        <v>0.5</v>
      </c>
      <c r="P42" s="155">
        <v>0.5</v>
      </c>
      <c r="Q42" s="152">
        <f>IF(OR(O42="",P42=""),"",((O42*X42)*(VLOOKUP("Workshop",Labour!$A$3:$E$20,4,0)/8))+((P42*AE42)*(VLOOKUP("Finishing",Labour!$A$3:$E$20,4,0)/8)))</f>
        <v>35.875</v>
      </c>
      <c r="R42" s="152">
        <f t="shared" si="4"/>
        <v>51.01586923</v>
      </c>
      <c r="S42" s="156">
        <f>IF(OR(O42="",P42=""),"",IF(OR(ISERROR(FIND("carcass",$A42))=FALSE,ISERROR(FIND("unit",$A42))=FALSE),VLOOKUP(WardrobeCarcassMaterial,FixedListsCarcassMaterial,2,0),0))</f>
        <v>0</v>
      </c>
      <c r="T42" s="156">
        <f>IF(OR(O42="",P42=""),"",IF(ISERROR(FIND("door",$A42))=FALSE,VLOOKUP(WardrobeDoorStyle,FixedListsDoorStyle,2,0),0))</f>
        <v>0</v>
      </c>
      <c r="U42" s="156">
        <f>IF(OR(O42="",P42=""),"",IF(ISERROR(FIND("door",$A42))=FALSE,VLOOKUP(WardrobeDoorMaterial,FixedListsDoorMaterial,2,0),0))</f>
        <v>0</v>
      </c>
      <c r="V42" s="156">
        <f>IF(OR(O42="",P42=""),"",IF(ISERROR(FIND("drawer",$A42))=FALSE,VLOOKUP(WardrobeDrawerType,FixedListsDrawerType,2,0),0))</f>
        <v>1</v>
      </c>
      <c r="W42" s="156">
        <f>IF(OR(O42="",P42=""),"",IF(S42&gt;0,VLOOKUP(WardrobeHandleType,FixedListsHandleType,2,FALSE),0))</f>
        <v>0</v>
      </c>
      <c r="X42" s="156">
        <f t="shared" si="5"/>
        <v>1</v>
      </c>
      <c r="Y42" s="156">
        <f>IF(OR(O42="",P42=""),"",IF(OR(ISERROR(FIND("carcass",$A42))=FALSE,ISERROR(FIND("unit",$A42))=FALSE),VLOOKUP(WardrobeCarcassMaterial,FixedListsCarcassMaterial,3,0),0))</f>
        <v>0</v>
      </c>
      <c r="Z42" s="156">
        <f>IF(OR(O42="",P42=""),"",IF(ISERROR(FIND("door",$A42))=FALSE,VLOOKUP(WardrobeDoorStyle,FixedListsDoorStyle,3,0),0))</f>
        <v>0</v>
      </c>
      <c r="AA42" s="156">
        <f>IF(OR(O42="",P42=""),"",IF(ISERROR(FIND("door",$A42))=FALSE,VLOOKUP(WardrobeDoorMaterial,FixedListsDoorMaterial,3,0),0))</f>
        <v>0</v>
      </c>
      <c r="AB42" s="156">
        <f>IF(OR(O42="",P42=""),"",IF(ISERROR(FIND("drawer",$A42))=FALSE,VLOOKUP(WardrobeDrawerType,FixedListsDrawerType,3,0),0))</f>
        <v>1</v>
      </c>
      <c r="AC42" s="156">
        <f>IF(OR(O42="",P42=""),"",IF(S42&gt;0,VLOOKUP(WardrobeHandleType,FixedListsHandleType,3,FALSE),0))</f>
        <v>0</v>
      </c>
      <c r="AD42" s="156">
        <f>IF(OR(O42="",P42=""),"",IF(OR(ISERROR(FIND("carcass",$A42))=FALSE,ISERROR(FIND("unit",$A42))=FALSE),VLOOKUP(WardrobeCarcassFinish,FixedListsFinishes,3,0),IF(OR(ISERROR(FIND("door",$A42))=FALSE,ISERROR(FIND("Plinth",$A42))=FALSE,ISERROR(FIND("Cornice",$A42))=FALSE,ISERROR(FIND("Fillers",$A42))=FALSE,ISERROR(FIND("Pelmet",$A42))=FALSE,ISERROR(FIND("panel",$A42))=FALSE,ISERROR(FIND("post",$A42))=FALSE),VLOOKUP(WardrobeDoorFinish,FixedListsFinishes,3,0),IF(OR(ISERROR(FIND("drawer",$A42))=FALSE,ISERROR(FIND("insert",$A42))=FALSE,ISERROR(FIND("rck",$A42))=FALSE),VLOOKUP(WardrobeCarcassFinish,FixedListsFinishes,3,0),0))))</f>
        <v>1</v>
      </c>
      <c r="AE42" s="156">
        <f t="shared" si="6"/>
        <v>1</v>
      </c>
      <c r="AF42" s="157" t="str">
        <f>IF(AND(WardrobeHandleType="Channel",OR(ISERROR(FIND("arcass",$A42))=FALSE,ISERROR(FIND("unit",$A42))=FALSE)),IF(ISERROR(FIND("Tower",$A42))=TRUE,IF(WardrobeHandleFinish="Match carcass",IF(ISERROR(FIND("Walnut",WardrobeCarcassMaterial))=FALSE,(0.035*0.075*($C42/1000))*VLOOKUP("Walnut (solid m3)",SolidData,4,FALSE),IF(ISERROR(FIND("Oak",WardrobeCarcassMaterial))=FALSE,(0.035*0.075*($C42/1000))*VLOOKUP("Oak (solid m3)",SolidData,4,FALSE),IF(ISERROR(FIND("ply",WardrobeCarcassMaterial))=FALSE,(0.1*($C42/1000))*VLOOKUP("Birch ply (24mm)",SheetsData,7,FALSE),IF(ISERROR(FIND("H/F",WardrobeCarcassMaterial))=FALSE,(0.1*($C42/1000))*VLOOKUP("H/F (22mm)",SheetsData,7,FALSE),"Carcass - not tower - new material")))),IF(WardrobeHandleFinish="Match door",IF(ISERROR(FIND("Walnut",WardrobeDoorMaterial))=FALSE,(0.035*0.075*($C42/1000))*VLOOKUP("Walnut (solid m3)",SolidData,4,FALSE),IF(ISERROR(FIND("Oak",WardrobeDoorMaterial))=FALSE,(0.035*0.075*($C42/1000))*VLOOKUP("Oak (solid m3)",SolidData,4,FALSE),IF(ISERROR(FIND("ply",WardrobeDoorMaterial))=FALSE,(0.1*($C42/1000))*VLOOKUP("Birch ply (24mm)",SheetsData,7,FALSE),IF(ISERROR(FIND("H/F",WardrobeCarcassMaterial))=FALSE,(0.1*($C42/1000))*VLOOKUP("H/F (22mm)",SheetsData,7,FALSE),"Door - not tower - new material")))),"Channel - not tower - handle set to other")),IF(ISERROR(FIND("Tower",$A42))=FALSE,IF(WardrobeHandleFinish="Match carcass",IF(ISERROR(FIND("Walnut",WardrobeCarcassMaterial))=FALSE,(0.035*0.075*($B42/1000))*VLOOKUP("Walnut (solid m3)",SolidData,4,FALSE),IF(ISERROR(FIND("Oak",WardrobeCarcassMaterial))=FALSE,(0.035*0.075*($B42/1000))*VLOOKUP("Oak (solid m3)",SolidData,4,FALSE),IF(ISERROR(FIND("ply",WardrobeCarcassMaterial))=FALSE,(0.1*($B42/1000))*VLOOKUP("Birch ply (24mm)",SheetsData,7,FALSE),IF(ISERROR(FIND("H/F",WardrobeCarcassMaterial))=FALSE,(0.1*($C42/1000))*VLOOKUP("H/F (22mm)",SheetsData,7,FALSE),"Carcass - tower - new material")))),IF(WardrobeHandleFinish="Match door",IF(ISERROR(FIND("Walnut",WardrobeDoorMaterial))=FALSE,(0.035*0.075*($B42/1000))*VLOOKUP("Walnut (solid m3)",SolidData,4,FALSE),IF(ISERROR(FIND("Oak",WardrobeDoorMaterial))=FALSE,(0.035*0.075*($B42/1000))*VLOOKUP("Oak (solid m3)",SolidData,4,FALSE),IF(ISERROR(FIND("ply",WardrobeDoorMaterial))=FALSE,(0.1*($B42/1000))*VLOOKUP("Birch ply (24mm)",SheetData,7,FALSE),IF(ISERROR(FIND("H/F",WardrobeCarcassMaterial))=FALSE,(0.1*($C42/1000))*VLOOKUP("H/F (22mm)",SheetsData,7,FALSE),"Door - tower - new material")))),"Channel - tower - handle set to other")))),"")</f>
        <v/>
      </c>
    </row>
    <row r="43">
      <c r="A43" s="150" t="s">
        <v>239</v>
      </c>
      <c r="B43" s="160" t="str">
        <f t="shared" si="1"/>
        <v>2420</v>
      </c>
      <c r="C43" s="160" t="str">
        <f>IFERROR(__xludf.DUMMYFUNCTION("IF(A43="""","""",IF(ISERROR(FIND(""arcass"",A43))=FALSE,MID(A43,FIND(""*"",A43)+1,FIND(""*"",A43,FIND(""*"",A43)+1)-FIND(""*"",A43)-1),IF(ISERROR(FIND(""End panel"",A43))=FALSE,RIGHT(A43,3),IF(OR(ISERROR(FIND(""drawer"",A43))=FALSE,ISERROR(FIND(""door"",A"&amp;"43))=FALSE,ISERROR(FIND(""shelf"",A43))=FALSE,ISERROR(FIND(""panel"",A43))=FALSE,ISERROR(FIND(""Plinth"",A43))=FALSE,ISERROR(FIND(""Cornice"",A43))=FALSE,ISERROR(FIND(""Fillers"",A43))=FALSE,ISERROR(FIND(""Pelmet"",A43))=FALSE,ISERROR(FIND(""Fireplace up "&amp;"to 1600"",A43))=FALSE),RIGHT(A43,LEN(A43)-LEN(regexextract(A43,"".* ""))),IF(ISERROR(FIND(""table"",A43))=FALSE,""560"",IF(ISERROR(FIND(""Office pod"",A43))=FALSE,""1600"",IF(ISERROR(FIND(""Fireplace over 1600"",A43))=FALSE,""2400"",IF(ISERROR(FIND(""Work"&amp;"top"",A43))=FALSE,""650"",""Whoops""))))))))"),"2420")</f>
        <v>2420</v>
      </c>
      <c r="D43" s="161" t="str">
        <f t="shared" si="2"/>
        <v>1210</v>
      </c>
      <c r="E43" s="152">
        <f>IF(OR(A43="",AND(ISERROR(FIND("drawer",A43))=FALSE,WardrobeDrawerType="")),"",IF(ISERROR(FIND("door",A43))=FALSE,IF(WardrobeDoorStyle="Flat",((B43/1000)*(C43/1000))*VLOOKUP(WardrobeDoorMaterial,SheetsData,8,0),IF(LEFT(WardrobeDoorStyle,5)="Panel",(((((B43/1000)*2)*0.08)+((((C43/1000)-0.16)*2)*0.08))*VLOOKUP("H/F (22mm)",SheetsData,8,0))+(((B43/1000)-0.14)*((C43/1000)-0.14)*VLOOKUP("H/F (9mm)",SheetsData,8,0)),IF(WardrobeDoorStyle="In-frame flat",((((((B43/1000)*0.019)*0.038)+((((C43-38)/1000)*0.038)*0.038))*2)*VLOOKUP("Tulip (solid m3)",SolidData,4,0))+(((B43-76)/1000)*((C43-38)/1000))*VLOOKUP("H/F (22mm)",SheetsData,8,0),IF(LEFT(WardrobeDoorStyle,14)="In-frame panel",(((((((B43/1000)*0.019)*0.038)+((((C43-38)/1000)*0.038)*0.038))*2)*VLOOKUP("Tulip (solid m3)",SolidData,4,0))+(((((((B43-76)/1000)*2)*0.08)+(((((C43-198)/1000)*2)*0.08)))*VLOOKUP("H/F (22mm)",SheetsData,8,0))+(((B43-216)/1000)*((C43-178)/1000)*VLOOKUP("H/F (9mm)",SheetsData,8,0)))))))),IF(AND(ISERROR(FIND("arcass",A43))=FALSE,ISERROR(FIND("ost corner",A43))=TRUE),IF(AND(VALUE(B43)&lt;1211,VALUE(C43)&lt;1211,VALUE(D43)&lt;606),1*VLOOKUP(WardrobeCarcassMaterial,SheetsData,5,FALSE),IF(AND(VALUE(B43)&lt;2421,VALUE(C43)&lt;2421,VALUE(D43)&lt;606),2*VLOOKUP(WardrobeCarcassMaterial,SheetsData,5,FALSE),IF(AND(VALUE(B43)&lt;2421,VALUE(C43)&lt;1211,VALUE(D43)&lt;1211),3*VLOOKUP(WardrobeCarcassMaterial,SheetsData,5,FALSE),IF(AND(VALUE(B43)&lt;2421,VALUE(C43)&lt;2421,VALUE(D43)&lt;1211),4*VLOOKUP(WardrobeCarcassMaterial,SheetsData,5,FALSE))))),IF(AND(ISERROR(FIND("arcass",A43))=FALSE,ISERROR(FIND("ost corner",A43))=FALSE),IF(AND(VALUE(B43)&lt;1211,VALUE(C43)&lt;1211,VALUE(D43)&lt;606),(1*VLOOKUP(WardrobeCarcassMaterial,SheetsData,5,FALSE))+(VLOOKUP("H/F (22mm)",SheetsData,7,FALSE)*1.44),IF(AND(VALUE(B43)&lt;2421,VALUE(C43)&lt;2421,VALUE(D43)&lt;606),(2*VLOOKUP(WardrobeCarcassMaterial,SheetsData,5,FALSE))+(VLOOKUP("H/F (22mm)",SheetsData,7,FALSE)*1.44),IF(AND(VALUE(B43)&lt;2421,VALUE(C43)&lt;1211,VALUE(D43)&lt;1211),(3*VLOOKUP(WardrobeCarcassMaterial,SheetsData,5,FALSE))+(VLOOKUP("H/F (22mm)",SheetsData,7,FALSE)*1.44),IF(AND(VALUE(B43)&lt;2421,VALUE(C43)&lt;2421,VALUE(D43)&lt;1211),(4*VLOOKUP(WardrobeCarcassMaterial,SheetsData,5,FALSE))+(VLOOKUP("H/F (22mm)",SheetsData,7,FALSE)*1.44))))),IF(ISERROR(FIND("drawer front",A43))=FALSE,((B43/1000)*(C43/1000))*VLOOKUP(WardrobeDoorMaterial,SheetsData,8,0),IF(AND(WardrobeDrawerType="Match carcass",ISERROR(FIND("drawer box",A43))=FALSE),(((((B43/1000)*(C43/1000))+((B43/1000)*(D43/1000)))*2)*VLOOKUP(WardrobeCarcassMaterial,SheetsData,8,0))+(((C43/1000)*(D43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box",A43))=FALSE),(((((B43/1000)*(C43/1000))+((B43/1000)*(D43/1000)))*2)*(16/1000)*VLOOKUP(LEFT(WardrobeCarcassMaterial,FIND(" ",WardrobeCarcassMaterial))&amp;"(solid m3)",SolidData,4,0))+(((C43/1000)*(D43/1000))*VLOOKUP(LEFT(WardrobeCarcassMaterial,FIND("(",WardrobeCarcassMaterial)-1)&amp;IF(OR(ISERROR(FIND("ply",WardrobeCarcassMaterial))=FALSE,ISERROR(FIND("H/F",WardrobeCarcassMaterial))=FALSE),"(9mm)","(10mm)"),SheetsData,8,0)),IF(ISERROR(FIND("shelf",A43))=FALSE,((C43/1000)*(D43/1000))*VLOOKUP(WardrobeCarcassMaterial,SheetsData,7,FALSE),IF(ISERROR(FIND("Office pod",A43))=FALSE,3*VLOOKUP(WardrobeCarcassMaterial,SheetsData,5,0),IF(ISERROR(FIND(" panel",A43))=FALSE,((B43/1000)*(C43/1000))*VLOOKUP(WardrobeDoorMaterial,SheetsData,8,0),IF(ISERROR(FIND("Fillers",A43))=FALSE,(((0.06*(C43/1000))*2)*VLOOKUP("H/F (18mm)",SheetsData,8,0))+(((0.06*(C43/1000))*2)*VLOOKUP("H/F (9mm)",SheetsData,8,0)),IF(ISERROR(FIND("Cornice (stacked)",A43))=FALSE,((0.08*(C43/1000))*2)*VLOOKUP("H/F (22mm)",SheetsData,8,0),IF(OR(ISERROR(FIND("Plinth",A43))=FALSE,ISERROR(FIND("Cornice (flat)",A43))=FALSE),((B43/1000)*(C43/1000))*VLOOKUP("H/F (18mm)",SheetsData,8,0),IF(ISERROR(FIND("Pelmet",A43))=FALSE,((((B43/1000)*(C43/1000))*2)*VLOOKUP("H/F (18mm)",SheetsData,8,0)),IF(ISERROR(FIND("Fireplace",A43))=FALSE,IF(ISERROR(FIND("over 1600",A43))=FALSE,2*VLOOKUP(WardrobeCarcassMaterial,SheetsData,5,FALSE),VLOOKUP(WardrobeCarcassMaterial,SheetsData,5,FALSE)),IF(ISERROR(FIND("table",A43))=FALSE,((B43/1000)*0.6)*VLOOKUP("Birch ply (24mm)",SheetsData,7,FALSE),IF(ISERROR(FIND("Worktop",A43))=FALSE,((B43/1000)*(C43/1000))*VLOOKUP(WardrobeDoorMaterial,SheetsData,7,FALSE),"Check formula")))))))))))))))))</f>
        <v>395.8</v>
      </c>
      <c r="F43" s="152">
        <f>IFERROR(__xludf.DUMMYFUNCTION("IF(OR(A43="""",AND(ISERROR(FIND(""drawer box"",A43))=FALSE,WardrobeDrawerType=""Solid dovetail"")),"""",IF(ISERROR(FIND(""bins"",A43))=FALSE,VLOOKUP(""Base carcass 600"",Wardrobes_etcData,6,0),IF(OR(ISERROR(FIND(""larder"",A43))=FALSE,ISERROR(FIND(""unit"&amp;""",A43))=FALSE),VLOOKUP(LEFT(A43,FIND("" "",A43))&amp;""carcass ""&amp;RIGHT(A43,LEN(A43)-len(regexextract(A43,"".* ""))),Wardrobes_etcData,6,0),IF(ISERROR(FIND(""drawer front"",A43))=FALSE,IF(ISERROR(FIND(""veneer"",WardrobeCarcassMaterial))=TRUE,0,(((B43+C43)/1"&amp;"000)*2)*VLOOKUP(""Edge banding (per M)"",SheetsData,5,0)),IF(ISERROR(FIND(""drawer box"",A43))=FALSE,IF(ISERROR(FIND(""veneer"",WardrobeCarcassMaterial))=TRUE,0,(((C43+D43)/1000)*2)*VLOOKUP(""Edge banding (per M)"",SheetsData,5,0)),IF(ISERROR(FIND(""shelf"&amp;""",A43))=FALSE,IF(ISERROR(FIND(""veneer"",WardrobeCarcassMaterial))=TRUE,0,(C43/1000)*VLOOKUP(""Edge banding (per M)"",SheetsData,5,0)),IF(AND(OR(ISERROR(FIND(""arcass"",A43))=FALSE,ISERROR(FIND(""Fireplace"",A43))=FALSE),ISERROR(FIND(""shelf"",A43))=TRUE"&amp;"),IF(ISERROR(FIND(""veneer"",WardrobeCarcassMaterial))=TRUE,0,((2*(B43+C43))/1000)*VLOOKUP(""Edge banding (per M)"",SheetsData,5,0)),IF(ISERROR(FIND(""door"",A43))=TRUE,"""",IF(ISERROR(FIND(""veneer"",WardrobeDoorMaterial))=TRUE,"""",((2*(B43+C43))/1000)*"&amp;"VLOOKUP(""Edge banding (per M)"",SheetsData,5,0))))))))))"),0.0)</f>
        <v>0</v>
      </c>
      <c r="G43" s="153">
        <f>IF(A43="","",IF(AND(ISERROR(FIND("arcass",A43))=TRUE,ISERROR(FIND("Fireplace",A43))=TRUE),"",IF(VALUE(C43)&lt;606,4*VLOOKUP("Plinth foot (2 Parts 80mm)",FurnitureData,5,FALSE),IF(VALUE(C43)&lt;1211,6*VLOOKUP("Plinth foot (2 Parts 80mm)",FurnitureData,5,FALSE),8*VLOOKUP("Plinth foot (2 Parts 80mm)",FurnitureData,5,FALSE)))))</f>
        <v>7.6</v>
      </c>
      <c r="H43" s="115" t="str">
        <f>IF(OR(A43="",ISERROR(FIND("door",A43))=TRUE),"",VLOOKUP("Hinges &amp; plates (Hettich thick door)",FurnitureData,5,0)*5)</f>
        <v/>
      </c>
      <c r="I43" s="115" t="str">
        <f>IF(ISERROR(FIND("shelf",A43))=FALSE,(VLOOKUP("Shelf pegs",FurnitureData,5,0)/100)*4,"")</f>
        <v/>
      </c>
      <c r="J43" s="152" t="str">
        <f>IF(OR(ISERROR(FIND("fridge/freezer",A43))=FALSE,ISERROR(FIND("sink",A43))=FALSE,ISERROR(FIND("larder",A43))=FALSE),VLOOKUP("Deep shelf "&amp;C43,Wardrobes_etcData,18,0),IF(OR(ISERROR(FIND("single oven",A43))=FALSE,ISERROR(FIND("Base carcass",A43))=FALSE),2*VLOOKUP("Deep shelf "&amp;C43,Wardrobes_etcData,18,0),IF(AND(ISERROR(FIND("wall carcass",A43))=FALSE,ISERROR(FIND("Boiler",A43))=TRUE),2*VLOOKUP("Shallow shelf "&amp;C43,Wardrobes_etcData,18,0),IF(ISERROR(FIND("double oven",A43))=FALSE,3*VLOOKUP("Deep shelf "&amp;C43,Wardrobes_etcData,18,0),IF(ISERROR(FIND("Tower carcass",A43))=FALSE,6*VLOOKUP("Deep shelf "&amp;C43,Wardrobes_etcData,18,0),"")))))</f>
        <v/>
      </c>
      <c r="K43" s="152" t="str">
        <f>IF(ISERROR(FIND("sink",A43))=FALSE,VLOOKUP("Sink liner - Aluminium "&amp;RIGHT(A43,LEN(A43)-22)&amp;"mm",ExceptionalData,5,0),IF(ISERROR(FIND("bins",A43))=FALSE,VLOOKUP("Drawer runners and clip set for bin unit (500) Dynapro",FurnitureData,5,0)+(2*VLOOKUP("Bin (42L Anthracite)",FurnitureData,5,0)),IF(ISERROR(FIND("larder",A43))=FALSE,VLOOKUP("Pull out larder unit 600mm",FurnitureData,5,0),IF(AND(ISERROR(FIND("drawer box",A43))=FALSE,ISERROR(FIND("internal",A43))=TRUE),VLOOKUP("Drawer runners and clip set (550) Dynapro",FurnitureData,5,0),IF(ISERROR(FIND("internal drawer box",A43))=FALSE,VLOOKUP("Drawer runners and clip set (450) Dynapro",FurnitureData,5,0),IF(ISERROR(FIND("table",A43))=FALSE,VLOOKUP("Hairpin Leg (12mm Black "&amp;MID(A43,FIND("(",A43)+1,LEN(A43)-(FIND("(",A43))-1)&amp;"mm)",ExceptionalData,4,FALSE),""))))))</f>
        <v/>
      </c>
      <c r="L43" s="152">
        <f t="shared" si="3"/>
        <v>403.4</v>
      </c>
      <c r="M43" s="154">
        <f>IF(A43="","",IF(AND(ISERROR(FIND("drawer front",A43))=FALSE,WardrobeDoorStyle="Flat"),(((B43/1000)*(C43/1000))*2)+((((B43+C43)/1000)*2)*0.022),IF(AND(ISERROR(FIND("drawer front",A43))=FALSE,LEFT(WardrobeDoorStyle,5)="Panel"),(((B43/1000)*(C43/1000))*2)+((((B43+C43)/1000)*2)*0.022)+((((C43/1000)-0.16)*0.013)*2)+((((D43/1000)-0.16)*0.013)*2),IF(AND(ISERROR(FIND("drawer front",A43))=FALSE,WardrobeDoorStyle="In-frame flat"),((((B43-76)/1000)*((C43-38)/1000))*2)+(MID(WardrobeDoorMaterial,FIND("(",WardrobeDoorMaterial)+1,2)/1000)*((((B43-76)+(C43-38))/1000)*2)+(((B43/1000)*0.032)*2)+((((B43-76)/1000)*0.032)*2)+(((B43/1000)*0.019)*4)+(((C43/1000)*0.032)*2)+((((C43-38)/1000)*0.032)*2)+(((C43/1000)*0.038)*4),IF(AND(ISERROR(FIND("drawer front",A43))=FALSE,LEFT(WardrobeDoorStyle,14)="In-frame panel"),((((B43-76)/1000)*((C43-38)/1000))*2)+((MID(WardrobeDoorMaterial,FIND("(",WardrobeDoorMaterial)+1,2)/1000)*((((B43-76)+(C43-38))/1000)*2))+((((B43-236)/1000)+((C43-198)/1000)*2)*0.013)+(((B43/1000)*0.032)*2)+((((B43-76)/1000)*0.032)*2)+(((B43/1000)*0.019)*4)+(((C43/1000)*0.032)*2)+((((C43-38)/1000)*0.032)*2)+(((C43/1000)*0.038)*4),IF(ISERROR(FIND("drawer box",A43))=FALSE,((((B43/1000)*(D43/1000))+((B43/1000)*(C43/1000)))*4)+((((D43/1000)+(C43/1000))*0.016)*4)+(((C43/1000)*(D43/1000))*2),IF(OR(ISERROR(FIND("shelf",A43))=FALSE,ISERROR(FIND("Filler panel",A43))=FALSE),(((C43/1000)*(D43/1000))*2)+((((C43+D43)*2)/1000)*0.022),IF(ISERROR(FIND("Fireplace",A43))=FALSE,((B43/1000)*(C43/1000)),IF(ISERROR(FIND("Worktop",A43))=FALSE,(B43/1000)*(C43/1000),IF(ISERROR(FIND("table",A43))=FALSE,(B43/1000)*0.6,IF(ISERROR(FIND("arcass",A43))=FALSE,(((C43/1000)*(D43/1000))*2)+(((B43/1000)*(D43/1000))*2)+((B43/1000)*(C43/1000))+((((B43/1000)*0.025)+((C43/1000)*0.025))*2),IF(AND(ISERROR(FIND("door",A43))=FALSE,WardrobeDoorStyle="Flat"),(((B43/1000)*(C43/1000))*2)+(MID(WardrobeDoorMaterial,FIND("(",WardrobeDoorMaterial)+1,2)/1000)*(((B43+C43)/1000)*2),IF(AND(ISERROR(FIND("door",A43))=FALSE,LEFT(WardrobeDoorStyle,5)="Panel"),(((B43/1000)*(C43/1000))*2)+((MID(WardrobeDoorMaterial,FIND("(",WardrobeDoorMaterial)+1,2)/1000)*(((B43+C43)/1000)*2))+(((((B43-160)+(C43-160))*2)/1000)*(0.013)),IF(AND(ISERROR(FIND("door",A43))=FALSE,WardrobeDoorStyle="In-frame flat"),((((B43-76)/1000)*((C43-38)/1000))*2)+(MID(WardrobeDoorMaterial,FIND("(",WardrobeDoorMaterial)+1,2)/1000)*((((B43-76)+(C43-38))/1000)*2)+(((B43/1000)*0.032)*2)+((((B43-76)/1000)*0.032)*2)+(((B43/1000)*0.019)*4)+(((C43/1000)*0.032)*2)+((((C43-38)/1000)*0.032)*2)+(((C43/1000)*0.038)*4),IF(AND(ISERROR(FIND("door",A43))=FALSE,LEFT(WardrobeDoorStyle,14)="In-frame panel"),((((B43-76)/1000)*((C43-38)/1000))*2)+((MID(WardrobeDoorMaterial,FIND("(",WardrobeDoorMaterial)+1,2)/1000)*((((B43-76)+(C43-38))/1000)*2))+((((B43-236)/1000)+((C43-198)/1000)*2)*0.013)+(((B43/1000)*0.032)*2)+((((B43-76)/1000)*0.032)*2)+(((B43/1000)*0.019)*4)+(((C43/1000)*0.032)*2)+((((C43-38)/1000)*0.032)*2)+(((C43/1000)*0.038)*4),IF(ISERROR(FIND("Plinth",A43))=FALSE,((B43/1000)*(C43/1000))+(((C43/1000)*0.018)*2)+(((B43/1000)*0.018)*2),IF(ISERROR(FIND("Cornice",A43))=FALSE,(((C43/1000)*0.1)*2)+(((C43/1000)*0.044)*2)+(((B43/1000)*0.08)*2),IF(ISERROR(FIND("Office pod",A43))=FALSE,((2400/1000)*(1200/1000))*6,IF(ISERROR(FIND("panel",A43))=FALSE,((B43/1000)*(C43/1000))+(0.022*((B43/1000)+((C43/1000)*2)))+((B43/1000)*0.05),IF(ISERROR(FIND("Fillers",A43))=FALSE,((C43/1000)*0.06)+((C43/1000)*0.069)+((0.06*0.018)*2)+((0.06*0.009)*2)+((C43/1000)*0.009)+((C43/1000)*0.018),IF(ISERROR(FIND("Pelmet",A43))=FALSE,((C43/1000)*0.05)+((C43/1000)*0.068)+((0.05*0.018)*4)+(((C43/1000)*0.018))*2)))))))))))))))))))))</f>
        <v>17.8112</v>
      </c>
      <c r="N43" s="152">
        <f>IF(M43="","",IF(AND(ISERROR(FIND("carcass",A43))=TRUE,ISERROR(FIND("unit",A43))=TRUE,ISERROR(FIND("insert",A43))=TRUE,ISERROR(FIND("rack",A43))=TRUE,ISERROR(FIND("box",A43))=TRUE,ISERROR(FIND("shelf",A43))=TRUE),VLOOKUP(WardrobeDoorFinish,Finishing!$A$2:$K$10,9,0)*M43,IF(ISERROR(FIND("table",A43))=FALSE,VLOOKUP("Sayerlack AF0072 Interior Clear Self-Sealer",FinishingData,9,FALSE)*M43,VLOOKUP(WardrobeCarcassFinish,Finishing!$A$2:$K$40,9,0)*M43)))</f>
        <v>66.792</v>
      </c>
      <c r="O43" s="159">
        <v>2.5</v>
      </c>
      <c r="P43" s="159">
        <v>2.5</v>
      </c>
      <c r="Q43" s="152">
        <f>IF(OR(O43="",P43=""),"",((O43*X43)*(VLOOKUP("Workshop",Labour!$A$3:$E$20,4,0)/8))+((P43*AE43)*(VLOOKUP("Finishing",Labour!$A$3:$E$20,4,0)/8)))</f>
        <v>179.375</v>
      </c>
      <c r="R43" s="152">
        <f t="shared" si="4"/>
        <v>649.567</v>
      </c>
      <c r="S43" s="156">
        <f>IF(OR(O43="",P43=""),"",IF(OR(ISERROR(FIND("carcass",$A43))=FALSE,ISERROR(FIND("unit",$A43))=FALSE),VLOOKUP(WardrobeCarcassMaterial,FixedListsCarcassMaterial,2,0),0))</f>
        <v>1</v>
      </c>
      <c r="T43" s="156">
        <f>IF(OR(O43="",P43=""),"",IF(ISERROR(FIND("door",$A43))=FALSE,VLOOKUP(WardrobeDoorStyle,FixedListsDoorStyle,2,0),0))</f>
        <v>0</v>
      </c>
      <c r="U43" s="156">
        <f>IF(OR(O43="",P43=""),"",IF(ISERROR(FIND("door",$A43))=FALSE,VLOOKUP(WardrobeDoorMaterial,FixedListsDoorMaterial,2,0),0))</f>
        <v>0</v>
      </c>
      <c r="V43" s="156">
        <f>IF(OR(O43="",P43=""),"",IF(ISERROR(FIND("drawer",$A43))=FALSE,VLOOKUP(WardrobeDrawerType,FixedListsDrawerType,2,0),0))</f>
        <v>0</v>
      </c>
      <c r="W43" s="156">
        <f>IF(OR(O43="",P43=""),"",IF(S43&gt;0,VLOOKUP(WardrobeHandleType,FixedListsHandleType,2,FALSE),0))</f>
        <v>1</v>
      </c>
      <c r="X43" s="156">
        <f t="shared" si="5"/>
        <v>1</v>
      </c>
      <c r="Y43" s="156">
        <f>IF(OR(O43="",P43=""),"",IF(OR(ISERROR(FIND("carcass",$A43))=FALSE,ISERROR(FIND("unit",$A43))=FALSE),VLOOKUP(WardrobeCarcassMaterial,FixedListsCarcassMaterial,3,0),0))</f>
        <v>1</v>
      </c>
      <c r="Z43" s="156">
        <f>IF(OR(O43="",P43=""),"",IF(ISERROR(FIND("door",$A43))=FALSE,VLOOKUP(WardrobeDoorStyle,FixedListsDoorStyle,3,0),0))</f>
        <v>0</v>
      </c>
      <c r="AA43" s="156">
        <f>IF(OR(O43="",P43=""),"",IF(ISERROR(FIND("door",$A43))=FALSE,VLOOKUP(WardrobeDoorMaterial,FixedListsDoorMaterial,3,0),0))</f>
        <v>0</v>
      </c>
      <c r="AB43" s="156">
        <f>IF(OR(O43="",P43=""),"",IF(ISERROR(FIND("drawer",$A43))=FALSE,VLOOKUP(WardrobeDrawerType,FixedListsDrawerType,3,0),0))</f>
        <v>0</v>
      </c>
      <c r="AC43" s="156">
        <f>IF(OR(O43="",P43=""),"",IF(S43&gt;0,VLOOKUP(WardrobeHandleType,FixedListsHandleType,3,FALSE),0))</f>
        <v>1</v>
      </c>
      <c r="AD43" s="156">
        <f>IF(OR(O43="",P43=""),"",IF(OR(ISERROR(FIND("carcass",$A43))=FALSE,ISERROR(FIND("unit",$A43))=FALSE),VLOOKUP(WardrobeCarcassFinish,FixedListsFinishes,3,0),IF(OR(ISERROR(FIND("door",$A43))=FALSE,ISERROR(FIND("Plinth",$A43))=FALSE,ISERROR(FIND("Cornice",$A43))=FALSE,ISERROR(FIND("Fillers",$A43))=FALSE,ISERROR(FIND("Pelmet",$A43))=FALSE,ISERROR(FIND("panel",$A43))=FALSE,ISERROR(FIND("post",$A43))=FALSE),VLOOKUP(WardrobeDoorFinish,FixedListsFinishes,3,0),IF(OR(ISERROR(FIND("drawer",$A43))=FALSE,ISERROR(FIND("insert",$A43))=FALSE,ISERROR(FIND("rck",$A43))=FALSE),VLOOKUP(WardrobeCarcassFinish,FixedListsFinishes,3,0),0))))</f>
        <v>1</v>
      </c>
      <c r="AE43" s="156">
        <f t="shared" si="6"/>
        <v>1</v>
      </c>
      <c r="AF43" s="157" t="str">
        <f>IF(AND(WardrobeHandleType="Channel",OR(ISERROR(FIND("arcass",$A43))=FALSE,ISERROR(FIND("unit",$A43))=FALSE)),IF(ISERROR(FIND("Tower",$A43))=TRUE,IF(WardrobeHandleFinish="Match carcass",IF(ISERROR(FIND("Walnut",WardrobeCarcassMaterial))=FALSE,(0.035*0.075*($C43/1000))*VLOOKUP("Walnut (solid m3)",SolidData,4,FALSE),IF(ISERROR(FIND("Oak",WardrobeCarcassMaterial))=FALSE,(0.035*0.075*($C43/1000))*VLOOKUP("Oak (solid m3)",SolidData,4,FALSE),IF(ISERROR(FIND("ply",WardrobeCarcassMaterial))=FALSE,(0.1*($C43/1000))*VLOOKUP("Birch ply (24mm)",SheetsData,7,FALSE),IF(ISERROR(FIND("H/F",WardrobeCarcassMaterial))=FALSE,(0.1*($C43/1000))*VLOOKUP("H/F (22mm)",SheetsData,7,FALSE),"Carcass - not tower - new material")))),IF(WardrobeHandleFinish="Match door",IF(ISERROR(FIND("Walnut",WardrobeDoorMaterial))=FALSE,(0.035*0.075*($C43/1000))*VLOOKUP("Walnut (solid m3)",SolidData,4,FALSE),IF(ISERROR(FIND("Oak",WardrobeDoorMaterial))=FALSE,(0.035*0.075*($C43/1000))*VLOOKUP("Oak (solid m3)",SolidData,4,FALSE),IF(ISERROR(FIND("ply",WardrobeDoorMaterial))=FALSE,(0.1*($C43/1000))*VLOOKUP("Birch ply (24mm)",SheetsData,7,FALSE),IF(ISERROR(FIND("H/F",WardrobeCarcassMaterial))=FALSE,(0.1*($C43/1000))*VLOOKUP("H/F (22mm)",SheetsData,7,FALSE),"Door - not tower - new material")))),"Channel - not tower - handle set to other")),IF(ISERROR(FIND("Tower",$A43))=FALSE,IF(WardrobeHandleFinish="Match carcass",IF(ISERROR(FIND("Walnut",WardrobeCarcassMaterial))=FALSE,(0.035*0.075*($B43/1000))*VLOOKUP("Walnut (solid m3)",SolidData,4,FALSE),IF(ISERROR(FIND("Oak",WardrobeCarcassMaterial))=FALSE,(0.035*0.075*($B43/1000))*VLOOKUP("Oak (solid m3)",SolidData,4,FALSE),IF(ISERROR(FIND("ply",WardrobeCarcassMaterial))=FALSE,(0.1*($B43/1000))*VLOOKUP("Birch ply (24mm)",SheetsData,7,FALSE),IF(ISERROR(FIND("H/F",WardrobeCarcassMaterial))=FALSE,(0.1*($C43/1000))*VLOOKUP("H/F (22mm)",SheetsData,7,FALSE),"Carcass - tower - new material")))),IF(WardrobeHandleFinish="Match door",IF(ISERROR(FIND("Walnut",WardrobeDoorMaterial))=FALSE,(0.035*0.075*($B43/1000))*VLOOKUP("Walnut (solid m3)",SolidData,4,FALSE),IF(ISERROR(FIND("Oak",WardrobeDoorMaterial))=FALSE,(0.035*0.075*($B43/1000))*VLOOKUP("Oak (solid m3)",SolidData,4,FALSE),IF(ISERROR(FIND("ply",WardrobeDoorMaterial))=FALSE,(0.1*($B43/1000))*VLOOKUP("Birch ply (24mm)",SheetData,7,FALSE),IF(ISERROR(FIND("H/F",WardrobeCarcassMaterial))=FALSE,(0.1*($C43/1000))*VLOOKUP("H/F (22mm)",SheetsData,7,FALSE),"Door - tower - new material")))),"Channel - tower - handle set to other")))),"")</f>
        <v/>
      </c>
    </row>
    <row r="44">
      <c r="A44" s="150" t="s">
        <v>240</v>
      </c>
      <c r="B44" s="160" t="str">
        <f t="shared" si="1"/>
        <v>2420</v>
      </c>
      <c r="C44" s="160" t="str">
        <f>IFERROR(__xludf.DUMMYFUNCTION("IF(A44="""","""",IF(ISERROR(FIND(""arcass"",A44))=FALSE,MID(A44,FIND(""*"",A44)+1,FIND(""*"",A44,FIND(""*"",A44)+1)-FIND(""*"",A44)-1),IF(ISERROR(FIND(""End panel"",A44))=FALSE,RIGHT(A44,3),IF(OR(ISERROR(FIND(""drawer"",A44))=FALSE,ISERROR(FIND(""door"",A"&amp;"44))=FALSE,ISERROR(FIND(""shelf"",A44))=FALSE,ISERROR(FIND(""panel"",A44))=FALSE,ISERROR(FIND(""Plinth"",A44))=FALSE,ISERROR(FIND(""Cornice"",A44))=FALSE,ISERROR(FIND(""Fillers"",A44))=FALSE,ISERROR(FIND(""Pelmet"",A44))=FALSE,ISERROR(FIND(""Fireplace up "&amp;"to 1600"",A44))=FALSE),RIGHT(A44,LEN(A44)-LEN(regexextract(A44,"".* ""))),IF(ISERROR(FIND(""table"",A44))=FALSE,""560"",IF(ISERROR(FIND(""Office pod"",A44))=FALSE,""1600"",IF(ISERROR(FIND(""Fireplace over 1600"",A44))=FALSE,""2400"",IF(ISERROR(FIND(""Work"&amp;"top"",A44))=FALSE,""650"",""Whoops""))))))))"),"1210")</f>
        <v>1210</v>
      </c>
      <c r="D44" s="161" t="str">
        <f t="shared" si="2"/>
        <v>1210</v>
      </c>
      <c r="E44" s="152">
        <f>IF(OR(A44="",AND(ISERROR(FIND("drawer",A44))=FALSE,WardrobeDrawerType="")),"",IF(ISERROR(FIND("door",A44))=FALSE,IF(WardrobeDoorStyle="Flat",((B44/1000)*(C44/1000))*VLOOKUP(WardrobeDoorMaterial,SheetsData,8,0),IF(LEFT(WardrobeDoorStyle,5)="Panel",(((((B44/1000)*2)*0.08)+((((C44/1000)-0.16)*2)*0.08))*VLOOKUP("H/F (22mm)",SheetsData,8,0))+(((B44/1000)-0.14)*((C44/1000)-0.14)*VLOOKUP("H/F (9mm)",SheetsData,8,0)),IF(WardrobeDoorStyle="In-frame flat",((((((B44/1000)*0.019)*0.038)+((((C44-38)/1000)*0.038)*0.038))*2)*VLOOKUP("Tulip (solid m3)",SolidData,4,0))+(((B44-76)/1000)*((C44-38)/1000))*VLOOKUP("H/F (22mm)",SheetsData,8,0),IF(LEFT(WardrobeDoorStyle,14)="In-frame panel",(((((((B44/1000)*0.019)*0.038)+((((C44-38)/1000)*0.038)*0.038))*2)*VLOOKUP("Tulip (solid m3)",SolidData,4,0))+(((((((B44-76)/1000)*2)*0.08)+(((((C44-198)/1000)*2)*0.08)))*VLOOKUP("H/F (22mm)",SheetsData,8,0))+(((B44-216)/1000)*((C44-178)/1000)*VLOOKUP("H/F (9mm)",SheetsData,8,0)))))))),IF(AND(ISERROR(FIND("arcass",A44))=FALSE,ISERROR(FIND("ost corner",A44))=TRUE),IF(AND(VALUE(B44)&lt;1211,VALUE(C44)&lt;1211,VALUE(D44)&lt;606),1*VLOOKUP(WardrobeCarcassMaterial,SheetsData,5,FALSE),IF(AND(VALUE(B44)&lt;2421,VALUE(C44)&lt;2421,VALUE(D44)&lt;606),2*VLOOKUP(WardrobeCarcassMaterial,SheetsData,5,FALSE),IF(AND(VALUE(B44)&lt;2421,VALUE(C44)&lt;1211,VALUE(D44)&lt;1211),3*VLOOKUP(WardrobeCarcassMaterial,SheetsData,5,FALSE),IF(AND(VALUE(B44)&lt;2421,VALUE(C44)&lt;2421,VALUE(D44)&lt;1211),4*VLOOKUP(WardrobeCarcassMaterial,SheetsData,5,FALSE))))),IF(AND(ISERROR(FIND("arcass",A44))=FALSE,ISERROR(FIND("ost corner",A44))=FALSE),IF(AND(VALUE(B44)&lt;1211,VALUE(C44)&lt;1211,VALUE(D44)&lt;606),(1*VLOOKUP(WardrobeCarcassMaterial,SheetsData,5,FALSE))+(VLOOKUP("H/F (22mm)",SheetsData,7,FALSE)*1.44),IF(AND(VALUE(B44)&lt;2421,VALUE(C44)&lt;2421,VALUE(D44)&lt;606),(2*VLOOKUP(WardrobeCarcassMaterial,SheetsData,5,FALSE))+(VLOOKUP("H/F (22mm)",SheetsData,7,FALSE)*1.44),IF(AND(VALUE(B44)&lt;2421,VALUE(C44)&lt;1211,VALUE(D44)&lt;1211),(3*VLOOKUP(WardrobeCarcassMaterial,SheetsData,5,FALSE))+(VLOOKUP("H/F (22mm)",SheetsData,7,FALSE)*1.44),IF(AND(VALUE(B44)&lt;2421,VALUE(C44)&lt;2421,VALUE(D44)&lt;1211),(4*VLOOKUP(WardrobeCarcassMaterial,SheetsData,5,FALSE))+(VLOOKUP("H/F (22mm)",SheetsData,7,FALSE)*1.44))))),IF(ISERROR(FIND("drawer front",A44))=FALSE,((B44/1000)*(C44/1000))*VLOOKUP(WardrobeDoorMaterial,SheetsData,8,0),IF(AND(WardrobeDrawerType="Match carcass",ISERROR(FIND("drawer box",A44))=FALSE),(((((B44/1000)*(C44/1000))+((B44/1000)*(D44/1000)))*2)*VLOOKUP(WardrobeCarcassMaterial,SheetsData,8,0))+(((C44/1000)*(D44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box",A44))=FALSE),(((((B44/1000)*(C44/1000))+((B44/1000)*(D44/1000)))*2)*(16/1000)*VLOOKUP(LEFT(WardrobeCarcassMaterial,FIND(" ",WardrobeCarcassMaterial))&amp;"(solid m3)",SolidData,4,0))+(((C44/1000)*(D44/1000))*VLOOKUP(LEFT(WardrobeCarcassMaterial,FIND("(",WardrobeCarcassMaterial)-1)&amp;IF(OR(ISERROR(FIND("ply",WardrobeCarcassMaterial))=FALSE,ISERROR(FIND("H/F",WardrobeCarcassMaterial))=FALSE),"(9mm)","(10mm)"),SheetsData,8,0)),IF(ISERROR(FIND("shelf",A44))=FALSE,((C44/1000)*(D44/1000))*VLOOKUP(WardrobeCarcassMaterial,SheetsData,7,FALSE),IF(ISERROR(FIND("Office pod",A44))=FALSE,3*VLOOKUP(WardrobeCarcassMaterial,SheetsData,5,0),IF(ISERROR(FIND(" panel",A44))=FALSE,((B44/1000)*(C44/1000))*VLOOKUP(WardrobeDoorMaterial,SheetsData,8,0),IF(ISERROR(FIND("Fillers",A44))=FALSE,(((0.06*(C44/1000))*2)*VLOOKUP("H/F (18mm)",SheetsData,8,0))+(((0.06*(C44/1000))*2)*VLOOKUP("H/F (9mm)",SheetsData,8,0)),IF(ISERROR(FIND("Cornice (stacked)",A44))=FALSE,((0.08*(C44/1000))*2)*VLOOKUP("H/F (22mm)",SheetsData,8,0),IF(OR(ISERROR(FIND("Plinth",A44))=FALSE,ISERROR(FIND("Cornice (flat)",A44))=FALSE),((B44/1000)*(C44/1000))*VLOOKUP("H/F (18mm)",SheetsData,8,0),IF(ISERROR(FIND("Pelmet",A44))=FALSE,((((B44/1000)*(C44/1000))*2)*VLOOKUP("H/F (18mm)",SheetsData,8,0)),IF(ISERROR(FIND("Fireplace",A44))=FALSE,IF(ISERROR(FIND("over 1600",A44))=FALSE,2*VLOOKUP(WardrobeCarcassMaterial,SheetsData,5,FALSE),VLOOKUP(WardrobeCarcassMaterial,SheetsData,5,FALSE)),IF(ISERROR(FIND("table",A44))=FALSE,((B44/1000)*0.6)*VLOOKUP("Birch ply (24mm)",SheetsData,7,FALSE),IF(ISERROR(FIND("Worktop",A44))=FALSE,((B44/1000)*(C44/1000))*VLOOKUP(WardrobeDoorMaterial,SheetsData,7,FALSE),"Check formula")))))))))))))))))</f>
        <v>296.85</v>
      </c>
      <c r="F44" s="152">
        <f>IFERROR(__xludf.DUMMYFUNCTION("IF(OR(A44="""",AND(ISERROR(FIND(""drawer box"",A44))=FALSE,WardrobeDrawerType=""Solid dovetail"")),"""",IF(ISERROR(FIND(""bins"",A44))=FALSE,VLOOKUP(""Base carcass 600"",Wardrobes_etcData,6,0),IF(OR(ISERROR(FIND(""larder"",A44))=FALSE,ISERROR(FIND(""unit"&amp;""",A44))=FALSE),VLOOKUP(LEFT(A44,FIND("" "",A44))&amp;""carcass ""&amp;RIGHT(A44,LEN(A44)-len(regexextract(A44,"".* ""))),Wardrobes_etcData,6,0),IF(ISERROR(FIND(""drawer front"",A44))=FALSE,IF(ISERROR(FIND(""veneer"",WardrobeCarcassMaterial))=TRUE,0,(((B44+C44)/1"&amp;"000)*2)*VLOOKUP(""Edge banding (per M)"",SheetsData,5,0)),IF(ISERROR(FIND(""drawer box"",A44))=FALSE,IF(ISERROR(FIND(""veneer"",WardrobeCarcassMaterial))=TRUE,0,(((C44+D44)/1000)*2)*VLOOKUP(""Edge banding (per M)"",SheetsData,5,0)),IF(ISERROR(FIND(""shelf"&amp;""",A44))=FALSE,IF(ISERROR(FIND(""veneer"",WardrobeCarcassMaterial))=TRUE,0,(C44/1000)*VLOOKUP(""Edge banding (per M)"",SheetsData,5,0)),IF(AND(OR(ISERROR(FIND(""arcass"",A44))=FALSE,ISERROR(FIND(""Fireplace"",A44))=FALSE),ISERROR(FIND(""shelf"",A44))=TRUE"&amp;"),IF(ISERROR(FIND(""veneer"",WardrobeCarcassMaterial))=TRUE,0,((2*(B44+C44))/1000)*VLOOKUP(""Edge banding (per M)"",SheetsData,5,0)),IF(ISERROR(FIND(""door"",A44))=TRUE,"""",IF(ISERROR(FIND(""veneer"",WardrobeDoorMaterial))=TRUE,"""",((2*(B44+C44))/1000)*"&amp;"VLOOKUP(""Edge banding (per M)"",SheetsData,5,0))))))))))"),0.0)</f>
        <v>0</v>
      </c>
      <c r="G44" s="153">
        <f>IF(A44="","",IF(AND(ISERROR(FIND("arcass",A44))=TRUE,ISERROR(FIND("Fireplace",A44))=TRUE),"",IF(VALUE(C44)&lt;606,4*VLOOKUP("Plinth foot (2 Parts 80mm)",FurnitureData,5,FALSE),IF(VALUE(C44)&lt;1211,6*VLOOKUP("Plinth foot (2 Parts 80mm)",FurnitureData,5,FALSE),8*VLOOKUP("Plinth foot (2 Parts 80mm)",FurnitureData,5,FALSE)))))</f>
        <v>5.7</v>
      </c>
      <c r="H44" s="115" t="str">
        <f>IF(OR(A44="",ISERROR(FIND("door",A44))=TRUE),"",VLOOKUP("Hinges &amp; plates (Hettich thick door)",FurnitureData,5,0)*5)</f>
        <v/>
      </c>
      <c r="I44" s="115" t="str">
        <f>IF(ISERROR(FIND("shelf",A44))=FALSE,(VLOOKUP("Shelf pegs",FurnitureData,5,0)/100)*4,"")</f>
        <v/>
      </c>
      <c r="J44" s="152" t="str">
        <f>IF(OR(ISERROR(FIND("fridge/freezer",A44))=FALSE,ISERROR(FIND("sink",A44))=FALSE,ISERROR(FIND("larder",A44))=FALSE),VLOOKUP("Deep shelf "&amp;C44,Wardrobes_etcData,18,0),IF(OR(ISERROR(FIND("single oven",A44))=FALSE,ISERROR(FIND("Base carcass",A44))=FALSE),2*VLOOKUP("Deep shelf "&amp;C44,Wardrobes_etcData,18,0),IF(AND(ISERROR(FIND("wall carcass",A44))=FALSE,ISERROR(FIND("Boiler",A44))=TRUE),2*VLOOKUP("Shallow shelf "&amp;C44,Wardrobes_etcData,18,0),IF(ISERROR(FIND("double oven",A44))=FALSE,3*VLOOKUP("Deep shelf "&amp;C44,Wardrobes_etcData,18,0),IF(ISERROR(FIND("Tower carcass",A44))=FALSE,6*VLOOKUP("Deep shelf "&amp;C44,Wardrobes_etcData,18,0),"")))))</f>
        <v/>
      </c>
      <c r="K44" s="152" t="str">
        <f>IF(ISERROR(FIND("sink",A44))=FALSE,VLOOKUP("Sink liner - Aluminium "&amp;RIGHT(A44,LEN(A44)-22)&amp;"mm",ExceptionalData,5,0),IF(ISERROR(FIND("bins",A44))=FALSE,VLOOKUP("Drawer runners and clip set for bin unit (500) Dynapro",FurnitureData,5,0)+(2*VLOOKUP("Bin (42L Anthracite)",FurnitureData,5,0)),IF(ISERROR(FIND("larder",A44))=FALSE,VLOOKUP("Pull out larder unit 600mm",FurnitureData,5,0),IF(AND(ISERROR(FIND("drawer box",A44))=FALSE,ISERROR(FIND("internal",A44))=TRUE),VLOOKUP("Drawer runners and clip set (550) Dynapro",FurnitureData,5,0),IF(ISERROR(FIND("internal drawer box",A44))=FALSE,VLOOKUP("Drawer runners and clip set (450) Dynapro",FurnitureData,5,0),IF(ISERROR(FIND("table",A44))=FALSE,VLOOKUP("Hairpin Leg (12mm Black "&amp;MID(A44,FIND("(",A44)+1,LEN(A44)-(FIND("(",A44))-1)&amp;"mm)",ExceptionalData,4,FALSE),""))))))</f>
        <v/>
      </c>
      <c r="L44" s="152">
        <f t="shared" si="3"/>
        <v>302.55</v>
      </c>
      <c r="M44" s="154">
        <f>IF(A44="","",IF(AND(ISERROR(FIND("drawer front",A44))=FALSE,WardrobeDoorStyle="Flat"),(((B44/1000)*(C44/1000))*2)+((((B44+C44)/1000)*2)*0.022),IF(AND(ISERROR(FIND("drawer front",A44))=FALSE,LEFT(WardrobeDoorStyle,5)="Panel"),(((B44/1000)*(C44/1000))*2)+((((B44+C44)/1000)*2)*0.022)+((((C44/1000)-0.16)*0.013)*2)+((((D44/1000)-0.16)*0.013)*2),IF(AND(ISERROR(FIND("drawer front",A44))=FALSE,WardrobeDoorStyle="In-frame flat"),((((B44-76)/1000)*((C44-38)/1000))*2)+(MID(WardrobeDoorMaterial,FIND("(",WardrobeDoorMaterial)+1,2)/1000)*((((B44-76)+(C44-38))/1000)*2)+(((B44/1000)*0.032)*2)+((((B44-76)/1000)*0.032)*2)+(((B44/1000)*0.019)*4)+(((C44/1000)*0.032)*2)+((((C44-38)/1000)*0.032)*2)+(((C44/1000)*0.038)*4),IF(AND(ISERROR(FIND("drawer front",A44))=FALSE,LEFT(WardrobeDoorStyle,14)="In-frame panel"),((((B44-76)/1000)*((C44-38)/1000))*2)+((MID(WardrobeDoorMaterial,FIND("(",WardrobeDoorMaterial)+1,2)/1000)*((((B44-76)+(C44-38))/1000)*2))+((((B44-236)/1000)+((C44-198)/1000)*2)*0.013)+(((B44/1000)*0.032)*2)+((((B44-76)/1000)*0.032)*2)+(((B44/1000)*0.019)*4)+(((C44/1000)*0.032)*2)+((((C44-38)/1000)*0.032)*2)+(((C44/1000)*0.038)*4),IF(ISERROR(FIND("drawer box",A44))=FALSE,((((B44/1000)*(D44/1000))+((B44/1000)*(C44/1000)))*4)+((((D44/1000)+(C44/1000))*0.016)*4)+(((C44/1000)*(D44/1000))*2),IF(OR(ISERROR(FIND("shelf",A44))=FALSE,ISERROR(FIND("Filler panel",A44))=FALSE),(((C44/1000)*(D44/1000))*2)+((((C44+D44)*2)/1000)*0.022),IF(ISERROR(FIND("Fireplace",A44))=FALSE,((B44/1000)*(C44/1000)),IF(ISERROR(FIND("Worktop",A44))=FALSE,(B44/1000)*(C44/1000),IF(ISERROR(FIND("table",A44))=FALSE,(B44/1000)*0.6,IF(ISERROR(FIND("arcass",A44))=FALSE,(((C44/1000)*(D44/1000))*2)+(((B44/1000)*(D44/1000))*2)+((B44/1000)*(C44/1000))+((((B44/1000)*0.025)+((C44/1000)*0.025))*2),IF(AND(ISERROR(FIND("door",A44))=FALSE,WardrobeDoorStyle="Flat"),(((B44/1000)*(C44/1000))*2)+(MID(WardrobeDoorMaterial,FIND("(",WardrobeDoorMaterial)+1,2)/1000)*(((B44+C44)/1000)*2),IF(AND(ISERROR(FIND("door",A44))=FALSE,LEFT(WardrobeDoorStyle,5)="Panel"),(((B44/1000)*(C44/1000))*2)+((MID(WardrobeDoorMaterial,FIND("(",WardrobeDoorMaterial)+1,2)/1000)*(((B44+C44)/1000)*2))+(((((B44-160)+(C44-160))*2)/1000)*(0.013)),IF(AND(ISERROR(FIND("door",A44))=FALSE,WardrobeDoorStyle="In-frame flat"),((((B44-76)/1000)*((C44-38)/1000))*2)+(MID(WardrobeDoorMaterial,FIND("(",WardrobeDoorMaterial)+1,2)/1000)*((((B44-76)+(C44-38))/1000)*2)+(((B44/1000)*0.032)*2)+((((B44-76)/1000)*0.032)*2)+(((B44/1000)*0.019)*4)+(((C44/1000)*0.032)*2)+((((C44-38)/1000)*0.032)*2)+(((C44/1000)*0.038)*4),IF(AND(ISERROR(FIND("door",A44))=FALSE,LEFT(WardrobeDoorStyle,14)="In-frame panel"),((((B44-76)/1000)*((C44-38)/1000))*2)+((MID(WardrobeDoorMaterial,FIND("(",WardrobeDoorMaterial)+1,2)/1000)*((((B44-76)+(C44-38))/1000)*2))+((((B44-236)/1000)+((C44-198)/1000)*2)*0.013)+(((B44/1000)*0.032)*2)+((((B44-76)/1000)*0.032)*2)+(((B44/1000)*0.019)*4)+(((C44/1000)*0.032)*2)+((((C44-38)/1000)*0.032)*2)+(((C44/1000)*0.038)*4),IF(ISERROR(FIND("Plinth",A44))=FALSE,((B44/1000)*(C44/1000))+(((C44/1000)*0.018)*2)+(((B44/1000)*0.018)*2),IF(ISERROR(FIND("Cornice",A44))=FALSE,(((C44/1000)*0.1)*2)+(((C44/1000)*0.044)*2)+(((B44/1000)*0.08)*2),IF(ISERROR(FIND("Office pod",A44))=FALSE,((2400/1000)*(1200/1000))*6,IF(ISERROR(FIND("panel",A44))=FALSE,((B44/1000)*(C44/1000))+(0.022*((B44/1000)+((C44/1000)*2)))+((B44/1000)*0.05),IF(ISERROR(FIND("Fillers",A44))=FALSE,((C44/1000)*0.06)+((C44/1000)*0.069)+((0.06*0.018)*2)+((0.06*0.009)*2)+((C44/1000)*0.009)+((C44/1000)*0.018),IF(ISERROR(FIND("Pelmet",A44))=FALSE,((C44/1000)*0.05)+((C44/1000)*0.068)+((0.05*0.018)*4)+(((C44/1000)*0.018))*2)))))))))))))))))))))</f>
        <v>11.8943</v>
      </c>
      <c r="N44" s="152">
        <f>IF(M44="","",IF(AND(ISERROR(FIND("carcass",A44))=TRUE,ISERROR(FIND("unit",A44))=TRUE,ISERROR(FIND("insert",A44))=TRUE,ISERROR(FIND("rack",A44))=TRUE,ISERROR(FIND("box",A44))=TRUE,ISERROR(FIND("shelf",A44))=TRUE),VLOOKUP(WardrobeDoorFinish,Finishing!$A$2:$K$10,9,0)*M44,IF(ISERROR(FIND("table",A44))=FALSE,VLOOKUP("Sayerlack AF0072 Interior Clear Self-Sealer",FinishingData,9,FALSE)*M44,VLOOKUP(WardrobeCarcassFinish,Finishing!$A$2:$K$40,9,0)*M44)))</f>
        <v>44.603625</v>
      </c>
      <c r="O44" s="159">
        <v>2.0</v>
      </c>
      <c r="P44" s="159">
        <v>2.0</v>
      </c>
      <c r="Q44" s="152">
        <f>IF(OR(O44="",P44=""),"",((O44*X44)*(VLOOKUP("Workshop",Labour!$A$3:$E$20,4,0)/8))+((P44*AE44)*(VLOOKUP("Finishing",Labour!$A$3:$E$20,4,0)/8)))</f>
        <v>143.5</v>
      </c>
      <c r="R44" s="152">
        <f t="shared" si="4"/>
        <v>490.653625</v>
      </c>
      <c r="S44" s="156">
        <f>IF(OR(O44="",P44=""),"",IF(OR(ISERROR(FIND("carcass",$A44))=FALSE,ISERROR(FIND("unit",$A44))=FALSE),VLOOKUP(WardrobeCarcassMaterial,FixedListsCarcassMaterial,2,0),0))</f>
        <v>1</v>
      </c>
      <c r="T44" s="156">
        <f>IF(OR(O44="",P44=""),"",IF(ISERROR(FIND("door",$A44))=FALSE,VLOOKUP(WardrobeDoorStyle,FixedListsDoorStyle,2,0),0))</f>
        <v>0</v>
      </c>
      <c r="U44" s="156">
        <f>IF(OR(O44="",P44=""),"",IF(ISERROR(FIND("door",$A44))=FALSE,VLOOKUP(WardrobeDoorMaterial,FixedListsDoorMaterial,2,0),0))</f>
        <v>0</v>
      </c>
      <c r="V44" s="156">
        <f>IF(OR(O44="",P44=""),"",IF(ISERROR(FIND("drawer",$A44))=FALSE,VLOOKUP(WardrobeDrawerType,FixedListsDrawerType,2,0),0))</f>
        <v>0</v>
      </c>
      <c r="W44" s="156">
        <f>IF(OR(O44="",P44=""),"",IF(S44&gt;0,VLOOKUP(WardrobeHandleType,FixedListsHandleType,2,FALSE),0))</f>
        <v>1</v>
      </c>
      <c r="X44" s="156">
        <f t="shared" si="5"/>
        <v>1</v>
      </c>
      <c r="Y44" s="156">
        <f>IF(OR(O44="",P44=""),"",IF(OR(ISERROR(FIND("carcass",$A44))=FALSE,ISERROR(FIND("unit",$A44))=FALSE),VLOOKUP(WardrobeCarcassMaterial,FixedListsCarcassMaterial,3,0),0))</f>
        <v>1</v>
      </c>
      <c r="Z44" s="156">
        <f>IF(OR(O44="",P44=""),"",IF(ISERROR(FIND("door",$A44))=FALSE,VLOOKUP(WardrobeDoorStyle,FixedListsDoorStyle,3,0),0))</f>
        <v>0</v>
      </c>
      <c r="AA44" s="156">
        <f>IF(OR(O44="",P44=""),"",IF(ISERROR(FIND("door",$A44))=FALSE,VLOOKUP(WardrobeDoorMaterial,FixedListsDoorMaterial,3,0),0))</f>
        <v>0</v>
      </c>
      <c r="AB44" s="156">
        <f>IF(OR(O44="",P44=""),"",IF(ISERROR(FIND("drawer",$A44))=FALSE,VLOOKUP(WardrobeDrawerType,FixedListsDrawerType,3,0),0))</f>
        <v>0</v>
      </c>
      <c r="AC44" s="156">
        <f>IF(OR(O44="",P44=""),"",IF(S44&gt;0,VLOOKUP(WardrobeHandleType,FixedListsHandleType,3,FALSE),0))</f>
        <v>1</v>
      </c>
      <c r="AD44" s="156">
        <f>IF(OR(O44="",P44=""),"",IF(OR(ISERROR(FIND("carcass",$A44))=FALSE,ISERROR(FIND("unit",$A44))=FALSE),VLOOKUP(WardrobeCarcassFinish,FixedListsFinishes,3,0),IF(OR(ISERROR(FIND("door",$A44))=FALSE,ISERROR(FIND("Plinth",$A44))=FALSE,ISERROR(FIND("Cornice",$A44))=FALSE,ISERROR(FIND("Fillers",$A44))=FALSE,ISERROR(FIND("Pelmet",$A44))=FALSE,ISERROR(FIND("panel",$A44))=FALSE,ISERROR(FIND("post",$A44))=FALSE),VLOOKUP(WardrobeDoorFinish,FixedListsFinishes,3,0),IF(OR(ISERROR(FIND("drawer",$A44))=FALSE,ISERROR(FIND("insert",$A44))=FALSE,ISERROR(FIND("rck",$A44))=FALSE),VLOOKUP(WardrobeCarcassFinish,FixedListsFinishes,3,0),0))))</f>
        <v>1</v>
      </c>
      <c r="AE44" s="156">
        <f t="shared" si="6"/>
        <v>1</v>
      </c>
      <c r="AF44" s="157" t="str">
        <f>IF(AND(WardrobeHandleType="Channel",OR(ISERROR(FIND("arcass",$A44))=FALSE,ISERROR(FIND("unit",$A44))=FALSE)),IF(ISERROR(FIND("Tower",$A44))=TRUE,IF(WardrobeHandleFinish="Match carcass",IF(ISERROR(FIND("Walnut",WardrobeCarcassMaterial))=FALSE,(0.035*0.075*($C44/1000))*VLOOKUP("Walnut (solid m3)",SolidData,4,FALSE),IF(ISERROR(FIND("Oak",WardrobeCarcassMaterial))=FALSE,(0.035*0.075*($C44/1000))*VLOOKUP("Oak (solid m3)",SolidData,4,FALSE),IF(ISERROR(FIND("ply",WardrobeCarcassMaterial))=FALSE,(0.1*($C44/1000))*VLOOKUP("Birch ply (24mm)",SheetsData,7,FALSE),IF(ISERROR(FIND("H/F",WardrobeCarcassMaterial))=FALSE,(0.1*($C44/1000))*VLOOKUP("H/F (22mm)",SheetsData,7,FALSE),"Carcass - not tower - new material")))),IF(WardrobeHandleFinish="Match door",IF(ISERROR(FIND("Walnut",WardrobeDoorMaterial))=FALSE,(0.035*0.075*($C44/1000))*VLOOKUP("Walnut (solid m3)",SolidData,4,FALSE),IF(ISERROR(FIND("Oak",WardrobeDoorMaterial))=FALSE,(0.035*0.075*($C44/1000))*VLOOKUP("Oak (solid m3)",SolidData,4,FALSE),IF(ISERROR(FIND("ply",WardrobeDoorMaterial))=FALSE,(0.1*($C44/1000))*VLOOKUP("Birch ply (24mm)",SheetsData,7,FALSE),IF(ISERROR(FIND("H/F",WardrobeCarcassMaterial))=FALSE,(0.1*($C44/1000))*VLOOKUP("H/F (22mm)",SheetsData,7,FALSE),"Door - not tower - new material")))),"Channel - not tower - handle set to other")),IF(ISERROR(FIND("Tower",$A44))=FALSE,IF(WardrobeHandleFinish="Match carcass",IF(ISERROR(FIND("Walnut",WardrobeCarcassMaterial))=FALSE,(0.035*0.075*($B44/1000))*VLOOKUP("Walnut (solid m3)",SolidData,4,FALSE),IF(ISERROR(FIND("Oak",WardrobeCarcassMaterial))=FALSE,(0.035*0.075*($B44/1000))*VLOOKUP("Oak (solid m3)",SolidData,4,FALSE),IF(ISERROR(FIND("ply",WardrobeCarcassMaterial))=FALSE,(0.1*($B44/1000))*VLOOKUP("Birch ply (24mm)",SheetsData,7,FALSE),IF(ISERROR(FIND("H/F",WardrobeCarcassMaterial))=FALSE,(0.1*($C44/1000))*VLOOKUP("H/F (22mm)",SheetsData,7,FALSE),"Carcass - tower - new material")))),IF(WardrobeHandleFinish="Match door",IF(ISERROR(FIND("Walnut",WardrobeDoorMaterial))=FALSE,(0.035*0.075*($B44/1000))*VLOOKUP("Walnut (solid m3)",SolidData,4,FALSE),IF(ISERROR(FIND("Oak",WardrobeDoorMaterial))=FALSE,(0.035*0.075*($B44/1000))*VLOOKUP("Oak (solid m3)",SolidData,4,FALSE),IF(ISERROR(FIND("ply",WardrobeDoorMaterial))=FALSE,(0.1*($B44/1000))*VLOOKUP("Birch ply (24mm)",SheetData,7,FALSE),IF(ISERROR(FIND("H/F",WardrobeCarcassMaterial))=FALSE,(0.1*($C44/1000))*VLOOKUP("H/F (22mm)",SheetsData,7,FALSE),"Door - tower - new material")))),"Channel - tower - handle set to other")))),"")</f>
        <v/>
      </c>
    </row>
    <row r="45">
      <c r="A45" s="150" t="s">
        <v>241</v>
      </c>
      <c r="B45" s="160" t="str">
        <f t="shared" si="1"/>
        <v>2420</v>
      </c>
      <c r="C45" s="160" t="str">
        <f>IFERROR(__xludf.DUMMYFUNCTION("IF(A45="""","""",IF(ISERROR(FIND(""arcass"",A45))=FALSE,MID(A45,FIND(""*"",A45)+1,FIND(""*"",A45,FIND(""*"",A45)+1)-FIND(""*"",A45)-1),IF(ISERROR(FIND(""End panel"",A45))=FALSE,RIGHT(A45,3),IF(OR(ISERROR(FIND(""drawer"",A45))=FALSE,ISERROR(FIND(""door"",A"&amp;"45))=FALSE,ISERROR(FIND(""shelf"",A45))=FALSE,ISERROR(FIND(""panel"",A45))=FALSE,ISERROR(FIND(""Plinth"",A45))=FALSE,ISERROR(FIND(""Cornice"",A45))=FALSE,ISERROR(FIND(""Fillers"",A45))=FALSE,ISERROR(FIND(""Pelmet"",A45))=FALSE,ISERROR(FIND(""Fireplace up "&amp;"to 1600"",A45))=FALSE),RIGHT(A45,LEN(A45)-LEN(regexextract(A45,"".* ""))),IF(ISERROR(FIND(""table"",A45))=FALSE,""560"",IF(ISERROR(FIND(""Office pod"",A45))=FALSE,""1600"",IF(ISERROR(FIND(""Fireplace over 1600"",A45))=FALSE,""2400"",IF(ISERROR(FIND(""Work"&amp;"top"",A45))=FALSE,""650"",""Whoops""))))))))"),"2420")</f>
        <v>2420</v>
      </c>
      <c r="D45" s="161" t="str">
        <f t="shared" si="2"/>
        <v>605</v>
      </c>
      <c r="E45" s="152">
        <f>IF(OR(A45="",AND(ISERROR(FIND("drawer",A45))=FALSE,WardrobeDrawerType="")),"",IF(ISERROR(FIND("door",A45))=FALSE,IF(WardrobeDoorStyle="Flat",((B45/1000)*(C45/1000))*VLOOKUP(WardrobeDoorMaterial,SheetsData,8,0),IF(LEFT(WardrobeDoorStyle,5)="Panel",(((((B45/1000)*2)*0.08)+((((C45/1000)-0.16)*2)*0.08))*VLOOKUP("H/F (22mm)",SheetsData,8,0))+(((B45/1000)-0.14)*((C45/1000)-0.14)*VLOOKUP("H/F (9mm)",SheetsData,8,0)),IF(WardrobeDoorStyle="In-frame flat",((((((B45/1000)*0.019)*0.038)+((((C45-38)/1000)*0.038)*0.038))*2)*VLOOKUP("Tulip (solid m3)",SolidData,4,0))+(((B45-76)/1000)*((C45-38)/1000))*VLOOKUP("H/F (22mm)",SheetsData,8,0),IF(LEFT(WardrobeDoorStyle,14)="In-frame panel",(((((((B45/1000)*0.019)*0.038)+((((C45-38)/1000)*0.038)*0.038))*2)*VLOOKUP("Tulip (solid m3)",SolidData,4,0))+(((((((B45-76)/1000)*2)*0.08)+(((((C45-198)/1000)*2)*0.08)))*VLOOKUP("H/F (22mm)",SheetsData,8,0))+(((B45-216)/1000)*((C45-178)/1000)*VLOOKUP("H/F (9mm)",SheetsData,8,0)))))))),IF(AND(ISERROR(FIND("arcass",A45))=FALSE,ISERROR(FIND("ost corner",A45))=TRUE),IF(AND(VALUE(B45)&lt;1211,VALUE(C45)&lt;1211,VALUE(D45)&lt;606),1*VLOOKUP(WardrobeCarcassMaterial,SheetsData,5,FALSE),IF(AND(VALUE(B45)&lt;2421,VALUE(C45)&lt;2421,VALUE(D45)&lt;606),2*VLOOKUP(WardrobeCarcassMaterial,SheetsData,5,FALSE),IF(AND(VALUE(B45)&lt;2421,VALUE(C45)&lt;1211,VALUE(D45)&lt;1211),3*VLOOKUP(WardrobeCarcassMaterial,SheetsData,5,FALSE),IF(AND(VALUE(B45)&lt;2421,VALUE(C45)&lt;2421,VALUE(D45)&lt;1211),4*VLOOKUP(WardrobeCarcassMaterial,SheetsData,5,FALSE))))),IF(AND(ISERROR(FIND("arcass",A45))=FALSE,ISERROR(FIND("ost corner",A45))=FALSE),IF(AND(VALUE(B45)&lt;1211,VALUE(C45)&lt;1211,VALUE(D45)&lt;606),(1*VLOOKUP(WardrobeCarcassMaterial,SheetsData,5,FALSE))+(VLOOKUP("H/F (22mm)",SheetsData,7,FALSE)*1.44),IF(AND(VALUE(B45)&lt;2421,VALUE(C45)&lt;2421,VALUE(D45)&lt;606),(2*VLOOKUP(WardrobeCarcassMaterial,SheetsData,5,FALSE))+(VLOOKUP("H/F (22mm)",SheetsData,7,FALSE)*1.44),IF(AND(VALUE(B45)&lt;2421,VALUE(C45)&lt;1211,VALUE(D45)&lt;1211),(3*VLOOKUP(WardrobeCarcassMaterial,SheetsData,5,FALSE))+(VLOOKUP("H/F (22mm)",SheetsData,7,FALSE)*1.44),IF(AND(VALUE(B45)&lt;2421,VALUE(C45)&lt;2421,VALUE(D45)&lt;1211),(4*VLOOKUP(WardrobeCarcassMaterial,SheetsData,5,FALSE))+(VLOOKUP("H/F (22mm)",SheetsData,7,FALSE)*1.44))))),IF(ISERROR(FIND("drawer front",A45))=FALSE,((B45/1000)*(C45/1000))*VLOOKUP(WardrobeDoorMaterial,SheetsData,8,0),IF(AND(WardrobeDrawerType="Match carcass",ISERROR(FIND("drawer box",A45))=FALSE),(((((B45/1000)*(C45/1000))+((B45/1000)*(D45/1000)))*2)*VLOOKUP(WardrobeCarcassMaterial,SheetsData,8,0))+(((C45/1000)*(D45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box",A45))=FALSE),(((((B45/1000)*(C45/1000))+((B45/1000)*(D45/1000)))*2)*(16/1000)*VLOOKUP(LEFT(WardrobeCarcassMaterial,FIND(" ",WardrobeCarcassMaterial))&amp;"(solid m3)",SolidData,4,0))+(((C45/1000)*(D45/1000))*VLOOKUP(LEFT(WardrobeCarcassMaterial,FIND("(",WardrobeCarcassMaterial)-1)&amp;IF(OR(ISERROR(FIND("ply",WardrobeCarcassMaterial))=FALSE,ISERROR(FIND("H/F",WardrobeCarcassMaterial))=FALSE),"(9mm)","(10mm)"),SheetsData,8,0)),IF(ISERROR(FIND("shelf",A45))=FALSE,((C45/1000)*(D45/1000))*VLOOKUP(WardrobeCarcassMaterial,SheetsData,7,FALSE),IF(ISERROR(FIND("Office pod",A45))=FALSE,3*VLOOKUP(WardrobeCarcassMaterial,SheetsData,5,0),IF(ISERROR(FIND(" panel",A45))=FALSE,((B45/1000)*(C45/1000))*VLOOKUP(WardrobeDoorMaterial,SheetsData,8,0),IF(ISERROR(FIND("Fillers",A45))=FALSE,(((0.06*(C45/1000))*2)*VLOOKUP("H/F (18mm)",SheetsData,8,0))+(((0.06*(C45/1000))*2)*VLOOKUP("H/F (9mm)",SheetsData,8,0)),IF(ISERROR(FIND("Cornice (stacked)",A45))=FALSE,((0.08*(C45/1000))*2)*VLOOKUP("H/F (22mm)",SheetsData,8,0),IF(OR(ISERROR(FIND("Plinth",A45))=FALSE,ISERROR(FIND("Cornice (flat)",A45))=FALSE),((B45/1000)*(C45/1000))*VLOOKUP("H/F (18mm)",SheetsData,8,0),IF(ISERROR(FIND("Pelmet",A45))=FALSE,((((B45/1000)*(C45/1000))*2)*VLOOKUP("H/F (18mm)",SheetsData,8,0)),IF(ISERROR(FIND("Fireplace",A45))=FALSE,IF(ISERROR(FIND("over 1600",A45))=FALSE,2*VLOOKUP(WardrobeCarcassMaterial,SheetsData,5,FALSE),VLOOKUP(WardrobeCarcassMaterial,SheetsData,5,FALSE)),IF(ISERROR(FIND("table",A45))=FALSE,((B45/1000)*0.6)*VLOOKUP("Birch ply (24mm)",SheetsData,7,FALSE),IF(ISERROR(FIND("Worktop",A45))=FALSE,((B45/1000)*(C45/1000))*VLOOKUP(WardrobeDoorMaterial,SheetsData,7,FALSE),"Check formula")))))))))))))))))</f>
        <v>197.9</v>
      </c>
      <c r="F45" s="152">
        <f>IFERROR(__xludf.DUMMYFUNCTION("IF(OR(A45="""",AND(ISERROR(FIND(""drawer box"",A45))=FALSE,WardrobeDrawerType=""Solid dovetail"")),"""",IF(ISERROR(FIND(""bins"",A45))=FALSE,VLOOKUP(""Base carcass 600"",Wardrobes_etcData,6,0),IF(OR(ISERROR(FIND(""larder"",A45))=FALSE,ISERROR(FIND(""unit"&amp;""",A45))=FALSE),VLOOKUP(LEFT(A45,FIND("" "",A45))&amp;""carcass ""&amp;RIGHT(A45,LEN(A45)-len(regexextract(A45,"".* ""))),Wardrobes_etcData,6,0),IF(ISERROR(FIND(""drawer front"",A45))=FALSE,IF(ISERROR(FIND(""veneer"",WardrobeCarcassMaterial))=TRUE,0,(((B45+C45)/1"&amp;"000)*2)*VLOOKUP(""Edge banding (per M)"",SheetsData,5,0)),IF(ISERROR(FIND(""drawer box"",A45))=FALSE,IF(ISERROR(FIND(""veneer"",WardrobeCarcassMaterial))=TRUE,0,(((C45+D45)/1000)*2)*VLOOKUP(""Edge banding (per M)"",SheetsData,5,0)),IF(ISERROR(FIND(""shelf"&amp;""",A45))=FALSE,IF(ISERROR(FIND(""veneer"",WardrobeCarcassMaterial))=TRUE,0,(C45/1000)*VLOOKUP(""Edge banding (per M)"",SheetsData,5,0)),IF(AND(OR(ISERROR(FIND(""arcass"",A45))=FALSE,ISERROR(FIND(""Fireplace"",A45))=FALSE),ISERROR(FIND(""shelf"",A45))=TRUE"&amp;"),IF(ISERROR(FIND(""veneer"",WardrobeCarcassMaterial))=TRUE,0,((2*(B45+C45))/1000)*VLOOKUP(""Edge banding (per M)"",SheetsData,5,0)),IF(ISERROR(FIND(""door"",A45))=TRUE,"""",IF(ISERROR(FIND(""veneer"",WardrobeDoorMaterial))=TRUE,"""",((2*(B45+C45))/1000)*"&amp;"VLOOKUP(""Edge banding (per M)"",SheetsData,5,0))))))))))"),0.0)</f>
        <v>0</v>
      </c>
      <c r="G45" s="153">
        <f>IF(A45="","",IF(AND(ISERROR(FIND("arcass",A45))=TRUE,ISERROR(FIND("Fireplace",A45))=TRUE),"",IF(VALUE(C45)&lt;606,4*VLOOKUP("Plinth foot (2 Parts 80mm)",FurnitureData,5,FALSE),IF(VALUE(C45)&lt;1211,6*VLOOKUP("Plinth foot (2 Parts 80mm)",FurnitureData,5,FALSE),8*VLOOKUP("Plinth foot (2 Parts 80mm)",FurnitureData,5,FALSE)))))</f>
        <v>7.6</v>
      </c>
      <c r="H45" s="115" t="str">
        <f>IF(OR(A45="",ISERROR(FIND("door",A45))=TRUE),"",VLOOKUP("Hinges &amp; plates (Hettich thick door)",FurnitureData,5,0)*5)</f>
        <v/>
      </c>
      <c r="I45" s="115" t="str">
        <f>IF(ISERROR(FIND("shelf",A45))=FALSE,(VLOOKUP("Shelf pegs",FurnitureData,5,0)/100)*4,"")</f>
        <v/>
      </c>
      <c r="J45" s="152" t="str">
        <f>IF(OR(ISERROR(FIND("fridge/freezer",A45))=FALSE,ISERROR(FIND("sink",A45))=FALSE,ISERROR(FIND("larder",A45))=FALSE),VLOOKUP("Deep shelf "&amp;C45,Wardrobes_etcData,18,0),IF(OR(ISERROR(FIND("single oven",A45))=FALSE,ISERROR(FIND("Base carcass",A45))=FALSE),2*VLOOKUP("Deep shelf "&amp;C45,Wardrobes_etcData,18,0),IF(AND(ISERROR(FIND("wall carcass",A45))=FALSE,ISERROR(FIND("Boiler",A45))=TRUE),2*VLOOKUP("Shallow shelf "&amp;C45,Wardrobes_etcData,18,0),IF(ISERROR(FIND("double oven",A45))=FALSE,3*VLOOKUP("Deep shelf "&amp;C45,Wardrobes_etcData,18,0),IF(ISERROR(FIND("Tower carcass",A45))=FALSE,6*VLOOKUP("Deep shelf "&amp;C45,Wardrobes_etcData,18,0),"")))))</f>
        <v/>
      </c>
      <c r="K45" s="152" t="str">
        <f>IF(ISERROR(FIND("sink",A45))=FALSE,VLOOKUP("Sink liner - Aluminium "&amp;RIGHT(A45,LEN(A45)-22)&amp;"mm",ExceptionalData,5,0),IF(ISERROR(FIND("bins",A45))=FALSE,VLOOKUP("Drawer runners and clip set for bin unit (500) Dynapro",FurnitureData,5,0)+(2*VLOOKUP("Bin (42L Anthracite)",FurnitureData,5,0)),IF(ISERROR(FIND("larder",A45))=FALSE,VLOOKUP("Pull out larder unit 600mm",FurnitureData,5,0),IF(AND(ISERROR(FIND("drawer box",A45))=FALSE,ISERROR(FIND("internal",A45))=TRUE),VLOOKUP("Drawer runners and clip set (550) Dynapro",FurnitureData,5,0),IF(ISERROR(FIND("internal drawer box",A45))=FALSE,VLOOKUP("Drawer runners and clip set (450) Dynapro",FurnitureData,5,0),IF(ISERROR(FIND("table",A45))=FALSE,VLOOKUP("Hairpin Leg (12mm Black "&amp;MID(A45,FIND("(",A45)+1,LEN(A45)-(FIND("(",A45))-1)&amp;"mm)",ExceptionalData,4,FALSE),""))))))</f>
        <v/>
      </c>
      <c r="L45" s="152">
        <f t="shared" si="3"/>
        <v>205.5</v>
      </c>
      <c r="M45" s="154">
        <f>IF(A45="","",IF(AND(ISERROR(FIND("drawer front",A45))=FALSE,WardrobeDoorStyle="Flat"),(((B45/1000)*(C45/1000))*2)+((((B45+C45)/1000)*2)*0.022),IF(AND(ISERROR(FIND("drawer front",A45))=FALSE,LEFT(WardrobeDoorStyle,5)="Panel"),(((B45/1000)*(C45/1000))*2)+((((B45+C45)/1000)*2)*0.022)+((((C45/1000)-0.16)*0.013)*2)+((((D45/1000)-0.16)*0.013)*2),IF(AND(ISERROR(FIND("drawer front",A45))=FALSE,WardrobeDoorStyle="In-frame flat"),((((B45-76)/1000)*((C45-38)/1000))*2)+(MID(WardrobeDoorMaterial,FIND("(",WardrobeDoorMaterial)+1,2)/1000)*((((B45-76)+(C45-38))/1000)*2)+(((B45/1000)*0.032)*2)+((((B45-76)/1000)*0.032)*2)+(((B45/1000)*0.019)*4)+(((C45/1000)*0.032)*2)+((((C45-38)/1000)*0.032)*2)+(((C45/1000)*0.038)*4),IF(AND(ISERROR(FIND("drawer front",A45))=FALSE,LEFT(WardrobeDoorStyle,14)="In-frame panel"),((((B45-76)/1000)*((C45-38)/1000))*2)+((MID(WardrobeDoorMaterial,FIND("(",WardrobeDoorMaterial)+1,2)/1000)*((((B45-76)+(C45-38))/1000)*2))+((((B45-236)/1000)+((C45-198)/1000)*2)*0.013)+(((B45/1000)*0.032)*2)+((((B45-76)/1000)*0.032)*2)+(((B45/1000)*0.019)*4)+(((C45/1000)*0.032)*2)+((((C45-38)/1000)*0.032)*2)+(((C45/1000)*0.038)*4),IF(ISERROR(FIND("drawer box",A45))=FALSE,((((B45/1000)*(D45/1000))+((B45/1000)*(C45/1000)))*4)+((((D45/1000)+(C45/1000))*0.016)*4)+(((C45/1000)*(D45/1000))*2),IF(OR(ISERROR(FIND("shelf",A45))=FALSE,ISERROR(FIND("Filler panel",A45))=FALSE),(((C45/1000)*(D45/1000))*2)+((((C45+D45)*2)/1000)*0.022),IF(ISERROR(FIND("Fireplace",A45))=FALSE,((B45/1000)*(C45/1000)),IF(ISERROR(FIND("Worktop",A45))=FALSE,(B45/1000)*(C45/1000),IF(ISERROR(FIND("table",A45))=FALSE,(B45/1000)*0.6,IF(ISERROR(FIND("arcass",A45))=FALSE,(((C45/1000)*(D45/1000))*2)+(((B45/1000)*(D45/1000))*2)+((B45/1000)*(C45/1000))+((((B45/1000)*0.025)+((C45/1000)*0.025))*2),IF(AND(ISERROR(FIND("door",A45))=FALSE,WardrobeDoorStyle="Flat"),(((B45/1000)*(C45/1000))*2)+(MID(WardrobeDoorMaterial,FIND("(",WardrobeDoorMaterial)+1,2)/1000)*(((B45+C45)/1000)*2),IF(AND(ISERROR(FIND("door",A45))=FALSE,LEFT(WardrobeDoorStyle,5)="Panel"),(((B45/1000)*(C45/1000))*2)+((MID(WardrobeDoorMaterial,FIND("(",WardrobeDoorMaterial)+1,2)/1000)*(((B45+C45)/1000)*2))+(((((B45-160)+(C45-160))*2)/1000)*(0.013)),IF(AND(ISERROR(FIND("door",A45))=FALSE,WardrobeDoorStyle="In-frame flat"),((((B45-76)/1000)*((C45-38)/1000))*2)+(MID(WardrobeDoorMaterial,FIND("(",WardrobeDoorMaterial)+1,2)/1000)*((((B45-76)+(C45-38))/1000)*2)+(((B45/1000)*0.032)*2)+((((B45-76)/1000)*0.032)*2)+(((B45/1000)*0.019)*4)+(((C45/1000)*0.032)*2)+((((C45-38)/1000)*0.032)*2)+(((C45/1000)*0.038)*4),IF(AND(ISERROR(FIND("door",A45))=FALSE,LEFT(WardrobeDoorStyle,14)="In-frame panel"),((((B45-76)/1000)*((C45-38)/1000))*2)+((MID(WardrobeDoorMaterial,FIND("(",WardrobeDoorMaterial)+1,2)/1000)*((((B45-76)+(C45-38))/1000)*2))+((((B45-236)/1000)+((C45-198)/1000)*2)*0.013)+(((B45/1000)*0.032)*2)+((((B45-76)/1000)*0.032)*2)+(((B45/1000)*0.019)*4)+(((C45/1000)*0.032)*2)+((((C45-38)/1000)*0.032)*2)+(((C45/1000)*0.038)*4),IF(ISERROR(FIND("Plinth",A45))=FALSE,((B45/1000)*(C45/1000))+(((C45/1000)*0.018)*2)+(((B45/1000)*0.018)*2),IF(ISERROR(FIND("Cornice",A45))=FALSE,(((C45/1000)*0.1)*2)+(((C45/1000)*0.044)*2)+(((B45/1000)*0.08)*2),IF(ISERROR(FIND("Office pod",A45))=FALSE,((2400/1000)*(1200/1000))*6,IF(ISERROR(FIND("panel",A45))=FALSE,((B45/1000)*(C45/1000))+(0.022*((B45/1000)+((C45/1000)*2)))+((B45/1000)*0.05),IF(ISERROR(FIND("Fillers",A45))=FALSE,((C45/1000)*0.06)+((C45/1000)*0.069)+((0.06*0.018)*2)+((0.06*0.009)*2)+((C45/1000)*0.009)+((C45/1000)*0.018),IF(ISERROR(FIND("Pelmet",A45))=FALSE,((C45/1000)*0.05)+((C45/1000)*0.068)+((0.05*0.018)*4)+(((C45/1000)*0.018))*2)))))))))))))))))))))</f>
        <v>11.9548</v>
      </c>
      <c r="N45" s="152">
        <f>IF(M45="","",IF(AND(ISERROR(FIND("carcass",A45))=TRUE,ISERROR(FIND("unit",A45))=TRUE,ISERROR(FIND("insert",A45))=TRUE,ISERROR(FIND("rack",A45))=TRUE,ISERROR(FIND("box",A45))=TRUE,ISERROR(FIND("shelf",A45))=TRUE),VLOOKUP(WardrobeDoorFinish,Finishing!$A$2:$K$10,9,0)*M45,IF(ISERROR(FIND("table",A45))=FALSE,VLOOKUP("Sayerlack AF0072 Interior Clear Self-Sealer",FinishingData,9,FALSE)*M45,VLOOKUP(WardrobeCarcassFinish,Finishing!$A$2:$K$40,9,0)*M45)))</f>
        <v>44.8305</v>
      </c>
      <c r="O45" s="159">
        <v>1.5</v>
      </c>
      <c r="P45" s="159">
        <v>1.5</v>
      </c>
      <c r="Q45" s="152">
        <f>IF(OR(O45="",P45=""),"",((O45*X45)*(VLOOKUP("Workshop",Labour!$A$3:$E$20,4,0)/8))+((P45*AE45)*(VLOOKUP("Finishing",Labour!$A$3:$E$20,4,0)/8)))</f>
        <v>107.625</v>
      </c>
      <c r="R45" s="152">
        <f t="shared" si="4"/>
        <v>357.9555</v>
      </c>
      <c r="S45" s="156">
        <f>IF(OR(O45="",P45=""),"",IF(OR(ISERROR(FIND("carcass",$A45))=FALSE,ISERROR(FIND("unit",$A45))=FALSE),VLOOKUP(WardrobeCarcassMaterial,FixedListsCarcassMaterial,2,0),0))</f>
        <v>1</v>
      </c>
      <c r="T45" s="156">
        <f>IF(OR(O45="",P45=""),"",IF(ISERROR(FIND("door",$A45))=FALSE,VLOOKUP(WardrobeDoorStyle,FixedListsDoorStyle,2,0),0))</f>
        <v>0</v>
      </c>
      <c r="U45" s="156">
        <f>IF(OR(O45="",P45=""),"",IF(ISERROR(FIND("door",$A45))=FALSE,VLOOKUP(WardrobeDoorMaterial,FixedListsDoorMaterial,2,0),0))</f>
        <v>0</v>
      </c>
      <c r="V45" s="156">
        <f>IF(OR(O45="",P45=""),"",IF(ISERROR(FIND("drawer",$A45))=FALSE,VLOOKUP(WardrobeDrawerType,FixedListsDrawerType,2,0),0))</f>
        <v>0</v>
      </c>
      <c r="W45" s="156">
        <f>IF(OR(O45="",P45=""),"",IF(S45&gt;0,VLOOKUP(WardrobeHandleType,FixedListsHandleType,2,FALSE),0))</f>
        <v>1</v>
      </c>
      <c r="X45" s="156">
        <f t="shared" si="5"/>
        <v>1</v>
      </c>
      <c r="Y45" s="156">
        <f>IF(OR(O45="",P45=""),"",IF(OR(ISERROR(FIND("carcass",$A45))=FALSE,ISERROR(FIND("unit",$A45))=FALSE),VLOOKUP(WardrobeCarcassMaterial,FixedListsCarcassMaterial,3,0),0))</f>
        <v>1</v>
      </c>
      <c r="Z45" s="156">
        <f>IF(OR(O45="",P45=""),"",IF(ISERROR(FIND("door",$A45))=FALSE,VLOOKUP(WardrobeDoorStyle,FixedListsDoorStyle,3,0),0))</f>
        <v>0</v>
      </c>
      <c r="AA45" s="156">
        <f>IF(OR(O45="",P45=""),"",IF(ISERROR(FIND("door",$A45))=FALSE,VLOOKUP(WardrobeDoorMaterial,FixedListsDoorMaterial,3,0),0))</f>
        <v>0</v>
      </c>
      <c r="AB45" s="156">
        <f>IF(OR(O45="",P45=""),"",IF(ISERROR(FIND("drawer",$A45))=FALSE,VLOOKUP(WardrobeDrawerType,FixedListsDrawerType,3,0),0))</f>
        <v>0</v>
      </c>
      <c r="AC45" s="156">
        <f>IF(OR(O45="",P45=""),"",IF(S45&gt;0,VLOOKUP(WardrobeHandleType,FixedListsHandleType,3,FALSE),0))</f>
        <v>1</v>
      </c>
      <c r="AD45" s="156">
        <f>IF(OR(O45="",P45=""),"",IF(OR(ISERROR(FIND("carcass",$A45))=FALSE,ISERROR(FIND("unit",$A45))=FALSE),VLOOKUP(WardrobeCarcassFinish,FixedListsFinishes,3,0),IF(OR(ISERROR(FIND("door",$A45))=FALSE,ISERROR(FIND("Plinth",$A45))=FALSE,ISERROR(FIND("Cornice",$A45))=FALSE,ISERROR(FIND("Fillers",$A45))=FALSE,ISERROR(FIND("Pelmet",$A45))=FALSE,ISERROR(FIND("panel",$A45))=FALSE,ISERROR(FIND("post",$A45))=FALSE),VLOOKUP(WardrobeDoorFinish,FixedListsFinishes,3,0),IF(OR(ISERROR(FIND("drawer",$A45))=FALSE,ISERROR(FIND("insert",$A45))=FALSE,ISERROR(FIND("rck",$A45))=FALSE),VLOOKUP(WardrobeCarcassFinish,FixedListsFinishes,3,0),0))))</f>
        <v>1</v>
      </c>
      <c r="AE45" s="156">
        <f t="shared" si="6"/>
        <v>1</v>
      </c>
      <c r="AF45" s="157" t="str">
        <f>IF(AND(WardrobeHandleType="Channel",OR(ISERROR(FIND("arcass",$A45))=FALSE,ISERROR(FIND("unit",$A45))=FALSE)),IF(ISERROR(FIND("Tower",$A45))=TRUE,IF(WardrobeHandleFinish="Match carcass",IF(ISERROR(FIND("Walnut",WardrobeCarcassMaterial))=FALSE,(0.035*0.075*($C45/1000))*VLOOKUP("Walnut (solid m3)",SolidData,4,FALSE),IF(ISERROR(FIND("Oak",WardrobeCarcassMaterial))=FALSE,(0.035*0.075*($C45/1000))*VLOOKUP("Oak (solid m3)",SolidData,4,FALSE),IF(ISERROR(FIND("ply",WardrobeCarcassMaterial))=FALSE,(0.1*($C45/1000))*VLOOKUP("Birch ply (24mm)",SheetsData,7,FALSE),IF(ISERROR(FIND("H/F",WardrobeCarcassMaterial))=FALSE,(0.1*($C45/1000))*VLOOKUP("H/F (22mm)",SheetsData,7,FALSE),"Carcass - not tower - new material")))),IF(WardrobeHandleFinish="Match door",IF(ISERROR(FIND("Walnut",WardrobeDoorMaterial))=FALSE,(0.035*0.075*($C45/1000))*VLOOKUP("Walnut (solid m3)",SolidData,4,FALSE),IF(ISERROR(FIND("Oak",WardrobeDoorMaterial))=FALSE,(0.035*0.075*($C45/1000))*VLOOKUP("Oak (solid m3)",SolidData,4,FALSE),IF(ISERROR(FIND("ply",WardrobeDoorMaterial))=FALSE,(0.1*($C45/1000))*VLOOKUP("Birch ply (24mm)",SheetsData,7,FALSE),IF(ISERROR(FIND("H/F",WardrobeCarcassMaterial))=FALSE,(0.1*($C45/1000))*VLOOKUP("H/F (22mm)",SheetsData,7,FALSE),"Door - not tower - new material")))),"Channel - not tower - handle set to other")),IF(ISERROR(FIND("Tower",$A45))=FALSE,IF(WardrobeHandleFinish="Match carcass",IF(ISERROR(FIND("Walnut",WardrobeCarcassMaterial))=FALSE,(0.035*0.075*($B45/1000))*VLOOKUP("Walnut (solid m3)",SolidData,4,FALSE),IF(ISERROR(FIND("Oak",WardrobeCarcassMaterial))=FALSE,(0.035*0.075*($B45/1000))*VLOOKUP("Oak (solid m3)",SolidData,4,FALSE),IF(ISERROR(FIND("ply",WardrobeCarcassMaterial))=FALSE,(0.1*($B45/1000))*VLOOKUP("Birch ply (24mm)",SheetsData,7,FALSE),IF(ISERROR(FIND("H/F",WardrobeCarcassMaterial))=FALSE,(0.1*($C45/1000))*VLOOKUP("H/F (22mm)",SheetsData,7,FALSE),"Carcass - tower - new material")))),IF(WardrobeHandleFinish="Match door",IF(ISERROR(FIND("Walnut",WardrobeDoorMaterial))=FALSE,(0.035*0.075*($B45/1000))*VLOOKUP("Walnut (solid m3)",SolidData,4,FALSE),IF(ISERROR(FIND("Oak",WardrobeDoorMaterial))=FALSE,(0.035*0.075*($B45/1000))*VLOOKUP("Oak (solid m3)",SolidData,4,FALSE),IF(ISERROR(FIND("ply",WardrobeDoorMaterial))=FALSE,(0.1*($B45/1000))*VLOOKUP("Birch ply (24mm)",SheetData,7,FALSE),IF(ISERROR(FIND("H/F",WardrobeCarcassMaterial))=FALSE,(0.1*($C45/1000))*VLOOKUP("H/F (22mm)",SheetsData,7,FALSE),"Door - tower - new material")))),"Channel - tower - handle set to other")))),"")</f>
        <v/>
      </c>
    </row>
    <row r="46">
      <c r="A46" s="150" t="s">
        <v>242</v>
      </c>
      <c r="B46" s="160" t="str">
        <f t="shared" si="1"/>
        <v>1210</v>
      </c>
      <c r="C46" s="160" t="str">
        <f>IFERROR(__xludf.DUMMYFUNCTION("IF(A46="""","""",IF(ISERROR(FIND(""arcass"",A46))=FALSE,MID(A46,FIND(""*"",A46)+1,FIND(""*"",A46,FIND(""*"",A46)+1)-FIND(""*"",A46)-1),IF(ISERROR(FIND(""End panel"",A46))=FALSE,RIGHT(A46,3),IF(OR(ISERROR(FIND(""drawer"",A46))=FALSE,ISERROR(FIND(""door"",A"&amp;"46))=FALSE,ISERROR(FIND(""shelf"",A46))=FALSE,ISERROR(FIND(""panel"",A46))=FALSE,ISERROR(FIND(""Plinth"",A46))=FALSE,ISERROR(FIND(""Cornice"",A46))=FALSE,ISERROR(FIND(""Fillers"",A46))=FALSE,ISERROR(FIND(""Pelmet"",A46))=FALSE,ISERROR(FIND(""Fireplace up "&amp;"to 1600"",A46))=FALSE),RIGHT(A46,LEN(A46)-LEN(regexextract(A46,"".* ""))),IF(ISERROR(FIND(""table"",A46))=FALSE,""560"",IF(ISERROR(FIND(""Office pod"",A46))=FALSE,""1600"",IF(ISERROR(FIND(""Fireplace over 1600"",A46))=FALSE,""2400"",IF(ISERROR(FIND(""Work"&amp;"top"",A46))=FALSE,""650"",""Whoops""))))))))"),"1210")</f>
        <v>1210</v>
      </c>
      <c r="D46" s="161" t="str">
        <f t="shared" si="2"/>
        <v>605</v>
      </c>
      <c r="E46" s="152">
        <f>IF(OR(A46="",AND(ISERROR(FIND("drawer",A46))=FALSE,WardrobeDrawerType="")),"",IF(ISERROR(FIND("door",A46))=FALSE,IF(WardrobeDoorStyle="Flat",((B46/1000)*(C46/1000))*VLOOKUP(WardrobeDoorMaterial,SheetsData,8,0),IF(LEFT(WardrobeDoorStyle,5)="Panel",(((((B46/1000)*2)*0.08)+((((C46/1000)-0.16)*2)*0.08))*VLOOKUP("H/F (22mm)",SheetsData,8,0))+(((B46/1000)-0.14)*((C46/1000)-0.14)*VLOOKUP("H/F (9mm)",SheetsData,8,0)),IF(WardrobeDoorStyle="In-frame flat",((((((B46/1000)*0.019)*0.038)+((((C46-38)/1000)*0.038)*0.038))*2)*VLOOKUP("Tulip (solid m3)",SolidData,4,0))+(((B46-76)/1000)*((C46-38)/1000))*VLOOKUP("H/F (22mm)",SheetsData,8,0),IF(LEFT(WardrobeDoorStyle,14)="In-frame panel",(((((((B46/1000)*0.019)*0.038)+((((C46-38)/1000)*0.038)*0.038))*2)*VLOOKUP("Tulip (solid m3)",SolidData,4,0))+(((((((B46-76)/1000)*2)*0.08)+(((((C46-198)/1000)*2)*0.08)))*VLOOKUP("H/F (22mm)",SheetsData,8,0))+(((B46-216)/1000)*((C46-178)/1000)*VLOOKUP("H/F (9mm)",SheetsData,8,0)))))))),IF(AND(ISERROR(FIND("arcass",A46))=FALSE,ISERROR(FIND("ost corner",A46))=TRUE),IF(AND(VALUE(B46)&lt;1211,VALUE(C46)&lt;1211,VALUE(D46)&lt;606),1*VLOOKUP(WardrobeCarcassMaterial,SheetsData,5,FALSE),IF(AND(VALUE(B46)&lt;2421,VALUE(C46)&lt;2421,VALUE(D46)&lt;606),2*VLOOKUP(WardrobeCarcassMaterial,SheetsData,5,FALSE),IF(AND(VALUE(B46)&lt;2421,VALUE(C46)&lt;1211,VALUE(D46)&lt;1211),3*VLOOKUP(WardrobeCarcassMaterial,SheetsData,5,FALSE),IF(AND(VALUE(B46)&lt;2421,VALUE(C46)&lt;2421,VALUE(D46)&lt;1211),4*VLOOKUP(WardrobeCarcassMaterial,SheetsData,5,FALSE))))),IF(AND(ISERROR(FIND("arcass",A46))=FALSE,ISERROR(FIND("ost corner",A46))=FALSE),IF(AND(VALUE(B46)&lt;1211,VALUE(C46)&lt;1211,VALUE(D46)&lt;606),(1*VLOOKUP(WardrobeCarcassMaterial,SheetsData,5,FALSE))+(VLOOKUP("H/F (22mm)",SheetsData,7,FALSE)*1.44),IF(AND(VALUE(B46)&lt;2421,VALUE(C46)&lt;2421,VALUE(D46)&lt;606),(2*VLOOKUP(WardrobeCarcassMaterial,SheetsData,5,FALSE))+(VLOOKUP("H/F (22mm)",SheetsData,7,FALSE)*1.44),IF(AND(VALUE(B46)&lt;2421,VALUE(C46)&lt;1211,VALUE(D46)&lt;1211),(3*VLOOKUP(WardrobeCarcassMaterial,SheetsData,5,FALSE))+(VLOOKUP("H/F (22mm)",SheetsData,7,FALSE)*1.44),IF(AND(VALUE(B46)&lt;2421,VALUE(C46)&lt;2421,VALUE(D46)&lt;1211),(4*VLOOKUP(WardrobeCarcassMaterial,SheetsData,5,FALSE))+(VLOOKUP("H/F (22mm)",SheetsData,7,FALSE)*1.44))))),IF(ISERROR(FIND("drawer front",A46))=FALSE,((B46/1000)*(C46/1000))*VLOOKUP(WardrobeDoorMaterial,SheetsData,8,0),IF(AND(WardrobeDrawerType="Match carcass",ISERROR(FIND("drawer box",A46))=FALSE),(((((B46/1000)*(C46/1000))+((B46/1000)*(D46/1000)))*2)*VLOOKUP(WardrobeCarcassMaterial,SheetsData,8,0))+(((C46/1000)*(D46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box",A46))=FALSE),(((((B46/1000)*(C46/1000))+((B46/1000)*(D46/1000)))*2)*(16/1000)*VLOOKUP(LEFT(WardrobeCarcassMaterial,FIND(" ",WardrobeCarcassMaterial))&amp;"(solid m3)",SolidData,4,0))+(((C46/1000)*(D46/1000))*VLOOKUP(LEFT(WardrobeCarcassMaterial,FIND("(",WardrobeCarcassMaterial)-1)&amp;IF(OR(ISERROR(FIND("ply",WardrobeCarcassMaterial))=FALSE,ISERROR(FIND("H/F",WardrobeCarcassMaterial))=FALSE),"(9mm)","(10mm)"),SheetsData,8,0)),IF(ISERROR(FIND("shelf",A46))=FALSE,((C46/1000)*(D46/1000))*VLOOKUP(WardrobeCarcassMaterial,SheetsData,7,FALSE),IF(ISERROR(FIND("Office pod",A46))=FALSE,3*VLOOKUP(WardrobeCarcassMaterial,SheetsData,5,0),IF(ISERROR(FIND(" panel",A46))=FALSE,((B46/1000)*(C46/1000))*VLOOKUP(WardrobeDoorMaterial,SheetsData,8,0),IF(ISERROR(FIND("Fillers",A46))=FALSE,(((0.06*(C46/1000))*2)*VLOOKUP("H/F (18mm)",SheetsData,8,0))+(((0.06*(C46/1000))*2)*VLOOKUP("H/F (9mm)",SheetsData,8,0)),IF(ISERROR(FIND("Cornice (stacked)",A46))=FALSE,((0.08*(C46/1000))*2)*VLOOKUP("H/F (22mm)",SheetsData,8,0),IF(OR(ISERROR(FIND("Plinth",A46))=FALSE,ISERROR(FIND("Cornice (flat)",A46))=FALSE),((B46/1000)*(C46/1000))*VLOOKUP("H/F (18mm)",SheetsData,8,0),IF(ISERROR(FIND("Pelmet",A46))=FALSE,((((B46/1000)*(C46/1000))*2)*VLOOKUP("H/F (18mm)",SheetsData,8,0)),IF(ISERROR(FIND("Fireplace",A46))=FALSE,IF(ISERROR(FIND("over 1600",A46))=FALSE,2*VLOOKUP(WardrobeCarcassMaterial,SheetsData,5,FALSE),VLOOKUP(WardrobeCarcassMaterial,SheetsData,5,FALSE)),IF(ISERROR(FIND("table",A46))=FALSE,((B46/1000)*0.6)*VLOOKUP("Birch ply (24mm)",SheetsData,7,FALSE),IF(ISERROR(FIND("Worktop",A46))=FALSE,((B46/1000)*(C46/1000))*VLOOKUP(WardrobeDoorMaterial,SheetsData,7,FALSE),"Check formula")))))))))))))))))</f>
        <v>98.95</v>
      </c>
      <c r="F46" s="152">
        <f>IFERROR(__xludf.DUMMYFUNCTION("IF(OR(A46="""",AND(ISERROR(FIND(""drawer box"",A46))=FALSE,WardrobeDrawerType=""Solid dovetail"")),"""",IF(ISERROR(FIND(""bins"",A46))=FALSE,VLOOKUP(""Base carcass 600"",Wardrobes_etcData,6,0),IF(OR(ISERROR(FIND(""larder"",A46))=FALSE,ISERROR(FIND(""unit"&amp;""",A46))=FALSE),VLOOKUP(LEFT(A46,FIND("" "",A46))&amp;""carcass ""&amp;RIGHT(A46,LEN(A46)-len(regexextract(A46,"".* ""))),Wardrobes_etcData,6,0),IF(ISERROR(FIND(""drawer front"",A46))=FALSE,IF(ISERROR(FIND(""veneer"",WardrobeCarcassMaterial))=TRUE,0,(((B46+C46)/1"&amp;"000)*2)*VLOOKUP(""Edge banding (per M)"",SheetsData,5,0)),IF(ISERROR(FIND(""drawer box"",A46))=FALSE,IF(ISERROR(FIND(""veneer"",WardrobeCarcassMaterial))=TRUE,0,(((C46+D46)/1000)*2)*VLOOKUP(""Edge banding (per M)"",SheetsData,5,0)),IF(ISERROR(FIND(""shelf"&amp;""",A46))=FALSE,IF(ISERROR(FIND(""veneer"",WardrobeCarcassMaterial))=TRUE,0,(C46/1000)*VLOOKUP(""Edge banding (per M)"",SheetsData,5,0)),IF(AND(OR(ISERROR(FIND(""arcass"",A46))=FALSE,ISERROR(FIND(""Fireplace"",A46))=FALSE),ISERROR(FIND(""shelf"",A46))=TRUE"&amp;"),IF(ISERROR(FIND(""veneer"",WardrobeCarcassMaterial))=TRUE,0,((2*(B46+C46))/1000)*VLOOKUP(""Edge banding (per M)"",SheetsData,5,0)),IF(ISERROR(FIND(""door"",A46))=TRUE,"""",IF(ISERROR(FIND(""veneer"",WardrobeDoorMaterial))=TRUE,"""",((2*(B46+C46))/1000)*"&amp;"VLOOKUP(""Edge banding (per M)"",SheetsData,5,0))))))))))"),0.0)</f>
        <v>0</v>
      </c>
      <c r="G46" s="153">
        <f>IF(A46="","",IF(AND(ISERROR(FIND("arcass",A46))=TRUE,ISERROR(FIND("Fireplace",A46))=TRUE),"",IF(VALUE(C46)&lt;606,4*VLOOKUP("Plinth foot (2 Parts 80mm)",FurnitureData,5,FALSE),IF(VALUE(C46)&lt;1211,6*VLOOKUP("Plinth foot (2 Parts 80mm)",FurnitureData,5,FALSE),8*VLOOKUP("Plinth foot (2 Parts 80mm)",FurnitureData,5,FALSE)))))</f>
        <v>5.7</v>
      </c>
      <c r="H46" s="115" t="str">
        <f>IF(OR(A46="",ISERROR(FIND("door",A46))=TRUE),"",VLOOKUP("Hinges &amp; plates (Hettich thick door)",FurnitureData,5,0)*5)</f>
        <v/>
      </c>
      <c r="I46" s="115" t="str">
        <f>IF(ISERROR(FIND("shelf",A46))=FALSE,(VLOOKUP("Shelf pegs",FurnitureData,5,0)/100)*4,"")</f>
        <v/>
      </c>
      <c r="J46" s="152" t="str">
        <f>IF(OR(ISERROR(FIND("fridge/freezer",A46))=FALSE,ISERROR(FIND("sink",A46))=FALSE,ISERROR(FIND("larder",A46))=FALSE),VLOOKUP("Deep shelf "&amp;C46,Wardrobes_etcData,18,0),IF(OR(ISERROR(FIND("single oven",A46))=FALSE,ISERROR(FIND("Base carcass",A46))=FALSE),2*VLOOKUP("Deep shelf "&amp;C46,Wardrobes_etcData,18,0),IF(AND(ISERROR(FIND("wall carcass",A46))=FALSE,ISERROR(FIND("Boiler",A46))=TRUE),2*VLOOKUP("Shallow shelf "&amp;C46,Wardrobes_etcData,18,0),IF(ISERROR(FIND("double oven",A46))=FALSE,3*VLOOKUP("Deep shelf "&amp;C46,Wardrobes_etcData,18,0),IF(ISERROR(FIND("Tower carcass",A46))=FALSE,6*VLOOKUP("Deep shelf "&amp;C46,Wardrobes_etcData,18,0),"")))))</f>
        <v/>
      </c>
      <c r="K46" s="152" t="str">
        <f>IF(ISERROR(FIND("sink",A46))=FALSE,VLOOKUP("Sink liner - Aluminium "&amp;RIGHT(A46,LEN(A46)-22)&amp;"mm",ExceptionalData,5,0),IF(ISERROR(FIND("bins",A46))=FALSE,VLOOKUP("Drawer runners and clip set for bin unit (500) Dynapro",FurnitureData,5,0)+(2*VLOOKUP("Bin (42L Anthracite)",FurnitureData,5,0)),IF(ISERROR(FIND("larder",A46))=FALSE,VLOOKUP("Pull out larder unit 600mm",FurnitureData,5,0),IF(AND(ISERROR(FIND("drawer box",A46))=FALSE,ISERROR(FIND("internal",A46))=TRUE),VLOOKUP("Drawer runners and clip set (550) Dynapro",FurnitureData,5,0),IF(ISERROR(FIND("internal drawer box",A46))=FALSE,VLOOKUP("Drawer runners and clip set (450) Dynapro",FurnitureData,5,0),IF(ISERROR(FIND("table",A46))=FALSE,VLOOKUP("Hairpin Leg (12mm Black "&amp;MID(A46,FIND("(",A46)+1,LEN(A46)-(FIND("(",A46))-1)&amp;"mm)",ExceptionalData,4,FALSE),""))))))</f>
        <v/>
      </c>
      <c r="L46" s="152">
        <f t="shared" si="3"/>
        <v>104.65</v>
      </c>
      <c r="M46" s="154">
        <f>IF(A46="","",IF(AND(ISERROR(FIND("drawer front",A46))=FALSE,WardrobeDoorStyle="Flat"),(((B46/1000)*(C46/1000))*2)+((((B46+C46)/1000)*2)*0.022),IF(AND(ISERROR(FIND("drawer front",A46))=FALSE,LEFT(WardrobeDoorStyle,5)="Panel"),(((B46/1000)*(C46/1000))*2)+((((B46+C46)/1000)*2)*0.022)+((((C46/1000)-0.16)*0.013)*2)+((((D46/1000)-0.16)*0.013)*2),IF(AND(ISERROR(FIND("drawer front",A46))=FALSE,WardrobeDoorStyle="In-frame flat"),((((B46-76)/1000)*((C46-38)/1000))*2)+(MID(WardrobeDoorMaterial,FIND("(",WardrobeDoorMaterial)+1,2)/1000)*((((B46-76)+(C46-38))/1000)*2)+(((B46/1000)*0.032)*2)+((((B46-76)/1000)*0.032)*2)+(((B46/1000)*0.019)*4)+(((C46/1000)*0.032)*2)+((((C46-38)/1000)*0.032)*2)+(((C46/1000)*0.038)*4),IF(AND(ISERROR(FIND("drawer front",A46))=FALSE,LEFT(WardrobeDoorStyle,14)="In-frame panel"),((((B46-76)/1000)*((C46-38)/1000))*2)+((MID(WardrobeDoorMaterial,FIND("(",WardrobeDoorMaterial)+1,2)/1000)*((((B46-76)+(C46-38))/1000)*2))+((((B46-236)/1000)+((C46-198)/1000)*2)*0.013)+(((B46/1000)*0.032)*2)+((((B46-76)/1000)*0.032)*2)+(((B46/1000)*0.019)*4)+(((C46/1000)*0.032)*2)+((((C46-38)/1000)*0.032)*2)+(((C46/1000)*0.038)*4),IF(ISERROR(FIND("drawer box",A46))=FALSE,((((B46/1000)*(D46/1000))+((B46/1000)*(C46/1000)))*4)+((((D46/1000)+(C46/1000))*0.016)*4)+(((C46/1000)*(D46/1000))*2),IF(OR(ISERROR(FIND("shelf",A46))=FALSE,ISERROR(FIND("Filler panel",A46))=FALSE),(((C46/1000)*(D46/1000))*2)+((((C46+D46)*2)/1000)*0.022),IF(ISERROR(FIND("Fireplace",A46))=FALSE,((B46/1000)*(C46/1000)),IF(ISERROR(FIND("Worktop",A46))=FALSE,(B46/1000)*(C46/1000),IF(ISERROR(FIND("table",A46))=FALSE,(B46/1000)*0.6,IF(ISERROR(FIND("arcass",A46))=FALSE,(((C46/1000)*(D46/1000))*2)+(((B46/1000)*(D46/1000))*2)+((B46/1000)*(C46/1000))+((((B46/1000)*0.025)+((C46/1000)*0.025))*2),IF(AND(ISERROR(FIND("door",A46))=FALSE,WardrobeDoorStyle="Flat"),(((B46/1000)*(C46/1000))*2)+(MID(WardrobeDoorMaterial,FIND("(",WardrobeDoorMaterial)+1,2)/1000)*(((B46+C46)/1000)*2),IF(AND(ISERROR(FIND("door",A46))=FALSE,LEFT(WardrobeDoorStyle,5)="Panel"),(((B46/1000)*(C46/1000))*2)+((MID(WardrobeDoorMaterial,FIND("(",WardrobeDoorMaterial)+1,2)/1000)*(((B46+C46)/1000)*2))+(((((B46-160)+(C46-160))*2)/1000)*(0.013)),IF(AND(ISERROR(FIND("door",A46))=FALSE,WardrobeDoorStyle="In-frame flat"),((((B46-76)/1000)*((C46-38)/1000))*2)+(MID(WardrobeDoorMaterial,FIND("(",WardrobeDoorMaterial)+1,2)/1000)*((((B46-76)+(C46-38))/1000)*2)+(((B46/1000)*0.032)*2)+((((B46-76)/1000)*0.032)*2)+(((B46/1000)*0.019)*4)+(((C46/1000)*0.032)*2)+((((C46-38)/1000)*0.032)*2)+(((C46/1000)*0.038)*4),IF(AND(ISERROR(FIND("door",A46))=FALSE,LEFT(WardrobeDoorStyle,14)="In-frame panel"),((((B46-76)/1000)*((C46-38)/1000))*2)+((MID(WardrobeDoorMaterial,FIND("(",WardrobeDoorMaterial)+1,2)/1000)*((((B46-76)+(C46-38))/1000)*2))+((((B46-236)/1000)+((C46-198)/1000)*2)*0.013)+(((B46/1000)*0.032)*2)+((((B46-76)/1000)*0.032)*2)+(((B46/1000)*0.019)*4)+(((C46/1000)*0.032)*2)+((((C46-38)/1000)*0.032)*2)+(((C46/1000)*0.038)*4),IF(ISERROR(FIND("Plinth",A46))=FALSE,((B46/1000)*(C46/1000))+(((C46/1000)*0.018)*2)+(((B46/1000)*0.018)*2),IF(ISERROR(FIND("Cornice",A46))=FALSE,(((C46/1000)*0.1)*2)+(((C46/1000)*0.044)*2)+(((B46/1000)*0.08)*2),IF(ISERROR(FIND("Office pod",A46))=FALSE,((2400/1000)*(1200/1000))*6,IF(ISERROR(FIND("panel",A46))=FALSE,((B46/1000)*(C46/1000))+(0.022*((B46/1000)+((C46/1000)*2)))+((B46/1000)*0.05),IF(ISERROR(FIND("Fillers",A46))=FALSE,((C46/1000)*0.06)+((C46/1000)*0.069)+((0.06*0.018)*2)+((0.06*0.009)*2)+((C46/1000)*0.009)+((C46/1000)*0.018),IF(ISERROR(FIND("Pelmet",A46))=FALSE,((C46/1000)*0.05)+((C46/1000)*0.068)+((0.05*0.018)*4)+(((C46/1000)*0.018))*2)))))))))))))))))))))</f>
        <v>4.5133</v>
      </c>
      <c r="N46" s="152">
        <f>IF(M46="","",IF(AND(ISERROR(FIND("carcass",A46))=TRUE,ISERROR(FIND("unit",A46))=TRUE,ISERROR(FIND("insert",A46))=TRUE,ISERROR(FIND("rack",A46))=TRUE,ISERROR(FIND("box",A46))=TRUE,ISERROR(FIND("shelf",A46))=TRUE),VLOOKUP(WardrobeDoorFinish,Finishing!$A$2:$K$10,9,0)*M46,IF(ISERROR(FIND("table",A46))=FALSE,VLOOKUP("Sayerlack AF0072 Interior Clear Self-Sealer",FinishingData,9,FALSE)*M46,VLOOKUP(WardrobeCarcassFinish,Finishing!$A$2:$K$40,9,0)*M46)))</f>
        <v>16.924875</v>
      </c>
      <c r="O46" s="159">
        <v>1.0</v>
      </c>
      <c r="P46" s="159">
        <v>1.0</v>
      </c>
      <c r="Q46" s="152">
        <f>IF(OR(O46="",P46=""),"",((O46*X46)*(VLOOKUP("Workshop",Labour!$A$3:$E$20,4,0)/8))+((P46*AE46)*(VLOOKUP("Finishing",Labour!$A$3:$E$20,4,0)/8)))</f>
        <v>71.75</v>
      </c>
      <c r="R46" s="152">
        <f t="shared" si="4"/>
        <v>193.324875</v>
      </c>
      <c r="S46" s="156">
        <f>IF(OR(O46="",P46=""),"",IF(OR(ISERROR(FIND("carcass",$A46))=FALSE,ISERROR(FIND("unit",$A46))=FALSE),VLOOKUP(WardrobeCarcassMaterial,FixedListsCarcassMaterial,2,0),0))</f>
        <v>1</v>
      </c>
      <c r="T46" s="156">
        <f>IF(OR(O46="",P46=""),"",IF(ISERROR(FIND("door",$A46))=FALSE,VLOOKUP(WardrobeDoorStyle,FixedListsDoorStyle,2,0),0))</f>
        <v>0</v>
      </c>
      <c r="U46" s="156">
        <f>IF(OR(O46="",P46=""),"",IF(ISERROR(FIND("door",$A46))=FALSE,VLOOKUP(WardrobeDoorMaterial,FixedListsDoorMaterial,2,0),0))</f>
        <v>0</v>
      </c>
      <c r="V46" s="156">
        <f>IF(OR(O46="",P46=""),"",IF(ISERROR(FIND("drawer",$A46))=FALSE,VLOOKUP(WardrobeDrawerType,FixedListsDrawerType,2,0),0))</f>
        <v>0</v>
      </c>
      <c r="W46" s="156">
        <f>IF(OR(O46="",P46=""),"",IF(S46&gt;0,VLOOKUP(WardrobeHandleType,FixedListsHandleType,2,FALSE),0))</f>
        <v>1</v>
      </c>
      <c r="X46" s="156">
        <f t="shared" si="5"/>
        <v>1</v>
      </c>
      <c r="Y46" s="156">
        <f>IF(OR(O46="",P46=""),"",IF(OR(ISERROR(FIND("carcass",$A46))=FALSE,ISERROR(FIND("unit",$A46))=FALSE),VLOOKUP(WardrobeCarcassMaterial,FixedListsCarcassMaterial,3,0),0))</f>
        <v>1</v>
      </c>
      <c r="Z46" s="156">
        <f>IF(OR(O46="",P46=""),"",IF(ISERROR(FIND("door",$A46))=FALSE,VLOOKUP(WardrobeDoorStyle,FixedListsDoorStyle,3,0),0))</f>
        <v>0</v>
      </c>
      <c r="AA46" s="156">
        <f>IF(OR(O46="",P46=""),"",IF(ISERROR(FIND("door",$A46))=FALSE,VLOOKUP(WardrobeDoorMaterial,FixedListsDoorMaterial,3,0),0))</f>
        <v>0</v>
      </c>
      <c r="AB46" s="156">
        <f>IF(OR(O46="",P46=""),"",IF(ISERROR(FIND("drawer",$A46))=FALSE,VLOOKUP(WardrobeDrawerType,FixedListsDrawerType,3,0),0))</f>
        <v>0</v>
      </c>
      <c r="AC46" s="156">
        <f>IF(OR(O46="",P46=""),"",IF(S46&gt;0,VLOOKUP(WardrobeHandleType,FixedListsHandleType,3,FALSE),0))</f>
        <v>1</v>
      </c>
      <c r="AD46" s="156">
        <f>IF(OR(O46="",P46=""),"",IF(OR(ISERROR(FIND("carcass",$A46))=FALSE,ISERROR(FIND("unit",$A46))=FALSE),VLOOKUP(WardrobeCarcassFinish,FixedListsFinishes,3,0),IF(OR(ISERROR(FIND("door",$A46))=FALSE,ISERROR(FIND("Plinth",$A46))=FALSE,ISERROR(FIND("Cornice",$A46))=FALSE,ISERROR(FIND("Fillers",$A46))=FALSE,ISERROR(FIND("Pelmet",$A46))=FALSE,ISERROR(FIND("panel",$A46))=FALSE,ISERROR(FIND("post",$A46))=FALSE),VLOOKUP(WardrobeDoorFinish,FixedListsFinishes,3,0),IF(OR(ISERROR(FIND("drawer",$A46))=FALSE,ISERROR(FIND("insert",$A46))=FALSE,ISERROR(FIND("rck",$A46))=FALSE),VLOOKUP(WardrobeCarcassFinish,FixedListsFinishes,3,0),0))))</f>
        <v>1</v>
      </c>
      <c r="AE46" s="156">
        <f t="shared" si="6"/>
        <v>1</v>
      </c>
      <c r="AF46" s="157" t="str">
        <f>IF(AND(WardrobeHandleType="Channel",OR(ISERROR(FIND("arcass",$A46))=FALSE,ISERROR(FIND("unit",$A46))=FALSE)),IF(ISERROR(FIND("Tower",$A46))=TRUE,IF(WardrobeHandleFinish="Match carcass",IF(ISERROR(FIND("Walnut",WardrobeCarcassMaterial))=FALSE,(0.035*0.075*($C46/1000))*VLOOKUP("Walnut (solid m3)",SolidData,4,FALSE),IF(ISERROR(FIND("Oak",WardrobeCarcassMaterial))=FALSE,(0.035*0.075*($C46/1000))*VLOOKUP("Oak (solid m3)",SolidData,4,FALSE),IF(ISERROR(FIND("ply",WardrobeCarcassMaterial))=FALSE,(0.1*($C46/1000))*VLOOKUP("Birch ply (24mm)",SheetsData,7,FALSE),IF(ISERROR(FIND("H/F",WardrobeCarcassMaterial))=FALSE,(0.1*($C46/1000))*VLOOKUP("H/F (22mm)",SheetsData,7,FALSE),"Carcass - not tower - new material")))),IF(WardrobeHandleFinish="Match door",IF(ISERROR(FIND("Walnut",WardrobeDoorMaterial))=FALSE,(0.035*0.075*($C46/1000))*VLOOKUP("Walnut (solid m3)",SolidData,4,FALSE),IF(ISERROR(FIND("Oak",WardrobeDoorMaterial))=FALSE,(0.035*0.075*($C46/1000))*VLOOKUP("Oak (solid m3)",SolidData,4,FALSE),IF(ISERROR(FIND("ply",WardrobeDoorMaterial))=FALSE,(0.1*($C46/1000))*VLOOKUP("Birch ply (24mm)",SheetsData,7,FALSE),IF(ISERROR(FIND("H/F",WardrobeCarcassMaterial))=FALSE,(0.1*($C46/1000))*VLOOKUP("H/F (22mm)",SheetsData,7,FALSE),"Door - not tower - new material")))),"Channel - not tower - handle set to other")),IF(ISERROR(FIND("Tower",$A46))=FALSE,IF(WardrobeHandleFinish="Match carcass",IF(ISERROR(FIND("Walnut",WardrobeCarcassMaterial))=FALSE,(0.035*0.075*($B46/1000))*VLOOKUP("Walnut (solid m3)",SolidData,4,FALSE),IF(ISERROR(FIND("Oak",WardrobeCarcassMaterial))=FALSE,(0.035*0.075*($B46/1000))*VLOOKUP("Oak (solid m3)",SolidData,4,FALSE),IF(ISERROR(FIND("ply",WardrobeCarcassMaterial))=FALSE,(0.1*($B46/1000))*VLOOKUP("Birch ply (24mm)",SheetsData,7,FALSE),IF(ISERROR(FIND("H/F",WardrobeCarcassMaterial))=FALSE,(0.1*($C46/1000))*VLOOKUP("H/F (22mm)",SheetsData,7,FALSE),"Carcass - tower - new material")))),IF(WardrobeHandleFinish="Match door",IF(ISERROR(FIND("Walnut",WardrobeDoorMaterial))=FALSE,(0.035*0.075*($B46/1000))*VLOOKUP("Walnut (solid m3)",SolidData,4,FALSE),IF(ISERROR(FIND("Oak",WardrobeDoorMaterial))=FALSE,(0.035*0.075*($B46/1000))*VLOOKUP("Oak (solid m3)",SolidData,4,FALSE),IF(ISERROR(FIND("ply",WardrobeDoorMaterial))=FALSE,(0.1*($B46/1000))*VLOOKUP("Birch ply (24mm)",SheetData,7,FALSE),IF(ISERROR(FIND("H/F",WardrobeCarcassMaterial))=FALSE,(0.1*($C46/1000))*VLOOKUP("H/F (22mm)",SheetsData,7,FALSE),"Door - tower - new material")))),"Channel - tower - handle set to other")))),"")</f>
        <v/>
      </c>
    </row>
    <row r="47">
      <c r="A47" s="150" t="s">
        <v>210</v>
      </c>
      <c r="B47" s="160" t="str">
        <f t="shared" si="1"/>
        <v>80</v>
      </c>
      <c r="C47" s="160" t="str">
        <f>IFERROR(__xludf.DUMMYFUNCTION("IF(A47="""","""",IF(ISERROR(FIND(""arcass"",A47))=FALSE,MID(A47,FIND(""*"",A47)+1,FIND(""*"",A47,FIND(""*"",A47)+1)-FIND(""*"",A47)-1),IF(ISERROR(FIND(""End panel"",A47))=FALSE,RIGHT(A47,3),IF(OR(ISERROR(FIND(""drawer"",A47))=FALSE,ISERROR(FIND(""door"",A"&amp;"47))=FALSE,ISERROR(FIND(""shelf"",A47))=FALSE,ISERROR(FIND(""panel"",A47))=FALSE,ISERROR(FIND(""Plinth"",A47))=FALSE,ISERROR(FIND(""Cornice"",A47))=FALSE,ISERROR(FIND(""Fillers"",A47))=FALSE,ISERROR(FIND(""Pelmet"",A47))=FALSE,ISERROR(FIND(""Fireplace up "&amp;"to 1600"",A47))=FALSE),RIGHT(A47,LEN(A47)-LEN(regexextract(A47,"".* ""))),IF(ISERROR(FIND(""table"",A47))=FALSE,""560"",IF(ISERROR(FIND(""Office pod"",A47))=FALSE,""1600"",IF(ISERROR(FIND(""Fireplace over 1600"",A47))=FALSE,""2400"",IF(ISERROR(FIND(""Work"&amp;"top"",A47))=FALSE,""650"",""Whoops""))))))))"),"2400")</f>
        <v>2400</v>
      </c>
      <c r="D47" s="161" t="str">
        <f t="shared" si="2"/>
        <v/>
      </c>
      <c r="E47" s="152">
        <f>IF(OR(A47="",AND(ISERROR(FIND("drawer",A47))=FALSE,WardrobeDrawerType="")),"",IF(ISERROR(FIND("door",A47))=FALSE,IF(WardrobeDoorStyle="Flat",((B47/1000)*(C47/1000))*VLOOKUP(WardrobeDoorMaterial,SheetsData,8,0),IF(LEFT(WardrobeDoorStyle,5)="Panel",(((((B47/1000)*2)*0.08)+((((C47/1000)-0.16)*2)*0.08))*VLOOKUP("H/F (22mm)",SheetsData,8,0))+(((B47/1000)-0.14)*((C47/1000)-0.14)*VLOOKUP("H/F (9mm)",SheetsData,8,0)),IF(WardrobeDoorStyle="In-frame flat",((((((B47/1000)*0.019)*0.038)+((((C47-38)/1000)*0.038)*0.038))*2)*VLOOKUP("Tulip (solid m3)",SolidData,4,0))+(((B47-76)/1000)*((C47-38)/1000))*VLOOKUP("H/F (22mm)",SheetsData,8,0),IF(LEFT(WardrobeDoorStyle,14)="In-frame panel",(((((((B47/1000)*0.019)*0.038)+((((C47-38)/1000)*0.038)*0.038))*2)*VLOOKUP("Tulip (solid m3)",SolidData,4,0))+(((((((B47-76)/1000)*2)*0.08)+(((((C47-198)/1000)*2)*0.08)))*VLOOKUP("H/F (22mm)",SheetsData,8,0))+(((B47-216)/1000)*((C47-178)/1000)*VLOOKUP("H/F (9mm)",SheetsData,8,0)))))))),IF(AND(ISERROR(FIND("arcass",A47))=FALSE,ISERROR(FIND("ost corner",A47))=TRUE),IF(AND(VALUE(B47)&lt;1211,VALUE(C47)&lt;1211,VALUE(D47)&lt;606),1*VLOOKUP(WardrobeCarcassMaterial,SheetsData,5,FALSE),IF(AND(VALUE(B47)&lt;2421,VALUE(C47)&lt;2421,VALUE(D47)&lt;606),2*VLOOKUP(WardrobeCarcassMaterial,SheetsData,5,FALSE),IF(AND(VALUE(B47)&lt;2421,VALUE(C47)&lt;1211,VALUE(D47)&lt;1211),3*VLOOKUP(WardrobeCarcassMaterial,SheetsData,5,FALSE),IF(AND(VALUE(B47)&lt;2421,VALUE(C47)&lt;2421,VALUE(D47)&lt;1211),4*VLOOKUP(WardrobeCarcassMaterial,SheetsData,5,FALSE))))),IF(AND(ISERROR(FIND("arcass",A47))=FALSE,ISERROR(FIND("ost corner",A47))=FALSE),IF(AND(VALUE(B47)&lt;1211,VALUE(C47)&lt;1211,VALUE(D47)&lt;606),(1*VLOOKUP(WardrobeCarcassMaterial,SheetsData,5,FALSE))+(VLOOKUP("H/F (22mm)",SheetsData,7,FALSE)*1.44),IF(AND(VALUE(B47)&lt;2421,VALUE(C47)&lt;2421,VALUE(D47)&lt;606),(2*VLOOKUP(WardrobeCarcassMaterial,SheetsData,5,FALSE))+(VLOOKUP("H/F (22mm)",SheetsData,7,FALSE)*1.44),IF(AND(VALUE(B47)&lt;2421,VALUE(C47)&lt;1211,VALUE(D47)&lt;1211),(3*VLOOKUP(WardrobeCarcassMaterial,SheetsData,5,FALSE))+(VLOOKUP("H/F (22mm)",SheetsData,7,FALSE)*1.44),IF(AND(VALUE(B47)&lt;2421,VALUE(C47)&lt;2421,VALUE(D47)&lt;1211),(4*VLOOKUP(WardrobeCarcassMaterial,SheetsData,5,FALSE))+(VLOOKUP("H/F (22mm)",SheetsData,7,FALSE)*1.44))))),IF(ISERROR(FIND("drawer front",A47))=FALSE,((B47/1000)*(C47/1000))*VLOOKUP(WardrobeDoorMaterial,SheetsData,8,0),IF(AND(WardrobeDrawerType="Match carcass",ISERROR(FIND("drawer box",A47))=FALSE),(((((B47/1000)*(C47/1000))+((B47/1000)*(D47/1000)))*2)*VLOOKUP(WardrobeCarcassMaterial,SheetsData,8,0))+(((C47/1000)*(D47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box",A47))=FALSE),(((((B47/1000)*(C47/1000))+((B47/1000)*(D47/1000)))*2)*(16/1000)*VLOOKUP(LEFT(WardrobeCarcassMaterial,FIND(" ",WardrobeCarcassMaterial))&amp;"(solid m3)",SolidData,4,0))+(((C47/1000)*(D47/1000))*VLOOKUP(LEFT(WardrobeCarcassMaterial,FIND("(",WardrobeCarcassMaterial)-1)&amp;IF(OR(ISERROR(FIND("ply",WardrobeCarcassMaterial))=FALSE,ISERROR(FIND("H/F",WardrobeCarcassMaterial))=FALSE),"(9mm)","(10mm)"),SheetsData,8,0)),IF(ISERROR(FIND("shelf",A47))=FALSE,((C47/1000)*(D47/1000))*VLOOKUP(WardrobeCarcassMaterial,SheetsData,7,FALSE),IF(ISERROR(FIND("Office pod",A47))=FALSE,3*VLOOKUP(WardrobeCarcassMaterial,SheetsData,5,0),IF(ISERROR(FIND(" panel",A47))=FALSE,((B47/1000)*(C47/1000))*VLOOKUP(WardrobeDoorMaterial,SheetsData,8,0),IF(ISERROR(FIND("Fillers",A47))=FALSE,(((0.06*(C47/1000))*2)*VLOOKUP("H/F (18mm)",SheetsData,8,0))+(((0.06*(C47/1000))*2)*VLOOKUP("H/F (9mm)",SheetsData,8,0)),IF(ISERROR(FIND("Cornice (stacked)",A47))=FALSE,((0.08*(C47/1000))*2)*VLOOKUP("H/F (22mm)",SheetsData,8,0),IF(OR(ISERROR(FIND("Plinth",A47))=FALSE,ISERROR(FIND("Cornice (flat)",A47))=FALSE),((B47/1000)*(C47/1000))*VLOOKUP("H/F (18mm)",SheetsData,8,0),IF(ISERROR(FIND("Pelmet",A47))=FALSE,((((B47/1000)*(C47/1000))*2)*VLOOKUP("H/F (18mm)",SheetsData,8,0)),IF(ISERROR(FIND("Fireplace",A47))=FALSE,IF(ISERROR(FIND("over 1600",A47))=FALSE,2*VLOOKUP(WardrobeCarcassMaterial,SheetsData,5,FALSE),VLOOKUP(WardrobeCarcassMaterial,SheetsData,5,FALSE)),IF(ISERROR(FIND("table",A47))=FALSE,((B47/1000)*0.6)*VLOOKUP("Birch ply (24mm)",SheetsData,7,FALSE),IF(ISERROR(FIND("Worktop",A47))=FALSE,((B47/1000)*(C47/1000))*VLOOKUP(WardrobeDoorMaterial,SheetsData,7,FALSE),"Check formula")))))))))))))))))</f>
        <v>7.10615426</v>
      </c>
      <c r="F47" s="152" t="str">
        <f>IFERROR(__xludf.DUMMYFUNCTION("IF(OR(A47="""",AND(ISERROR(FIND(""drawer box"",A47))=FALSE,WardrobeDrawerType=""Solid dovetail"")),"""",IF(ISERROR(FIND(""bins"",A47))=FALSE,VLOOKUP(""Base carcass 600"",Wardrobes_etcData,6,0),IF(OR(ISERROR(FIND(""larder"",A47))=FALSE,ISERROR(FIND(""unit"&amp;""",A47))=FALSE),VLOOKUP(LEFT(A47,FIND("" "",A47))&amp;""carcass ""&amp;RIGHT(A47,LEN(A47)-len(regexextract(A47,"".* ""))),Wardrobes_etcData,6,0),IF(ISERROR(FIND(""drawer front"",A47))=FALSE,IF(ISERROR(FIND(""veneer"",WardrobeCarcassMaterial))=TRUE,0,(((B47+C47)/1"&amp;"000)*2)*VLOOKUP(""Edge banding (per M)"",SheetsData,5,0)),IF(ISERROR(FIND(""drawer box"",A47))=FALSE,IF(ISERROR(FIND(""veneer"",WardrobeCarcassMaterial))=TRUE,0,(((C47+D47)/1000)*2)*VLOOKUP(""Edge banding (per M)"",SheetsData,5,0)),IF(ISERROR(FIND(""shelf"&amp;""",A47))=FALSE,IF(ISERROR(FIND(""veneer"",WardrobeCarcassMaterial))=TRUE,0,(C47/1000)*VLOOKUP(""Edge banding (per M)"",SheetsData,5,0)),IF(AND(OR(ISERROR(FIND(""arcass"",A47))=FALSE,ISERROR(FIND(""Fireplace"",A47))=FALSE),ISERROR(FIND(""shelf"",A47))=TRUE"&amp;"),IF(ISERROR(FIND(""veneer"",WardrobeCarcassMaterial))=TRUE,0,((2*(B47+C47))/1000)*VLOOKUP(""Edge banding (per M)"",SheetsData,5,0)),IF(ISERROR(FIND(""door"",A47))=TRUE,"""",IF(ISERROR(FIND(""veneer"",WardrobeDoorMaterial))=TRUE,"""",((2*(B47+C47))/1000)*"&amp;"VLOOKUP(""Edge banding (per M)"",SheetsData,5,0))))))))))"),"")</f>
        <v/>
      </c>
      <c r="G47" s="153" t="str">
        <f>IF(A47="","",IF(AND(ISERROR(FIND("arcass",A47))=TRUE,ISERROR(FIND("Fireplace",A47))=TRUE),"",IF(VALUE(C47)&lt;606,4*VLOOKUP("Plinth foot (2 Parts 80mm)",FurnitureData,5,FALSE),IF(VALUE(C47)&lt;1211,6*VLOOKUP("Plinth foot (2 Parts 80mm)",FurnitureData,5,FALSE),8*VLOOKUP("Plinth foot (2 Parts 80mm)",FurnitureData,5,FALSE)))))</f>
        <v/>
      </c>
      <c r="H47" s="115" t="str">
        <f>IF(OR(A47="",ISERROR(FIND("door",A47))=TRUE),"",VLOOKUP("Hinges &amp; plates (Hettich thick door)",FurnitureData,5,0)*5)</f>
        <v/>
      </c>
      <c r="I47" s="115" t="str">
        <f>IF(ISERROR(FIND("shelf",A47))=FALSE,(VLOOKUP("Shelf pegs",FurnitureData,5,0)/100)*4,"")</f>
        <v/>
      </c>
      <c r="J47" s="152" t="str">
        <f>IF(OR(ISERROR(FIND("fridge/freezer",A47))=FALSE,ISERROR(FIND("sink",A47))=FALSE,ISERROR(FIND("larder",A47))=FALSE),VLOOKUP("Deep shelf "&amp;C47,Wardrobes_etcData,18,0),IF(OR(ISERROR(FIND("single oven",A47))=FALSE,ISERROR(FIND("Base carcass",A47))=FALSE),2*VLOOKUP("Deep shelf "&amp;C47,Wardrobes_etcData,18,0),IF(AND(ISERROR(FIND("wall carcass",A47))=FALSE,ISERROR(FIND("Boiler",A47))=TRUE),2*VLOOKUP("Shallow shelf "&amp;C47,Wardrobes_etcData,18,0),IF(ISERROR(FIND("double oven",A47))=FALSE,3*VLOOKUP("Deep shelf "&amp;C47,Wardrobes_etcData,18,0),IF(ISERROR(FIND("Tower carcass",A47))=FALSE,6*VLOOKUP("Deep shelf "&amp;C47,Wardrobes_etcData,18,0),"")))))</f>
        <v/>
      </c>
      <c r="K47" s="152" t="str">
        <f>IF(ISERROR(FIND("sink",A47))=FALSE,VLOOKUP("Sink liner - Aluminium "&amp;RIGHT(A47,LEN(A47)-22)&amp;"mm",ExceptionalData,5,0),IF(ISERROR(FIND("bins",A47))=FALSE,VLOOKUP("Drawer runners and clip set for bin unit (500) Dynapro",FurnitureData,5,0)+(2*VLOOKUP("Bin (42L Anthracite)",FurnitureData,5,0)),IF(ISERROR(FIND("larder",A47))=FALSE,VLOOKUP("Pull out larder unit 600mm",FurnitureData,5,0),IF(AND(ISERROR(FIND("drawer box",A47))=FALSE,ISERROR(FIND("internal",A47))=TRUE),VLOOKUP("Drawer runners and clip set (550) Dynapro",FurnitureData,5,0),IF(ISERROR(FIND("internal drawer box",A47))=FALSE,VLOOKUP("Drawer runners and clip set (450) Dynapro",FurnitureData,5,0),IF(ISERROR(FIND("table",A47))=FALSE,VLOOKUP("Hairpin Leg (12mm Black "&amp;MID(A47,FIND("(",A47)+1,LEN(A47)-(FIND("(",A47))-1)&amp;"mm)",ExceptionalData,4,FALSE),""))))))</f>
        <v/>
      </c>
      <c r="L47" s="152">
        <f t="shared" si="3"/>
        <v>7.10615426</v>
      </c>
      <c r="M47" s="154">
        <f>IF(A47="","",IF(AND(ISERROR(FIND("drawer front",A47))=FALSE,WardrobeDoorStyle="Flat"),(((B47/1000)*(C47/1000))*2)+((((B47+C47)/1000)*2)*0.022),IF(AND(ISERROR(FIND("drawer front",A47))=FALSE,LEFT(WardrobeDoorStyle,5)="Panel"),(((B47/1000)*(C47/1000))*2)+((((B47+C47)/1000)*2)*0.022)+((((C47/1000)-0.16)*0.013)*2)+((((D47/1000)-0.16)*0.013)*2),IF(AND(ISERROR(FIND("drawer front",A47))=FALSE,WardrobeDoorStyle="In-frame flat"),((((B47-76)/1000)*((C47-38)/1000))*2)+(MID(WardrobeDoorMaterial,FIND("(",WardrobeDoorMaterial)+1,2)/1000)*((((B47-76)+(C47-38))/1000)*2)+(((B47/1000)*0.032)*2)+((((B47-76)/1000)*0.032)*2)+(((B47/1000)*0.019)*4)+(((C47/1000)*0.032)*2)+((((C47-38)/1000)*0.032)*2)+(((C47/1000)*0.038)*4),IF(AND(ISERROR(FIND("drawer front",A47))=FALSE,LEFT(WardrobeDoorStyle,14)="In-frame panel"),((((B47-76)/1000)*((C47-38)/1000))*2)+((MID(WardrobeDoorMaterial,FIND("(",WardrobeDoorMaterial)+1,2)/1000)*((((B47-76)+(C47-38))/1000)*2))+((((B47-236)/1000)+((C47-198)/1000)*2)*0.013)+(((B47/1000)*0.032)*2)+((((B47-76)/1000)*0.032)*2)+(((B47/1000)*0.019)*4)+(((C47/1000)*0.032)*2)+((((C47-38)/1000)*0.032)*2)+(((C47/1000)*0.038)*4),IF(ISERROR(FIND("drawer box",A47))=FALSE,((((B47/1000)*(D47/1000))+((B47/1000)*(C47/1000)))*4)+((((D47/1000)+(C47/1000))*0.016)*4)+(((C47/1000)*(D47/1000))*2),IF(OR(ISERROR(FIND("shelf",A47))=FALSE,ISERROR(FIND("Filler panel",A47))=FALSE),(((C47/1000)*(D47/1000))*2)+((((C47+D47)*2)/1000)*0.022),IF(ISERROR(FIND("Fireplace",A47))=FALSE,((B47/1000)*(C47/1000)),IF(ISERROR(FIND("Worktop",A47))=FALSE,(B47/1000)*(C47/1000),IF(ISERROR(FIND("table",A47))=FALSE,(B47/1000)*0.6,IF(ISERROR(FIND("arcass",A47))=FALSE,(((C47/1000)*(D47/1000))*2)+(((B47/1000)*(D47/1000))*2)+((B47/1000)*(C47/1000))+((((B47/1000)*0.025)+((C47/1000)*0.025))*2),IF(AND(ISERROR(FIND("door",A47))=FALSE,WardrobeDoorStyle="Flat"),(((B47/1000)*(C47/1000))*2)+(MID(WardrobeDoorMaterial,FIND("(",WardrobeDoorMaterial)+1,2)/1000)*(((B47+C47)/1000)*2),IF(AND(ISERROR(FIND("door",A47))=FALSE,LEFT(WardrobeDoorStyle,5)="Panel"),(((B47/1000)*(C47/1000))*2)+((MID(WardrobeDoorMaterial,FIND("(",WardrobeDoorMaterial)+1,2)/1000)*(((B47+C47)/1000)*2))+(((((B47-160)+(C47-160))*2)/1000)*(0.013)),IF(AND(ISERROR(FIND("door",A47))=FALSE,WardrobeDoorStyle="In-frame flat"),((((B47-76)/1000)*((C47-38)/1000))*2)+(MID(WardrobeDoorMaterial,FIND("(",WardrobeDoorMaterial)+1,2)/1000)*((((B47-76)+(C47-38))/1000)*2)+(((B47/1000)*0.032)*2)+((((B47-76)/1000)*0.032)*2)+(((B47/1000)*0.019)*4)+(((C47/1000)*0.032)*2)+((((C47-38)/1000)*0.032)*2)+(((C47/1000)*0.038)*4),IF(AND(ISERROR(FIND("door",A47))=FALSE,LEFT(WardrobeDoorStyle,14)="In-frame panel"),((((B47-76)/1000)*((C47-38)/1000))*2)+((MID(WardrobeDoorMaterial,FIND("(",WardrobeDoorMaterial)+1,2)/1000)*((((B47-76)+(C47-38))/1000)*2))+((((B47-236)/1000)+((C47-198)/1000)*2)*0.013)+(((B47/1000)*0.032)*2)+((((B47-76)/1000)*0.032)*2)+(((B47/1000)*0.019)*4)+(((C47/1000)*0.032)*2)+((((C47-38)/1000)*0.032)*2)+(((C47/1000)*0.038)*4),IF(ISERROR(FIND("Plinth",A47))=FALSE,((B47/1000)*(C47/1000))+(((C47/1000)*0.018)*2)+(((B47/1000)*0.018)*2),IF(ISERROR(FIND("Cornice",A47))=FALSE,(((C47/1000)*0.1)*2)+(((C47/1000)*0.044)*2)+(((B47/1000)*0.08)*2),IF(ISERROR(FIND("Office pod",A47))=FALSE,((2400/1000)*(1200/1000))*6,IF(ISERROR(FIND("panel",A47))=FALSE,((B47/1000)*(C47/1000))+(0.022*((B47/1000)+((C47/1000)*2)))+((B47/1000)*0.05),IF(ISERROR(FIND("Fillers",A47))=FALSE,((C47/1000)*0.06)+((C47/1000)*0.069)+((0.06*0.018)*2)+((0.06*0.009)*2)+((C47/1000)*0.009)+((C47/1000)*0.018),IF(ISERROR(FIND("Pelmet",A47))=FALSE,((C47/1000)*0.05)+((C47/1000)*0.068)+((0.05*0.018)*4)+(((C47/1000)*0.018))*2)))))))))))))))))))))</f>
        <v>0.37764</v>
      </c>
      <c r="N47" s="152">
        <f>IF(M47="","",IF(AND(ISERROR(FIND("carcass",A47))=TRUE,ISERROR(FIND("unit",A47))=TRUE,ISERROR(FIND("insert",A47))=TRUE,ISERROR(FIND("rack",A47))=TRUE,ISERROR(FIND("box",A47))=TRUE,ISERROR(FIND("shelf",A47))=TRUE),VLOOKUP(WardrobeDoorFinish,Finishing!$A$2:$K$10,9,0)*M47,IF(ISERROR(FIND("table",A47))=FALSE,VLOOKUP("Sayerlack AF0072 Interior Clear Self-Sealer",FinishingData,9,FALSE)*M47,VLOOKUP(WardrobeCarcassFinish,Finishing!$A$2:$K$40,9,0)*M47)))</f>
        <v>2.8323</v>
      </c>
      <c r="O47" s="159">
        <v>1.0</v>
      </c>
      <c r="P47" s="159">
        <v>1.0</v>
      </c>
      <c r="Q47" s="152">
        <f>IF(OR(O47="",P47=""),"",((O47*X47)*(VLOOKUP("Workshop",Labour!$A$3:$E$20,4,0)/8))+((P47*AE47)*(VLOOKUP("Finishing",Labour!$A$3:$E$20,4,0)/8)))</f>
        <v>99.75</v>
      </c>
      <c r="R47" s="152">
        <f t="shared" si="4"/>
        <v>109.6884543</v>
      </c>
      <c r="S47" s="156">
        <f>IF(OR(O47="",P47=""),"",IF(OR(ISERROR(FIND("carcass",$A47))=FALSE,ISERROR(FIND("unit",$A47))=FALSE),VLOOKUP(WardrobeCarcassMaterial,FixedListsCarcassMaterial,2,0),0))</f>
        <v>0</v>
      </c>
      <c r="T47" s="156">
        <f>IF(OR(O47="",P47=""),"",IF(ISERROR(FIND("door",$A47))=FALSE,VLOOKUP(WardrobeDoorStyle,FixedListsDoorStyle,2,0),0))</f>
        <v>0</v>
      </c>
      <c r="U47" s="156">
        <f>IF(OR(O47="",P47=""),"",IF(ISERROR(FIND("door",$A47))=FALSE,VLOOKUP(WardrobeDoorMaterial,FixedListsDoorMaterial,2,0),0))</f>
        <v>0</v>
      </c>
      <c r="V47" s="156">
        <f>IF(OR(O47="",P47=""),"",IF(ISERROR(FIND("drawer",$A47))=FALSE,VLOOKUP(WardrobeDrawerType,FixedListsDrawerType,2,0),0))</f>
        <v>0</v>
      </c>
      <c r="W47" s="156">
        <f>IF(OR(O47="",P47=""),"",IF(S47&gt;0,VLOOKUP(WardrobeHandleType,FixedListsHandleType,2,FALSE),0))</f>
        <v>0</v>
      </c>
      <c r="X47" s="156">
        <f t="shared" si="5"/>
        <v>1</v>
      </c>
      <c r="Y47" s="156">
        <f>IF(OR(O47="",P47=""),"",IF(OR(ISERROR(FIND("carcass",$A47))=FALSE,ISERROR(FIND("unit",$A47))=FALSE),VLOOKUP(WardrobeCarcassMaterial,FixedListsCarcassMaterial,3,0),0))</f>
        <v>0</v>
      </c>
      <c r="Z47" s="156">
        <f>IF(OR(O47="",P47=""),"",IF(ISERROR(FIND("door",$A47))=FALSE,VLOOKUP(WardrobeDoorStyle,FixedListsDoorStyle,3,0),0))</f>
        <v>0</v>
      </c>
      <c r="AA47" s="156">
        <f>IF(OR(O47="",P47=""),"",IF(ISERROR(FIND("door",$A47))=FALSE,VLOOKUP(WardrobeDoorMaterial,FixedListsDoorMaterial,3,0),0))</f>
        <v>0</v>
      </c>
      <c r="AB47" s="156">
        <f>IF(OR(O47="",P47=""),"",IF(ISERROR(FIND("drawer",$A47))=FALSE,VLOOKUP(WardrobeDrawerType,FixedListsDrawerType,3,0),0))</f>
        <v>0</v>
      </c>
      <c r="AC47" s="156">
        <f>IF(OR(O47="",P47=""),"",IF(S47&gt;0,VLOOKUP(WardrobeHandleType,FixedListsHandleType,3,FALSE),0))</f>
        <v>0</v>
      </c>
      <c r="AD47" s="156">
        <f>IF(OR(O47="",P47=""),"",IF(OR(ISERROR(FIND("carcass",$A47))=FALSE,ISERROR(FIND("unit",$A47))=FALSE),VLOOKUP(WardrobeCarcassFinish,FixedListsFinishes,3,0),IF(OR(ISERROR(FIND("door",$A47))=FALSE,ISERROR(FIND("Plinth",$A47))=FALSE,ISERROR(FIND("Cornice",$A47))=FALSE,ISERROR(FIND("Fillers",$A47))=FALSE,ISERROR(FIND("Pelmet",$A47))=FALSE,ISERROR(FIND("panel",$A47))=FALSE,ISERROR(FIND("post",$A47))=FALSE),VLOOKUP(WardrobeDoorFinish,FixedListsFinishes,3,0),IF(OR(ISERROR(FIND("drawer",$A47))=FALSE,ISERROR(FIND("insert",$A47))=FALSE,ISERROR(FIND("rck",$A47))=FALSE),VLOOKUP(WardrobeCarcassFinish,FixedListsFinishes,3,0),0))))</f>
        <v>2</v>
      </c>
      <c r="AE47" s="156">
        <f t="shared" si="6"/>
        <v>2</v>
      </c>
      <c r="AF47" s="157" t="str">
        <f>IF(AND(WardrobeHandleType="Channel",OR(ISERROR(FIND("arcass",$A47))=FALSE,ISERROR(FIND("unit",$A47))=FALSE)),IF(ISERROR(FIND("Tower",$A47))=TRUE,IF(WardrobeHandleFinish="Match carcass",IF(ISERROR(FIND("Walnut",WardrobeCarcassMaterial))=FALSE,(0.035*0.075*($C47/1000))*VLOOKUP("Walnut (solid m3)",SolidData,4,FALSE),IF(ISERROR(FIND("Oak",WardrobeCarcassMaterial))=FALSE,(0.035*0.075*($C47/1000))*VLOOKUP("Oak (solid m3)",SolidData,4,FALSE),IF(ISERROR(FIND("ply",WardrobeCarcassMaterial))=FALSE,(0.1*($C47/1000))*VLOOKUP("Birch ply (24mm)",SheetsData,7,FALSE),IF(ISERROR(FIND("H/F",WardrobeCarcassMaterial))=FALSE,(0.1*($C47/1000))*VLOOKUP("H/F (22mm)",SheetsData,7,FALSE),"Carcass - not tower - new material")))),IF(WardrobeHandleFinish="Match door",IF(ISERROR(FIND("Walnut",WardrobeDoorMaterial))=FALSE,(0.035*0.075*($C47/1000))*VLOOKUP("Walnut (solid m3)",SolidData,4,FALSE),IF(ISERROR(FIND("Oak",WardrobeDoorMaterial))=FALSE,(0.035*0.075*($C47/1000))*VLOOKUP("Oak (solid m3)",SolidData,4,FALSE),IF(ISERROR(FIND("ply",WardrobeDoorMaterial))=FALSE,(0.1*($C47/1000))*VLOOKUP("Birch ply (24mm)",SheetsData,7,FALSE),IF(ISERROR(FIND("H/F",WardrobeCarcassMaterial))=FALSE,(0.1*($C47/1000))*VLOOKUP("H/F (22mm)",SheetsData,7,FALSE),"Door - not tower - new material")))),"Channel - not tower - handle set to other")),IF(ISERROR(FIND("Tower",$A47))=FALSE,IF(WardrobeHandleFinish="Match carcass",IF(ISERROR(FIND("Walnut",WardrobeCarcassMaterial))=FALSE,(0.035*0.075*($B47/1000))*VLOOKUP("Walnut (solid m3)",SolidData,4,FALSE),IF(ISERROR(FIND("Oak",WardrobeCarcassMaterial))=FALSE,(0.035*0.075*($B47/1000))*VLOOKUP("Oak (solid m3)",SolidData,4,FALSE),IF(ISERROR(FIND("ply",WardrobeCarcassMaterial))=FALSE,(0.1*($B47/1000))*VLOOKUP("Birch ply (24mm)",SheetsData,7,FALSE),IF(ISERROR(FIND("H/F",WardrobeCarcassMaterial))=FALSE,(0.1*($C47/1000))*VLOOKUP("H/F (22mm)",SheetsData,7,FALSE),"Carcass - tower - new material")))),IF(WardrobeHandleFinish="Match door",IF(ISERROR(FIND("Walnut",WardrobeDoorMaterial))=FALSE,(0.035*0.075*($B47/1000))*VLOOKUP("Walnut (solid m3)",SolidData,4,FALSE),IF(ISERROR(FIND("Oak",WardrobeDoorMaterial))=FALSE,(0.035*0.075*($B47/1000))*VLOOKUP("Oak (solid m3)",SolidData,4,FALSE),IF(ISERROR(FIND("ply",WardrobeDoorMaterial))=FALSE,(0.1*($B47/1000))*VLOOKUP("Birch ply (24mm)",SheetData,7,FALSE),IF(ISERROR(FIND("H/F",WardrobeCarcassMaterial))=FALSE,(0.1*($C47/1000))*VLOOKUP("H/F (22mm)",SheetsData,7,FALSE),"Door - tower - new material")))),"Channel - tower - handle set to other")))),"")</f>
        <v/>
      </c>
    </row>
    <row r="48">
      <c r="A48" s="150" t="s">
        <v>243</v>
      </c>
      <c r="B48" s="160" t="str">
        <f t="shared" si="1"/>
        <v>600</v>
      </c>
      <c r="C48" s="160" t="str">
        <f>IFERROR(__xludf.DUMMYFUNCTION("IF(A48="""","""",IF(ISERROR(FIND(""arcass"",A48))=FALSE,MID(A48,FIND(""*"",A48)+1,FIND(""*"",A48,FIND(""*"",A48)+1)-FIND(""*"",A48)-1),IF(ISERROR(FIND(""End panel"",A48))=FALSE,RIGHT(A48,3),IF(OR(ISERROR(FIND(""drawer"",A48))=FALSE,ISERROR(FIND(""door"",A"&amp;"48))=FALSE,ISERROR(FIND(""shelf"",A48))=FALSE,ISERROR(FIND(""panel"",A48))=FALSE,ISERROR(FIND(""Plinth"",A48))=FALSE,ISERROR(FIND(""Cornice"",A48))=FALSE,ISERROR(FIND(""Fillers"",A48))=FALSE,ISERROR(FIND(""Pelmet"",A48))=FALSE,ISERROR(FIND(""Fireplace up "&amp;"to 1600"",A48))=FALSE),RIGHT(A48,LEN(A48)-LEN(regexextract(A48,"".* ""))),IF(ISERROR(FIND(""table"",A48))=FALSE,""560"",IF(ISERROR(FIND(""Office pod"",A48))=FALSE,""1600"",IF(ISERROR(FIND(""Fireplace over 1600"",A48))=FALSE,""2400"",IF(ISERROR(FIND(""Work"&amp;"top"",A48))=FALSE,""650"",""Whoops""))))))))"),"1600")</f>
        <v>1600</v>
      </c>
      <c r="D48" s="161" t="str">
        <f t="shared" si="2"/>
        <v>300</v>
      </c>
      <c r="E48" s="152">
        <f>IF(OR(A48="",AND(ISERROR(FIND("drawer",A48))=FALSE,WardrobeDrawerType="")),"",IF(ISERROR(FIND("door",A48))=FALSE,IF(WardrobeDoorStyle="Flat",((B48/1000)*(C48/1000))*VLOOKUP(WardrobeDoorMaterial,SheetsData,8,0),IF(LEFT(WardrobeDoorStyle,5)="Panel",(((((B48/1000)*2)*0.08)+((((C48/1000)-0.16)*2)*0.08))*VLOOKUP("H/F (22mm)",SheetsData,8,0))+(((B48/1000)-0.14)*((C48/1000)-0.14)*VLOOKUP("H/F (9mm)",SheetsData,8,0)),IF(WardrobeDoorStyle="In-frame flat",((((((B48/1000)*0.019)*0.038)+((((C48-38)/1000)*0.038)*0.038))*2)*VLOOKUP("Tulip (solid m3)",SolidData,4,0))+(((B48-76)/1000)*((C48-38)/1000))*VLOOKUP("H/F (22mm)",SheetsData,8,0),IF(LEFT(WardrobeDoorStyle,14)="In-frame panel",(((((((B48/1000)*0.019)*0.038)+((((C48-38)/1000)*0.038)*0.038))*2)*VLOOKUP("Tulip (solid m3)",SolidData,4,0))+(((((((B48-76)/1000)*2)*0.08)+(((((C48-198)/1000)*2)*0.08)))*VLOOKUP("H/F (22mm)",SheetsData,8,0))+(((B48-216)/1000)*((C48-178)/1000)*VLOOKUP("H/F (9mm)",SheetsData,8,0)))))))),IF(AND(ISERROR(FIND("arcass",A48))=FALSE,ISERROR(FIND("ost corner",A48))=TRUE),IF(AND(VALUE(B48)&lt;1211,VALUE(C48)&lt;1211,VALUE(D48)&lt;606),1*VLOOKUP(WardrobeCarcassMaterial,SheetsData,5,FALSE),IF(AND(VALUE(B48)&lt;2421,VALUE(C48)&lt;2421,VALUE(D48)&lt;606),2*VLOOKUP(WardrobeCarcassMaterial,SheetsData,5,FALSE),IF(AND(VALUE(B48)&lt;2421,VALUE(C48)&lt;1211,VALUE(D48)&lt;1211),3*VLOOKUP(WardrobeCarcassMaterial,SheetsData,5,FALSE),IF(AND(VALUE(B48)&lt;2421,VALUE(C48)&lt;2421,VALUE(D48)&lt;1211),4*VLOOKUP(WardrobeCarcassMaterial,SheetsData,5,FALSE))))),IF(AND(ISERROR(FIND("arcass",A48))=FALSE,ISERROR(FIND("ost corner",A48))=FALSE),IF(AND(VALUE(B48)&lt;1211,VALUE(C48)&lt;1211,VALUE(D48)&lt;606),(1*VLOOKUP(WardrobeCarcassMaterial,SheetsData,5,FALSE))+(VLOOKUP("H/F (22mm)",SheetsData,7,FALSE)*1.44),IF(AND(VALUE(B48)&lt;2421,VALUE(C48)&lt;2421,VALUE(D48)&lt;606),(2*VLOOKUP(WardrobeCarcassMaterial,SheetsData,5,FALSE))+(VLOOKUP("H/F (22mm)",SheetsData,7,FALSE)*1.44),IF(AND(VALUE(B48)&lt;2421,VALUE(C48)&lt;1211,VALUE(D48)&lt;1211),(3*VLOOKUP(WardrobeCarcassMaterial,SheetsData,5,FALSE))+(VLOOKUP("H/F (22mm)",SheetsData,7,FALSE)*1.44),IF(AND(VALUE(B48)&lt;2421,VALUE(C48)&lt;2421,VALUE(D48)&lt;1211),(4*VLOOKUP(WardrobeCarcassMaterial,SheetsData,5,FALSE))+(VLOOKUP("H/F (22mm)",SheetsData,7,FALSE)*1.44))))),IF(ISERROR(FIND("drawer front",A48))=FALSE,((B48/1000)*(C48/1000))*VLOOKUP(WardrobeDoorMaterial,SheetsData,8,0),IF(AND(WardrobeDrawerType="Match carcass",ISERROR(FIND("drawer box",A48))=FALSE),(((((B48/1000)*(C48/1000))+((B48/1000)*(D48/1000)))*2)*VLOOKUP(WardrobeCarcassMaterial,SheetsData,8,0))+(((C48/1000)*(D48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box",A48))=FALSE),(((((B48/1000)*(C48/1000))+((B48/1000)*(D48/1000)))*2)*(16/1000)*VLOOKUP(LEFT(WardrobeCarcassMaterial,FIND(" ",WardrobeCarcassMaterial))&amp;"(solid m3)",SolidData,4,0))+(((C48/1000)*(D48/1000))*VLOOKUP(LEFT(WardrobeCarcassMaterial,FIND("(",WardrobeCarcassMaterial)-1)&amp;IF(OR(ISERROR(FIND("ply",WardrobeCarcassMaterial))=FALSE,ISERROR(FIND("H/F",WardrobeCarcassMaterial))=FALSE),"(9mm)","(10mm)"),SheetsData,8,0)),IF(ISERROR(FIND("shelf",A48))=FALSE,((C48/1000)*(D48/1000))*VLOOKUP(WardrobeCarcassMaterial,SheetsData,7,FALSE),IF(ISERROR(FIND("Office pod",A48))=FALSE,3*VLOOKUP(WardrobeCarcassMaterial,SheetsData,5,0),IF(ISERROR(FIND(" panel",A48))=FALSE,((B48/1000)*(C48/1000))*VLOOKUP(WardrobeDoorMaterial,SheetsData,8,0),IF(ISERROR(FIND("Fillers",A48))=FALSE,(((0.06*(C48/1000))*2)*VLOOKUP("H/F (18mm)",SheetsData,8,0))+(((0.06*(C48/1000))*2)*VLOOKUP("H/F (9mm)",SheetsData,8,0)),IF(ISERROR(FIND("Cornice (stacked)",A48))=FALSE,((0.08*(C48/1000))*2)*VLOOKUP("H/F (22mm)",SheetsData,8,0),IF(OR(ISERROR(FIND("Plinth",A48))=FALSE,ISERROR(FIND("Cornice (flat)",A48))=FALSE),((B48/1000)*(C48/1000))*VLOOKUP("H/F (18mm)",SheetsData,8,0),IF(ISERROR(FIND("Pelmet",A48))=FALSE,((((B48/1000)*(C48/1000))*2)*VLOOKUP("H/F (18mm)",SheetsData,8,0)),IF(ISERROR(FIND("Fireplace",A48))=FALSE,IF(ISERROR(FIND("over 1600",A48))=FALSE,2*VLOOKUP(WardrobeCarcassMaterial,SheetsData,5,FALSE),VLOOKUP(WardrobeCarcassMaterial,SheetsData,5,FALSE)),IF(ISERROR(FIND("table",A48))=FALSE,((B48/1000)*0.6)*VLOOKUP("Birch ply (24mm)",SheetsData,7,FALSE),IF(ISERROR(FIND("Worktop",A48))=FALSE,((B48/1000)*(C48/1000))*VLOOKUP(WardrobeDoorMaterial,SheetsData,7,FALSE),"Check formula")))))))))))))))))</f>
        <v>98.95</v>
      </c>
      <c r="F48" s="152">
        <f>IFERROR(__xludf.DUMMYFUNCTION("IF(OR(A48="""",AND(ISERROR(FIND(""drawer box"",A48))=FALSE,WardrobeDrawerType=""Solid dovetail"")),"""",IF(ISERROR(FIND(""bins"",A48))=FALSE,VLOOKUP(""Base carcass 600"",Wardrobes_etcData,6,0),IF(OR(ISERROR(FIND(""larder"",A48))=FALSE,ISERROR(FIND(""unit"&amp;""",A48))=FALSE),VLOOKUP(LEFT(A48,FIND("" "",A48))&amp;""carcass ""&amp;RIGHT(A48,LEN(A48)-len(regexextract(A48,"".* ""))),Wardrobes_etcData,6,0),IF(ISERROR(FIND(""drawer front"",A48))=FALSE,IF(ISERROR(FIND(""veneer"",WardrobeCarcassMaterial))=TRUE,0,(((B48+C48)/1"&amp;"000)*2)*VLOOKUP(""Edge banding (per M)"",SheetsData,5,0)),IF(ISERROR(FIND(""drawer box"",A48))=FALSE,IF(ISERROR(FIND(""veneer"",WardrobeCarcassMaterial))=TRUE,0,(((C48+D48)/1000)*2)*VLOOKUP(""Edge banding (per M)"",SheetsData,5,0)),IF(ISERROR(FIND(""shelf"&amp;""",A48))=FALSE,IF(ISERROR(FIND(""veneer"",WardrobeCarcassMaterial))=TRUE,0,(C48/1000)*VLOOKUP(""Edge banding (per M)"",SheetsData,5,0)),IF(AND(OR(ISERROR(FIND(""arcass"",A48))=FALSE,ISERROR(FIND(""Fireplace"",A48))=FALSE),ISERROR(FIND(""shelf"",A48))=TRUE"&amp;"),IF(ISERROR(FIND(""veneer"",WardrobeCarcassMaterial))=TRUE,0,((2*(B48+C48))/1000)*VLOOKUP(""Edge banding (per M)"",SheetsData,5,0)),IF(ISERROR(FIND(""door"",A48))=TRUE,"""",IF(ISERROR(FIND(""veneer"",WardrobeDoorMaterial))=TRUE,"""",((2*(B48+C48))/1000)*"&amp;"VLOOKUP(""Edge banding (per M)"",SheetsData,5,0))))))))))"),0.0)</f>
        <v>0</v>
      </c>
      <c r="G48" s="153">
        <f>IF(A48="","",IF(AND(ISERROR(FIND("arcass",A48))=TRUE,ISERROR(FIND("Fireplace",A48))=TRUE),"",IF(VALUE(C48)&lt;606,4*VLOOKUP("Plinth foot (2 Parts 80mm)",FurnitureData,5,FALSE),IF(VALUE(C48)&lt;1211,6*VLOOKUP("Plinth foot (2 Parts 80mm)",FurnitureData,5,FALSE),8*VLOOKUP("Plinth foot (2 Parts 80mm)",FurnitureData,5,FALSE)))))</f>
        <v>7.6</v>
      </c>
      <c r="H48" s="115" t="str">
        <f>IF(OR(A48="",ISERROR(FIND("door",A48))=TRUE),"",VLOOKUP("Hinges &amp; plates (Hettich thick door)",FurnitureData,5,0)*5)</f>
        <v/>
      </c>
      <c r="I48" s="115" t="str">
        <f>IF(ISERROR(FIND("shelf",A48))=FALSE,(VLOOKUP("Shelf pegs",FurnitureData,5,0)/100)*4,"")</f>
        <v/>
      </c>
      <c r="J48" s="152" t="str">
        <f>IF(OR(ISERROR(FIND("fridge/freezer",A48))=FALSE,ISERROR(FIND("sink",A48))=FALSE,ISERROR(FIND("larder",A48))=FALSE),VLOOKUP("Deep shelf "&amp;C48,Wardrobes_etcData,18,0),IF(OR(ISERROR(FIND("single oven",A48))=FALSE,ISERROR(FIND("Base carcass",A48))=FALSE),2*VLOOKUP("Deep shelf "&amp;C48,Wardrobes_etcData,18,0),IF(AND(ISERROR(FIND("wall carcass",A48))=FALSE,ISERROR(FIND("Boiler",A48))=TRUE),2*VLOOKUP("Shallow shelf "&amp;C48,Wardrobes_etcData,18,0),IF(ISERROR(FIND("double oven",A48))=FALSE,3*VLOOKUP("Deep shelf "&amp;C48,Wardrobes_etcData,18,0),IF(ISERROR(FIND("Tower carcass",A48))=FALSE,6*VLOOKUP("Deep shelf "&amp;C48,Wardrobes_etcData,18,0),"")))))</f>
        <v/>
      </c>
      <c r="K48" s="152" t="str">
        <f>IF(ISERROR(FIND("sink",A48))=FALSE,VLOOKUP("Sink liner - Aluminium "&amp;RIGHT(A48,LEN(A48)-22)&amp;"mm",ExceptionalData,5,0),IF(ISERROR(FIND("bins",A48))=FALSE,VLOOKUP("Drawer runners and clip set for bin unit (500) Dynapro",FurnitureData,5,0)+(2*VLOOKUP("Bin (42L Anthracite)",FurnitureData,5,0)),IF(ISERROR(FIND("larder",A48))=FALSE,VLOOKUP("Pull out larder unit 600mm",FurnitureData,5,0),IF(AND(ISERROR(FIND("drawer box",A48))=FALSE,ISERROR(FIND("internal",A48))=TRUE),VLOOKUP("Drawer runners and clip set (550) Dynapro",FurnitureData,5,0),IF(ISERROR(FIND("internal drawer box",A48))=FALSE,VLOOKUP("Drawer runners and clip set (450) Dynapro",FurnitureData,5,0),IF(ISERROR(FIND("table",A48))=FALSE,VLOOKUP("Hairpin Leg (12mm Black "&amp;MID(A48,FIND("(",A48)+1,LEN(A48)-(FIND("(",A48))-1)&amp;"mm)",ExceptionalData,4,FALSE),""))))))</f>
        <v/>
      </c>
      <c r="L48" s="152">
        <f t="shared" si="3"/>
        <v>106.55</v>
      </c>
      <c r="M48" s="154">
        <f>IF(A48="","",IF(AND(ISERROR(FIND("drawer front",A48))=FALSE,WardrobeDoorStyle="Flat"),(((B48/1000)*(C48/1000))*2)+((((B48+C48)/1000)*2)*0.022),IF(AND(ISERROR(FIND("drawer front",A48))=FALSE,LEFT(WardrobeDoorStyle,5)="Panel"),(((B48/1000)*(C48/1000))*2)+((((B48+C48)/1000)*2)*0.022)+((((C48/1000)-0.16)*0.013)*2)+((((D48/1000)-0.16)*0.013)*2),IF(AND(ISERROR(FIND("drawer front",A48))=FALSE,WardrobeDoorStyle="In-frame flat"),((((B48-76)/1000)*((C48-38)/1000))*2)+(MID(WardrobeDoorMaterial,FIND("(",WardrobeDoorMaterial)+1,2)/1000)*((((B48-76)+(C48-38))/1000)*2)+(((B48/1000)*0.032)*2)+((((B48-76)/1000)*0.032)*2)+(((B48/1000)*0.019)*4)+(((C48/1000)*0.032)*2)+((((C48-38)/1000)*0.032)*2)+(((C48/1000)*0.038)*4),IF(AND(ISERROR(FIND("drawer front",A48))=FALSE,LEFT(WardrobeDoorStyle,14)="In-frame panel"),((((B48-76)/1000)*((C48-38)/1000))*2)+((MID(WardrobeDoorMaterial,FIND("(",WardrobeDoorMaterial)+1,2)/1000)*((((B48-76)+(C48-38))/1000)*2))+((((B48-236)/1000)+((C48-198)/1000)*2)*0.013)+(((B48/1000)*0.032)*2)+((((B48-76)/1000)*0.032)*2)+(((B48/1000)*0.019)*4)+(((C48/1000)*0.032)*2)+((((C48-38)/1000)*0.032)*2)+(((C48/1000)*0.038)*4),IF(ISERROR(FIND("drawer box",A48))=FALSE,((((B48/1000)*(D48/1000))+((B48/1000)*(C48/1000)))*4)+((((D48/1000)+(C48/1000))*0.016)*4)+(((C48/1000)*(D48/1000))*2),IF(OR(ISERROR(FIND("shelf",A48))=FALSE,ISERROR(FIND("Filler panel",A48))=FALSE),(((C48/1000)*(D48/1000))*2)+((((C48+D48)*2)/1000)*0.022),IF(ISERROR(FIND("Fireplace",A48))=FALSE,((B48/1000)*(C48/1000)),IF(ISERROR(FIND("Worktop",A48))=FALSE,(B48/1000)*(C48/1000),IF(ISERROR(FIND("table",A48))=FALSE,(B48/1000)*0.6,IF(ISERROR(FIND("arcass",A48))=FALSE,(((C48/1000)*(D48/1000))*2)+(((B48/1000)*(D48/1000))*2)+((B48/1000)*(C48/1000))+((((B48/1000)*0.025)+((C48/1000)*0.025))*2),IF(AND(ISERROR(FIND("door",A48))=FALSE,WardrobeDoorStyle="Flat"),(((B48/1000)*(C48/1000))*2)+(MID(WardrobeDoorMaterial,FIND("(",WardrobeDoorMaterial)+1,2)/1000)*(((B48+C48)/1000)*2),IF(AND(ISERROR(FIND("door",A48))=FALSE,LEFT(WardrobeDoorStyle,5)="Panel"),(((B48/1000)*(C48/1000))*2)+((MID(WardrobeDoorMaterial,FIND("(",WardrobeDoorMaterial)+1,2)/1000)*(((B48+C48)/1000)*2))+(((((B48-160)+(C48-160))*2)/1000)*(0.013)),IF(AND(ISERROR(FIND("door",A48))=FALSE,WardrobeDoorStyle="In-frame flat"),((((B48-76)/1000)*((C48-38)/1000))*2)+(MID(WardrobeDoorMaterial,FIND("(",WardrobeDoorMaterial)+1,2)/1000)*((((B48-76)+(C48-38))/1000)*2)+(((B48/1000)*0.032)*2)+((((B48-76)/1000)*0.032)*2)+(((B48/1000)*0.019)*4)+(((C48/1000)*0.032)*2)+((((C48-38)/1000)*0.032)*2)+(((C48/1000)*0.038)*4),IF(AND(ISERROR(FIND("door",A48))=FALSE,LEFT(WardrobeDoorStyle,14)="In-frame panel"),((((B48-76)/1000)*((C48-38)/1000))*2)+((MID(WardrobeDoorMaterial,FIND("(",WardrobeDoorMaterial)+1,2)/1000)*((((B48-76)+(C48-38))/1000)*2))+((((B48-236)/1000)+((C48-198)/1000)*2)*0.013)+(((B48/1000)*0.032)*2)+((((B48-76)/1000)*0.032)*2)+(((B48/1000)*0.019)*4)+(((C48/1000)*0.032)*2)+((((C48-38)/1000)*0.032)*2)+(((C48/1000)*0.038)*4),IF(ISERROR(FIND("Plinth",A48))=FALSE,((B48/1000)*(C48/1000))+(((C48/1000)*0.018)*2)+(((B48/1000)*0.018)*2),IF(ISERROR(FIND("Cornice",A48))=FALSE,(((C48/1000)*0.1)*2)+(((C48/1000)*0.044)*2)+(((B48/1000)*0.08)*2),IF(ISERROR(FIND("Office pod",A48))=FALSE,((2400/1000)*(1200/1000))*6,IF(ISERROR(FIND("panel",A48))=FALSE,((B48/1000)*(C48/1000))+(0.022*((B48/1000)+((C48/1000)*2)))+((B48/1000)*0.05),IF(ISERROR(FIND("Fillers",A48))=FALSE,((C48/1000)*0.06)+((C48/1000)*0.069)+((0.06*0.018)*2)+((0.06*0.009)*2)+((C48/1000)*0.009)+((C48/1000)*0.018),IF(ISERROR(FIND("Pelmet",A48))=FALSE,((C48/1000)*0.05)+((C48/1000)*0.068)+((0.05*0.018)*4)+(((C48/1000)*0.018))*2)))))))))))))))))))))</f>
        <v>0.96</v>
      </c>
      <c r="N48" s="152">
        <f>IF(M48="","",IF(AND(ISERROR(FIND("carcass",A48))=TRUE,ISERROR(FIND("unit",A48))=TRUE,ISERROR(FIND("insert",A48))=TRUE,ISERROR(FIND("rack",A48))=TRUE,ISERROR(FIND("box",A48))=TRUE,ISERROR(FIND("shelf",A48))=TRUE),VLOOKUP(WardrobeDoorFinish,Finishing!$A$2:$K$10,9,0)*M48,IF(ISERROR(FIND("table",A48))=FALSE,VLOOKUP("Sayerlack AF0072 Interior Clear Self-Sealer",FinishingData,9,FALSE)*M48,VLOOKUP(WardrobeCarcassFinish,Finishing!$A$2:$K$40,9,0)*M48)))</f>
        <v>7.2</v>
      </c>
      <c r="O48" s="159">
        <v>4.0</v>
      </c>
      <c r="P48" s="159">
        <v>1.5</v>
      </c>
      <c r="Q48" s="152">
        <f>IF(OR(O48="",P48=""),"",((O48*X48)*(VLOOKUP("Workshop",Labour!$A$3:$E$20,4,0)/8))+((P48*AE48)*(VLOOKUP("Finishing",Labour!$A$3:$E$20,4,0)/8)))</f>
        <v>217</v>
      </c>
      <c r="R48" s="152">
        <f t="shared" si="4"/>
        <v>330.75</v>
      </c>
      <c r="S48" s="156">
        <f>IF(OR(O48="",P48=""),"",IF(OR(ISERROR(FIND("carcass",$A48))=FALSE,ISERROR(FIND("unit",$A48))=FALSE),VLOOKUP(WardrobeCarcassMaterial,FixedListsCarcassMaterial,2,0),0))</f>
        <v>0</v>
      </c>
      <c r="T48" s="156">
        <f>IF(OR(O48="",P48=""),"",IF(ISERROR(FIND("door",$A48))=FALSE,VLOOKUP(WardrobeDoorStyle,FixedListsDoorStyle,2,0),0))</f>
        <v>0</v>
      </c>
      <c r="U48" s="156">
        <f>IF(OR(O48="",P48=""),"",IF(ISERROR(FIND("door",$A48))=FALSE,VLOOKUP(WardrobeDoorMaterial,FixedListsDoorMaterial,2,0),0))</f>
        <v>0</v>
      </c>
      <c r="V48" s="156">
        <f>IF(OR(O48="",P48=""),"",IF(ISERROR(FIND("drawer",$A48))=FALSE,VLOOKUP(WardrobeDrawerType,FixedListsDrawerType,2,0),0))</f>
        <v>0</v>
      </c>
      <c r="W48" s="156">
        <f>IF(OR(O48="",P48=""),"",IF(S48&gt;0,VLOOKUP(WardrobeHandleType,FixedListsHandleType,2,FALSE),0))</f>
        <v>0</v>
      </c>
      <c r="X48" s="156">
        <f t="shared" si="5"/>
        <v>1</v>
      </c>
      <c r="Y48" s="156">
        <f>IF(OR(O48="",P48=""),"",IF(OR(ISERROR(FIND("carcass",$A48))=FALSE,ISERROR(FIND("unit",$A48))=FALSE),VLOOKUP(WardrobeCarcassMaterial,FixedListsCarcassMaterial,3,0),0))</f>
        <v>0</v>
      </c>
      <c r="Z48" s="156">
        <f>IF(OR(O48="",P48=""),"",IF(ISERROR(FIND("door",$A48))=FALSE,VLOOKUP(WardrobeDoorStyle,FixedListsDoorStyle,3,0),0))</f>
        <v>0</v>
      </c>
      <c r="AA48" s="156">
        <f>IF(OR(O48="",P48=""),"",IF(ISERROR(FIND("door",$A48))=FALSE,VLOOKUP(WardrobeDoorMaterial,FixedListsDoorMaterial,3,0),0))</f>
        <v>0</v>
      </c>
      <c r="AB48" s="156">
        <f>IF(OR(O48="",P48=""),"",IF(ISERROR(FIND("drawer",$A48))=FALSE,VLOOKUP(WardrobeDrawerType,FixedListsDrawerType,3,0),0))</f>
        <v>0</v>
      </c>
      <c r="AC48" s="156">
        <f>IF(OR(O48="",P48=""),"",IF(S48&gt;0,VLOOKUP(WardrobeHandleType,FixedListsHandleType,3,FALSE),0))</f>
        <v>0</v>
      </c>
      <c r="AD48" s="156">
        <f>IF(OR(O48="",P48=""),"",IF(OR(ISERROR(FIND("carcass",$A48))=FALSE,ISERROR(FIND("unit",$A48))=FALSE),VLOOKUP(WardrobeCarcassFinish,FixedListsFinishes,3,0),IF(OR(ISERROR(FIND("door",$A48))=FALSE,ISERROR(FIND("Plinth",$A48))=FALSE,ISERROR(FIND("Cornice",$A48))=FALSE,ISERROR(FIND("Fillers",$A48))=FALSE,ISERROR(FIND("Pelmet",$A48))=FALSE,ISERROR(FIND("panel",$A48))=FALSE,ISERROR(FIND("post",$A48))=FALSE),VLOOKUP(WardrobeDoorFinish,FixedListsFinishes,3,0),IF(OR(ISERROR(FIND("drawer",$A48))=FALSE,ISERROR(FIND("insert",$A48))=FALSE,ISERROR(FIND("rck",$A48))=FALSE),VLOOKUP(WardrobeCarcassFinish,FixedListsFinishes,3,0),0))))</f>
        <v>0</v>
      </c>
      <c r="AE48" s="156">
        <f t="shared" si="6"/>
        <v>1</v>
      </c>
      <c r="AF48" s="157" t="str">
        <f>IF(AND(WardrobeHandleType="Channel",OR(ISERROR(FIND("arcass",$A48))=FALSE,ISERROR(FIND("unit",$A48))=FALSE)),IF(ISERROR(FIND("Tower",$A48))=TRUE,IF(WardrobeHandleFinish="Match carcass",IF(ISERROR(FIND("Walnut",WardrobeCarcassMaterial))=FALSE,(0.035*0.075*($C48/1000))*VLOOKUP("Walnut (solid m3)",SolidData,4,FALSE),IF(ISERROR(FIND("Oak",WardrobeCarcassMaterial))=FALSE,(0.035*0.075*($C48/1000))*VLOOKUP("Oak (solid m3)",SolidData,4,FALSE),IF(ISERROR(FIND("ply",WardrobeCarcassMaterial))=FALSE,(0.1*($C48/1000))*VLOOKUP("Birch ply (24mm)",SheetsData,7,FALSE),IF(ISERROR(FIND("H/F",WardrobeCarcassMaterial))=FALSE,(0.1*($C48/1000))*VLOOKUP("H/F (22mm)",SheetsData,7,FALSE),"Carcass - not tower - new material")))),IF(WardrobeHandleFinish="Match door",IF(ISERROR(FIND("Walnut",WardrobeDoorMaterial))=FALSE,(0.035*0.075*($C48/1000))*VLOOKUP("Walnut (solid m3)",SolidData,4,FALSE),IF(ISERROR(FIND("Oak",WardrobeDoorMaterial))=FALSE,(0.035*0.075*($C48/1000))*VLOOKUP("Oak (solid m3)",SolidData,4,FALSE),IF(ISERROR(FIND("ply",WardrobeDoorMaterial))=FALSE,(0.1*($C48/1000))*VLOOKUP("Birch ply (24mm)",SheetsData,7,FALSE),IF(ISERROR(FIND("H/F",WardrobeCarcassMaterial))=FALSE,(0.1*($C48/1000))*VLOOKUP("H/F (22mm)",SheetsData,7,FALSE),"Door - not tower - new material")))),"Channel - not tower - handle set to other")),IF(ISERROR(FIND("Tower",$A48))=FALSE,IF(WardrobeHandleFinish="Match carcass",IF(ISERROR(FIND("Walnut",WardrobeCarcassMaterial))=FALSE,(0.035*0.075*($B48/1000))*VLOOKUP("Walnut (solid m3)",SolidData,4,FALSE),IF(ISERROR(FIND("Oak",WardrobeCarcassMaterial))=FALSE,(0.035*0.075*($B48/1000))*VLOOKUP("Oak (solid m3)",SolidData,4,FALSE),IF(ISERROR(FIND("ply",WardrobeCarcassMaterial))=FALSE,(0.1*($B48/1000))*VLOOKUP("Birch ply (24mm)",SheetsData,7,FALSE),IF(ISERROR(FIND("H/F",WardrobeCarcassMaterial))=FALSE,(0.1*($C48/1000))*VLOOKUP("H/F (22mm)",SheetsData,7,FALSE),"Carcass - tower - new material")))),IF(WardrobeHandleFinish="Match door",IF(ISERROR(FIND("Walnut",WardrobeDoorMaterial))=FALSE,(0.035*0.075*($B48/1000))*VLOOKUP("Walnut (solid m3)",SolidData,4,FALSE),IF(ISERROR(FIND("Oak",WardrobeDoorMaterial))=FALSE,(0.035*0.075*($B48/1000))*VLOOKUP("Oak (solid m3)",SolidData,4,FALSE),IF(ISERROR(FIND("ply",WardrobeDoorMaterial))=FALSE,(0.1*($B48/1000))*VLOOKUP("Birch ply (24mm)",SheetData,7,FALSE),IF(ISERROR(FIND("H/F",WardrobeCarcassMaterial))=FALSE,(0.1*($C48/1000))*VLOOKUP("H/F (22mm)",SheetsData,7,FALSE),"Door - tower - new material")))),"Channel - tower - handle set to other")))),"")</f>
        <v/>
      </c>
    </row>
    <row r="49">
      <c r="A49" s="150" t="s">
        <v>244</v>
      </c>
      <c r="B49" s="160" t="str">
        <f t="shared" si="1"/>
        <v>600</v>
      </c>
      <c r="C49" s="160" t="str">
        <f>IFERROR(__xludf.DUMMYFUNCTION("IF(A49="""","""",IF(ISERROR(FIND(""arcass"",A49))=FALSE,MID(A49,FIND(""*"",A49)+1,FIND(""*"",A49,FIND(""*"",A49)+1)-FIND(""*"",A49)-1),IF(ISERROR(FIND(""End panel"",A49))=FALSE,RIGHT(A49,3),IF(OR(ISERROR(FIND(""drawer"",A49))=FALSE,ISERROR(FIND(""door"",A"&amp;"49))=FALSE,ISERROR(FIND(""shelf"",A49))=FALSE,ISERROR(FIND(""panel"",A49))=FALSE,ISERROR(FIND(""Plinth"",A49))=FALSE,ISERROR(FIND(""Cornice"",A49))=FALSE,ISERROR(FIND(""Fillers"",A49))=FALSE,ISERROR(FIND(""Pelmet"",A49))=FALSE,ISERROR(FIND(""Fireplace up "&amp;"to 1600"",A49))=FALSE),RIGHT(A49,LEN(A49)-LEN(regexextract(A49,"".* ""))),IF(ISERROR(FIND(""table"",A49))=FALSE,""560"",IF(ISERROR(FIND(""Office pod"",A49))=FALSE,""1600"",IF(ISERROR(FIND(""Fireplace over 1600"",A49))=FALSE,""2400"",IF(ISERROR(FIND(""Work"&amp;"top"",A49))=FALSE,""650"",""Whoops""))))))))"),"2400")</f>
        <v>2400</v>
      </c>
      <c r="D49" s="161" t="str">
        <f t="shared" si="2"/>
        <v>600</v>
      </c>
      <c r="E49" s="152">
        <f>IF(OR(A49="",AND(ISERROR(FIND("drawer",A49))=FALSE,WardrobeDrawerType="")),"",IF(ISERROR(FIND("door",A49))=FALSE,IF(WardrobeDoorStyle="Flat",((B49/1000)*(C49/1000))*VLOOKUP(WardrobeDoorMaterial,SheetsData,8,0),IF(LEFT(WardrobeDoorStyle,5)="Panel",(((((B49/1000)*2)*0.08)+((((C49/1000)-0.16)*2)*0.08))*VLOOKUP("H/F (22mm)",SheetsData,8,0))+(((B49/1000)-0.14)*((C49/1000)-0.14)*VLOOKUP("H/F (9mm)",SheetsData,8,0)),IF(WardrobeDoorStyle="In-frame flat",((((((B49/1000)*0.019)*0.038)+((((C49-38)/1000)*0.038)*0.038))*2)*VLOOKUP("Tulip (solid m3)",SolidData,4,0))+(((B49-76)/1000)*((C49-38)/1000))*VLOOKUP("H/F (22mm)",SheetsData,8,0),IF(LEFT(WardrobeDoorStyle,14)="In-frame panel",(((((((B49/1000)*0.019)*0.038)+((((C49-38)/1000)*0.038)*0.038))*2)*VLOOKUP("Tulip (solid m3)",SolidData,4,0))+(((((((B49-76)/1000)*2)*0.08)+(((((C49-198)/1000)*2)*0.08)))*VLOOKUP("H/F (22mm)",SheetsData,8,0))+(((B49-216)/1000)*((C49-178)/1000)*VLOOKUP("H/F (9mm)",SheetsData,8,0)))))))),IF(AND(ISERROR(FIND("arcass",A49))=FALSE,ISERROR(FIND("ost corner",A49))=TRUE),IF(AND(VALUE(B49)&lt;1211,VALUE(C49)&lt;1211,VALUE(D49)&lt;606),1*VLOOKUP(WardrobeCarcassMaterial,SheetsData,5,FALSE),IF(AND(VALUE(B49)&lt;2421,VALUE(C49)&lt;2421,VALUE(D49)&lt;606),2*VLOOKUP(WardrobeCarcassMaterial,SheetsData,5,FALSE),IF(AND(VALUE(B49)&lt;2421,VALUE(C49)&lt;1211,VALUE(D49)&lt;1211),3*VLOOKUP(WardrobeCarcassMaterial,SheetsData,5,FALSE),IF(AND(VALUE(B49)&lt;2421,VALUE(C49)&lt;2421,VALUE(D49)&lt;1211),4*VLOOKUP(WardrobeCarcassMaterial,SheetsData,5,FALSE))))),IF(AND(ISERROR(FIND("arcass",A49))=FALSE,ISERROR(FIND("ost corner",A49))=FALSE),IF(AND(VALUE(B49)&lt;1211,VALUE(C49)&lt;1211,VALUE(D49)&lt;606),(1*VLOOKUP(WardrobeCarcassMaterial,SheetsData,5,FALSE))+(VLOOKUP("H/F (22mm)",SheetsData,7,FALSE)*1.44),IF(AND(VALUE(B49)&lt;2421,VALUE(C49)&lt;2421,VALUE(D49)&lt;606),(2*VLOOKUP(WardrobeCarcassMaterial,SheetsData,5,FALSE))+(VLOOKUP("H/F (22mm)",SheetsData,7,FALSE)*1.44),IF(AND(VALUE(B49)&lt;2421,VALUE(C49)&lt;1211,VALUE(D49)&lt;1211),(3*VLOOKUP(WardrobeCarcassMaterial,SheetsData,5,FALSE))+(VLOOKUP("H/F (22mm)",SheetsData,7,FALSE)*1.44),IF(AND(VALUE(B49)&lt;2421,VALUE(C49)&lt;2421,VALUE(D49)&lt;1211),(4*VLOOKUP(WardrobeCarcassMaterial,SheetsData,5,FALSE))+(VLOOKUP("H/F (22mm)",SheetsData,7,FALSE)*1.44))))),IF(ISERROR(FIND("drawer front",A49))=FALSE,((B49/1000)*(C49/1000))*VLOOKUP(WardrobeDoorMaterial,SheetsData,8,0),IF(AND(WardrobeDrawerType="Match carcass",ISERROR(FIND("drawer box",A49))=FALSE),(((((B49/1000)*(C49/1000))+((B49/1000)*(D49/1000)))*2)*VLOOKUP(WardrobeCarcassMaterial,SheetsData,8,0))+(((C49/1000)*(D49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box",A49))=FALSE),(((((B49/1000)*(C49/1000))+((B49/1000)*(D49/1000)))*2)*(16/1000)*VLOOKUP(LEFT(WardrobeCarcassMaterial,FIND(" ",WardrobeCarcassMaterial))&amp;"(solid m3)",SolidData,4,0))+(((C49/1000)*(D49/1000))*VLOOKUP(LEFT(WardrobeCarcassMaterial,FIND("(",WardrobeCarcassMaterial)-1)&amp;IF(OR(ISERROR(FIND("ply",WardrobeCarcassMaterial))=FALSE,ISERROR(FIND("H/F",WardrobeCarcassMaterial))=FALSE),"(9mm)","(10mm)"),SheetsData,8,0)),IF(ISERROR(FIND("shelf",A49))=FALSE,((C49/1000)*(D49/1000))*VLOOKUP(WardrobeCarcassMaterial,SheetsData,7,FALSE),IF(ISERROR(FIND("Office pod",A49))=FALSE,3*VLOOKUP(WardrobeCarcassMaterial,SheetsData,5,0),IF(ISERROR(FIND(" panel",A49))=FALSE,((B49/1000)*(C49/1000))*VLOOKUP(WardrobeDoorMaterial,SheetsData,8,0),IF(ISERROR(FIND("Fillers",A49))=FALSE,(((0.06*(C49/1000))*2)*VLOOKUP("H/F (18mm)",SheetsData,8,0))+(((0.06*(C49/1000))*2)*VLOOKUP("H/F (9mm)",SheetsData,8,0)),IF(ISERROR(FIND("Cornice (stacked)",A49))=FALSE,((0.08*(C49/1000))*2)*VLOOKUP("H/F (22mm)",SheetsData,8,0),IF(OR(ISERROR(FIND("Plinth",A49))=FALSE,ISERROR(FIND("Cornice (flat)",A49))=FALSE),((B49/1000)*(C49/1000))*VLOOKUP("H/F (18mm)",SheetsData,8,0),IF(ISERROR(FIND("Pelmet",A49))=FALSE,((((B49/1000)*(C49/1000))*2)*VLOOKUP("H/F (18mm)",SheetsData,8,0)),IF(ISERROR(FIND("Fireplace",A49))=FALSE,IF(ISERROR(FIND("over 1600",A49))=FALSE,2*VLOOKUP(WardrobeCarcassMaterial,SheetsData,5,FALSE),VLOOKUP(WardrobeCarcassMaterial,SheetsData,5,FALSE)),IF(ISERROR(FIND("table",A49))=FALSE,((B49/1000)*0.6)*VLOOKUP("Birch ply (24mm)",SheetsData,7,FALSE),IF(ISERROR(FIND("Worktop",A49))=FALSE,((B49/1000)*(C49/1000))*VLOOKUP(WardrobeDoorMaterial,SheetsData,7,FALSE),"Check formula")))))))))))))))))</f>
        <v>197.9</v>
      </c>
      <c r="F49" s="152">
        <f>IFERROR(__xludf.DUMMYFUNCTION("IF(OR(A49="""",AND(ISERROR(FIND(""drawer box"",A49))=FALSE,WardrobeDrawerType=""Solid dovetail"")),"""",IF(ISERROR(FIND(""bins"",A49))=FALSE,VLOOKUP(""Base carcass 600"",Wardrobes_etcData,6,0),IF(OR(ISERROR(FIND(""larder"",A49))=FALSE,ISERROR(FIND(""unit"&amp;""",A49))=FALSE),VLOOKUP(LEFT(A49,FIND("" "",A49))&amp;""carcass ""&amp;RIGHT(A49,LEN(A49)-len(regexextract(A49,"".* ""))),Wardrobes_etcData,6,0),IF(ISERROR(FIND(""drawer front"",A49))=FALSE,IF(ISERROR(FIND(""veneer"",WardrobeCarcassMaterial))=TRUE,0,(((B49+C49)/1"&amp;"000)*2)*VLOOKUP(""Edge banding (per M)"",SheetsData,5,0)),IF(ISERROR(FIND(""drawer box"",A49))=FALSE,IF(ISERROR(FIND(""veneer"",WardrobeCarcassMaterial))=TRUE,0,(((C49+D49)/1000)*2)*VLOOKUP(""Edge banding (per M)"",SheetsData,5,0)),IF(ISERROR(FIND(""shelf"&amp;""",A49))=FALSE,IF(ISERROR(FIND(""veneer"",WardrobeCarcassMaterial))=TRUE,0,(C49/1000)*VLOOKUP(""Edge banding (per M)"",SheetsData,5,0)),IF(AND(OR(ISERROR(FIND(""arcass"",A49))=FALSE,ISERROR(FIND(""Fireplace"",A49))=FALSE),ISERROR(FIND(""shelf"",A49))=TRUE"&amp;"),IF(ISERROR(FIND(""veneer"",WardrobeCarcassMaterial))=TRUE,0,((2*(B49+C49))/1000)*VLOOKUP(""Edge banding (per M)"",SheetsData,5,0)),IF(ISERROR(FIND(""door"",A49))=TRUE,"""",IF(ISERROR(FIND(""veneer"",WardrobeDoorMaterial))=TRUE,"""",((2*(B49+C49))/1000)*"&amp;"VLOOKUP(""Edge banding (per M)"",SheetsData,5,0))))))))))"),0.0)</f>
        <v>0</v>
      </c>
      <c r="G49" s="153">
        <f>IF(A49="","",IF(AND(ISERROR(FIND("arcass",A49))=TRUE,ISERROR(FIND("Fireplace",A49))=TRUE),"",IF(VALUE(C49)&lt;606,4*VLOOKUP("Plinth foot (2 Parts 80mm)",FurnitureData,5,FALSE),IF(VALUE(C49)&lt;1211,6*VLOOKUP("Plinth foot (2 Parts 80mm)",FurnitureData,5,FALSE),8*VLOOKUP("Plinth foot (2 Parts 80mm)",FurnitureData,5,FALSE)))))</f>
        <v>7.6</v>
      </c>
      <c r="H49" s="115" t="str">
        <f>IF(OR(A49="",ISERROR(FIND("door",A49))=TRUE),"",VLOOKUP("Hinges &amp; plates (Hettich thick door)",FurnitureData,5,0)*5)</f>
        <v/>
      </c>
      <c r="I49" s="115" t="str">
        <f>IF(ISERROR(FIND("shelf",A49))=FALSE,(VLOOKUP("Shelf pegs",FurnitureData,5,0)/100)*4,"")</f>
        <v/>
      </c>
      <c r="J49" s="152" t="str">
        <f>IF(OR(ISERROR(FIND("fridge/freezer",A49))=FALSE,ISERROR(FIND("sink",A49))=FALSE,ISERROR(FIND("larder",A49))=FALSE),VLOOKUP("Deep shelf "&amp;C49,Wardrobes_etcData,18,0),IF(OR(ISERROR(FIND("single oven",A49))=FALSE,ISERROR(FIND("Base carcass",A49))=FALSE),2*VLOOKUP("Deep shelf "&amp;C49,Wardrobes_etcData,18,0),IF(AND(ISERROR(FIND("wall carcass",A49))=FALSE,ISERROR(FIND("Boiler",A49))=TRUE),2*VLOOKUP("Shallow shelf "&amp;C49,Wardrobes_etcData,18,0),IF(ISERROR(FIND("double oven",A49))=FALSE,3*VLOOKUP("Deep shelf "&amp;C49,Wardrobes_etcData,18,0),IF(ISERROR(FIND("Tower carcass",A49))=FALSE,6*VLOOKUP("Deep shelf "&amp;C49,Wardrobes_etcData,18,0),"")))))</f>
        <v/>
      </c>
      <c r="K49" s="152" t="str">
        <f>IF(ISERROR(FIND("sink",A49))=FALSE,VLOOKUP("Sink liner - Aluminium "&amp;RIGHT(A49,LEN(A49)-22)&amp;"mm",ExceptionalData,5,0),IF(ISERROR(FIND("bins",A49))=FALSE,VLOOKUP("Drawer runners and clip set for bin unit (500) Dynapro",FurnitureData,5,0)+(2*VLOOKUP("Bin (42L Anthracite)",FurnitureData,5,0)),IF(ISERROR(FIND("larder",A49))=FALSE,VLOOKUP("Pull out larder unit 600mm",FurnitureData,5,0),IF(AND(ISERROR(FIND("drawer box",A49))=FALSE,ISERROR(FIND("internal",A49))=TRUE),VLOOKUP("Drawer runners and clip set (550) Dynapro",FurnitureData,5,0),IF(ISERROR(FIND("internal drawer box",A49))=FALSE,VLOOKUP("Drawer runners and clip set (450) Dynapro",FurnitureData,5,0),IF(ISERROR(FIND("table",A49))=FALSE,VLOOKUP("Hairpin Leg (12mm Black "&amp;MID(A49,FIND("(",A49)+1,LEN(A49)-(FIND("(",A49))-1)&amp;"mm)",ExceptionalData,4,FALSE),""))))))</f>
        <v/>
      </c>
      <c r="L49" s="152">
        <f t="shared" si="3"/>
        <v>205.5</v>
      </c>
      <c r="M49" s="154">
        <f>IF(A49="","",IF(AND(ISERROR(FIND("drawer front",A49))=FALSE,WardrobeDoorStyle="Flat"),(((B49/1000)*(C49/1000))*2)+((((B49+C49)/1000)*2)*0.022),IF(AND(ISERROR(FIND("drawer front",A49))=FALSE,LEFT(WardrobeDoorStyle,5)="Panel"),(((B49/1000)*(C49/1000))*2)+((((B49+C49)/1000)*2)*0.022)+((((C49/1000)-0.16)*0.013)*2)+((((D49/1000)-0.16)*0.013)*2),IF(AND(ISERROR(FIND("drawer front",A49))=FALSE,WardrobeDoorStyle="In-frame flat"),((((B49-76)/1000)*((C49-38)/1000))*2)+(MID(WardrobeDoorMaterial,FIND("(",WardrobeDoorMaterial)+1,2)/1000)*((((B49-76)+(C49-38))/1000)*2)+(((B49/1000)*0.032)*2)+((((B49-76)/1000)*0.032)*2)+(((B49/1000)*0.019)*4)+(((C49/1000)*0.032)*2)+((((C49-38)/1000)*0.032)*2)+(((C49/1000)*0.038)*4),IF(AND(ISERROR(FIND("drawer front",A49))=FALSE,LEFT(WardrobeDoorStyle,14)="In-frame panel"),((((B49-76)/1000)*((C49-38)/1000))*2)+((MID(WardrobeDoorMaterial,FIND("(",WardrobeDoorMaterial)+1,2)/1000)*((((B49-76)+(C49-38))/1000)*2))+((((B49-236)/1000)+((C49-198)/1000)*2)*0.013)+(((B49/1000)*0.032)*2)+((((B49-76)/1000)*0.032)*2)+(((B49/1000)*0.019)*4)+(((C49/1000)*0.032)*2)+((((C49-38)/1000)*0.032)*2)+(((C49/1000)*0.038)*4),IF(ISERROR(FIND("drawer box",A49))=FALSE,((((B49/1000)*(D49/1000))+((B49/1000)*(C49/1000)))*4)+((((D49/1000)+(C49/1000))*0.016)*4)+(((C49/1000)*(D49/1000))*2),IF(OR(ISERROR(FIND("shelf",A49))=FALSE,ISERROR(FIND("Filler panel",A49))=FALSE),(((C49/1000)*(D49/1000))*2)+((((C49+D49)*2)/1000)*0.022),IF(ISERROR(FIND("Fireplace",A49))=FALSE,((B49/1000)*(C49/1000)),IF(ISERROR(FIND("Worktop",A49))=FALSE,(B49/1000)*(C49/1000),IF(ISERROR(FIND("table",A49))=FALSE,(B49/1000)*0.6,IF(ISERROR(FIND("arcass",A49))=FALSE,(((C49/1000)*(D49/1000))*2)+(((B49/1000)*(D49/1000))*2)+((B49/1000)*(C49/1000))+((((B49/1000)*0.025)+((C49/1000)*0.025))*2),IF(AND(ISERROR(FIND("door",A49))=FALSE,WardrobeDoorStyle="Flat"),(((B49/1000)*(C49/1000))*2)+(MID(WardrobeDoorMaterial,FIND("(",WardrobeDoorMaterial)+1,2)/1000)*(((B49+C49)/1000)*2),IF(AND(ISERROR(FIND("door",A49))=FALSE,LEFT(WardrobeDoorStyle,5)="Panel"),(((B49/1000)*(C49/1000))*2)+((MID(WardrobeDoorMaterial,FIND("(",WardrobeDoorMaterial)+1,2)/1000)*(((B49+C49)/1000)*2))+(((((B49-160)+(C49-160))*2)/1000)*(0.013)),IF(AND(ISERROR(FIND("door",A49))=FALSE,WardrobeDoorStyle="In-frame flat"),((((B49-76)/1000)*((C49-38)/1000))*2)+(MID(WardrobeDoorMaterial,FIND("(",WardrobeDoorMaterial)+1,2)/1000)*((((B49-76)+(C49-38))/1000)*2)+(((B49/1000)*0.032)*2)+((((B49-76)/1000)*0.032)*2)+(((B49/1000)*0.019)*4)+(((C49/1000)*0.032)*2)+((((C49-38)/1000)*0.032)*2)+(((C49/1000)*0.038)*4),IF(AND(ISERROR(FIND("door",A49))=FALSE,LEFT(WardrobeDoorStyle,14)="In-frame panel"),((((B49-76)/1000)*((C49-38)/1000))*2)+((MID(WardrobeDoorMaterial,FIND("(",WardrobeDoorMaterial)+1,2)/1000)*((((B49-76)+(C49-38))/1000)*2))+((((B49-236)/1000)+((C49-198)/1000)*2)*0.013)+(((B49/1000)*0.032)*2)+((((B49-76)/1000)*0.032)*2)+(((B49/1000)*0.019)*4)+(((C49/1000)*0.032)*2)+((((C49-38)/1000)*0.032)*2)+(((C49/1000)*0.038)*4),IF(ISERROR(FIND("Plinth",A49))=FALSE,((B49/1000)*(C49/1000))+(((C49/1000)*0.018)*2)+(((B49/1000)*0.018)*2),IF(ISERROR(FIND("Cornice",A49))=FALSE,(((C49/1000)*0.1)*2)+(((C49/1000)*0.044)*2)+(((B49/1000)*0.08)*2),IF(ISERROR(FIND("Office pod",A49))=FALSE,((2400/1000)*(1200/1000))*6,IF(ISERROR(FIND("panel",A49))=FALSE,((B49/1000)*(C49/1000))+(0.022*((B49/1000)+((C49/1000)*2)))+((B49/1000)*0.05),IF(ISERROR(FIND("Fillers",A49))=FALSE,((C49/1000)*0.06)+((C49/1000)*0.069)+((0.06*0.018)*2)+((0.06*0.009)*2)+((C49/1000)*0.009)+((C49/1000)*0.018),IF(ISERROR(FIND("Pelmet",A49))=FALSE,((C49/1000)*0.05)+((C49/1000)*0.068)+((0.05*0.018)*4)+(((C49/1000)*0.018))*2)))))))))))))))))))))</f>
        <v>1.44</v>
      </c>
      <c r="N49" s="152">
        <f>IF(M49="","",IF(AND(ISERROR(FIND("carcass",A49))=TRUE,ISERROR(FIND("unit",A49))=TRUE,ISERROR(FIND("insert",A49))=TRUE,ISERROR(FIND("rack",A49))=TRUE,ISERROR(FIND("box",A49))=TRUE,ISERROR(FIND("shelf",A49))=TRUE),VLOOKUP(WardrobeDoorFinish,Finishing!$A$2:$K$10,9,0)*M49,IF(ISERROR(FIND("table",A49))=FALSE,VLOOKUP("Sayerlack AF0072 Interior Clear Self-Sealer",FinishingData,9,FALSE)*M49,VLOOKUP(WardrobeCarcassFinish,Finishing!$A$2:$K$40,9,0)*M49)))</f>
        <v>10.8</v>
      </c>
      <c r="O49" s="159">
        <v>4.0</v>
      </c>
      <c r="P49" s="159">
        <v>2.0</v>
      </c>
      <c r="Q49" s="152">
        <f>IF(OR(O49="",P49=""),"",((O49*X49)*(VLOOKUP("Workshop",Labour!$A$3:$E$20,4,0)/8))+((P49*AE49)*(VLOOKUP("Finishing",Labour!$A$3:$E$20,4,0)/8)))</f>
        <v>231</v>
      </c>
      <c r="R49" s="152">
        <f t="shared" si="4"/>
        <v>447.3</v>
      </c>
      <c r="S49" s="156">
        <f>IF(OR(O49="",P49=""),"",IF(OR(ISERROR(FIND("carcass",$A49))=FALSE,ISERROR(FIND("unit",$A49))=FALSE),VLOOKUP(WardrobeCarcassMaterial,FixedListsCarcassMaterial,2,0),0))</f>
        <v>0</v>
      </c>
      <c r="T49" s="156">
        <f>IF(OR(O49="",P49=""),"",IF(ISERROR(FIND("door",$A49))=FALSE,VLOOKUP(WardrobeDoorStyle,FixedListsDoorStyle,2,0),0))</f>
        <v>0</v>
      </c>
      <c r="U49" s="156">
        <f>IF(OR(O49="",P49=""),"",IF(ISERROR(FIND("door",$A49))=FALSE,VLOOKUP(WardrobeDoorMaterial,FixedListsDoorMaterial,2,0),0))</f>
        <v>0</v>
      </c>
      <c r="V49" s="156">
        <f>IF(OR(O49="",P49=""),"",IF(ISERROR(FIND("drawer",$A49))=FALSE,VLOOKUP(WardrobeDrawerType,FixedListsDrawerType,2,0),0))</f>
        <v>0</v>
      </c>
      <c r="W49" s="156">
        <f>IF(OR(O49="",P49=""),"",IF(S49&gt;0,VLOOKUP(WardrobeHandleType,FixedListsHandleType,2,FALSE),0))</f>
        <v>0</v>
      </c>
      <c r="X49" s="156">
        <f t="shared" si="5"/>
        <v>1</v>
      </c>
      <c r="Y49" s="156">
        <f>IF(OR(O49="",P49=""),"",IF(OR(ISERROR(FIND("carcass",$A49))=FALSE,ISERROR(FIND("unit",$A49))=FALSE),VLOOKUP(WardrobeCarcassMaterial,FixedListsCarcassMaterial,3,0),0))</f>
        <v>0</v>
      </c>
      <c r="Z49" s="156">
        <f>IF(OR(O49="",P49=""),"",IF(ISERROR(FIND("door",$A49))=FALSE,VLOOKUP(WardrobeDoorStyle,FixedListsDoorStyle,3,0),0))</f>
        <v>0</v>
      </c>
      <c r="AA49" s="156">
        <f>IF(OR(O49="",P49=""),"",IF(ISERROR(FIND("door",$A49))=FALSE,VLOOKUP(WardrobeDoorMaterial,FixedListsDoorMaterial,3,0),0))</f>
        <v>0</v>
      </c>
      <c r="AB49" s="156">
        <f>IF(OR(O49="",P49=""),"",IF(ISERROR(FIND("drawer",$A49))=FALSE,VLOOKUP(WardrobeDrawerType,FixedListsDrawerType,3,0),0))</f>
        <v>0</v>
      </c>
      <c r="AC49" s="156">
        <f>IF(OR(O49="",P49=""),"",IF(S49&gt;0,VLOOKUP(WardrobeHandleType,FixedListsHandleType,3,FALSE),0))</f>
        <v>0</v>
      </c>
      <c r="AD49" s="156">
        <f>IF(OR(O49="",P49=""),"",IF(OR(ISERROR(FIND("carcass",$A49))=FALSE,ISERROR(FIND("unit",$A49))=FALSE),VLOOKUP(WardrobeCarcassFinish,FixedListsFinishes,3,0),IF(OR(ISERROR(FIND("door",$A49))=FALSE,ISERROR(FIND("Plinth",$A49))=FALSE,ISERROR(FIND("Cornice",$A49))=FALSE,ISERROR(FIND("Fillers",$A49))=FALSE,ISERROR(FIND("Pelmet",$A49))=FALSE,ISERROR(FIND("panel",$A49))=FALSE,ISERROR(FIND("post",$A49))=FALSE),VLOOKUP(WardrobeDoorFinish,FixedListsFinishes,3,0),IF(OR(ISERROR(FIND("drawer",$A49))=FALSE,ISERROR(FIND("insert",$A49))=FALSE,ISERROR(FIND("rck",$A49))=FALSE),VLOOKUP(WardrobeCarcassFinish,FixedListsFinishes,3,0),0))))</f>
        <v>0</v>
      </c>
      <c r="AE49" s="156">
        <f t="shared" si="6"/>
        <v>1</v>
      </c>
      <c r="AF49" s="157" t="str">
        <f>IF(AND(WardrobeHandleType="Channel",OR(ISERROR(FIND("arcass",$A49))=FALSE,ISERROR(FIND("unit",$A49))=FALSE)),IF(ISERROR(FIND("Tower",$A49))=TRUE,IF(WardrobeHandleFinish="Match carcass",IF(ISERROR(FIND("Walnut",WardrobeCarcassMaterial))=FALSE,(0.035*0.075*($C49/1000))*VLOOKUP("Walnut (solid m3)",SolidData,4,FALSE),IF(ISERROR(FIND("Oak",WardrobeCarcassMaterial))=FALSE,(0.035*0.075*($C49/1000))*VLOOKUP("Oak (solid m3)",SolidData,4,FALSE),IF(ISERROR(FIND("ply",WardrobeCarcassMaterial))=FALSE,(0.1*($C49/1000))*VLOOKUP("Birch ply (24mm)",SheetsData,7,FALSE),IF(ISERROR(FIND("H/F",WardrobeCarcassMaterial))=FALSE,(0.1*($C49/1000))*VLOOKUP("H/F (22mm)",SheetsData,7,FALSE),"Carcass - not tower - new material")))),IF(WardrobeHandleFinish="Match door",IF(ISERROR(FIND("Walnut",WardrobeDoorMaterial))=FALSE,(0.035*0.075*($C49/1000))*VLOOKUP("Walnut (solid m3)",SolidData,4,FALSE),IF(ISERROR(FIND("Oak",WardrobeDoorMaterial))=FALSE,(0.035*0.075*($C49/1000))*VLOOKUP("Oak (solid m3)",SolidData,4,FALSE),IF(ISERROR(FIND("ply",WardrobeDoorMaterial))=FALSE,(0.1*($C49/1000))*VLOOKUP("Birch ply (24mm)",SheetsData,7,FALSE),IF(ISERROR(FIND("H/F",WardrobeCarcassMaterial))=FALSE,(0.1*($C49/1000))*VLOOKUP("H/F (22mm)",SheetsData,7,FALSE),"Door - not tower - new material")))),"Channel - not tower - handle set to other")),IF(ISERROR(FIND("Tower",$A49))=FALSE,IF(WardrobeHandleFinish="Match carcass",IF(ISERROR(FIND("Walnut",WardrobeCarcassMaterial))=FALSE,(0.035*0.075*($B49/1000))*VLOOKUP("Walnut (solid m3)",SolidData,4,FALSE),IF(ISERROR(FIND("Oak",WardrobeCarcassMaterial))=FALSE,(0.035*0.075*($B49/1000))*VLOOKUP("Oak (solid m3)",SolidData,4,FALSE),IF(ISERROR(FIND("ply",WardrobeCarcassMaterial))=FALSE,(0.1*($B49/1000))*VLOOKUP("Birch ply (24mm)",SheetsData,7,FALSE),IF(ISERROR(FIND("H/F",WardrobeCarcassMaterial))=FALSE,(0.1*($C49/1000))*VLOOKUP("H/F (22mm)",SheetsData,7,FALSE),"Carcass - tower - new material")))),IF(WardrobeHandleFinish="Match door",IF(ISERROR(FIND("Walnut",WardrobeDoorMaterial))=FALSE,(0.035*0.075*($B49/1000))*VLOOKUP("Walnut (solid m3)",SolidData,4,FALSE),IF(ISERROR(FIND("Oak",WardrobeDoorMaterial))=FALSE,(0.035*0.075*($B49/1000))*VLOOKUP("Oak (solid m3)",SolidData,4,FALSE),IF(ISERROR(FIND("ply",WardrobeDoorMaterial))=FALSE,(0.1*($B49/1000))*VLOOKUP("Birch ply (24mm)",SheetData,7,FALSE),IF(ISERROR(FIND("H/F",WardrobeCarcassMaterial))=FALSE,(0.1*($C49/1000))*VLOOKUP("H/F (22mm)",SheetsData,7,FALSE),"Door - tower - new material")))),"Channel - tower - handle set to other")))),"")</f>
        <v/>
      </c>
    </row>
    <row r="50">
      <c r="A50" s="150" t="s">
        <v>245</v>
      </c>
      <c r="B50" s="160" t="str">
        <f t="shared" si="1"/>
        <v>2400</v>
      </c>
      <c r="C50" s="160" t="str">
        <f>IFERROR(__xludf.DUMMYFUNCTION("IF(A50="""","""",IF(ISERROR(FIND(""arcass"",A50))=FALSE,MID(A50,FIND(""*"",A50)+1,FIND(""*"",A50,FIND(""*"",A50)+1)-FIND(""*"",A50)-1),IF(ISERROR(FIND(""End panel"",A50))=FALSE,RIGHT(A50,3),IF(OR(ISERROR(FIND(""drawer"",A50))=FALSE,ISERROR(FIND(""door"",A"&amp;"50))=FALSE,ISERROR(FIND(""shelf"",A50))=FALSE,ISERROR(FIND(""panel"",A50))=FALSE,ISERROR(FIND(""Plinth"",A50))=FALSE,ISERROR(FIND(""Cornice"",A50))=FALSE,ISERROR(FIND(""Fillers"",A50))=FALSE,ISERROR(FIND(""Pelmet"",A50))=FALSE,ISERROR(FIND(""Fireplace up "&amp;"to 1600"",A50))=FALSE),RIGHT(A50,LEN(A50)-LEN(regexextract(A50,"".* ""))),IF(ISERROR(FIND(""table"",A50))=FALSE,""560"",IF(ISERROR(FIND(""Office pod"",A50))=FALSE,""1600"",IF(ISERROR(FIND(""Fireplace over 1600"",A50))=FALSE,""2400"",IF(ISERROR(FIND(""Work"&amp;"top"",A50))=FALSE,""650"",""Whoops""))))))))"),"560")</f>
        <v>560</v>
      </c>
      <c r="D50" s="161" t="str">
        <f t="shared" si="2"/>
        <v/>
      </c>
      <c r="E50" s="152">
        <f>IF(OR(A50="",AND(ISERROR(FIND("drawer",A50))=FALSE,WardrobeDrawerType="")),"",IF(ISERROR(FIND("door",A50))=FALSE,IF(WardrobeDoorStyle="Flat",((B50/1000)*(C50/1000))*VLOOKUP(WardrobeDoorMaterial,SheetsData,8,0),IF(LEFT(WardrobeDoorStyle,5)="Panel",(((((B50/1000)*2)*0.08)+((((C50/1000)-0.16)*2)*0.08))*VLOOKUP("H/F (22mm)",SheetsData,8,0))+(((B50/1000)-0.14)*((C50/1000)-0.14)*VLOOKUP("H/F (9mm)",SheetsData,8,0)),IF(WardrobeDoorStyle="In-frame flat",((((((B50/1000)*0.019)*0.038)+((((C50-38)/1000)*0.038)*0.038))*2)*VLOOKUP("Tulip (solid m3)",SolidData,4,0))+(((B50-76)/1000)*((C50-38)/1000))*VLOOKUP("H/F (22mm)",SheetsData,8,0),IF(LEFT(WardrobeDoorStyle,14)="In-frame panel",(((((((B50/1000)*0.019)*0.038)+((((C50-38)/1000)*0.038)*0.038))*2)*VLOOKUP("Tulip (solid m3)",SolidData,4,0))+(((((((B50-76)/1000)*2)*0.08)+(((((C50-198)/1000)*2)*0.08)))*VLOOKUP("H/F (22mm)",SheetsData,8,0))+(((B50-216)/1000)*((C50-178)/1000)*VLOOKUP("H/F (9mm)",SheetsData,8,0)))))))),IF(AND(ISERROR(FIND("arcass",A50))=FALSE,ISERROR(FIND("ost corner",A50))=TRUE),IF(AND(VALUE(B50)&lt;1211,VALUE(C50)&lt;1211,VALUE(D50)&lt;606),1*VLOOKUP(WardrobeCarcassMaterial,SheetsData,5,FALSE),IF(AND(VALUE(B50)&lt;2421,VALUE(C50)&lt;2421,VALUE(D50)&lt;606),2*VLOOKUP(WardrobeCarcassMaterial,SheetsData,5,FALSE),IF(AND(VALUE(B50)&lt;2421,VALUE(C50)&lt;1211,VALUE(D50)&lt;1211),3*VLOOKUP(WardrobeCarcassMaterial,SheetsData,5,FALSE),IF(AND(VALUE(B50)&lt;2421,VALUE(C50)&lt;2421,VALUE(D50)&lt;1211),4*VLOOKUP(WardrobeCarcassMaterial,SheetsData,5,FALSE))))),IF(AND(ISERROR(FIND("arcass",A50))=FALSE,ISERROR(FIND("ost corner",A50))=FALSE),IF(AND(VALUE(B50)&lt;1211,VALUE(C50)&lt;1211,VALUE(D50)&lt;606),(1*VLOOKUP(WardrobeCarcassMaterial,SheetsData,5,FALSE))+(VLOOKUP("H/F (22mm)",SheetsData,7,FALSE)*1.44),IF(AND(VALUE(B50)&lt;2421,VALUE(C50)&lt;2421,VALUE(D50)&lt;606),(2*VLOOKUP(WardrobeCarcassMaterial,SheetsData,5,FALSE))+(VLOOKUP("H/F (22mm)",SheetsData,7,FALSE)*1.44),IF(AND(VALUE(B50)&lt;2421,VALUE(C50)&lt;1211,VALUE(D50)&lt;1211),(3*VLOOKUP(WardrobeCarcassMaterial,SheetsData,5,FALSE))+(VLOOKUP("H/F (22mm)",SheetsData,7,FALSE)*1.44),IF(AND(VALUE(B50)&lt;2421,VALUE(C50)&lt;2421,VALUE(D50)&lt;1211),(4*VLOOKUP(WardrobeCarcassMaterial,SheetsData,5,FALSE))+(VLOOKUP("H/F (22mm)",SheetsData,7,FALSE)*1.44))))),IF(ISERROR(FIND("drawer front",A50))=FALSE,((B50/1000)*(C50/1000))*VLOOKUP(WardrobeDoorMaterial,SheetsData,8,0),IF(AND(WardrobeDrawerType="Match carcass",ISERROR(FIND("drawer box",A50))=FALSE),(((((B50/1000)*(C50/1000))+((B50/1000)*(D50/1000)))*2)*VLOOKUP(WardrobeCarcassMaterial,SheetsData,8,0))+(((C50/1000)*(D50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box",A50))=FALSE),(((((B50/1000)*(C50/1000))+((B50/1000)*(D50/1000)))*2)*(16/1000)*VLOOKUP(LEFT(WardrobeCarcassMaterial,FIND(" ",WardrobeCarcassMaterial))&amp;"(solid m3)",SolidData,4,0))+(((C50/1000)*(D50/1000))*VLOOKUP(LEFT(WardrobeCarcassMaterial,FIND("(",WardrobeCarcassMaterial)-1)&amp;IF(OR(ISERROR(FIND("ply",WardrobeCarcassMaterial))=FALSE,ISERROR(FIND("H/F",WardrobeCarcassMaterial))=FALSE),"(9mm)","(10mm)"),SheetsData,8,0)),IF(ISERROR(FIND("shelf",A50))=FALSE,((C50/1000)*(D50/1000))*VLOOKUP(WardrobeCarcassMaterial,SheetsData,7,FALSE),IF(ISERROR(FIND("Office pod",A50))=FALSE,3*VLOOKUP(WardrobeCarcassMaterial,SheetsData,5,0),IF(ISERROR(FIND(" panel",A50))=FALSE,((B50/1000)*(C50/1000))*VLOOKUP(WardrobeDoorMaterial,SheetsData,8,0),IF(ISERROR(FIND("Fillers",A50))=FALSE,(((0.06*(C50/1000))*2)*VLOOKUP("H/F (18mm)",SheetsData,8,0))+(((0.06*(C50/1000))*2)*VLOOKUP("H/F (9mm)",SheetsData,8,0)),IF(ISERROR(FIND("Cornice (stacked)",A50))=FALSE,((0.08*(C50/1000))*2)*VLOOKUP("H/F (22mm)",SheetsData,8,0),IF(OR(ISERROR(FIND("Plinth",A50))=FALSE,ISERROR(FIND("Cornice (flat)",A50))=FALSE),((B50/1000)*(C50/1000))*VLOOKUP("H/F (18mm)",SheetsData,8,0),IF(ISERROR(FIND("Pelmet",A50))=FALSE,((((B50/1000)*(C50/1000))*2)*VLOOKUP("H/F (18mm)",SheetsData,8,0)),IF(ISERROR(FIND("Fireplace",A50))=FALSE,IF(ISERROR(FIND("over 1600",A50))=FALSE,2*VLOOKUP(WardrobeCarcassMaterial,SheetsData,5,FALSE),VLOOKUP(WardrobeCarcassMaterial,SheetsData,5,FALSE)),IF(ISERROR(FIND("table",A50))=FALSE,((B50/1000)*0.6)*VLOOKUP("Birch ply (24mm)",SheetsData,7,FALSE),IF(ISERROR(FIND("Worktop",A50))=FALSE,((B50/1000)*(C50/1000))*VLOOKUP(WardrobeDoorMaterial,SheetsData,7,FALSE),"Check formula")))))))))))))))))</f>
        <v>191.88</v>
      </c>
      <c r="F50" s="152" t="str">
        <f>IFERROR(__xludf.DUMMYFUNCTION("IF(OR(A50="""",AND(ISERROR(FIND(""drawer box"",A50))=FALSE,WardrobeDrawerType=""Solid dovetail"")),"""",IF(ISERROR(FIND(""bins"",A50))=FALSE,VLOOKUP(""Base carcass 600"",Wardrobes_etcData,6,0),IF(OR(ISERROR(FIND(""larder"",A50))=FALSE,ISERROR(FIND(""unit"&amp;""",A50))=FALSE),VLOOKUP(LEFT(A50,FIND("" "",A50))&amp;""carcass ""&amp;RIGHT(A50,LEN(A50)-len(regexextract(A50,"".* ""))),Wardrobes_etcData,6,0),IF(ISERROR(FIND(""drawer front"",A50))=FALSE,IF(ISERROR(FIND(""veneer"",WardrobeCarcassMaterial))=TRUE,0,(((B50+C50)/1"&amp;"000)*2)*VLOOKUP(""Edge banding (per M)"",SheetsData,5,0)),IF(ISERROR(FIND(""drawer box"",A50))=FALSE,IF(ISERROR(FIND(""veneer"",WardrobeCarcassMaterial))=TRUE,0,(((C50+D50)/1000)*2)*VLOOKUP(""Edge banding (per M)"",SheetsData,5,0)),IF(ISERROR(FIND(""shelf"&amp;""",A50))=FALSE,IF(ISERROR(FIND(""veneer"",WardrobeCarcassMaterial))=TRUE,0,(C50/1000)*VLOOKUP(""Edge banding (per M)"",SheetsData,5,0)),IF(AND(OR(ISERROR(FIND(""arcass"",A50))=FALSE,ISERROR(FIND(""Fireplace"",A50))=FALSE),ISERROR(FIND(""shelf"",A50))=TRUE"&amp;"),IF(ISERROR(FIND(""veneer"",WardrobeCarcassMaterial))=TRUE,0,((2*(B50+C50))/1000)*VLOOKUP(""Edge banding (per M)"",SheetsData,5,0)),IF(ISERROR(FIND(""door"",A50))=TRUE,"""",IF(ISERROR(FIND(""veneer"",WardrobeDoorMaterial))=TRUE,"""",((2*(B50+C50))/1000)*"&amp;"VLOOKUP(""Edge banding (per M)"",SheetsData,5,0))))))))))"),"")</f>
        <v/>
      </c>
      <c r="G50" s="153" t="str">
        <f>IF(A50="","",IF(AND(ISERROR(FIND("arcass",A50))=TRUE,ISERROR(FIND("Fireplace",A50))=TRUE),"",IF(VALUE(C50)&lt;606,4*VLOOKUP("Plinth foot (2 Parts 80mm)",FurnitureData,5,FALSE),IF(VALUE(C50)&lt;1211,6*VLOOKUP("Plinth foot (2 Parts 80mm)",FurnitureData,5,FALSE),8*VLOOKUP("Plinth foot (2 Parts 80mm)",FurnitureData,5,FALSE)))))</f>
        <v/>
      </c>
      <c r="H50" s="115" t="str">
        <f>IF(OR(A50="",ISERROR(FIND("door",A50))=TRUE),"",VLOOKUP("Hinges &amp; plates (Hettich thick door)",FurnitureData,5,0)*5)</f>
        <v/>
      </c>
      <c r="I50" s="115" t="str">
        <f>IF(ISERROR(FIND("shelf",A50))=FALSE,(VLOOKUP("Shelf pegs",FurnitureData,5,0)/100)*4,"")</f>
        <v/>
      </c>
      <c r="J50" s="152" t="str">
        <f>IF(OR(ISERROR(FIND("fridge/freezer",A50))=FALSE,ISERROR(FIND("sink",A50))=FALSE,ISERROR(FIND("larder",A50))=FALSE),VLOOKUP("Deep shelf "&amp;C50,Wardrobes_etcData,18,0),IF(OR(ISERROR(FIND("single oven",A50))=FALSE,ISERROR(FIND("Base carcass",A50))=FALSE),2*VLOOKUP("Deep shelf "&amp;C50,Wardrobes_etcData,18,0),IF(AND(ISERROR(FIND("wall carcass",A50))=FALSE,ISERROR(FIND("Boiler",A50))=TRUE),2*VLOOKUP("Shallow shelf "&amp;C50,Wardrobes_etcData,18,0),IF(ISERROR(FIND("double oven",A50))=FALSE,3*VLOOKUP("Deep shelf "&amp;C50,Wardrobes_etcData,18,0),IF(ISERROR(FIND("Tower carcass",A50))=FALSE,6*VLOOKUP("Deep shelf "&amp;C50,Wardrobes_etcData,18,0),"")))))</f>
        <v/>
      </c>
      <c r="K50" s="152">
        <f>IF(ISERROR(FIND("sink",A50))=FALSE,VLOOKUP("Sink liner - Aluminium "&amp;RIGHT(A50,LEN(A50)-22)&amp;"mm",ExceptionalData,5,0),IF(ISERROR(FIND("bins",A50))=FALSE,VLOOKUP("Drawer runners and clip set for bin unit (500) Dynapro",FurnitureData,5,0)+(2*VLOOKUP("Bin (42L Anthracite)",FurnitureData,5,0)),IF(ISERROR(FIND("larder",A50))=FALSE,VLOOKUP("Pull out larder unit 600mm",FurnitureData,5,0),IF(AND(ISERROR(FIND("drawer box",A50))=FALSE,ISERROR(FIND("internal",A50))=TRUE),VLOOKUP("Drawer runners and clip set (550) Dynapro",FurnitureData,5,0),IF(ISERROR(FIND("internal drawer box",A50))=FALSE,VLOOKUP("Drawer runners and clip set (450) Dynapro",FurnitureData,5,0),IF(ISERROR(FIND("table",A50))=FALSE,VLOOKUP("Hairpin Leg (12mm Black "&amp;MID(A50,FIND("(",A50)+1,LEN(A50)-(FIND("(",A50))-1)&amp;"mm)",ExceptionalData,4,FALSE),""))))))</f>
        <v>4</v>
      </c>
      <c r="L50" s="152">
        <f t="shared" si="3"/>
        <v>195.88</v>
      </c>
      <c r="M50" s="154">
        <f>IF(A50="","",IF(AND(ISERROR(FIND("drawer front",A50))=FALSE,WardrobeDoorStyle="Flat"),(((B50/1000)*(C50/1000))*2)+((((B50+C50)/1000)*2)*0.022),IF(AND(ISERROR(FIND("drawer front",A50))=FALSE,LEFT(WardrobeDoorStyle,5)="Panel"),(((B50/1000)*(C50/1000))*2)+((((B50+C50)/1000)*2)*0.022)+((((C50/1000)-0.16)*0.013)*2)+((((D50/1000)-0.16)*0.013)*2),IF(AND(ISERROR(FIND("drawer front",A50))=FALSE,WardrobeDoorStyle="In-frame flat"),((((B50-76)/1000)*((C50-38)/1000))*2)+(MID(WardrobeDoorMaterial,FIND("(",WardrobeDoorMaterial)+1,2)/1000)*((((B50-76)+(C50-38))/1000)*2)+(((B50/1000)*0.032)*2)+((((B50-76)/1000)*0.032)*2)+(((B50/1000)*0.019)*4)+(((C50/1000)*0.032)*2)+((((C50-38)/1000)*0.032)*2)+(((C50/1000)*0.038)*4),IF(AND(ISERROR(FIND("drawer front",A50))=FALSE,LEFT(WardrobeDoorStyle,14)="In-frame panel"),((((B50-76)/1000)*((C50-38)/1000))*2)+((MID(WardrobeDoorMaterial,FIND("(",WardrobeDoorMaterial)+1,2)/1000)*((((B50-76)+(C50-38))/1000)*2))+((((B50-236)/1000)+((C50-198)/1000)*2)*0.013)+(((B50/1000)*0.032)*2)+((((B50-76)/1000)*0.032)*2)+(((B50/1000)*0.019)*4)+(((C50/1000)*0.032)*2)+((((C50-38)/1000)*0.032)*2)+(((C50/1000)*0.038)*4),IF(ISERROR(FIND("drawer box",A50))=FALSE,((((B50/1000)*(D50/1000))+((B50/1000)*(C50/1000)))*4)+((((D50/1000)+(C50/1000))*0.016)*4)+(((C50/1000)*(D50/1000))*2),IF(OR(ISERROR(FIND("shelf",A50))=FALSE,ISERROR(FIND("Filler panel",A50))=FALSE),(((C50/1000)*(D50/1000))*2)+((((C50+D50)*2)/1000)*0.022),IF(ISERROR(FIND("Fireplace",A50))=FALSE,((B50/1000)*(C50/1000)),IF(ISERROR(FIND("Worktop",A50))=FALSE,(B50/1000)*(C50/1000),IF(ISERROR(FIND("table",A50))=FALSE,(B50/1000)*0.6,IF(ISERROR(FIND("arcass",A50))=FALSE,(((C50/1000)*(D50/1000))*2)+(((B50/1000)*(D50/1000))*2)+((B50/1000)*(C50/1000))+((((B50/1000)*0.025)+((C50/1000)*0.025))*2),IF(AND(ISERROR(FIND("door",A50))=FALSE,WardrobeDoorStyle="Flat"),(((B50/1000)*(C50/1000))*2)+(MID(WardrobeDoorMaterial,FIND("(",WardrobeDoorMaterial)+1,2)/1000)*(((B50+C50)/1000)*2),IF(AND(ISERROR(FIND("door",A50))=FALSE,LEFT(WardrobeDoorStyle,5)="Panel"),(((B50/1000)*(C50/1000))*2)+((MID(WardrobeDoorMaterial,FIND("(",WardrobeDoorMaterial)+1,2)/1000)*(((B50+C50)/1000)*2))+(((((B50-160)+(C50-160))*2)/1000)*(0.013)),IF(AND(ISERROR(FIND("door",A50))=FALSE,WardrobeDoorStyle="In-frame flat"),((((B50-76)/1000)*((C50-38)/1000))*2)+(MID(WardrobeDoorMaterial,FIND("(",WardrobeDoorMaterial)+1,2)/1000)*((((B50-76)+(C50-38))/1000)*2)+(((B50/1000)*0.032)*2)+((((B50-76)/1000)*0.032)*2)+(((B50/1000)*0.019)*4)+(((C50/1000)*0.032)*2)+((((C50-38)/1000)*0.032)*2)+(((C50/1000)*0.038)*4),IF(AND(ISERROR(FIND("door",A50))=FALSE,LEFT(WardrobeDoorStyle,14)="In-frame panel"),((((B50-76)/1000)*((C50-38)/1000))*2)+((MID(WardrobeDoorMaterial,FIND("(",WardrobeDoorMaterial)+1,2)/1000)*((((B50-76)+(C50-38))/1000)*2))+((((B50-236)/1000)+((C50-198)/1000)*2)*0.013)+(((B50/1000)*0.032)*2)+((((B50-76)/1000)*0.032)*2)+(((B50/1000)*0.019)*4)+(((C50/1000)*0.032)*2)+((((C50-38)/1000)*0.032)*2)+(((C50/1000)*0.038)*4),IF(ISERROR(FIND("Plinth",A50))=FALSE,((B50/1000)*(C50/1000))+(((C50/1000)*0.018)*2)+(((B50/1000)*0.018)*2),IF(ISERROR(FIND("Cornice",A50))=FALSE,(((C50/1000)*0.1)*2)+(((C50/1000)*0.044)*2)+(((B50/1000)*0.08)*2),IF(ISERROR(FIND("Office pod",A50))=FALSE,((2400/1000)*(1200/1000))*6,IF(ISERROR(FIND("panel",A50))=FALSE,((B50/1000)*(C50/1000))+(0.022*((B50/1000)+((C50/1000)*2)))+((B50/1000)*0.05),IF(ISERROR(FIND("Fillers",A50))=FALSE,((C50/1000)*0.06)+((C50/1000)*0.069)+((0.06*0.018)*2)+((0.06*0.009)*2)+((C50/1000)*0.009)+((C50/1000)*0.018),IF(ISERROR(FIND("Pelmet",A50))=FALSE,((C50/1000)*0.05)+((C50/1000)*0.068)+((0.05*0.018)*4)+(((C50/1000)*0.018))*2)))))))))))))))))))))</f>
        <v>1.44</v>
      </c>
      <c r="N50" s="152">
        <f>IF(M50="","",IF(AND(ISERROR(FIND("carcass",A50))=TRUE,ISERROR(FIND("unit",A50))=TRUE,ISERROR(FIND("insert",A50))=TRUE,ISERROR(FIND("rack",A50))=TRUE,ISERROR(FIND("box",A50))=TRUE,ISERROR(FIND("shelf",A50))=TRUE),VLOOKUP(WardrobeDoorFinish,Finishing!$A$2:$K$10,9,0)*M50,IF(ISERROR(FIND("table",A50))=FALSE,VLOOKUP("Sayerlack AF0072 Interior Clear Self-Sealer",FinishingData,9,FALSE)*M50,VLOOKUP(WardrobeCarcassFinish,Finishing!$A$2:$K$40,9,0)*M50)))</f>
        <v>10.8</v>
      </c>
      <c r="O50" s="159">
        <v>1.0</v>
      </c>
      <c r="P50" s="159">
        <v>1.5</v>
      </c>
      <c r="Q50" s="152">
        <f>IF(OR(O50="",P50=""),"",((O50*X50)*(VLOOKUP("Workshop",Labour!$A$3:$E$20,4,0)/8))+((P50*AE50)*(VLOOKUP("Finishing",Labour!$A$3:$E$20,4,0)/8)))</f>
        <v>85.75</v>
      </c>
      <c r="R50" s="152">
        <f t="shared" si="4"/>
        <v>292.43</v>
      </c>
      <c r="S50" s="156">
        <f>IF(OR(O50="",P50=""),"",IF(OR(ISERROR(FIND("carcass",$A50))=FALSE,ISERROR(FIND("unit",$A50))=FALSE),VLOOKUP(WardrobeCarcassMaterial,FixedListsCarcassMaterial,2,0),0))</f>
        <v>0</v>
      </c>
      <c r="T50" s="156">
        <f>IF(OR(O50="",P50=""),"",IF(ISERROR(FIND("door",$A50))=FALSE,VLOOKUP(WardrobeDoorStyle,FixedListsDoorStyle,2,0),0))</f>
        <v>0</v>
      </c>
      <c r="U50" s="156">
        <f>IF(OR(O50="",P50=""),"",IF(ISERROR(FIND("door",$A50))=FALSE,VLOOKUP(WardrobeDoorMaterial,FixedListsDoorMaterial,2,0),0))</f>
        <v>0</v>
      </c>
      <c r="V50" s="156">
        <f>IF(OR(O50="",P50=""),"",IF(ISERROR(FIND("drawer",$A50))=FALSE,VLOOKUP(WardrobeDrawerType,FixedListsDrawerType,2,0),0))</f>
        <v>0</v>
      </c>
      <c r="W50" s="156">
        <f>IF(OR(O50="",P50=""),"",IF(S50&gt;0,VLOOKUP(WardrobeHandleType,FixedListsHandleType,2,FALSE),0))</f>
        <v>0</v>
      </c>
      <c r="X50" s="156">
        <f t="shared" si="5"/>
        <v>1</v>
      </c>
      <c r="Y50" s="156">
        <f>IF(OR(O50="",P50=""),"",IF(OR(ISERROR(FIND("carcass",$A50))=FALSE,ISERROR(FIND("unit",$A50))=FALSE),VLOOKUP(WardrobeCarcassMaterial,FixedListsCarcassMaterial,3,0),0))</f>
        <v>0</v>
      </c>
      <c r="Z50" s="156">
        <f>IF(OR(O50="",P50=""),"",IF(ISERROR(FIND("door",$A50))=FALSE,VLOOKUP(WardrobeDoorStyle,FixedListsDoorStyle,3,0),0))</f>
        <v>0</v>
      </c>
      <c r="AA50" s="156">
        <f>IF(OR(O50="",P50=""),"",IF(ISERROR(FIND("door",$A50))=FALSE,VLOOKUP(WardrobeDoorMaterial,FixedListsDoorMaterial,3,0),0))</f>
        <v>0</v>
      </c>
      <c r="AB50" s="156">
        <f>IF(OR(O50="",P50=""),"",IF(ISERROR(FIND("drawer",$A50))=FALSE,VLOOKUP(WardrobeDrawerType,FixedListsDrawerType,3,0),0))</f>
        <v>0</v>
      </c>
      <c r="AC50" s="156">
        <f>IF(OR(O50="",P50=""),"",IF(S50&gt;0,VLOOKUP(WardrobeHandleType,FixedListsHandleType,3,FALSE),0))</f>
        <v>0</v>
      </c>
      <c r="AD50" s="156">
        <f>IF(OR(O50="",P50=""),"",IF(OR(ISERROR(FIND("carcass",$A50))=FALSE,ISERROR(FIND("unit",$A50))=FALSE),VLOOKUP(WardrobeCarcassFinish,FixedListsFinishes,3,0),IF(OR(ISERROR(FIND("door",$A50))=FALSE,ISERROR(FIND("Plinth",$A50))=FALSE,ISERROR(FIND("Cornice",$A50))=FALSE,ISERROR(FIND("Fillers",$A50))=FALSE,ISERROR(FIND("Pelmet",$A50))=FALSE,ISERROR(FIND("panel",$A50))=FALSE,ISERROR(FIND("post",$A50))=FALSE),VLOOKUP(WardrobeDoorFinish,FixedListsFinishes,3,0),IF(OR(ISERROR(FIND("drawer",$A50))=FALSE,ISERROR(FIND("insert",$A50))=FALSE,ISERROR(FIND("rck",$A50))=FALSE),VLOOKUP(WardrobeCarcassFinish,FixedListsFinishes,3,0),0))))</f>
        <v>0</v>
      </c>
      <c r="AE50" s="156">
        <f t="shared" si="6"/>
        <v>1</v>
      </c>
      <c r="AF50" s="157" t="str">
        <f>IF(AND(WardrobeHandleType="Channel",OR(ISERROR(FIND("arcass",$A50))=FALSE,ISERROR(FIND("unit",$A50))=FALSE)),IF(ISERROR(FIND("Tower",$A50))=TRUE,IF(WardrobeHandleFinish="Match carcass",IF(ISERROR(FIND("Walnut",WardrobeCarcassMaterial))=FALSE,(0.035*0.075*($C50/1000))*VLOOKUP("Walnut (solid m3)",SolidData,4,FALSE),IF(ISERROR(FIND("Oak",WardrobeCarcassMaterial))=FALSE,(0.035*0.075*($C50/1000))*VLOOKUP("Oak (solid m3)",SolidData,4,FALSE),IF(ISERROR(FIND("ply",WardrobeCarcassMaterial))=FALSE,(0.1*($C50/1000))*VLOOKUP("Birch ply (24mm)",SheetsData,7,FALSE),IF(ISERROR(FIND("H/F",WardrobeCarcassMaterial))=FALSE,(0.1*($C50/1000))*VLOOKUP("H/F (22mm)",SheetsData,7,FALSE),"Carcass - not tower - new material")))),IF(WardrobeHandleFinish="Match door",IF(ISERROR(FIND("Walnut",WardrobeDoorMaterial))=FALSE,(0.035*0.075*($C50/1000))*VLOOKUP("Walnut (solid m3)",SolidData,4,FALSE),IF(ISERROR(FIND("Oak",WardrobeDoorMaterial))=FALSE,(0.035*0.075*($C50/1000))*VLOOKUP("Oak (solid m3)",SolidData,4,FALSE),IF(ISERROR(FIND("ply",WardrobeDoorMaterial))=FALSE,(0.1*($C50/1000))*VLOOKUP("Birch ply (24mm)",SheetsData,7,FALSE),IF(ISERROR(FIND("H/F",WardrobeCarcassMaterial))=FALSE,(0.1*($C50/1000))*VLOOKUP("H/F (22mm)",SheetsData,7,FALSE),"Door - not tower - new material")))),"Channel - not tower - handle set to other")),IF(ISERROR(FIND("Tower",$A50))=FALSE,IF(WardrobeHandleFinish="Match carcass",IF(ISERROR(FIND("Walnut",WardrobeCarcassMaterial))=FALSE,(0.035*0.075*($B50/1000))*VLOOKUP("Walnut (solid m3)",SolidData,4,FALSE),IF(ISERROR(FIND("Oak",WardrobeCarcassMaterial))=FALSE,(0.035*0.075*($B50/1000))*VLOOKUP("Oak (solid m3)",SolidData,4,FALSE),IF(ISERROR(FIND("ply",WardrobeCarcassMaterial))=FALSE,(0.1*($B50/1000))*VLOOKUP("Birch ply (24mm)",SheetsData,7,FALSE),IF(ISERROR(FIND("H/F",WardrobeCarcassMaterial))=FALSE,(0.1*($C50/1000))*VLOOKUP("H/F (22mm)",SheetsData,7,FALSE),"Carcass - tower - new material")))),IF(WardrobeHandleFinish="Match door",IF(ISERROR(FIND("Walnut",WardrobeDoorMaterial))=FALSE,(0.035*0.075*($B50/1000))*VLOOKUP("Walnut (solid m3)",SolidData,4,FALSE),IF(ISERROR(FIND("Oak",WardrobeDoorMaterial))=FALSE,(0.035*0.075*($B50/1000))*VLOOKUP("Oak (solid m3)",SolidData,4,FALSE),IF(ISERROR(FIND("ply",WardrobeDoorMaterial))=FALSE,(0.1*($B50/1000))*VLOOKUP("Birch ply (24mm)",SheetData,7,FALSE),IF(ISERROR(FIND("H/F",WardrobeCarcassMaterial))=FALSE,(0.1*($C50/1000))*VLOOKUP("H/F (22mm)",SheetsData,7,FALSE),"Door - tower - new material")))),"Channel - tower - handle set to other")))),"")</f>
        <v/>
      </c>
    </row>
    <row r="51">
      <c r="A51" s="150" t="s">
        <v>246</v>
      </c>
      <c r="B51" s="160" t="str">
        <f t="shared" si="1"/>
        <v>2400</v>
      </c>
      <c r="C51" s="160" t="str">
        <f>IFERROR(__xludf.DUMMYFUNCTION("IF(A51="""","""",IF(ISERROR(FIND(""arcass"",A51))=FALSE,MID(A51,FIND(""*"",A51)+1,FIND(""*"",A51,FIND(""*"",A51)+1)-FIND(""*"",A51)-1),IF(ISERROR(FIND(""End panel"",A51))=FALSE,RIGHT(A51,3),IF(OR(ISERROR(FIND(""drawer"",A51))=FALSE,ISERROR(FIND(""door"",A"&amp;"51))=FALSE,ISERROR(FIND(""shelf"",A51))=FALSE,ISERROR(FIND(""panel"",A51))=FALSE,ISERROR(FIND(""Plinth"",A51))=FALSE,ISERROR(FIND(""Cornice"",A51))=FALSE,ISERROR(FIND(""Fillers"",A51))=FALSE,ISERROR(FIND(""Pelmet"",A51))=FALSE,ISERROR(FIND(""Fireplace up "&amp;"to 1600"",A51))=FALSE),RIGHT(A51,LEN(A51)-LEN(regexextract(A51,"".* ""))),IF(ISERROR(FIND(""table"",A51))=FALSE,""560"",IF(ISERROR(FIND(""Office pod"",A51))=FALSE,""1600"",IF(ISERROR(FIND(""Fireplace over 1600"",A51))=FALSE,""2400"",IF(ISERROR(FIND(""Work"&amp;"top"",A51))=FALSE,""650"",""Whoops""))))))))"),"560")</f>
        <v>560</v>
      </c>
      <c r="D51" s="161" t="str">
        <f t="shared" si="2"/>
        <v/>
      </c>
      <c r="E51" s="152">
        <f>IF(OR(A51="",AND(ISERROR(FIND("drawer",A51))=FALSE,WardrobeDrawerType="")),"",IF(ISERROR(FIND("door",A51))=FALSE,IF(WardrobeDoorStyle="Flat",((B51/1000)*(C51/1000))*VLOOKUP(WardrobeDoorMaterial,SheetsData,8,0),IF(LEFT(WardrobeDoorStyle,5)="Panel",(((((B51/1000)*2)*0.08)+((((C51/1000)-0.16)*2)*0.08))*VLOOKUP("H/F (22mm)",SheetsData,8,0))+(((B51/1000)-0.14)*((C51/1000)-0.14)*VLOOKUP("H/F (9mm)",SheetsData,8,0)),IF(WardrobeDoorStyle="In-frame flat",((((((B51/1000)*0.019)*0.038)+((((C51-38)/1000)*0.038)*0.038))*2)*VLOOKUP("Tulip (solid m3)",SolidData,4,0))+(((B51-76)/1000)*((C51-38)/1000))*VLOOKUP("H/F (22mm)",SheetsData,8,0),IF(LEFT(WardrobeDoorStyle,14)="In-frame panel",(((((((B51/1000)*0.019)*0.038)+((((C51-38)/1000)*0.038)*0.038))*2)*VLOOKUP("Tulip (solid m3)",SolidData,4,0))+(((((((B51-76)/1000)*2)*0.08)+(((((C51-198)/1000)*2)*0.08)))*VLOOKUP("H/F (22mm)",SheetsData,8,0))+(((B51-216)/1000)*((C51-178)/1000)*VLOOKUP("H/F (9mm)",SheetsData,8,0)))))))),IF(AND(ISERROR(FIND("arcass",A51))=FALSE,ISERROR(FIND("ost corner",A51))=TRUE),IF(AND(VALUE(B51)&lt;1211,VALUE(C51)&lt;1211,VALUE(D51)&lt;606),1*VLOOKUP(WardrobeCarcassMaterial,SheetsData,5,FALSE),IF(AND(VALUE(B51)&lt;2421,VALUE(C51)&lt;2421,VALUE(D51)&lt;606),2*VLOOKUP(WardrobeCarcassMaterial,SheetsData,5,FALSE),IF(AND(VALUE(B51)&lt;2421,VALUE(C51)&lt;1211,VALUE(D51)&lt;1211),3*VLOOKUP(WardrobeCarcassMaterial,SheetsData,5,FALSE),IF(AND(VALUE(B51)&lt;2421,VALUE(C51)&lt;2421,VALUE(D51)&lt;1211),4*VLOOKUP(WardrobeCarcassMaterial,SheetsData,5,FALSE))))),IF(AND(ISERROR(FIND("arcass",A51))=FALSE,ISERROR(FIND("ost corner",A51))=FALSE),IF(AND(VALUE(B51)&lt;1211,VALUE(C51)&lt;1211,VALUE(D51)&lt;606),(1*VLOOKUP(WardrobeCarcassMaterial,SheetsData,5,FALSE))+(VLOOKUP("H/F (22mm)",SheetsData,7,FALSE)*1.44),IF(AND(VALUE(B51)&lt;2421,VALUE(C51)&lt;2421,VALUE(D51)&lt;606),(2*VLOOKUP(WardrobeCarcassMaterial,SheetsData,5,FALSE))+(VLOOKUP("H/F (22mm)",SheetsData,7,FALSE)*1.44),IF(AND(VALUE(B51)&lt;2421,VALUE(C51)&lt;1211,VALUE(D51)&lt;1211),(3*VLOOKUP(WardrobeCarcassMaterial,SheetsData,5,FALSE))+(VLOOKUP("H/F (22mm)",SheetsData,7,FALSE)*1.44),IF(AND(VALUE(B51)&lt;2421,VALUE(C51)&lt;2421,VALUE(D51)&lt;1211),(4*VLOOKUP(WardrobeCarcassMaterial,SheetsData,5,FALSE))+(VLOOKUP("H/F (22mm)",SheetsData,7,FALSE)*1.44))))),IF(ISERROR(FIND("drawer front",A51))=FALSE,((B51/1000)*(C51/1000))*VLOOKUP(WardrobeDoorMaterial,SheetsData,8,0),IF(AND(WardrobeDrawerType="Match carcass",ISERROR(FIND("drawer box",A51))=FALSE),(((((B51/1000)*(C51/1000))+((B51/1000)*(D51/1000)))*2)*VLOOKUP(WardrobeCarcassMaterial,SheetsData,8,0))+(((C51/1000)*(D51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box",A51))=FALSE),(((((B51/1000)*(C51/1000))+((B51/1000)*(D51/1000)))*2)*(16/1000)*VLOOKUP(LEFT(WardrobeCarcassMaterial,FIND(" ",WardrobeCarcassMaterial))&amp;"(solid m3)",SolidData,4,0))+(((C51/1000)*(D51/1000))*VLOOKUP(LEFT(WardrobeCarcassMaterial,FIND("(",WardrobeCarcassMaterial)-1)&amp;IF(OR(ISERROR(FIND("ply",WardrobeCarcassMaterial))=FALSE,ISERROR(FIND("H/F",WardrobeCarcassMaterial))=FALSE),"(9mm)","(10mm)"),SheetsData,8,0)),IF(ISERROR(FIND("shelf",A51))=FALSE,((C51/1000)*(D51/1000))*VLOOKUP(WardrobeCarcassMaterial,SheetsData,7,FALSE),IF(ISERROR(FIND("Office pod",A51))=FALSE,3*VLOOKUP(WardrobeCarcassMaterial,SheetsData,5,0),IF(ISERROR(FIND(" panel",A51))=FALSE,((B51/1000)*(C51/1000))*VLOOKUP(WardrobeDoorMaterial,SheetsData,8,0),IF(ISERROR(FIND("Fillers",A51))=FALSE,(((0.06*(C51/1000))*2)*VLOOKUP("H/F (18mm)",SheetsData,8,0))+(((0.06*(C51/1000))*2)*VLOOKUP("H/F (9mm)",SheetsData,8,0)),IF(ISERROR(FIND("Cornice (stacked)",A51))=FALSE,((0.08*(C51/1000))*2)*VLOOKUP("H/F (22mm)",SheetsData,8,0),IF(OR(ISERROR(FIND("Plinth",A51))=FALSE,ISERROR(FIND("Cornice (flat)",A51))=FALSE),((B51/1000)*(C51/1000))*VLOOKUP("H/F (18mm)",SheetsData,8,0),IF(ISERROR(FIND("Pelmet",A51))=FALSE,((((B51/1000)*(C51/1000))*2)*VLOOKUP("H/F (18mm)",SheetsData,8,0)),IF(ISERROR(FIND("Fireplace",A51))=FALSE,IF(ISERROR(FIND("over 1600",A51))=FALSE,2*VLOOKUP(WardrobeCarcassMaterial,SheetsData,5,FALSE),VLOOKUP(WardrobeCarcassMaterial,SheetsData,5,FALSE)),IF(ISERROR(FIND("table",A51))=FALSE,((B51/1000)*0.6)*VLOOKUP("Birch ply (24mm)",SheetsData,7,FALSE),IF(ISERROR(FIND("Worktop",A51))=FALSE,((B51/1000)*(C51/1000))*VLOOKUP(WardrobeDoorMaterial,SheetsData,7,FALSE),"Check formula")))))))))))))))))</f>
        <v>191.88</v>
      </c>
      <c r="F51" s="152" t="str">
        <f>IFERROR(__xludf.DUMMYFUNCTION("IF(OR(A51="""",AND(ISERROR(FIND(""drawer box"",A51))=FALSE,WardrobeDrawerType=""Solid dovetail"")),"""",IF(ISERROR(FIND(""bins"",A51))=FALSE,VLOOKUP(""Base carcass 600"",Wardrobes_etcData,6,0),IF(OR(ISERROR(FIND(""larder"",A51))=FALSE,ISERROR(FIND(""unit"&amp;""",A51))=FALSE),VLOOKUP(LEFT(A51,FIND("" "",A51))&amp;""carcass ""&amp;RIGHT(A51,LEN(A51)-len(regexextract(A51,"".* ""))),Wardrobes_etcData,6,0),IF(ISERROR(FIND(""drawer front"",A51))=FALSE,IF(ISERROR(FIND(""veneer"",WardrobeCarcassMaterial))=TRUE,0,(((B51+C51)/1"&amp;"000)*2)*VLOOKUP(""Edge banding (per M)"",SheetsData,5,0)),IF(ISERROR(FIND(""drawer box"",A51))=FALSE,IF(ISERROR(FIND(""veneer"",WardrobeCarcassMaterial))=TRUE,0,(((C51+D51)/1000)*2)*VLOOKUP(""Edge banding (per M)"",SheetsData,5,0)),IF(ISERROR(FIND(""shelf"&amp;""",A51))=FALSE,IF(ISERROR(FIND(""veneer"",WardrobeCarcassMaterial))=TRUE,0,(C51/1000)*VLOOKUP(""Edge banding (per M)"",SheetsData,5,0)),IF(AND(OR(ISERROR(FIND(""arcass"",A51))=FALSE,ISERROR(FIND(""Fireplace"",A51))=FALSE),ISERROR(FIND(""shelf"",A51))=TRUE"&amp;"),IF(ISERROR(FIND(""veneer"",WardrobeCarcassMaterial))=TRUE,0,((2*(B51+C51))/1000)*VLOOKUP(""Edge banding (per M)"",SheetsData,5,0)),IF(ISERROR(FIND(""door"",A51))=TRUE,"""",IF(ISERROR(FIND(""veneer"",WardrobeDoorMaterial))=TRUE,"""",((2*(B51+C51))/1000)*"&amp;"VLOOKUP(""Edge banding (per M)"",SheetsData,5,0))))))))))"),"")</f>
        <v/>
      </c>
      <c r="G51" s="153" t="str">
        <f>IF(A51="","",IF(AND(ISERROR(FIND("arcass",A51))=TRUE,ISERROR(FIND("Fireplace",A51))=TRUE),"",IF(VALUE(C51)&lt;606,4*VLOOKUP("Plinth foot (2 Parts 80mm)",FurnitureData,5,FALSE),IF(VALUE(C51)&lt;1211,6*VLOOKUP("Plinth foot (2 Parts 80mm)",FurnitureData,5,FALSE),8*VLOOKUP("Plinth foot (2 Parts 80mm)",FurnitureData,5,FALSE)))))</f>
        <v/>
      </c>
      <c r="H51" s="115" t="str">
        <f>IF(OR(A51="",ISERROR(FIND("door",A51))=TRUE),"",VLOOKUP("Hinges &amp; plates (Hettich thick door)",FurnitureData,5,0)*5)</f>
        <v/>
      </c>
      <c r="I51" s="115" t="str">
        <f>IF(ISERROR(FIND("shelf",A51))=FALSE,(VLOOKUP("Shelf pegs",FurnitureData,5,0)/100)*4,"")</f>
        <v/>
      </c>
      <c r="J51" s="152" t="str">
        <f>IF(OR(ISERROR(FIND("fridge/freezer",A51))=FALSE,ISERROR(FIND("sink",A51))=FALSE,ISERROR(FIND("larder",A51))=FALSE),VLOOKUP("Deep shelf "&amp;C51,Wardrobes_etcData,18,0),IF(OR(ISERROR(FIND("single oven",A51))=FALSE,ISERROR(FIND("Base carcass",A51))=FALSE),2*VLOOKUP("Deep shelf "&amp;C51,Wardrobes_etcData,18,0),IF(AND(ISERROR(FIND("wall carcass",A51))=FALSE,ISERROR(FIND("Boiler",A51))=TRUE),2*VLOOKUP("Shallow shelf "&amp;C51,Wardrobes_etcData,18,0),IF(ISERROR(FIND("double oven",A51))=FALSE,3*VLOOKUP("Deep shelf "&amp;C51,Wardrobes_etcData,18,0),IF(ISERROR(FIND("Tower carcass",A51))=FALSE,6*VLOOKUP("Deep shelf "&amp;C51,Wardrobes_etcData,18,0),"")))))</f>
        <v/>
      </c>
      <c r="K51" s="152">
        <f>IF(ISERROR(FIND("sink",A51))=FALSE,VLOOKUP("Sink liner - Aluminium "&amp;RIGHT(A51,LEN(A51)-22)&amp;"mm",ExceptionalData,5,0),IF(ISERROR(FIND("bins",A51))=FALSE,VLOOKUP("Drawer runners and clip set for bin unit (500) Dynapro",FurnitureData,5,0)+(2*VLOOKUP("Bin (42L Anthracite)",FurnitureData,5,0)),IF(ISERROR(FIND("larder",A51))=FALSE,VLOOKUP("Pull out larder unit 600mm",FurnitureData,5,0),IF(AND(ISERROR(FIND("drawer box",A51))=FALSE,ISERROR(FIND("internal",A51))=TRUE),VLOOKUP("Drawer runners and clip set (550) Dynapro",FurnitureData,5,0),IF(ISERROR(FIND("internal drawer box",A51))=FALSE,VLOOKUP("Drawer runners and clip set (450) Dynapro",FurnitureData,5,0),IF(ISERROR(FIND("table",A51))=FALSE,VLOOKUP("Hairpin Leg (12mm Black "&amp;MID(A51,FIND("(",A51)+1,LEN(A51)-(FIND("(",A51))-1)&amp;"mm)",ExceptionalData,4,FALSE),""))))))</f>
        <v>4</v>
      </c>
      <c r="L51" s="152">
        <f t="shared" si="3"/>
        <v>195.88</v>
      </c>
      <c r="M51" s="154">
        <f>IF(A51="","",IF(AND(ISERROR(FIND("drawer front",A51))=FALSE,WardrobeDoorStyle="Flat"),(((B51/1000)*(C51/1000))*2)+((((B51+C51)/1000)*2)*0.022),IF(AND(ISERROR(FIND("drawer front",A51))=FALSE,LEFT(WardrobeDoorStyle,5)="Panel"),(((B51/1000)*(C51/1000))*2)+((((B51+C51)/1000)*2)*0.022)+((((C51/1000)-0.16)*0.013)*2)+((((D51/1000)-0.16)*0.013)*2),IF(AND(ISERROR(FIND("drawer front",A51))=FALSE,WardrobeDoorStyle="In-frame flat"),((((B51-76)/1000)*((C51-38)/1000))*2)+(MID(WardrobeDoorMaterial,FIND("(",WardrobeDoorMaterial)+1,2)/1000)*((((B51-76)+(C51-38))/1000)*2)+(((B51/1000)*0.032)*2)+((((B51-76)/1000)*0.032)*2)+(((B51/1000)*0.019)*4)+(((C51/1000)*0.032)*2)+((((C51-38)/1000)*0.032)*2)+(((C51/1000)*0.038)*4),IF(AND(ISERROR(FIND("drawer front",A51))=FALSE,LEFT(WardrobeDoorStyle,14)="In-frame panel"),((((B51-76)/1000)*((C51-38)/1000))*2)+((MID(WardrobeDoorMaterial,FIND("(",WardrobeDoorMaterial)+1,2)/1000)*((((B51-76)+(C51-38))/1000)*2))+((((B51-236)/1000)+((C51-198)/1000)*2)*0.013)+(((B51/1000)*0.032)*2)+((((B51-76)/1000)*0.032)*2)+(((B51/1000)*0.019)*4)+(((C51/1000)*0.032)*2)+((((C51-38)/1000)*0.032)*2)+(((C51/1000)*0.038)*4),IF(ISERROR(FIND("drawer box",A51))=FALSE,((((B51/1000)*(D51/1000))+((B51/1000)*(C51/1000)))*4)+((((D51/1000)+(C51/1000))*0.016)*4)+(((C51/1000)*(D51/1000))*2),IF(OR(ISERROR(FIND("shelf",A51))=FALSE,ISERROR(FIND("Filler panel",A51))=FALSE),(((C51/1000)*(D51/1000))*2)+((((C51+D51)*2)/1000)*0.022),IF(ISERROR(FIND("Fireplace",A51))=FALSE,((B51/1000)*(C51/1000)),IF(ISERROR(FIND("Worktop",A51))=FALSE,(B51/1000)*(C51/1000),IF(ISERROR(FIND("table",A51))=FALSE,(B51/1000)*0.6,IF(ISERROR(FIND("arcass",A51))=FALSE,(((C51/1000)*(D51/1000))*2)+(((B51/1000)*(D51/1000))*2)+((B51/1000)*(C51/1000))+((((B51/1000)*0.025)+((C51/1000)*0.025))*2),IF(AND(ISERROR(FIND("door",A51))=FALSE,WardrobeDoorStyle="Flat"),(((B51/1000)*(C51/1000))*2)+(MID(WardrobeDoorMaterial,FIND("(",WardrobeDoorMaterial)+1,2)/1000)*(((B51+C51)/1000)*2),IF(AND(ISERROR(FIND("door",A51))=FALSE,LEFT(WardrobeDoorStyle,5)="Panel"),(((B51/1000)*(C51/1000))*2)+((MID(WardrobeDoorMaterial,FIND("(",WardrobeDoorMaterial)+1,2)/1000)*(((B51+C51)/1000)*2))+(((((B51-160)+(C51-160))*2)/1000)*(0.013)),IF(AND(ISERROR(FIND("door",A51))=FALSE,WardrobeDoorStyle="In-frame flat"),((((B51-76)/1000)*((C51-38)/1000))*2)+(MID(WardrobeDoorMaterial,FIND("(",WardrobeDoorMaterial)+1,2)/1000)*((((B51-76)+(C51-38))/1000)*2)+(((B51/1000)*0.032)*2)+((((B51-76)/1000)*0.032)*2)+(((B51/1000)*0.019)*4)+(((C51/1000)*0.032)*2)+((((C51-38)/1000)*0.032)*2)+(((C51/1000)*0.038)*4),IF(AND(ISERROR(FIND("door",A51))=FALSE,LEFT(WardrobeDoorStyle,14)="In-frame panel"),((((B51-76)/1000)*((C51-38)/1000))*2)+((MID(WardrobeDoorMaterial,FIND("(",WardrobeDoorMaterial)+1,2)/1000)*((((B51-76)+(C51-38))/1000)*2))+((((B51-236)/1000)+((C51-198)/1000)*2)*0.013)+(((B51/1000)*0.032)*2)+((((B51-76)/1000)*0.032)*2)+(((B51/1000)*0.019)*4)+(((C51/1000)*0.032)*2)+((((C51-38)/1000)*0.032)*2)+(((C51/1000)*0.038)*4),IF(ISERROR(FIND("Plinth",A51))=FALSE,((B51/1000)*(C51/1000))+(((C51/1000)*0.018)*2)+(((B51/1000)*0.018)*2),IF(ISERROR(FIND("Cornice",A51))=FALSE,(((C51/1000)*0.1)*2)+(((C51/1000)*0.044)*2)+(((B51/1000)*0.08)*2),IF(ISERROR(FIND("Office pod",A51))=FALSE,((2400/1000)*(1200/1000))*6,IF(ISERROR(FIND("panel",A51))=FALSE,((B51/1000)*(C51/1000))+(0.022*((B51/1000)+((C51/1000)*2)))+((B51/1000)*0.05),IF(ISERROR(FIND("Fillers",A51))=FALSE,((C51/1000)*0.06)+((C51/1000)*0.069)+((0.06*0.018)*2)+((0.06*0.009)*2)+((C51/1000)*0.009)+((C51/1000)*0.018),IF(ISERROR(FIND("Pelmet",A51))=FALSE,((C51/1000)*0.05)+((C51/1000)*0.068)+((0.05*0.018)*4)+(((C51/1000)*0.018))*2)))))))))))))))))))))</f>
        <v>1.44</v>
      </c>
      <c r="N51" s="152">
        <f>IF(M51="","",IF(AND(ISERROR(FIND("carcass",A51))=TRUE,ISERROR(FIND("unit",A51))=TRUE,ISERROR(FIND("insert",A51))=TRUE,ISERROR(FIND("rack",A51))=TRUE,ISERROR(FIND("box",A51))=TRUE,ISERROR(FIND("shelf",A51))=TRUE),VLOOKUP(WardrobeDoorFinish,Finishing!$A$2:$K$10,9,0)*M51,IF(ISERROR(FIND("table",A51))=FALSE,VLOOKUP("Sayerlack AF0072 Interior Clear Self-Sealer",FinishingData,9,FALSE)*M51,VLOOKUP(WardrobeCarcassFinish,Finishing!$A$2:$K$40,9,0)*M51)))</f>
        <v>10.8</v>
      </c>
      <c r="O51" s="159">
        <v>1.0</v>
      </c>
      <c r="P51" s="159">
        <v>1.5</v>
      </c>
      <c r="Q51" s="152">
        <f>IF(OR(O51="",P51=""),"",((O51*X51)*(VLOOKUP("Workshop",Labour!$A$3:$E$20,4,0)/8))+((P51*AE51)*(VLOOKUP("Finishing",Labour!$A$3:$E$20,4,0)/8)))</f>
        <v>85.75</v>
      </c>
      <c r="R51" s="152">
        <f t="shared" si="4"/>
        <v>292.43</v>
      </c>
      <c r="S51" s="156">
        <f>IF(OR(O51="",P51=""),"",IF(OR(ISERROR(FIND("carcass",$A51))=FALSE,ISERROR(FIND("unit",$A51))=FALSE),VLOOKUP(WardrobeCarcassMaterial,FixedListsCarcassMaterial,2,0),0))</f>
        <v>0</v>
      </c>
      <c r="T51" s="156">
        <f>IF(OR(O51="",P51=""),"",IF(ISERROR(FIND("door",$A51))=FALSE,VLOOKUP(WardrobeDoorStyle,FixedListsDoorStyle,2,0),0))</f>
        <v>0</v>
      </c>
      <c r="U51" s="156">
        <f>IF(OR(O51="",P51=""),"",IF(ISERROR(FIND("door",$A51))=FALSE,VLOOKUP(WardrobeDoorMaterial,FixedListsDoorMaterial,2,0),0))</f>
        <v>0</v>
      </c>
      <c r="V51" s="156">
        <f>IF(OR(O51="",P51=""),"",IF(ISERROR(FIND("drawer",$A51))=FALSE,VLOOKUP(WardrobeDrawerType,FixedListsDrawerType,2,0),0))</f>
        <v>0</v>
      </c>
      <c r="W51" s="156">
        <f>IF(OR(O51="",P51=""),"",IF(S51&gt;0,VLOOKUP(WardrobeHandleType,FixedListsHandleType,2,FALSE),0))</f>
        <v>0</v>
      </c>
      <c r="X51" s="156">
        <f t="shared" si="5"/>
        <v>1</v>
      </c>
      <c r="Y51" s="156">
        <f>IF(OR(O51="",P51=""),"",IF(OR(ISERROR(FIND("carcass",$A51))=FALSE,ISERROR(FIND("unit",$A51))=FALSE),VLOOKUP(WardrobeCarcassMaterial,FixedListsCarcassMaterial,3,0),0))</f>
        <v>0</v>
      </c>
      <c r="Z51" s="156">
        <f>IF(OR(O51="",P51=""),"",IF(ISERROR(FIND("door",$A51))=FALSE,VLOOKUP(WardrobeDoorStyle,FixedListsDoorStyle,3,0),0))</f>
        <v>0</v>
      </c>
      <c r="AA51" s="156">
        <f>IF(OR(O51="",P51=""),"",IF(ISERROR(FIND("door",$A51))=FALSE,VLOOKUP(WardrobeDoorMaterial,FixedListsDoorMaterial,3,0),0))</f>
        <v>0</v>
      </c>
      <c r="AB51" s="156">
        <f>IF(OR(O51="",P51=""),"",IF(ISERROR(FIND("drawer",$A51))=FALSE,VLOOKUP(WardrobeDrawerType,FixedListsDrawerType,3,0),0))</f>
        <v>0</v>
      </c>
      <c r="AC51" s="156">
        <f>IF(OR(O51="",P51=""),"",IF(S51&gt;0,VLOOKUP(WardrobeHandleType,FixedListsHandleType,3,FALSE),0))</f>
        <v>0</v>
      </c>
      <c r="AD51" s="156">
        <f>IF(OR(O51="",P51=""),"",IF(OR(ISERROR(FIND("carcass",$A51))=FALSE,ISERROR(FIND("unit",$A51))=FALSE),VLOOKUP(WardrobeCarcassFinish,FixedListsFinishes,3,0),IF(OR(ISERROR(FIND("door",$A51))=FALSE,ISERROR(FIND("Plinth",$A51))=FALSE,ISERROR(FIND("Cornice",$A51))=FALSE,ISERROR(FIND("Fillers",$A51))=FALSE,ISERROR(FIND("Pelmet",$A51))=FALSE,ISERROR(FIND("panel",$A51))=FALSE,ISERROR(FIND("post",$A51))=FALSE),VLOOKUP(WardrobeDoorFinish,FixedListsFinishes,3,0),IF(OR(ISERROR(FIND("drawer",$A51))=FALSE,ISERROR(FIND("insert",$A51))=FALSE,ISERROR(FIND("rck",$A51))=FALSE),VLOOKUP(WardrobeCarcassFinish,FixedListsFinishes,3,0),0))))</f>
        <v>0</v>
      </c>
      <c r="AE51" s="156">
        <f t="shared" si="6"/>
        <v>1</v>
      </c>
      <c r="AF51" s="157" t="str">
        <f>IF(AND(WardrobeHandleType="Channel",OR(ISERROR(FIND("arcass",$A51))=FALSE,ISERROR(FIND("unit",$A51))=FALSE)),IF(ISERROR(FIND("Tower",$A51))=TRUE,IF(WardrobeHandleFinish="Match carcass",IF(ISERROR(FIND("Walnut",WardrobeCarcassMaterial))=FALSE,(0.035*0.075*($C51/1000))*VLOOKUP("Walnut (solid m3)",SolidData,4,FALSE),IF(ISERROR(FIND("Oak",WardrobeCarcassMaterial))=FALSE,(0.035*0.075*($C51/1000))*VLOOKUP("Oak (solid m3)",SolidData,4,FALSE),IF(ISERROR(FIND("ply",WardrobeCarcassMaterial))=FALSE,(0.1*($C51/1000))*VLOOKUP("Birch ply (24mm)",SheetsData,7,FALSE),IF(ISERROR(FIND("H/F",WardrobeCarcassMaterial))=FALSE,(0.1*($C51/1000))*VLOOKUP("H/F (22mm)",SheetsData,7,FALSE),"Carcass - not tower - new material")))),IF(WardrobeHandleFinish="Match door",IF(ISERROR(FIND("Walnut",WardrobeDoorMaterial))=FALSE,(0.035*0.075*($C51/1000))*VLOOKUP("Walnut (solid m3)",SolidData,4,FALSE),IF(ISERROR(FIND("Oak",WardrobeDoorMaterial))=FALSE,(0.035*0.075*($C51/1000))*VLOOKUP("Oak (solid m3)",SolidData,4,FALSE),IF(ISERROR(FIND("ply",WardrobeDoorMaterial))=FALSE,(0.1*($C51/1000))*VLOOKUP("Birch ply (24mm)",SheetsData,7,FALSE),IF(ISERROR(FIND("H/F",WardrobeCarcassMaterial))=FALSE,(0.1*($C51/1000))*VLOOKUP("H/F (22mm)",SheetsData,7,FALSE),"Door - not tower - new material")))),"Channel - not tower - handle set to other")),IF(ISERROR(FIND("Tower",$A51))=FALSE,IF(WardrobeHandleFinish="Match carcass",IF(ISERROR(FIND("Walnut",WardrobeCarcassMaterial))=FALSE,(0.035*0.075*($B51/1000))*VLOOKUP("Walnut (solid m3)",SolidData,4,FALSE),IF(ISERROR(FIND("Oak",WardrobeCarcassMaterial))=FALSE,(0.035*0.075*($B51/1000))*VLOOKUP("Oak (solid m3)",SolidData,4,FALSE),IF(ISERROR(FIND("ply",WardrobeCarcassMaterial))=FALSE,(0.1*($B51/1000))*VLOOKUP("Birch ply (24mm)",SheetsData,7,FALSE),IF(ISERROR(FIND("H/F",WardrobeCarcassMaterial))=FALSE,(0.1*($C51/1000))*VLOOKUP("H/F (22mm)",SheetsData,7,FALSE),"Carcass - tower - new material")))),IF(WardrobeHandleFinish="Match door",IF(ISERROR(FIND("Walnut",WardrobeDoorMaterial))=FALSE,(0.035*0.075*($B51/1000))*VLOOKUP("Walnut (solid m3)",SolidData,4,FALSE),IF(ISERROR(FIND("Oak",WardrobeDoorMaterial))=FALSE,(0.035*0.075*($B51/1000))*VLOOKUP("Oak (solid m3)",SolidData,4,FALSE),IF(ISERROR(FIND("ply",WardrobeDoorMaterial))=FALSE,(0.1*($B51/1000))*VLOOKUP("Birch ply (24mm)",SheetData,7,FALSE),IF(ISERROR(FIND("H/F",WardrobeCarcassMaterial))=FALSE,(0.1*($C51/1000))*VLOOKUP("H/F (22mm)",SheetsData,7,FALSE),"Door - tower - new material")))),"Channel - tower - handle set to other")))),"")</f>
        <v/>
      </c>
    </row>
    <row r="52">
      <c r="A52" s="150" t="s">
        <v>247</v>
      </c>
      <c r="B52" s="160" t="str">
        <f t="shared" si="1"/>
        <v>2400</v>
      </c>
      <c r="C52" s="160" t="str">
        <f>IFERROR(__xludf.DUMMYFUNCTION("IF(A52="""","""",IF(ISERROR(FIND(""arcass"",A52))=FALSE,MID(A52,FIND(""*"",A52)+1,FIND(""*"",A52,FIND(""*"",A52)+1)-FIND(""*"",A52)-1),IF(ISERROR(FIND(""End panel"",A52))=FALSE,RIGHT(A52,3),IF(OR(ISERROR(FIND(""drawer"",A52))=FALSE,ISERROR(FIND(""door"",A"&amp;"52))=FALSE,ISERROR(FIND(""shelf"",A52))=FALSE,ISERROR(FIND(""panel"",A52))=FALSE,ISERROR(FIND(""Plinth"",A52))=FALSE,ISERROR(FIND(""Cornice"",A52))=FALSE,ISERROR(FIND(""Fillers"",A52))=FALSE,ISERROR(FIND(""Pelmet"",A52))=FALSE,ISERROR(FIND(""Fireplace up "&amp;"to 1600"",A52))=FALSE),RIGHT(A52,LEN(A52)-LEN(regexextract(A52,"".* ""))),IF(ISERROR(FIND(""table"",A52))=FALSE,""560"",IF(ISERROR(FIND(""Office pod"",A52))=FALSE,""1600"",IF(ISERROR(FIND(""Fireplace over 1600"",A52))=FALSE,""2400"",IF(ISERROR(FIND(""Work"&amp;"top"",A52))=FALSE,""650"",""Whoops""))))))))"),"560")</f>
        <v>560</v>
      </c>
      <c r="D52" s="161" t="str">
        <f t="shared" si="2"/>
        <v/>
      </c>
      <c r="E52" s="152">
        <f>IF(OR(A52="",AND(ISERROR(FIND("drawer",A52))=FALSE,WardrobeDrawerType="")),"",IF(ISERROR(FIND("door",A52))=FALSE,IF(WardrobeDoorStyle="Flat",((B52/1000)*(C52/1000))*VLOOKUP(WardrobeDoorMaterial,SheetsData,8,0),IF(LEFT(WardrobeDoorStyle,5)="Panel",(((((B52/1000)*2)*0.08)+((((C52/1000)-0.16)*2)*0.08))*VLOOKUP("H/F (22mm)",SheetsData,8,0))+(((B52/1000)-0.14)*((C52/1000)-0.14)*VLOOKUP("H/F (9mm)",SheetsData,8,0)),IF(WardrobeDoorStyle="In-frame flat",((((((B52/1000)*0.019)*0.038)+((((C52-38)/1000)*0.038)*0.038))*2)*VLOOKUP("Tulip (solid m3)",SolidData,4,0))+(((B52-76)/1000)*((C52-38)/1000))*VLOOKUP("H/F (22mm)",SheetsData,8,0),IF(LEFT(WardrobeDoorStyle,14)="In-frame panel",(((((((B52/1000)*0.019)*0.038)+((((C52-38)/1000)*0.038)*0.038))*2)*VLOOKUP("Tulip (solid m3)",SolidData,4,0))+(((((((B52-76)/1000)*2)*0.08)+(((((C52-198)/1000)*2)*0.08)))*VLOOKUP("H/F (22mm)",SheetsData,8,0))+(((B52-216)/1000)*((C52-178)/1000)*VLOOKUP("H/F (9mm)",SheetsData,8,0)))))))),IF(AND(ISERROR(FIND("arcass",A52))=FALSE,ISERROR(FIND("ost corner",A52))=TRUE),IF(AND(VALUE(B52)&lt;1211,VALUE(C52)&lt;1211,VALUE(D52)&lt;606),1*VLOOKUP(WardrobeCarcassMaterial,SheetsData,5,FALSE),IF(AND(VALUE(B52)&lt;2421,VALUE(C52)&lt;2421,VALUE(D52)&lt;606),2*VLOOKUP(WardrobeCarcassMaterial,SheetsData,5,FALSE),IF(AND(VALUE(B52)&lt;2421,VALUE(C52)&lt;1211,VALUE(D52)&lt;1211),3*VLOOKUP(WardrobeCarcassMaterial,SheetsData,5,FALSE),IF(AND(VALUE(B52)&lt;2421,VALUE(C52)&lt;2421,VALUE(D52)&lt;1211),4*VLOOKUP(WardrobeCarcassMaterial,SheetsData,5,FALSE))))),IF(AND(ISERROR(FIND("arcass",A52))=FALSE,ISERROR(FIND("ost corner",A52))=FALSE),IF(AND(VALUE(B52)&lt;1211,VALUE(C52)&lt;1211,VALUE(D52)&lt;606),(1*VLOOKUP(WardrobeCarcassMaterial,SheetsData,5,FALSE))+(VLOOKUP("H/F (22mm)",SheetsData,7,FALSE)*1.44),IF(AND(VALUE(B52)&lt;2421,VALUE(C52)&lt;2421,VALUE(D52)&lt;606),(2*VLOOKUP(WardrobeCarcassMaterial,SheetsData,5,FALSE))+(VLOOKUP("H/F (22mm)",SheetsData,7,FALSE)*1.44),IF(AND(VALUE(B52)&lt;2421,VALUE(C52)&lt;1211,VALUE(D52)&lt;1211),(3*VLOOKUP(WardrobeCarcassMaterial,SheetsData,5,FALSE))+(VLOOKUP("H/F (22mm)",SheetsData,7,FALSE)*1.44),IF(AND(VALUE(B52)&lt;2421,VALUE(C52)&lt;2421,VALUE(D52)&lt;1211),(4*VLOOKUP(WardrobeCarcassMaterial,SheetsData,5,FALSE))+(VLOOKUP("H/F (22mm)",SheetsData,7,FALSE)*1.44))))),IF(ISERROR(FIND("drawer front",A52))=FALSE,((B52/1000)*(C52/1000))*VLOOKUP(WardrobeDoorMaterial,SheetsData,8,0),IF(AND(WardrobeDrawerType="Match carcass",ISERROR(FIND("drawer box",A52))=FALSE),(((((B52/1000)*(C52/1000))+((B52/1000)*(D52/1000)))*2)*VLOOKUP(WardrobeCarcassMaterial,SheetsData,8,0))+(((C52/1000)*(D52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box",A52))=FALSE),(((((B52/1000)*(C52/1000))+((B52/1000)*(D52/1000)))*2)*(16/1000)*VLOOKUP(LEFT(WardrobeCarcassMaterial,FIND(" ",WardrobeCarcassMaterial))&amp;"(solid m3)",SolidData,4,0))+(((C52/1000)*(D52/1000))*VLOOKUP(LEFT(WardrobeCarcassMaterial,FIND("(",WardrobeCarcassMaterial)-1)&amp;IF(OR(ISERROR(FIND("ply",WardrobeCarcassMaterial))=FALSE,ISERROR(FIND("H/F",WardrobeCarcassMaterial))=FALSE),"(9mm)","(10mm)"),SheetsData,8,0)),IF(ISERROR(FIND("shelf",A52))=FALSE,((C52/1000)*(D52/1000))*VLOOKUP(WardrobeCarcassMaterial,SheetsData,7,FALSE),IF(ISERROR(FIND("Office pod",A52))=FALSE,3*VLOOKUP(WardrobeCarcassMaterial,SheetsData,5,0),IF(ISERROR(FIND(" panel",A52))=FALSE,((B52/1000)*(C52/1000))*VLOOKUP(WardrobeDoorMaterial,SheetsData,8,0),IF(ISERROR(FIND("Fillers",A52))=FALSE,(((0.06*(C52/1000))*2)*VLOOKUP("H/F (18mm)",SheetsData,8,0))+(((0.06*(C52/1000))*2)*VLOOKUP("H/F (9mm)",SheetsData,8,0)),IF(ISERROR(FIND("Cornice (stacked)",A52))=FALSE,((0.08*(C52/1000))*2)*VLOOKUP("H/F (22mm)",SheetsData,8,0),IF(OR(ISERROR(FIND("Plinth",A52))=FALSE,ISERROR(FIND("Cornice (flat)",A52))=FALSE),((B52/1000)*(C52/1000))*VLOOKUP("H/F (18mm)",SheetsData,8,0),IF(ISERROR(FIND("Pelmet",A52))=FALSE,((((B52/1000)*(C52/1000))*2)*VLOOKUP("H/F (18mm)",SheetsData,8,0)),IF(ISERROR(FIND("Fireplace",A52))=FALSE,IF(ISERROR(FIND("over 1600",A52))=FALSE,2*VLOOKUP(WardrobeCarcassMaterial,SheetsData,5,FALSE),VLOOKUP(WardrobeCarcassMaterial,SheetsData,5,FALSE)),IF(ISERROR(FIND("table",A52))=FALSE,((B52/1000)*0.6)*VLOOKUP("Birch ply (24mm)",SheetsData,7,FALSE),IF(ISERROR(FIND("Worktop",A52))=FALSE,((B52/1000)*(C52/1000))*VLOOKUP(WardrobeDoorMaterial,SheetsData,7,FALSE),"Check formula")))))))))))))))))</f>
        <v>191.88</v>
      </c>
      <c r="F52" s="152" t="str">
        <f>IFERROR(__xludf.DUMMYFUNCTION("IF(OR(A52="""",AND(ISERROR(FIND(""drawer box"",A52))=FALSE,WardrobeDrawerType=""Solid dovetail"")),"""",IF(ISERROR(FIND(""bins"",A52))=FALSE,VLOOKUP(""Base carcass 600"",Wardrobes_etcData,6,0),IF(OR(ISERROR(FIND(""larder"",A52))=FALSE,ISERROR(FIND(""unit"&amp;""",A52))=FALSE),VLOOKUP(LEFT(A52,FIND("" "",A52))&amp;""carcass ""&amp;RIGHT(A52,LEN(A52)-len(regexextract(A52,"".* ""))),Wardrobes_etcData,6,0),IF(ISERROR(FIND(""drawer front"",A52))=FALSE,IF(ISERROR(FIND(""veneer"",WardrobeCarcassMaterial))=TRUE,0,(((B52+C52)/1"&amp;"000)*2)*VLOOKUP(""Edge banding (per M)"",SheetsData,5,0)),IF(ISERROR(FIND(""drawer box"",A52))=FALSE,IF(ISERROR(FIND(""veneer"",WardrobeCarcassMaterial))=TRUE,0,(((C52+D52)/1000)*2)*VLOOKUP(""Edge banding (per M)"",SheetsData,5,0)),IF(ISERROR(FIND(""shelf"&amp;""",A52))=FALSE,IF(ISERROR(FIND(""veneer"",WardrobeCarcassMaterial))=TRUE,0,(C52/1000)*VLOOKUP(""Edge banding (per M)"",SheetsData,5,0)),IF(AND(OR(ISERROR(FIND(""arcass"",A52))=FALSE,ISERROR(FIND(""Fireplace"",A52))=FALSE),ISERROR(FIND(""shelf"",A52))=TRUE"&amp;"),IF(ISERROR(FIND(""veneer"",WardrobeCarcassMaterial))=TRUE,0,((2*(B52+C52))/1000)*VLOOKUP(""Edge banding (per M)"",SheetsData,5,0)),IF(ISERROR(FIND(""door"",A52))=TRUE,"""",IF(ISERROR(FIND(""veneer"",WardrobeDoorMaterial))=TRUE,"""",((2*(B52+C52))/1000)*"&amp;"VLOOKUP(""Edge banding (per M)"",SheetsData,5,0))))))))))"),"")</f>
        <v/>
      </c>
      <c r="G52" s="153" t="str">
        <f>IF(A52="","",IF(AND(ISERROR(FIND("arcass",A52))=TRUE,ISERROR(FIND("Fireplace",A52))=TRUE),"",IF(VALUE(C52)&lt;606,4*VLOOKUP("Plinth foot (2 Parts 80mm)",FurnitureData,5,FALSE),IF(VALUE(C52)&lt;1211,6*VLOOKUP("Plinth foot (2 Parts 80mm)",FurnitureData,5,FALSE),8*VLOOKUP("Plinth foot (2 Parts 80mm)",FurnitureData,5,FALSE)))))</f>
        <v/>
      </c>
      <c r="H52" s="115" t="str">
        <f>IF(OR(A52="",ISERROR(FIND("door",A52))=TRUE),"",VLOOKUP("Hinges &amp; plates (Hettich thick door)",FurnitureData,5,0)*5)</f>
        <v/>
      </c>
      <c r="I52" s="115" t="str">
        <f>IF(ISERROR(FIND("shelf",A52))=FALSE,(VLOOKUP("Shelf pegs",FurnitureData,5,0)/100)*4,"")</f>
        <v/>
      </c>
      <c r="J52" s="152" t="str">
        <f>IF(OR(ISERROR(FIND("fridge/freezer",A52))=FALSE,ISERROR(FIND("sink",A52))=FALSE,ISERROR(FIND("larder",A52))=FALSE),VLOOKUP("Deep shelf "&amp;C52,Wardrobes_etcData,18,0),IF(OR(ISERROR(FIND("single oven",A52))=FALSE,ISERROR(FIND("Base carcass",A52))=FALSE),2*VLOOKUP("Deep shelf "&amp;C52,Wardrobes_etcData,18,0),IF(AND(ISERROR(FIND("wall carcass",A52))=FALSE,ISERROR(FIND("Boiler",A52))=TRUE),2*VLOOKUP("Shallow shelf "&amp;C52,Wardrobes_etcData,18,0),IF(ISERROR(FIND("double oven",A52))=FALSE,3*VLOOKUP("Deep shelf "&amp;C52,Wardrobes_etcData,18,0),IF(ISERROR(FIND("Tower carcass",A52))=FALSE,6*VLOOKUP("Deep shelf "&amp;C52,Wardrobes_etcData,18,0),"")))))</f>
        <v/>
      </c>
      <c r="K52" s="152">
        <f>IF(ISERROR(FIND("sink",A52))=FALSE,VLOOKUP("Sink liner - Aluminium "&amp;RIGHT(A52,LEN(A52)-22)&amp;"mm",ExceptionalData,5,0),IF(ISERROR(FIND("bins",A52))=FALSE,VLOOKUP("Drawer runners and clip set for bin unit (500) Dynapro",FurnitureData,5,0)+(2*VLOOKUP("Bin (42L Anthracite)",FurnitureData,5,0)),IF(ISERROR(FIND("larder",A52))=FALSE,VLOOKUP("Pull out larder unit 600mm",FurnitureData,5,0),IF(AND(ISERROR(FIND("drawer box",A52))=FALSE,ISERROR(FIND("internal",A52))=TRUE),VLOOKUP("Drawer runners and clip set (550) Dynapro",FurnitureData,5,0),IF(ISERROR(FIND("internal drawer box",A52))=FALSE,VLOOKUP("Drawer runners and clip set (450) Dynapro",FurnitureData,5,0),IF(ISERROR(FIND("table",A52))=FALSE,VLOOKUP("Hairpin Leg (12mm Black "&amp;MID(A52,FIND("(",A52)+1,LEN(A52)-(FIND("(",A52))-1)&amp;"mm)",ExceptionalData,4,FALSE),""))))))</f>
        <v>4</v>
      </c>
      <c r="L52" s="152">
        <f t="shared" si="3"/>
        <v>195.88</v>
      </c>
      <c r="M52" s="154">
        <f>IF(A52="","",IF(AND(ISERROR(FIND("drawer front",A52))=FALSE,WardrobeDoorStyle="Flat"),(((B52/1000)*(C52/1000))*2)+((((B52+C52)/1000)*2)*0.022),IF(AND(ISERROR(FIND("drawer front",A52))=FALSE,LEFT(WardrobeDoorStyle,5)="Panel"),(((B52/1000)*(C52/1000))*2)+((((B52+C52)/1000)*2)*0.022)+((((C52/1000)-0.16)*0.013)*2)+((((D52/1000)-0.16)*0.013)*2),IF(AND(ISERROR(FIND("drawer front",A52))=FALSE,WardrobeDoorStyle="In-frame flat"),((((B52-76)/1000)*((C52-38)/1000))*2)+(MID(WardrobeDoorMaterial,FIND("(",WardrobeDoorMaterial)+1,2)/1000)*((((B52-76)+(C52-38))/1000)*2)+(((B52/1000)*0.032)*2)+((((B52-76)/1000)*0.032)*2)+(((B52/1000)*0.019)*4)+(((C52/1000)*0.032)*2)+((((C52-38)/1000)*0.032)*2)+(((C52/1000)*0.038)*4),IF(AND(ISERROR(FIND("drawer front",A52))=FALSE,LEFT(WardrobeDoorStyle,14)="In-frame panel"),((((B52-76)/1000)*((C52-38)/1000))*2)+((MID(WardrobeDoorMaterial,FIND("(",WardrobeDoorMaterial)+1,2)/1000)*((((B52-76)+(C52-38))/1000)*2))+((((B52-236)/1000)+((C52-198)/1000)*2)*0.013)+(((B52/1000)*0.032)*2)+((((B52-76)/1000)*0.032)*2)+(((B52/1000)*0.019)*4)+(((C52/1000)*0.032)*2)+((((C52-38)/1000)*0.032)*2)+(((C52/1000)*0.038)*4),IF(ISERROR(FIND("drawer box",A52))=FALSE,((((B52/1000)*(D52/1000))+((B52/1000)*(C52/1000)))*4)+((((D52/1000)+(C52/1000))*0.016)*4)+(((C52/1000)*(D52/1000))*2),IF(OR(ISERROR(FIND("shelf",A52))=FALSE,ISERROR(FIND("Filler panel",A52))=FALSE),(((C52/1000)*(D52/1000))*2)+((((C52+D52)*2)/1000)*0.022),IF(ISERROR(FIND("Fireplace",A52))=FALSE,((B52/1000)*(C52/1000)),IF(ISERROR(FIND("Worktop",A52))=FALSE,(B52/1000)*(C52/1000),IF(ISERROR(FIND("table",A52))=FALSE,(B52/1000)*0.6,IF(ISERROR(FIND("arcass",A52))=FALSE,(((C52/1000)*(D52/1000))*2)+(((B52/1000)*(D52/1000))*2)+((B52/1000)*(C52/1000))+((((B52/1000)*0.025)+((C52/1000)*0.025))*2),IF(AND(ISERROR(FIND("door",A52))=FALSE,WardrobeDoorStyle="Flat"),(((B52/1000)*(C52/1000))*2)+(MID(WardrobeDoorMaterial,FIND("(",WardrobeDoorMaterial)+1,2)/1000)*(((B52+C52)/1000)*2),IF(AND(ISERROR(FIND("door",A52))=FALSE,LEFT(WardrobeDoorStyle,5)="Panel"),(((B52/1000)*(C52/1000))*2)+((MID(WardrobeDoorMaterial,FIND("(",WardrobeDoorMaterial)+1,2)/1000)*(((B52+C52)/1000)*2))+(((((B52-160)+(C52-160))*2)/1000)*(0.013)),IF(AND(ISERROR(FIND("door",A52))=FALSE,WardrobeDoorStyle="In-frame flat"),((((B52-76)/1000)*((C52-38)/1000))*2)+(MID(WardrobeDoorMaterial,FIND("(",WardrobeDoorMaterial)+1,2)/1000)*((((B52-76)+(C52-38))/1000)*2)+(((B52/1000)*0.032)*2)+((((B52-76)/1000)*0.032)*2)+(((B52/1000)*0.019)*4)+(((C52/1000)*0.032)*2)+((((C52-38)/1000)*0.032)*2)+(((C52/1000)*0.038)*4),IF(AND(ISERROR(FIND("door",A52))=FALSE,LEFT(WardrobeDoorStyle,14)="In-frame panel"),((((B52-76)/1000)*((C52-38)/1000))*2)+((MID(WardrobeDoorMaterial,FIND("(",WardrobeDoorMaterial)+1,2)/1000)*((((B52-76)+(C52-38))/1000)*2))+((((B52-236)/1000)+((C52-198)/1000)*2)*0.013)+(((B52/1000)*0.032)*2)+((((B52-76)/1000)*0.032)*2)+(((B52/1000)*0.019)*4)+(((C52/1000)*0.032)*2)+((((C52-38)/1000)*0.032)*2)+(((C52/1000)*0.038)*4),IF(ISERROR(FIND("Plinth",A52))=FALSE,((B52/1000)*(C52/1000))+(((C52/1000)*0.018)*2)+(((B52/1000)*0.018)*2),IF(ISERROR(FIND("Cornice",A52))=FALSE,(((C52/1000)*0.1)*2)+(((C52/1000)*0.044)*2)+(((B52/1000)*0.08)*2),IF(ISERROR(FIND("Office pod",A52))=FALSE,((2400/1000)*(1200/1000))*6,IF(ISERROR(FIND("panel",A52))=FALSE,((B52/1000)*(C52/1000))+(0.022*((B52/1000)+((C52/1000)*2)))+((B52/1000)*0.05),IF(ISERROR(FIND("Fillers",A52))=FALSE,((C52/1000)*0.06)+((C52/1000)*0.069)+((0.06*0.018)*2)+((0.06*0.009)*2)+((C52/1000)*0.009)+((C52/1000)*0.018),IF(ISERROR(FIND("Pelmet",A52))=FALSE,((C52/1000)*0.05)+((C52/1000)*0.068)+((0.05*0.018)*4)+(((C52/1000)*0.018))*2)))))))))))))))))))))</f>
        <v>1.44</v>
      </c>
      <c r="N52" s="152">
        <f>IF(M52="","",IF(AND(ISERROR(FIND("carcass",A52))=TRUE,ISERROR(FIND("unit",A52))=TRUE,ISERROR(FIND("insert",A52))=TRUE,ISERROR(FIND("rack",A52))=TRUE,ISERROR(FIND("box",A52))=TRUE,ISERROR(FIND("shelf",A52))=TRUE),VLOOKUP(WardrobeDoorFinish,Finishing!$A$2:$K$10,9,0)*M52,IF(ISERROR(FIND("table",A52))=FALSE,VLOOKUP("Sayerlack AF0072 Interior Clear Self-Sealer",FinishingData,9,FALSE)*M52,VLOOKUP(WardrobeCarcassFinish,Finishing!$A$2:$K$40,9,0)*M52)))</f>
        <v>10.8</v>
      </c>
      <c r="O52" s="159">
        <v>1.0</v>
      </c>
      <c r="P52" s="159">
        <v>1.5</v>
      </c>
      <c r="Q52" s="152">
        <f>IF(OR(O52="",P52=""),"",((O52*X52)*(VLOOKUP("Workshop",Labour!$A$3:$E$20,4,0)/8))+((P52*AE52)*(VLOOKUP("Finishing",Labour!$A$3:$E$20,4,0)/8)))</f>
        <v>85.75</v>
      </c>
      <c r="R52" s="152">
        <f t="shared" si="4"/>
        <v>292.43</v>
      </c>
      <c r="S52" s="156">
        <f>IF(OR(O52="",P52=""),"",IF(OR(ISERROR(FIND("carcass",$A52))=FALSE,ISERROR(FIND("unit",$A52))=FALSE),VLOOKUP(WardrobeCarcassMaterial,FixedListsCarcassMaterial,2,0),0))</f>
        <v>0</v>
      </c>
      <c r="T52" s="156">
        <f>IF(OR(O52="",P52=""),"",IF(ISERROR(FIND("door",$A52))=FALSE,VLOOKUP(WardrobeDoorStyle,FixedListsDoorStyle,2,0),0))</f>
        <v>0</v>
      </c>
      <c r="U52" s="156">
        <f>IF(OR(O52="",P52=""),"",IF(ISERROR(FIND("door",$A52))=FALSE,VLOOKUP(WardrobeDoorMaterial,FixedListsDoorMaterial,2,0),0))</f>
        <v>0</v>
      </c>
      <c r="V52" s="156">
        <f>IF(OR(O52="",P52=""),"",IF(ISERROR(FIND("drawer",$A52))=FALSE,VLOOKUP(WardrobeDrawerType,FixedListsDrawerType,2,0),0))</f>
        <v>0</v>
      </c>
      <c r="W52" s="156">
        <f>IF(OR(O52="",P52=""),"",IF(S52&gt;0,VLOOKUP(WardrobeHandleType,FixedListsHandleType,2,FALSE),0))</f>
        <v>0</v>
      </c>
      <c r="X52" s="156">
        <f t="shared" si="5"/>
        <v>1</v>
      </c>
      <c r="Y52" s="156">
        <f>IF(OR(O52="",P52=""),"",IF(OR(ISERROR(FIND("carcass",$A52))=FALSE,ISERROR(FIND("unit",$A52))=FALSE),VLOOKUP(WardrobeCarcassMaterial,FixedListsCarcassMaterial,3,0),0))</f>
        <v>0</v>
      </c>
      <c r="Z52" s="156">
        <f>IF(OR(O52="",P52=""),"",IF(ISERROR(FIND("door",$A52))=FALSE,VLOOKUP(WardrobeDoorStyle,FixedListsDoorStyle,3,0),0))</f>
        <v>0</v>
      </c>
      <c r="AA52" s="156">
        <f>IF(OR(O52="",P52=""),"",IF(ISERROR(FIND("door",$A52))=FALSE,VLOOKUP(WardrobeDoorMaterial,FixedListsDoorMaterial,3,0),0))</f>
        <v>0</v>
      </c>
      <c r="AB52" s="156">
        <f>IF(OR(O52="",P52=""),"",IF(ISERROR(FIND("drawer",$A52))=FALSE,VLOOKUP(WardrobeDrawerType,FixedListsDrawerType,3,0),0))</f>
        <v>0</v>
      </c>
      <c r="AC52" s="156">
        <f>IF(OR(O52="",P52=""),"",IF(S52&gt;0,VLOOKUP(WardrobeHandleType,FixedListsHandleType,3,FALSE),0))</f>
        <v>0</v>
      </c>
      <c r="AD52" s="156">
        <f>IF(OR(O52="",P52=""),"",IF(OR(ISERROR(FIND("carcass",$A52))=FALSE,ISERROR(FIND("unit",$A52))=FALSE),VLOOKUP(WardrobeCarcassFinish,FixedListsFinishes,3,0),IF(OR(ISERROR(FIND("door",$A52))=FALSE,ISERROR(FIND("Plinth",$A52))=FALSE,ISERROR(FIND("Cornice",$A52))=FALSE,ISERROR(FIND("Fillers",$A52))=FALSE,ISERROR(FIND("Pelmet",$A52))=FALSE,ISERROR(FIND("panel",$A52))=FALSE,ISERROR(FIND("post",$A52))=FALSE),VLOOKUP(WardrobeDoorFinish,FixedListsFinishes,3,0),IF(OR(ISERROR(FIND("drawer",$A52))=FALSE,ISERROR(FIND("insert",$A52))=FALSE,ISERROR(FIND("rck",$A52))=FALSE),VLOOKUP(WardrobeCarcassFinish,FixedListsFinishes,3,0),0))))</f>
        <v>0</v>
      </c>
      <c r="AE52" s="156">
        <f t="shared" si="6"/>
        <v>1</v>
      </c>
      <c r="AF52" s="157" t="str">
        <f>IF(AND(WardrobeHandleType="Channel",OR(ISERROR(FIND("arcass",$A52))=FALSE,ISERROR(FIND("unit",$A52))=FALSE)),IF(ISERROR(FIND("Tower",$A52))=TRUE,IF(WardrobeHandleFinish="Match carcass",IF(ISERROR(FIND("Walnut",WardrobeCarcassMaterial))=FALSE,(0.035*0.075*($C52/1000))*VLOOKUP("Walnut (solid m3)",SolidData,4,FALSE),IF(ISERROR(FIND("Oak",WardrobeCarcassMaterial))=FALSE,(0.035*0.075*($C52/1000))*VLOOKUP("Oak (solid m3)",SolidData,4,FALSE),IF(ISERROR(FIND("ply",WardrobeCarcassMaterial))=FALSE,(0.1*($C52/1000))*VLOOKUP("Birch ply (24mm)",SheetsData,7,FALSE),IF(ISERROR(FIND("H/F",WardrobeCarcassMaterial))=FALSE,(0.1*($C52/1000))*VLOOKUP("H/F (22mm)",SheetsData,7,FALSE),"Carcass - not tower - new material")))),IF(WardrobeHandleFinish="Match door",IF(ISERROR(FIND("Walnut",WardrobeDoorMaterial))=FALSE,(0.035*0.075*($C52/1000))*VLOOKUP("Walnut (solid m3)",SolidData,4,FALSE),IF(ISERROR(FIND("Oak",WardrobeDoorMaterial))=FALSE,(0.035*0.075*($C52/1000))*VLOOKUP("Oak (solid m3)",SolidData,4,FALSE),IF(ISERROR(FIND("ply",WardrobeDoorMaterial))=FALSE,(0.1*($C52/1000))*VLOOKUP("Birch ply (24mm)",SheetsData,7,FALSE),IF(ISERROR(FIND("H/F",WardrobeCarcassMaterial))=FALSE,(0.1*($C52/1000))*VLOOKUP("H/F (22mm)",SheetsData,7,FALSE),"Door - not tower - new material")))),"Channel - not tower - handle set to other")),IF(ISERROR(FIND("Tower",$A52))=FALSE,IF(WardrobeHandleFinish="Match carcass",IF(ISERROR(FIND("Walnut",WardrobeCarcassMaterial))=FALSE,(0.035*0.075*($B52/1000))*VLOOKUP("Walnut (solid m3)",SolidData,4,FALSE),IF(ISERROR(FIND("Oak",WardrobeCarcassMaterial))=FALSE,(0.035*0.075*($B52/1000))*VLOOKUP("Oak (solid m3)",SolidData,4,FALSE),IF(ISERROR(FIND("ply",WardrobeCarcassMaterial))=FALSE,(0.1*($B52/1000))*VLOOKUP("Birch ply (24mm)",SheetsData,7,FALSE),IF(ISERROR(FIND("H/F",WardrobeCarcassMaterial))=FALSE,(0.1*($C52/1000))*VLOOKUP("H/F (22mm)",SheetsData,7,FALSE),"Carcass - tower - new material")))),IF(WardrobeHandleFinish="Match door",IF(ISERROR(FIND("Walnut",WardrobeDoorMaterial))=FALSE,(0.035*0.075*($B52/1000))*VLOOKUP("Walnut (solid m3)",SolidData,4,FALSE),IF(ISERROR(FIND("Oak",WardrobeDoorMaterial))=FALSE,(0.035*0.075*($B52/1000))*VLOOKUP("Oak (solid m3)",SolidData,4,FALSE),IF(ISERROR(FIND("ply",WardrobeDoorMaterial))=FALSE,(0.1*($B52/1000))*VLOOKUP("Birch ply (24mm)",SheetData,7,FALSE),IF(ISERROR(FIND("H/F",WardrobeCarcassMaterial))=FALSE,(0.1*($C52/1000))*VLOOKUP("H/F (22mm)",SheetsData,7,FALSE),"Door - tower - new material")))),"Channel - tower - handle set to other")))),"")</f>
        <v/>
      </c>
    </row>
    <row r="53">
      <c r="A53" s="150" t="s">
        <v>248</v>
      </c>
      <c r="B53" s="160" t="str">
        <f t="shared" si="1"/>
        <v>1200</v>
      </c>
      <c r="C53" s="160" t="str">
        <f>IFERROR(__xludf.DUMMYFUNCTION("IF(A53="""","""",IF(ISERROR(FIND(""arcass"",A53))=FALSE,MID(A53,FIND(""*"",A53)+1,FIND(""*"",A53,FIND(""*"",A53)+1)-FIND(""*"",A53)-1),IF(ISERROR(FIND(""End panel"",A53))=FALSE,RIGHT(A53,3),IF(OR(ISERROR(FIND(""drawer"",A53))=FALSE,ISERROR(FIND(""door"",A"&amp;"53))=FALSE,ISERROR(FIND(""shelf"",A53))=FALSE,ISERROR(FIND(""panel"",A53))=FALSE,ISERROR(FIND(""Plinth"",A53))=FALSE,ISERROR(FIND(""Cornice"",A53))=FALSE,ISERROR(FIND(""Fillers"",A53))=FALSE,ISERROR(FIND(""Pelmet"",A53))=FALSE,ISERROR(FIND(""Fireplace up "&amp;"to 1600"",A53))=FALSE),RIGHT(A53,LEN(A53)-LEN(regexextract(A53,"".* ""))),IF(ISERROR(FIND(""table"",A53))=FALSE,""560"",IF(ISERROR(FIND(""Office pod"",A53))=FALSE,""1600"",IF(ISERROR(FIND(""Fireplace over 1600"",A53))=FALSE,""2400"",IF(ISERROR(FIND(""Work"&amp;"top"",A53))=FALSE,""650"",""Whoops""))))))))"),"650")</f>
        <v>650</v>
      </c>
      <c r="D53" s="161" t="str">
        <f t="shared" si="2"/>
        <v/>
      </c>
      <c r="E53" s="152">
        <f>IF(OR(A53="",AND(ISERROR(FIND("drawer",A53))=FALSE,WardrobeDrawerType="")),"",IF(ISERROR(FIND("door",A53))=FALSE,IF(WardrobeDoorStyle="Flat",((B53/1000)*(C53/1000))*VLOOKUP(WardrobeDoorMaterial,SheetsData,8,0),IF(LEFT(WardrobeDoorStyle,5)="Panel",(((((B53/1000)*2)*0.08)+((((C53/1000)-0.16)*2)*0.08))*VLOOKUP("H/F (22mm)",SheetsData,8,0))+(((B53/1000)-0.14)*((C53/1000)-0.14)*VLOOKUP("H/F (9mm)",SheetsData,8,0)),IF(WardrobeDoorStyle="In-frame flat",((((((B53/1000)*0.019)*0.038)+((((C53-38)/1000)*0.038)*0.038))*2)*VLOOKUP("Tulip (solid m3)",SolidData,4,0))+(((B53-76)/1000)*((C53-38)/1000))*VLOOKUP("H/F (22mm)",SheetsData,8,0),IF(LEFT(WardrobeDoorStyle,14)="In-frame panel",(((((((B53/1000)*0.019)*0.038)+((((C53-38)/1000)*0.038)*0.038))*2)*VLOOKUP("Tulip (solid m3)",SolidData,4,0))+(((((((B53-76)/1000)*2)*0.08)+(((((C53-198)/1000)*2)*0.08)))*VLOOKUP("H/F (22mm)",SheetsData,8,0))+(((B53-216)/1000)*((C53-178)/1000)*VLOOKUP("H/F (9mm)",SheetsData,8,0)))))))),IF(AND(ISERROR(FIND("arcass",A53))=FALSE,ISERROR(FIND("ost corner",A53))=TRUE),IF(AND(VALUE(B53)&lt;1211,VALUE(C53)&lt;1211,VALUE(D53)&lt;606),1*VLOOKUP(WardrobeCarcassMaterial,SheetsData,5,FALSE),IF(AND(VALUE(B53)&lt;2421,VALUE(C53)&lt;2421,VALUE(D53)&lt;606),2*VLOOKUP(WardrobeCarcassMaterial,SheetsData,5,FALSE),IF(AND(VALUE(B53)&lt;2421,VALUE(C53)&lt;1211,VALUE(D53)&lt;1211),3*VLOOKUP(WardrobeCarcassMaterial,SheetsData,5,FALSE),IF(AND(VALUE(B53)&lt;2421,VALUE(C53)&lt;2421,VALUE(D53)&lt;1211),4*VLOOKUP(WardrobeCarcassMaterial,SheetsData,5,FALSE))))),IF(AND(ISERROR(FIND("arcass",A53))=FALSE,ISERROR(FIND("ost corner",A53))=FALSE),IF(AND(VALUE(B53)&lt;1211,VALUE(C53)&lt;1211,VALUE(D53)&lt;606),(1*VLOOKUP(WardrobeCarcassMaterial,SheetsData,5,FALSE))+(VLOOKUP("H/F (22mm)",SheetsData,7,FALSE)*1.44),IF(AND(VALUE(B53)&lt;2421,VALUE(C53)&lt;2421,VALUE(D53)&lt;606),(2*VLOOKUP(WardrobeCarcassMaterial,SheetsData,5,FALSE))+(VLOOKUP("H/F (22mm)",SheetsData,7,FALSE)*1.44),IF(AND(VALUE(B53)&lt;2421,VALUE(C53)&lt;1211,VALUE(D53)&lt;1211),(3*VLOOKUP(WardrobeCarcassMaterial,SheetsData,5,FALSE))+(VLOOKUP("H/F (22mm)",SheetsData,7,FALSE)*1.44),IF(AND(VALUE(B53)&lt;2421,VALUE(C53)&lt;2421,VALUE(D53)&lt;1211),(4*VLOOKUP(WardrobeCarcassMaterial,SheetsData,5,FALSE))+(VLOOKUP("H/F (22mm)",SheetsData,7,FALSE)*1.44))))),IF(ISERROR(FIND("drawer front",A53))=FALSE,((B53/1000)*(C53/1000))*VLOOKUP(WardrobeDoorMaterial,SheetsData,8,0),IF(AND(WardrobeDrawerType="Match carcass",ISERROR(FIND("drawer box",A53))=FALSE),(((((B53/1000)*(C53/1000))+((B53/1000)*(D53/1000)))*2)*VLOOKUP(WardrobeCarcassMaterial,SheetsData,8,0))+(((C53/1000)*(D53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box",A53))=FALSE),(((((B53/1000)*(C53/1000))+((B53/1000)*(D53/1000)))*2)*(16/1000)*VLOOKUP(LEFT(WardrobeCarcassMaterial,FIND(" ",WardrobeCarcassMaterial))&amp;"(solid m3)",SolidData,4,0))+(((C53/1000)*(D53/1000))*VLOOKUP(LEFT(WardrobeCarcassMaterial,FIND("(",WardrobeCarcassMaterial)-1)&amp;IF(OR(ISERROR(FIND("ply",WardrobeCarcassMaterial))=FALSE,ISERROR(FIND("H/F",WardrobeCarcassMaterial))=FALSE),"(9mm)","(10mm)"),SheetsData,8,0)),IF(ISERROR(FIND("shelf",A53))=FALSE,((C53/1000)*(D53/1000))*VLOOKUP(WardrobeCarcassMaterial,SheetsData,7,FALSE),IF(ISERROR(FIND("Office pod",A53))=FALSE,3*VLOOKUP(WardrobeCarcassMaterial,SheetsData,5,0),IF(ISERROR(FIND(" panel",A53))=FALSE,((B53/1000)*(C53/1000))*VLOOKUP(WardrobeDoorMaterial,SheetsData,8,0),IF(ISERROR(FIND("Fillers",A53))=FALSE,(((0.06*(C53/1000))*2)*VLOOKUP("H/F (18mm)",SheetsData,8,0))+(((0.06*(C53/1000))*2)*VLOOKUP("H/F (9mm)",SheetsData,8,0)),IF(ISERROR(FIND("Cornice (stacked)",A53))=FALSE,((0.08*(C53/1000))*2)*VLOOKUP("H/F (22mm)",SheetsData,8,0),IF(OR(ISERROR(FIND("Plinth",A53))=FALSE,ISERROR(FIND("Cornice (flat)",A53))=FALSE),((B53/1000)*(C53/1000))*VLOOKUP("H/F (18mm)",SheetsData,8,0),IF(ISERROR(FIND("Pelmet",A53))=FALSE,((((B53/1000)*(C53/1000))*2)*VLOOKUP("H/F (18mm)",SheetsData,8,0)),IF(ISERROR(FIND("Fireplace",A53))=FALSE,IF(ISERROR(FIND("over 1600",A53))=FALSE,2*VLOOKUP(WardrobeCarcassMaterial,SheetsData,5,FALSE),VLOOKUP(WardrobeCarcassMaterial,SheetsData,5,FALSE)),IF(ISERROR(FIND("table",A53))=FALSE,((B53/1000)*0.6)*VLOOKUP("Birch ply (24mm)",SheetsData,7,FALSE),IF(ISERROR(FIND("Worktop",A53))=FALSE,((B53/1000)*(C53/1000))*VLOOKUP(WardrobeDoorMaterial,SheetsData,7,FALSE),"Check formula")))))))))))))))))</f>
        <v>14.39834722</v>
      </c>
      <c r="F53" s="152" t="str">
        <f>IFERROR(__xludf.DUMMYFUNCTION("IF(OR(A53="""",AND(ISERROR(FIND(""drawer box"",A53))=FALSE,WardrobeDrawerType=""Solid dovetail"")),"""",IF(ISERROR(FIND(""bins"",A53))=FALSE,VLOOKUP(""Base carcass 600"",Wardrobes_etcData,6,0),IF(OR(ISERROR(FIND(""larder"",A53))=FALSE,ISERROR(FIND(""unit"&amp;""",A53))=FALSE),VLOOKUP(LEFT(A53,FIND("" "",A53))&amp;""carcass ""&amp;RIGHT(A53,LEN(A53)-len(regexextract(A53,"".* ""))),Wardrobes_etcData,6,0),IF(ISERROR(FIND(""drawer front"",A53))=FALSE,IF(ISERROR(FIND(""veneer"",WardrobeCarcassMaterial))=TRUE,0,(((B53+C53)/1"&amp;"000)*2)*VLOOKUP(""Edge banding (per M)"",SheetsData,5,0)),IF(ISERROR(FIND(""drawer box"",A53))=FALSE,IF(ISERROR(FIND(""veneer"",WardrobeCarcassMaterial))=TRUE,0,(((C53+D53)/1000)*2)*VLOOKUP(""Edge banding (per M)"",SheetsData,5,0)),IF(ISERROR(FIND(""shelf"&amp;""",A53))=FALSE,IF(ISERROR(FIND(""veneer"",WardrobeCarcassMaterial))=TRUE,0,(C53/1000)*VLOOKUP(""Edge banding (per M)"",SheetsData,5,0)),IF(AND(OR(ISERROR(FIND(""arcass"",A53))=FALSE,ISERROR(FIND(""Fireplace"",A53))=FALSE),ISERROR(FIND(""shelf"",A53))=TRUE"&amp;"),IF(ISERROR(FIND(""veneer"",WardrobeCarcassMaterial))=TRUE,0,((2*(B53+C53))/1000)*VLOOKUP(""Edge banding (per M)"",SheetsData,5,0)),IF(ISERROR(FIND(""door"",A53))=TRUE,"""",IF(ISERROR(FIND(""veneer"",WardrobeDoorMaterial))=TRUE,"""",((2*(B53+C53))/1000)*"&amp;"VLOOKUP(""Edge banding (per M)"",SheetsData,5,0))))))))))"),"")</f>
        <v/>
      </c>
      <c r="G53" s="153" t="str">
        <f>IF(A53="","",IF(AND(ISERROR(FIND("arcass",A53))=TRUE,ISERROR(FIND("Fireplace",A53))=TRUE),"",IF(VALUE(C53)&lt;606,4*VLOOKUP("Plinth foot (2 Parts 80mm)",FurnitureData,5,FALSE),IF(VALUE(C53)&lt;1211,6*VLOOKUP("Plinth foot (2 Parts 80mm)",FurnitureData,5,FALSE),8*VLOOKUP("Plinth foot (2 Parts 80mm)",FurnitureData,5,FALSE)))))</f>
        <v/>
      </c>
      <c r="H53" s="115" t="str">
        <f>IF(OR(A53="",ISERROR(FIND("door",A53))=TRUE),"",VLOOKUP("Hinges &amp; plates (Hettich thick door)",FurnitureData,5,0)*5)</f>
        <v/>
      </c>
      <c r="I53" s="115" t="str">
        <f>IF(ISERROR(FIND("shelf",A53))=FALSE,(VLOOKUP("Shelf pegs",FurnitureData,5,0)/100)*4,"")</f>
        <v/>
      </c>
      <c r="J53" s="152" t="str">
        <f>IF(OR(ISERROR(FIND("fridge/freezer",A53))=FALSE,ISERROR(FIND("sink",A53))=FALSE,ISERROR(FIND("larder",A53))=FALSE),VLOOKUP("Deep shelf "&amp;C53,Wardrobes_etcData,18,0),IF(OR(ISERROR(FIND("single oven",A53))=FALSE,ISERROR(FIND("Base carcass",A53))=FALSE),2*VLOOKUP("Deep shelf "&amp;C53,Wardrobes_etcData,18,0),IF(AND(ISERROR(FIND("wall carcass",A53))=FALSE,ISERROR(FIND("Boiler",A53))=TRUE),2*VLOOKUP("Shallow shelf "&amp;C53,Wardrobes_etcData,18,0),IF(ISERROR(FIND("double oven",A53))=FALSE,3*VLOOKUP("Deep shelf "&amp;C53,Wardrobes_etcData,18,0),IF(ISERROR(FIND("Tower carcass",A53))=FALSE,6*VLOOKUP("Deep shelf "&amp;C53,Wardrobes_etcData,18,0),"")))))</f>
        <v/>
      </c>
      <c r="K53" s="152" t="str">
        <f>IF(ISERROR(FIND("sink",A53))=FALSE,VLOOKUP("Sink liner - Aluminium "&amp;RIGHT(A53,LEN(A53)-22)&amp;"mm",ExceptionalData,5,0),IF(ISERROR(FIND("bins",A53))=FALSE,VLOOKUP("Drawer runners and clip set for bin unit (500) Dynapro",FurnitureData,5,0)+(2*VLOOKUP("Bin (42L Anthracite)",FurnitureData,5,0)),IF(ISERROR(FIND("larder",A53))=FALSE,VLOOKUP("Pull out larder unit 600mm",FurnitureData,5,0),IF(AND(ISERROR(FIND("drawer box",A53))=FALSE,ISERROR(FIND("internal",A53))=TRUE),VLOOKUP("Drawer runners and clip set (550) Dynapro",FurnitureData,5,0),IF(ISERROR(FIND("internal drawer box",A53))=FALSE,VLOOKUP("Drawer runners and clip set (450) Dynapro",FurnitureData,5,0),IF(ISERROR(FIND("table",A53))=FALSE,VLOOKUP("Hairpin Leg (12mm Black "&amp;MID(A53,FIND("(",A53)+1,LEN(A53)-(FIND("(",A53))-1)&amp;"mm)",ExceptionalData,4,FALSE),""))))))</f>
        <v/>
      </c>
      <c r="L53" s="152">
        <f t="shared" si="3"/>
        <v>14.39834722</v>
      </c>
      <c r="M53" s="154">
        <f>IF(A53="","",IF(AND(ISERROR(FIND("drawer front",A53))=FALSE,WardrobeDoorStyle="Flat"),(((B53/1000)*(C53/1000))*2)+((((B53+C53)/1000)*2)*0.022),IF(AND(ISERROR(FIND("drawer front",A53))=FALSE,LEFT(WardrobeDoorStyle,5)="Panel"),(((B53/1000)*(C53/1000))*2)+((((B53+C53)/1000)*2)*0.022)+((((C53/1000)-0.16)*0.013)*2)+((((D53/1000)-0.16)*0.013)*2),IF(AND(ISERROR(FIND("drawer front",A53))=FALSE,WardrobeDoorStyle="In-frame flat"),((((B53-76)/1000)*((C53-38)/1000))*2)+(MID(WardrobeDoorMaterial,FIND("(",WardrobeDoorMaterial)+1,2)/1000)*((((B53-76)+(C53-38))/1000)*2)+(((B53/1000)*0.032)*2)+((((B53-76)/1000)*0.032)*2)+(((B53/1000)*0.019)*4)+(((C53/1000)*0.032)*2)+((((C53-38)/1000)*0.032)*2)+(((C53/1000)*0.038)*4),IF(AND(ISERROR(FIND("drawer front",A53))=FALSE,LEFT(WardrobeDoorStyle,14)="In-frame panel"),((((B53-76)/1000)*((C53-38)/1000))*2)+((MID(WardrobeDoorMaterial,FIND("(",WardrobeDoorMaterial)+1,2)/1000)*((((B53-76)+(C53-38))/1000)*2))+((((B53-236)/1000)+((C53-198)/1000)*2)*0.013)+(((B53/1000)*0.032)*2)+((((B53-76)/1000)*0.032)*2)+(((B53/1000)*0.019)*4)+(((C53/1000)*0.032)*2)+((((C53-38)/1000)*0.032)*2)+(((C53/1000)*0.038)*4),IF(ISERROR(FIND("drawer box",A53))=FALSE,((((B53/1000)*(D53/1000))+((B53/1000)*(C53/1000)))*4)+((((D53/1000)+(C53/1000))*0.016)*4)+(((C53/1000)*(D53/1000))*2),IF(OR(ISERROR(FIND("shelf",A53))=FALSE,ISERROR(FIND("Filler panel",A53))=FALSE),(((C53/1000)*(D53/1000))*2)+((((C53+D53)*2)/1000)*0.022),IF(ISERROR(FIND("Fireplace",A53))=FALSE,((B53/1000)*(C53/1000)),IF(ISERROR(FIND("Worktop",A53))=FALSE,(B53/1000)*(C53/1000),IF(ISERROR(FIND("table",A53))=FALSE,(B53/1000)*0.6,IF(ISERROR(FIND("arcass",A53))=FALSE,(((C53/1000)*(D53/1000))*2)+(((B53/1000)*(D53/1000))*2)+((B53/1000)*(C53/1000))+((((B53/1000)*0.025)+((C53/1000)*0.025))*2),IF(AND(ISERROR(FIND("door",A53))=FALSE,WardrobeDoorStyle="Flat"),(((B53/1000)*(C53/1000))*2)+(MID(WardrobeDoorMaterial,FIND("(",WardrobeDoorMaterial)+1,2)/1000)*(((B53+C53)/1000)*2),IF(AND(ISERROR(FIND("door",A53))=FALSE,LEFT(WardrobeDoorStyle,5)="Panel"),(((B53/1000)*(C53/1000))*2)+((MID(WardrobeDoorMaterial,FIND("(",WardrobeDoorMaterial)+1,2)/1000)*(((B53+C53)/1000)*2))+(((((B53-160)+(C53-160))*2)/1000)*(0.013)),IF(AND(ISERROR(FIND("door",A53))=FALSE,WardrobeDoorStyle="In-frame flat"),((((B53-76)/1000)*((C53-38)/1000))*2)+(MID(WardrobeDoorMaterial,FIND("(",WardrobeDoorMaterial)+1,2)/1000)*((((B53-76)+(C53-38))/1000)*2)+(((B53/1000)*0.032)*2)+((((B53-76)/1000)*0.032)*2)+(((B53/1000)*0.019)*4)+(((C53/1000)*0.032)*2)+((((C53-38)/1000)*0.032)*2)+(((C53/1000)*0.038)*4),IF(AND(ISERROR(FIND("door",A53))=FALSE,LEFT(WardrobeDoorStyle,14)="In-frame panel"),((((B53-76)/1000)*((C53-38)/1000))*2)+((MID(WardrobeDoorMaterial,FIND("(",WardrobeDoorMaterial)+1,2)/1000)*((((B53-76)+(C53-38))/1000)*2))+((((B53-236)/1000)+((C53-198)/1000)*2)*0.013)+(((B53/1000)*0.032)*2)+((((B53-76)/1000)*0.032)*2)+(((B53/1000)*0.019)*4)+(((C53/1000)*0.032)*2)+((((C53-38)/1000)*0.032)*2)+(((C53/1000)*0.038)*4),IF(ISERROR(FIND("Plinth",A53))=FALSE,((B53/1000)*(C53/1000))+(((C53/1000)*0.018)*2)+(((B53/1000)*0.018)*2),IF(ISERROR(FIND("Cornice",A53))=FALSE,(((C53/1000)*0.1)*2)+(((C53/1000)*0.044)*2)+(((B53/1000)*0.08)*2),IF(ISERROR(FIND("Office pod",A53))=FALSE,((2400/1000)*(1200/1000))*6,IF(ISERROR(FIND("panel",A53))=FALSE,((B53/1000)*(C53/1000))+(0.022*((B53/1000)+((C53/1000)*2)))+((B53/1000)*0.05),IF(ISERROR(FIND("Fillers",A53))=FALSE,((C53/1000)*0.06)+((C53/1000)*0.069)+((0.06*0.018)*2)+((0.06*0.009)*2)+((C53/1000)*0.009)+((C53/1000)*0.018),IF(ISERROR(FIND("Pelmet",A53))=FALSE,((C53/1000)*0.05)+((C53/1000)*0.068)+((0.05*0.018)*4)+(((C53/1000)*0.018))*2)))))))))))))))))))))</f>
        <v>0.895</v>
      </c>
      <c r="N53" s="152">
        <f>IF(M53="","",IF(AND(ISERROR(FIND("carcass",A53))=TRUE,ISERROR(FIND("unit",A53))=TRUE,ISERROR(FIND("insert",A53))=TRUE,ISERROR(FIND("rack",A53))=TRUE,ISERROR(FIND("box",A53))=TRUE,ISERROR(FIND("shelf",A53))=TRUE),VLOOKUP(WardrobeDoorFinish,Finishing!$A$2:$K$10,9,0)*M53,IF(ISERROR(FIND("table",A53))=FALSE,VLOOKUP("Sayerlack AF0072 Interior Clear Self-Sealer",FinishingData,9,FALSE)*M53,VLOOKUP(WardrobeCarcassFinish,Finishing!$A$2:$K$40,9,0)*M53)))</f>
        <v>6.7125</v>
      </c>
      <c r="O53" s="159">
        <v>1.0</v>
      </c>
      <c r="P53" s="159">
        <v>1.5</v>
      </c>
      <c r="Q53" s="152">
        <f>IF(OR(O53="",P53=""),"",((O53*X53)*(VLOOKUP("Workshop",Labour!$A$3:$E$20,4,0)/8))+((P53*AE53)*(VLOOKUP("Finishing",Labour!$A$3:$E$20,4,0)/8)))</f>
        <v>127.75</v>
      </c>
      <c r="R53" s="152">
        <f t="shared" si="4"/>
        <v>148.8608472</v>
      </c>
      <c r="S53" s="156">
        <f>IF(OR(O53="",P53=""),"",IF(OR(ISERROR(FIND("carcass",$A53))=FALSE,ISERROR(FIND("unit",$A53))=FALSE),VLOOKUP(WardrobeCarcassMaterial,FixedListsCarcassMaterial,2,0),0))</f>
        <v>0</v>
      </c>
      <c r="T53" s="156">
        <f>IF(OR(O53="",P53=""),"",IF(ISERROR(FIND("door",$A53))=FALSE,VLOOKUP(WardrobeDoorStyle,FixedListsDoorStyle,2,0),0))</f>
        <v>0</v>
      </c>
      <c r="U53" s="156">
        <f>IF(OR(O53="",P53=""),"",IF(ISERROR(FIND("door",$A53))=FALSE,VLOOKUP(WardrobeDoorMaterial,FixedListsDoorMaterial,2,0),0))</f>
        <v>0</v>
      </c>
      <c r="V53" s="156">
        <f>IF(OR(O53="",P53=""),"",IF(ISERROR(FIND("drawer",$A53))=FALSE,VLOOKUP(WardrobeDrawerType,FixedListsDrawerType,2,0),0))</f>
        <v>0</v>
      </c>
      <c r="W53" s="156">
        <f>IF(OR(O53="",P53=""),"",IF(S53&gt;0,VLOOKUP(WardrobeHandleType,FixedListsHandleType,2,FALSE),0))</f>
        <v>0</v>
      </c>
      <c r="X53" s="156">
        <f t="shared" si="5"/>
        <v>1</v>
      </c>
      <c r="Y53" s="156">
        <f>IF(OR(O53="",P53=""),"",IF(OR(ISERROR(FIND("carcass",$A53))=FALSE,ISERROR(FIND("unit",$A53))=FALSE),VLOOKUP(WardrobeCarcassMaterial,FixedListsCarcassMaterial,3,0),0))</f>
        <v>0</v>
      </c>
      <c r="Z53" s="156">
        <f>IF(OR(O53="",P53=""),"",IF(ISERROR(FIND("door",$A53))=FALSE,VLOOKUP(WardrobeDoorStyle,FixedListsDoorStyle,3,0),0))</f>
        <v>0</v>
      </c>
      <c r="AA53" s="156">
        <f>IF(OR(O53="",P53=""),"",IF(ISERROR(FIND("door",$A53))=FALSE,VLOOKUP(WardrobeDoorMaterial,FixedListsDoorMaterial,3,0),0))</f>
        <v>0</v>
      </c>
      <c r="AB53" s="156">
        <f>IF(OR(O53="",P53=""),"",IF(ISERROR(FIND("drawer",$A53))=FALSE,VLOOKUP(WardrobeDrawerType,FixedListsDrawerType,3,0),0))</f>
        <v>0</v>
      </c>
      <c r="AC53" s="156">
        <f>IF(OR(O53="",P53=""),"",IF(S53&gt;0,VLOOKUP(WardrobeHandleType,FixedListsHandleType,3,FALSE),0))</f>
        <v>0</v>
      </c>
      <c r="AD53" s="156">
        <f>IF(OR(O53="",P53=""),"",IF(OR(ISERROR(FIND("carcass",$A53))=FALSE,ISERROR(FIND("unit",$A53))=FALSE),VLOOKUP(WardrobeCarcassFinish,FixedListsFinishes,3,0),IF(OR(ISERROR(FIND("door",$A53))=FALSE,ISERROR(FIND("Plinth",$A53))=FALSE,ISERROR(FIND("Cornice",$A53))=FALSE,ISERROR(FIND("Fillers",$A53))=FALSE,ISERROR(FIND("Pelmet",$A53))=FALSE,ISERROR(FIND("panel",$A53))=FALSE,ISERROR(FIND("post",$A53))=FALSE),VLOOKUP(WardrobeDoorFinish,FixedListsFinishes,3,0),IF(OR(ISERROR(FIND("drawer",$A53))=FALSE,ISERROR(FIND("insert",$A53))=FALSE,ISERROR(FIND("rck",$A53))=FALSE),VLOOKUP(WardrobeCarcassFinish,FixedListsFinishes,3,0),0))))</f>
        <v>2</v>
      </c>
      <c r="AE53" s="156">
        <f t="shared" si="6"/>
        <v>2</v>
      </c>
      <c r="AF53" s="157" t="str">
        <f>IF(AND(WardrobeHandleType="Channel",OR(ISERROR(FIND("arcass",$A53))=FALSE,ISERROR(FIND("unit",$A53))=FALSE)),IF(ISERROR(FIND("Tower",$A53))=TRUE,IF(WardrobeHandleFinish="Match carcass",IF(ISERROR(FIND("Walnut",WardrobeCarcassMaterial))=FALSE,(0.035*0.075*($C53/1000))*VLOOKUP("Walnut (solid m3)",SolidData,4,FALSE),IF(ISERROR(FIND("Oak",WardrobeCarcassMaterial))=FALSE,(0.035*0.075*($C53/1000))*VLOOKUP("Oak (solid m3)",SolidData,4,FALSE),IF(ISERROR(FIND("ply",WardrobeCarcassMaterial))=FALSE,(0.1*($C53/1000))*VLOOKUP("Birch ply (24mm)",SheetsData,7,FALSE),IF(ISERROR(FIND("H/F",WardrobeCarcassMaterial))=FALSE,(0.1*($C53/1000))*VLOOKUP("H/F (22mm)",SheetsData,7,FALSE),"Carcass - not tower - new material")))),IF(WardrobeHandleFinish="Match door",IF(ISERROR(FIND("Walnut",WardrobeDoorMaterial))=FALSE,(0.035*0.075*($C53/1000))*VLOOKUP("Walnut (solid m3)",SolidData,4,FALSE),IF(ISERROR(FIND("Oak",WardrobeDoorMaterial))=FALSE,(0.035*0.075*($C53/1000))*VLOOKUP("Oak (solid m3)",SolidData,4,FALSE),IF(ISERROR(FIND("ply",WardrobeDoorMaterial))=FALSE,(0.1*($C53/1000))*VLOOKUP("Birch ply (24mm)",SheetsData,7,FALSE),IF(ISERROR(FIND("H/F",WardrobeCarcassMaterial))=FALSE,(0.1*($C53/1000))*VLOOKUP("H/F (22mm)",SheetsData,7,FALSE),"Door - not tower - new material")))),"Channel - not tower - handle set to other")),IF(ISERROR(FIND("Tower",$A53))=FALSE,IF(WardrobeHandleFinish="Match carcass",IF(ISERROR(FIND("Walnut",WardrobeCarcassMaterial))=FALSE,(0.035*0.075*($B53/1000))*VLOOKUP("Walnut (solid m3)",SolidData,4,FALSE),IF(ISERROR(FIND("Oak",WardrobeCarcassMaterial))=FALSE,(0.035*0.075*($B53/1000))*VLOOKUP("Oak (solid m3)",SolidData,4,FALSE),IF(ISERROR(FIND("ply",WardrobeCarcassMaterial))=FALSE,(0.1*($B53/1000))*VLOOKUP("Birch ply (24mm)",SheetsData,7,FALSE),IF(ISERROR(FIND("H/F",WardrobeCarcassMaterial))=FALSE,(0.1*($C53/1000))*VLOOKUP("H/F (22mm)",SheetsData,7,FALSE),"Carcass - tower - new material")))),IF(WardrobeHandleFinish="Match door",IF(ISERROR(FIND("Walnut",WardrobeDoorMaterial))=FALSE,(0.035*0.075*($B53/1000))*VLOOKUP("Walnut (solid m3)",SolidData,4,FALSE),IF(ISERROR(FIND("Oak",WardrobeDoorMaterial))=FALSE,(0.035*0.075*($B53/1000))*VLOOKUP("Oak (solid m3)",SolidData,4,FALSE),IF(ISERROR(FIND("ply",WardrobeDoorMaterial))=FALSE,(0.1*($B53/1000))*VLOOKUP("Birch ply (24mm)",SheetData,7,FALSE),IF(ISERROR(FIND("H/F",WardrobeCarcassMaterial))=FALSE,(0.1*($C53/1000))*VLOOKUP("H/F (22mm)",SheetsData,7,FALSE),"Door - tower - new material")))),"Channel - tower - handle set to other")))),"")</f>
        <v/>
      </c>
    </row>
    <row r="54">
      <c r="A54" s="150" t="s">
        <v>249</v>
      </c>
      <c r="B54" s="160" t="str">
        <f t="shared" si="1"/>
        <v>600</v>
      </c>
      <c r="C54" s="160" t="str">
        <f>IFERROR(__xludf.DUMMYFUNCTION("IF(A54="""","""",IF(ISERROR(FIND(""arcass"",A54))=FALSE,MID(A54,FIND(""*"",A54)+1,FIND(""*"",A54,FIND(""*"",A54)+1)-FIND(""*"",A54)-1),IF(ISERROR(FIND(""End panel"",A54))=FALSE,RIGHT(A54,3),IF(OR(ISERROR(FIND(""drawer"",A54))=FALSE,ISERROR(FIND(""door"",A"&amp;"54))=FALSE,ISERROR(FIND(""shelf"",A54))=FALSE,ISERROR(FIND(""panel"",A54))=FALSE,ISERROR(FIND(""Plinth"",A54))=FALSE,ISERROR(FIND(""Cornice"",A54))=FALSE,ISERROR(FIND(""Fillers"",A54))=FALSE,ISERROR(FIND(""Pelmet"",A54))=FALSE,ISERROR(FIND(""Fireplace up "&amp;"to 1600"",A54))=FALSE),RIGHT(A54,LEN(A54)-LEN(regexextract(A54,"".* ""))),IF(ISERROR(FIND(""table"",A54))=FALSE,""560"",IF(ISERROR(FIND(""Office pod"",A54))=FALSE,""1600"",IF(ISERROR(FIND(""Fireplace over 1600"",A54))=FALSE,""2400"",IF(ISERROR(FIND(""Work"&amp;"top"",A54))=FALSE,""650"",""Whoops""))))))))"),"650")</f>
        <v>650</v>
      </c>
      <c r="D54" s="161" t="str">
        <f t="shared" si="2"/>
        <v/>
      </c>
      <c r="E54" s="152">
        <f>IF(OR(A54="",AND(ISERROR(FIND("drawer",A54))=FALSE,WardrobeDrawerType="")),"",IF(ISERROR(FIND("door",A54))=FALSE,IF(WardrobeDoorStyle="Flat",((B54/1000)*(C54/1000))*VLOOKUP(WardrobeDoorMaterial,SheetsData,8,0),IF(LEFT(WardrobeDoorStyle,5)="Panel",(((((B54/1000)*2)*0.08)+((((C54/1000)-0.16)*2)*0.08))*VLOOKUP("H/F (22mm)",SheetsData,8,0))+(((B54/1000)-0.14)*((C54/1000)-0.14)*VLOOKUP("H/F (9mm)",SheetsData,8,0)),IF(WardrobeDoorStyle="In-frame flat",((((((B54/1000)*0.019)*0.038)+((((C54-38)/1000)*0.038)*0.038))*2)*VLOOKUP("Tulip (solid m3)",SolidData,4,0))+(((B54-76)/1000)*((C54-38)/1000))*VLOOKUP("H/F (22mm)",SheetsData,8,0),IF(LEFT(WardrobeDoorStyle,14)="In-frame panel",(((((((B54/1000)*0.019)*0.038)+((((C54-38)/1000)*0.038)*0.038))*2)*VLOOKUP("Tulip (solid m3)",SolidData,4,0))+(((((((B54-76)/1000)*2)*0.08)+(((((C54-198)/1000)*2)*0.08)))*VLOOKUP("H/F (22mm)",SheetsData,8,0))+(((B54-216)/1000)*((C54-178)/1000)*VLOOKUP("H/F (9mm)",SheetsData,8,0)))))))),IF(AND(ISERROR(FIND("arcass",A54))=FALSE,ISERROR(FIND("ost corner",A54))=TRUE),IF(AND(VALUE(B54)&lt;1211,VALUE(C54)&lt;1211,VALUE(D54)&lt;606),1*VLOOKUP(WardrobeCarcassMaterial,SheetsData,5,FALSE),IF(AND(VALUE(B54)&lt;2421,VALUE(C54)&lt;2421,VALUE(D54)&lt;606),2*VLOOKUP(WardrobeCarcassMaterial,SheetsData,5,FALSE),IF(AND(VALUE(B54)&lt;2421,VALUE(C54)&lt;1211,VALUE(D54)&lt;1211),3*VLOOKUP(WardrobeCarcassMaterial,SheetsData,5,FALSE),IF(AND(VALUE(B54)&lt;2421,VALUE(C54)&lt;2421,VALUE(D54)&lt;1211),4*VLOOKUP(WardrobeCarcassMaterial,SheetsData,5,FALSE))))),IF(AND(ISERROR(FIND("arcass",A54))=FALSE,ISERROR(FIND("ost corner",A54))=FALSE),IF(AND(VALUE(B54)&lt;1211,VALUE(C54)&lt;1211,VALUE(D54)&lt;606),(1*VLOOKUP(WardrobeCarcassMaterial,SheetsData,5,FALSE))+(VLOOKUP("H/F (22mm)",SheetsData,7,FALSE)*1.44),IF(AND(VALUE(B54)&lt;2421,VALUE(C54)&lt;2421,VALUE(D54)&lt;606),(2*VLOOKUP(WardrobeCarcassMaterial,SheetsData,5,FALSE))+(VLOOKUP("H/F (22mm)",SheetsData,7,FALSE)*1.44),IF(AND(VALUE(B54)&lt;2421,VALUE(C54)&lt;1211,VALUE(D54)&lt;1211),(3*VLOOKUP(WardrobeCarcassMaterial,SheetsData,5,FALSE))+(VLOOKUP("H/F (22mm)",SheetsData,7,FALSE)*1.44),IF(AND(VALUE(B54)&lt;2421,VALUE(C54)&lt;2421,VALUE(D54)&lt;1211),(4*VLOOKUP(WardrobeCarcassMaterial,SheetsData,5,FALSE))+(VLOOKUP("H/F (22mm)",SheetsData,7,FALSE)*1.44))))),IF(ISERROR(FIND("drawer front",A54))=FALSE,((B54/1000)*(C54/1000))*VLOOKUP(WardrobeDoorMaterial,SheetsData,8,0),IF(AND(WardrobeDrawerType="Match carcass",ISERROR(FIND("drawer box",A54))=FALSE),(((((B54/1000)*(C54/1000))+((B54/1000)*(D54/1000)))*2)*VLOOKUP(WardrobeCarcassMaterial,SheetsData,8,0))+(((C54/1000)*(D54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box",A54))=FALSE),(((((B54/1000)*(C54/1000))+((B54/1000)*(D54/1000)))*2)*(16/1000)*VLOOKUP(LEFT(WardrobeCarcassMaterial,FIND(" ",WardrobeCarcassMaterial))&amp;"(solid m3)",SolidData,4,0))+(((C54/1000)*(D54/1000))*VLOOKUP(LEFT(WardrobeCarcassMaterial,FIND("(",WardrobeCarcassMaterial)-1)&amp;IF(OR(ISERROR(FIND("ply",WardrobeCarcassMaterial))=FALSE,ISERROR(FIND("H/F",WardrobeCarcassMaterial))=FALSE),"(9mm)","(10mm)"),SheetsData,8,0)),IF(ISERROR(FIND("shelf",A54))=FALSE,((C54/1000)*(D54/1000))*VLOOKUP(WardrobeCarcassMaterial,SheetsData,7,FALSE),IF(ISERROR(FIND("Office pod",A54))=FALSE,3*VLOOKUP(WardrobeCarcassMaterial,SheetsData,5,0),IF(ISERROR(FIND(" panel",A54))=FALSE,((B54/1000)*(C54/1000))*VLOOKUP(WardrobeDoorMaterial,SheetsData,8,0),IF(ISERROR(FIND("Fillers",A54))=FALSE,(((0.06*(C54/1000))*2)*VLOOKUP("H/F (18mm)",SheetsData,8,0))+(((0.06*(C54/1000))*2)*VLOOKUP("H/F (9mm)",SheetsData,8,0)),IF(ISERROR(FIND("Cornice (stacked)",A54))=FALSE,((0.08*(C54/1000))*2)*VLOOKUP("H/F (22mm)",SheetsData,8,0),IF(OR(ISERROR(FIND("Plinth",A54))=FALSE,ISERROR(FIND("Cornice (flat)",A54))=FALSE),((B54/1000)*(C54/1000))*VLOOKUP("H/F (18mm)",SheetsData,8,0),IF(ISERROR(FIND("Pelmet",A54))=FALSE,((((B54/1000)*(C54/1000))*2)*VLOOKUP("H/F (18mm)",SheetsData,8,0)),IF(ISERROR(FIND("Fireplace",A54))=FALSE,IF(ISERROR(FIND("over 1600",A54))=FALSE,2*VLOOKUP(WardrobeCarcassMaterial,SheetsData,5,FALSE),VLOOKUP(WardrobeCarcassMaterial,SheetsData,5,FALSE)),IF(ISERROR(FIND("table",A54))=FALSE,((B54/1000)*0.6)*VLOOKUP("Birch ply (24mm)",SheetsData,7,FALSE),IF(ISERROR(FIND("Worktop",A54))=FALSE,((B54/1000)*(C54/1000))*VLOOKUP(WardrobeDoorMaterial,SheetsData,7,FALSE),"Check formula")))))))))))))))))</f>
        <v>21.4305</v>
      </c>
      <c r="F54" s="152" t="str">
        <f>IFERROR(__xludf.DUMMYFUNCTION("IF(OR(A54="""",AND(ISERROR(FIND(""drawer box"",A54))=FALSE,WardrobeDrawerType=""Solid dovetail"")),"""",IF(ISERROR(FIND(""bins"",A54))=FALSE,VLOOKUP(""Base carcass 600"",Wardrobes_etcData,6,0),IF(OR(ISERROR(FIND(""larder"",A54))=FALSE,ISERROR(FIND(""unit"&amp;""",A54))=FALSE),VLOOKUP(LEFT(A54,FIND("" "",A54))&amp;""carcass ""&amp;RIGHT(A54,LEN(A54)-len(regexextract(A54,"".* ""))),Wardrobes_etcData,6,0),IF(ISERROR(FIND(""drawer front"",A54))=FALSE,IF(ISERROR(FIND(""veneer"",WardrobeCarcassMaterial))=TRUE,0,(((B54+C54)/1"&amp;"000)*2)*VLOOKUP(""Edge banding (per M)"",SheetsData,5,0)),IF(ISERROR(FIND(""drawer box"",A54))=FALSE,IF(ISERROR(FIND(""veneer"",WardrobeCarcassMaterial))=TRUE,0,(((C54+D54)/1000)*2)*VLOOKUP(""Edge banding (per M)"",SheetsData,5,0)),IF(ISERROR(FIND(""shelf"&amp;""",A54))=FALSE,IF(ISERROR(FIND(""veneer"",WardrobeCarcassMaterial))=TRUE,0,(C54/1000)*VLOOKUP(""Edge banding (per M)"",SheetsData,5,0)),IF(AND(OR(ISERROR(FIND(""arcass"",A54))=FALSE,ISERROR(FIND(""Fireplace"",A54))=FALSE),ISERROR(FIND(""shelf"",A54))=TRUE"&amp;"),IF(ISERROR(FIND(""veneer"",WardrobeCarcassMaterial))=TRUE,0,((2*(B54+C54))/1000)*VLOOKUP(""Edge banding (per M)"",SheetsData,5,0)),IF(ISERROR(FIND(""door"",A54))=TRUE,"""",IF(ISERROR(FIND(""veneer"",WardrobeDoorMaterial))=TRUE,"""",((2*(B54+C54))/1000)*"&amp;"VLOOKUP(""Edge banding (per M)"",SheetsData,5,0))))))))))"),"")</f>
        <v/>
      </c>
      <c r="G54" s="153" t="str">
        <f>IF(A54="","",IF(AND(ISERROR(FIND("arcass",A54))=TRUE,ISERROR(FIND("Fireplace",A54))=TRUE),"",IF(VALUE(C54)&lt;606,4*VLOOKUP("Plinth foot (2 Parts 80mm)",FurnitureData,5,FALSE),IF(VALUE(C54)&lt;1211,6*VLOOKUP("Plinth foot (2 Parts 80mm)",FurnitureData,5,FALSE),8*VLOOKUP("Plinth foot (2 Parts 80mm)",FurnitureData,5,FALSE)))))</f>
        <v/>
      </c>
      <c r="H54" s="115" t="str">
        <f>IF(OR(A54="",ISERROR(FIND("door",A54))=TRUE),"",VLOOKUP("Hinges &amp; plates (Hettich thick door)",FurnitureData,5,0)*5)</f>
        <v/>
      </c>
      <c r="I54" s="115" t="str">
        <f>IF(ISERROR(FIND("shelf",A54))=FALSE,(VLOOKUP("Shelf pegs",FurnitureData,5,0)/100)*4,"")</f>
        <v/>
      </c>
      <c r="J54" s="152" t="str">
        <f>IF(OR(ISERROR(FIND("fridge/freezer",A54))=FALSE,ISERROR(FIND("sink",A54))=FALSE,ISERROR(FIND("larder",A54))=FALSE),VLOOKUP("Deep shelf "&amp;C54,Wardrobes_etcData,18,0),IF(OR(ISERROR(FIND("single oven",A54))=FALSE,ISERROR(FIND("Base carcass",A54))=FALSE),2*VLOOKUP("Deep shelf "&amp;C54,Wardrobes_etcData,18,0),IF(AND(ISERROR(FIND("wall carcass",A54))=FALSE,ISERROR(FIND("Boiler",A54))=TRUE),2*VLOOKUP("Shallow shelf "&amp;C54,Wardrobes_etcData,18,0),IF(ISERROR(FIND("double oven",A54))=FALSE,3*VLOOKUP("Deep shelf "&amp;C54,Wardrobes_etcData,18,0),IF(ISERROR(FIND("Tower carcass",A54))=FALSE,6*VLOOKUP("Deep shelf "&amp;C54,Wardrobes_etcData,18,0),"")))))</f>
        <v/>
      </c>
      <c r="K54" s="152" t="str">
        <f>IF(ISERROR(FIND("sink",A54))=FALSE,VLOOKUP("Sink liner - Aluminium "&amp;RIGHT(A54,LEN(A54)-22)&amp;"mm",ExceptionalData,5,0),IF(ISERROR(FIND("bins",A54))=FALSE,VLOOKUP("Drawer runners and clip set for bin unit (500) Dynapro",FurnitureData,5,0)+(2*VLOOKUP("Bin (42L Anthracite)",FurnitureData,5,0)),IF(ISERROR(FIND("larder",A54))=FALSE,VLOOKUP("Pull out larder unit 600mm",FurnitureData,5,0),IF(AND(ISERROR(FIND("drawer box",A54))=FALSE,ISERROR(FIND("internal",A54))=TRUE),VLOOKUP("Drawer runners and clip set (550) Dynapro",FurnitureData,5,0),IF(ISERROR(FIND("internal drawer box",A54))=FALSE,VLOOKUP("Drawer runners and clip set (450) Dynapro",FurnitureData,5,0),IF(ISERROR(FIND("table",A54))=FALSE,VLOOKUP("Hairpin Leg (12mm Black "&amp;MID(A54,FIND("(",A54)+1,LEN(A54)-(FIND("(",A54))-1)&amp;"mm)",ExceptionalData,4,FALSE),""))))))</f>
        <v/>
      </c>
      <c r="L54" s="152">
        <f t="shared" si="3"/>
        <v>21.4305</v>
      </c>
      <c r="M54" s="154">
        <f>IF(A54="","",IF(AND(ISERROR(FIND("drawer front",A54))=FALSE,WardrobeDoorStyle="Flat"),(((B54/1000)*(C54/1000))*2)+((((B54+C54)/1000)*2)*0.022),IF(AND(ISERROR(FIND("drawer front",A54))=FALSE,LEFT(WardrobeDoorStyle,5)="Panel"),(((B54/1000)*(C54/1000))*2)+((((B54+C54)/1000)*2)*0.022)+((((C54/1000)-0.16)*0.013)*2)+((((D54/1000)-0.16)*0.013)*2),IF(AND(ISERROR(FIND("drawer front",A54))=FALSE,WardrobeDoorStyle="In-frame flat"),((((B54-76)/1000)*((C54-38)/1000))*2)+(MID(WardrobeDoorMaterial,FIND("(",WardrobeDoorMaterial)+1,2)/1000)*((((B54-76)+(C54-38))/1000)*2)+(((B54/1000)*0.032)*2)+((((B54-76)/1000)*0.032)*2)+(((B54/1000)*0.019)*4)+(((C54/1000)*0.032)*2)+((((C54-38)/1000)*0.032)*2)+(((C54/1000)*0.038)*4),IF(AND(ISERROR(FIND("drawer front",A54))=FALSE,LEFT(WardrobeDoorStyle,14)="In-frame panel"),((((B54-76)/1000)*((C54-38)/1000))*2)+((MID(WardrobeDoorMaterial,FIND("(",WardrobeDoorMaterial)+1,2)/1000)*((((B54-76)+(C54-38))/1000)*2))+((((B54-236)/1000)+((C54-198)/1000)*2)*0.013)+(((B54/1000)*0.032)*2)+((((B54-76)/1000)*0.032)*2)+(((B54/1000)*0.019)*4)+(((C54/1000)*0.032)*2)+((((C54-38)/1000)*0.032)*2)+(((C54/1000)*0.038)*4),IF(ISERROR(FIND("drawer box",A54))=FALSE,((((B54/1000)*(D54/1000))+((B54/1000)*(C54/1000)))*4)+((((D54/1000)+(C54/1000))*0.016)*4)+(((C54/1000)*(D54/1000))*2),IF(OR(ISERROR(FIND("shelf",A54))=FALSE,ISERROR(FIND("Filler panel",A54))=FALSE),(((C54/1000)*(D54/1000))*2)+((((C54+D54)*2)/1000)*0.022),IF(ISERROR(FIND("Fireplace",A54))=FALSE,((B54/1000)*(C54/1000)),IF(ISERROR(FIND("Worktop",A54))=FALSE,(B54/1000)*(C54/1000),IF(ISERROR(FIND("table",A54))=FALSE,(B54/1000)*0.6,IF(ISERROR(FIND("arcass",A54))=FALSE,(((C54/1000)*(D54/1000))*2)+(((B54/1000)*(D54/1000))*2)+((B54/1000)*(C54/1000))+((((B54/1000)*0.025)+((C54/1000)*0.025))*2),IF(AND(ISERROR(FIND("door",A54))=FALSE,WardrobeDoorStyle="Flat"),(((B54/1000)*(C54/1000))*2)+(MID(WardrobeDoorMaterial,FIND("(",WardrobeDoorMaterial)+1,2)/1000)*(((B54+C54)/1000)*2),IF(AND(ISERROR(FIND("door",A54))=FALSE,LEFT(WardrobeDoorStyle,5)="Panel"),(((B54/1000)*(C54/1000))*2)+((MID(WardrobeDoorMaterial,FIND("(",WardrobeDoorMaterial)+1,2)/1000)*(((B54+C54)/1000)*2))+(((((B54-160)+(C54-160))*2)/1000)*(0.013)),IF(AND(ISERROR(FIND("door",A54))=FALSE,WardrobeDoorStyle="In-frame flat"),((((B54-76)/1000)*((C54-38)/1000))*2)+(MID(WardrobeDoorMaterial,FIND("(",WardrobeDoorMaterial)+1,2)/1000)*((((B54-76)+(C54-38))/1000)*2)+(((B54/1000)*0.032)*2)+((((B54-76)/1000)*0.032)*2)+(((B54/1000)*0.019)*4)+(((C54/1000)*0.032)*2)+((((C54-38)/1000)*0.032)*2)+(((C54/1000)*0.038)*4),IF(AND(ISERROR(FIND("door",A54))=FALSE,LEFT(WardrobeDoorStyle,14)="In-frame panel"),((((B54-76)/1000)*((C54-38)/1000))*2)+((MID(WardrobeDoorMaterial,FIND("(",WardrobeDoorMaterial)+1,2)/1000)*((((B54-76)+(C54-38))/1000)*2))+((((B54-236)/1000)+((C54-198)/1000)*2)*0.013)+(((B54/1000)*0.032)*2)+((((B54-76)/1000)*0.032)*2)+(((B54/1000)*0.019)*4)+(((C54/1000)*0.032)*2)+((((C54-38)/1000)*0.032)*2)+(((C54/1000)*0.038)*4),IF(ISERROR(FIND("Plinth",A54))=FALSE,((B54/1000)*(C54/1000))+(((C54/1000)*0.018)*2)+(((B54/1000)*0.018)*2),IF(ISERROR(FIND("Cornice",A54))=FALSE,(((C54/1000)*0.1)*2)+(((C54/1000)*0.044)*2)+(((B54/1000)*0.08)*2),IF(ISERROR(FIND("Office pod",A54))=FALSE,((2400/1000)*(1200/1000))*6,IF(ISERROR(FIND("panel",A54))=FALSE,((B54/1000)*(C54/1000))+(0.022*((B54/1000)+((C54/1000)*2)))+((B54/1000)*0.05),IF(ISERROR(FIND("Fillers",A54))=FALSE,((C54/1000)*0.06)+((C54/1000)*0.069)+((0.06*0.018)*2)+((0.06*0.009)*2)+((C54/1000)*0.009)+((C54/1000)*0.018),IF(ISERROR(FIND("Pelmet",A54))=FALSE,((C54/1000)*0.05)+((C54/1000)*0.068)+((0.05*0.018)*4)+(((C54/1000)*0.018))*2)))))))))))))))))))))</f>
        <v>0.39</v>
      </c>
      <c r="N54" s="152">
        <f>IF(M54="","",IF(AND(ISERROR(FIND("carcass",A54))=TRUE,ISERROR(FIND("unit",A54))=TRUE,ISERROR(FIND("insert",A54))=TRUE,ISERROR(FIND("rack",A54))=TRUE,ISERROR(FIND("box",A54))=TRUE,ISERROR(FIND("shelf",A54))=TRUE),VLOOKUP(WardrobeDoorFinish,Finishing!$A$2:$K$10,9,0)*M54,IF(ISERROR(FIND("table",A54))=FALSE,VLOOKUP("Sayerlack AF0072 Interior Clear Self-Sealer",FinishingData,9,FALSE)*M54,VLOOKUP(WardrobeCarcassFinish,Finishing!$A$2:$K$40,9,0)*M54)))</f>
        <v>2.925</v>
      </c>
      <c r="O54" s="159">
        <v>0.5</v>
      </c>
      <c r="P54" s="159">
        <v>1.0</v>
      </c>
      <c r="Q54" s="152">
        <f>IF(OR(O54="",P54=""),"",((O54*X54)*(VLOOKUP("Workshop",Labour!$A$3:$E$20,4,0)/8))+((P54*AE54)*(VLOOKUP("Finishing",Labour!$A$3:$E$20,4,0)/8)))</f>
        <v>49.875</v>
      </c>
      <c r="R54" s="152">
        <f t="shared" si="4"/>
        <v>74.2305</v>
      </c>
      <c r="S54" s="156">
        <f>IF(OR(O54="",P54=""),"",IF(OR(ISERROR(FIND("carcass",$A54))=FALSE,ISERROR(FIND("unit",$A54))=FALSE),VLOOKUP(WardrobeCarcassMaterial,FixedListsCarcassMaterial,2,0),0))</f>
        <v>0</v>
      </c>
      <c r="T54" s="156">
        <f>IF(OR(O54="",P54=""),"",IF(ISERROR(FIND("door",$A54))=FALSE,VLOOKUP(WardrobeDoorStyle,FixedListsDoorStyle,2,0),0))</f>
        <v>0</v>
      </c>
      <c r="U54" s="156">
        <f>IF(OR(O54="",P54=""),"",IF(ISERROR(FIND("door",$A54))=FALSE,VLOOKUP(WardrobeDoorMaterial,FixedListsDoorMaterial,2,0),0))</f>
        <v>0</v>
      </c>
      <c r="V54" s="156">
        <f>IF(OR(O54="",P54=""),"",IF(ISERROR(FIND("drawer",$A54))=FALSE,VLOOKUP(WardrobeDrawerType,FixedListsDrawerType,2,0),0))</f>
        <v>0</v>
      </c>
      <c r="W54" s="156">
        <f>IF(OR(O54="",P54=""),"",IF(S54&gt;0,VLOOKUP(WardrobeHandleType,FixedListsHandleType,2,FALSE),0))</f>
        <v>0</v>
      </c>
      <c r="X54" s="156">
        <f t="shared" si="5"/>
        <v>1</v>
      </c>
      <c r="Y54" s="156">
        <f>IF(OR(O54="",P54=""),"",IF(OR(ISERROR(FIND("carcass",$A54))=FALSE,ISERROR(FIND("unit",$A54))=FALSE),VLOOKUP(WardrobeCarcassMaterial,FixedListsCarcassMaterial,3,0),0))</f>
        <v>0</v>
      </c>
      <c r="Z54" s="156">
        <f>IF(OR(O54="",P54=""),"",IF(ISERROR(FIND("door",$A54))=FALSE,VLOOKUP(WardrobeDoorStyle,FixedListsDoorStyle,3,0),0))</f>
        <v>0</v>
      </c>
      <c r="AA54" s="156">
        <f>IF(OR(O54="",P54=""),"",IF(ISERROR(FIND("door",$A54))=FALSE,VLOOKUP(WardrobeDoorMaterial,FixedListsDoorMaterial,3,0),0))</f>
        <v>0</v>
      </c>
      <c r="AB54" s="156">
        <f>IF(OR(O54="",P54=""),"",IF(ISERROR(FIND("drawer",$A54))=FALSE,VLOOKUP(WardrobeDrawerType,FixedListsDrawerType,3,0),0))</f>
        <v>0</v>
      </c>
      <c r="AC54" s="156">
        <f>IF(OR(O54="",P54=""),"",IF(S54&gt;0,VLOOKUP(WardrobeHandleType,FixedListsHandleType,3,FALSE),0))</f>
        <v>0</v>
      </c>
      <c r="AD54" s="156">
        <f>IF(OR(O54="",P54=""),"",IF(OR(ISERROR(FIND("carcass",$A54))=FALSE,ISERROR(FIND("unit",$A54))=FALSE),VLOOKUP(WardrobeCarcassFinish,FixedListsFinishes,3,0),IF(OR(ISERROR(FIND("door",$A54))=FALSE,ISERROR(FIND("Plinth",$A54))=FALSE,ISERROR(FIND("Cornice",$A54))=FALSE,ISERROR(FIND("Fillers",$A54))=FALSE,ISERROR(FIND("Pelmet",$A54))=FALSE,ISERROR(FIND("panel",$A54))=FALSE,ISERROR(FIND("post",$A54))=FALSE),VLOOKUP(WardrobeDoorFinish,FixedListsFinishes,3,0),IF(OR(ISERROR(FIND("drawer",$A54))=FALSE,ISERROR(FIND("insert",$A54))=FALSE,ISERROR(FIND("rck",$A54))=FALSE),VLOOKUP(WardrobeCarcassFinish,FixedListsFinishes,3,0),0))))</f>
        <v>0</v>
      </c>
      <c r="AE54" s="156">
        <f t="shared" si="6"/>
        <v>1</v>
      </c>
      <c r="AF54" s="157" t="str">
        <f>IF(AND(WardrobeHandleType="Channel",OR(ISERROR(FIND("arcass",$A54))=FALSE,ISERROR(FIND("unit",$A54))=FALSE)),IF(ISERROR(FIND("Tower",$A54))=TRUE,IF(WardrobeHandleFinish="Match carcass",IF(ISERROR(FIND("Walnut",WardrobeCarcassMaterial))=FALSE,(0.035*0.075*($C54/1000))*VLOOKUP("Walnut (solid m3)",SolidData,4,FALSE),IF(ISERROR(FIND("Oak",WardrobeCarcassMaterial))=FALSE,(0.035*0.075*($C54/1000))*VLOOKUP("Oak (solid m3)",SolidData,4,FALSE),IF(ISERROR(FIND("ply",WardrobeCarcassMaterial))=FALSE,(0.1*($C54/1000))*VLOOKUP("Birch ply (24mm)",SheetsData,7,FALSE),IF(ISERROR(FIND("H/F",WardrobeCarcassMaterial))=FALSE,(0.1*($C54/1000))*VLOOKUP("H/F (22mm)",SheetsData,7,FALSE),"Carcass - not tower - new material")))),IF(WardrobeHandleFinish="Match door",IF(ISERROR(FIND("Walnut",WardrobeDoorMaterial))=FALSE,(0.035*0.075*($C54/1000))*VLOOKUP("Walnut (solid m3)",SolidData,4,FALSE),IF(ISERROR(FIND("Oak",WardrobeDoorMaterial))=FALSE,(0.035*0.075*($C54/1000))*VLOOKUP("Oak (solid m3)",SolidData,4,FALSE),IF(ISERROR(FIND("ply",WardrobeDoorMaterial))=FALSE,(0.1*($C54/1000))*VLOOKUP("Birch ply (24mm)",SheetsData,7,FALSE),IF(ISERROR(FIND("H/F",WardrobeCarcassMaterial))=FALSE,(0.1*($C54/1000))*VLOOKUP("H/F (22mm)",SheetsData,7,FALSE),"Door - not tower - new material")))),"Channel - not tower - handle set to other")),IF(ISERROR(FIND("Tower",$A54))=FALSE,IF(WardrobeHandleFinish="Match carcass",IF(ISERROR(FIND("Walnut",WardrobeCarcassMaterial))=FALSE,(0.035*0.075*($B54/1000))*VLOOKUP("Walnut (solid m3)",SolidData,4,FALSE),IF(ISERROR(FIND("Oak",WardrobeCarcassMaterial))=FALSE,(0.035*0.075*($B54/1000))*VLOOKUP("Oak (solid m3)",SolidData,4,FALSE),IF(ISERROR(FIND("ply",WardrobeCarcassMaterial))=FALSE,(0.1*($B54/1000))*VLOOKUP("Birch ply (24mm)",SheetsData,7,FALSE),IF(ISERROR(FIND("H/F",WardrobeCarcassMaterial))=FALSE,(0.1*($C54/1000))*VLOOKUP("H/F (22mm)",SheetsData,7,FALSE),"Carcass - tower - new material")))),IF(WardrobeHandleFinish="Match door",IF(ISERROR(FIND("Walnut",WardrobeDoorMaterial))=FALSE,(0.035*0.075*($B54/1000))*VLOOKUP("Walnut (solid m3)",SolidData,4,FALSE),IF(ISERROR(FIND("Oak",WardrobeDoorMaterial))=FALSE,(0.035*0.075*($B54/1000))*VLOOKUP("Oak (solid m3)",SolidData,4,FALSE),IF(ISERROR(FIND("ply",WardrobeDoorMaterial))=FALSE,(0.1*($B54/1000))*VLOOKUP("Birch ply (24mm)",SheetData,7,FALSE),IF(ISERROR(FIND("H/F",WardrobeCarcassMaterial))=FALSE,(0.1*($C54/1000))*VLOOKUP("H/F (22mm)",SheetsData,7,FALSE),"Door - tower - new material")))),"Channel - tower - handle set to other")))),"")</f>
        <v/>
      </c>
    </row>
    <row r="55">
      <c r="A55" s="150" t="s">
        <v>250</v>
      </c>
      <c r="B55" s="160" t="str">
        <f t="shared" si="1"/>
        <v>1200</v>
      </c>
      <c r="C55" s="160" t="str">
        <f>IFERROR(__xludf.DUMMYFUNCTION("IF(A55="""","""",IF(ISERROR(FIND(""arcass"",A55))=FALSE,MID(A55,FIND(""*"",A55)+1,FIND(""*"",A55,FIND(""*"",A55)+1)-FIND(""*"",A55)-1),IF(ISERROR(FIND(""End panel"",A55))=FALSE,RIGHT(A55,3),IF(OR(ISERROR(FIND(""drawer"",A55))=FALSE,ISERROR(FIND(""door"",A"&amp;"55))=FALSE,ISERROR(FIND(""shelf"",A55))=FALSE,ISERROR(FIND(""panel"",A55))=FALSE,ISERROR(FIND(""Plinth"",A55))=FALSE,ISERROR(FIND(""Cornice"",A55))=FALSE,ISERROR(FIND(""Fillers"",A55))=FALSE,ISERROR(FIND(""Pelmet"",A55))=FALSE,ISERROR(FIND(""Fireplace up "&amp;"to 1600"",A55))=FALSE),RIGHT(A55,LEN(A55)-LEN(regexextract(A55,"".* ""))),IF(ISERROR(FIND(""table"",A55))=FALSE,""560"",IF(ISERROR(FIND(""Office pod"",A55))=FALSE,""1600"",IF(ISERROR(FIND(""Fireplace over 1600"",A55))=FALSE,""2400"",IF(ISERROR(FIND(""Work"&amp;"top"",A55))=FALSE,""650"",""Whoops""))))))))"),"650")</f>
        <v>650</v>
      </c>
      <c r="D55" s="161" t="str">
        <f t="shared" si="2"/>
        <v/>
      </c>
      <c r="E55" s="152">
        <f>IF(OR(A55="",AND(ISERROR(FIND("drawer",A55))=FALSE,WardrobeDrawerType="")),"",IF(ISERROR(FIND("door",A55))=FALSE,IF(WardrobeDoorStyle="Flat",((B55/1000)*(C55/1000))*VLOOKUP(WardrobeDoorMaterial,SheetsData,8,0),IF(LEFT(WardrobeDoorStyle,5)="Panel",(((((B55/1000)*2)*0.08)+((((C55/1000)-0.16)*2)*0.08))*VLOOKUP("H/F (22mm)",SheetsData,8,0))+(((B55/1000)-0.14)*((C55/1000)-0.14)*VLOOKUP("H/F (9mm)",SheetsData,8,0)),IF(WardrobeDoorStyle="In-frame flat",((((((B55/1000)*0.019)*0.038)+((((C55-38)/1000)*0.038)*0.038))*2)*VLOOKUP("Tulip (solid m3)",SolidData,4,0))+(((B55-76)/1000)*((C55-38)/1000))*VLOOKUP("H/F (22mm)",SheetsData,8,0),IF(LEFT(WardrobeDoorStyle,14)="In-frame panel",(((((((B55/1000)*0.019)*0.038)+((((C55-38)/1000)*0.038)*0.038))*2)*VLOOKUP("Tulip (solid m3)",SolidData,4,0))+(((((((B55-76)/1000)*2)*0.08)+(((((C55-198)/1000)*2)*0.08)))*VLOOKUP("H/F (22mm)",SheetsData,8,0))+(((B55-216)/1000)*((C55-178)/1000)*VLOOKUP("H/F (9mm)",SheetsData,8,0)))))))),IF(AND(ISERROR(FIND("arcass",A55))=FALSE,ISERROR(FIND("ost corner",A55))=TRUE),IF(AND(VALUE(B55)&lt;1211,VALUE(C55)&lt;1211,VALUE(D55)&lt;606),1*VLOOKUP(WardrobeCarcassMaterial,SheetsData,5,FALSE),IF(AND(VALUE(B55)&lt;2421,VALUE(C55)&lt;2421,VALUE(D55)&lt;606),2*VLOOKUP(WardrobeCarcassMaterial,SheetsData,5,FALSE),IF(AND(VALUE(B55)&lt;2421,VALUE(C55)&lt;1211,VALUE(D55)&lt;1211),3*VLOOKUP(WardrobeCarcassMaterial,SheetsData,5,FALSE),IF(AND(VALUE(B55)&lt;2421,VALUE(C55)&lt;2421,VALUE(D55)&lt;1211),4*VLOOKUP(WardrobeCarcassMaterial,SheetsData,5,FALSE))))),IF(AND(ISERROR(FIND("arcass",A55))=FALSE,ISERROR(FIND("ost corner",A55))=FALSE),IF(AND(VALUE(B55)&lt;1211,VALUE(C55)&lt;1211,VALUE(D55)&lt;606),(1*VLOOKUP(WardrobeCarcassMaterial,SheetsData,5,FALSE))+(VLOOKUP("H/F (22mm)",SheetsData,7,FALSE)*1.44),IF(AND(VALUE(B55)&lt;2421,VALUE(C55)&lt;2421,VALUE(D55)&lt;606),(2*VLOOKUP(WardrobeCarcassMaterial,SheetsData,5,FALSE))+(VLOOKUP("H/F (22mm)",SheetsData,7,FALSE)*1.44),IF(AND(VALUE(B55)&lt;2421,VALUE(C55)&lt;1211,VALUE(D55)&lt;1211),(3*VLOOKUP(WardrobeCarcassMaterial,SheetsData,5,FALSE))+(VLOOKUP("H/F (22mm)",SheetsData,7,FALSE)*1.44),IF(AND(VALUE(B55)&lt;2421,VALUE(C55)&lt;2421,VALUE(D55)&lt;1211),(4*VLOOKUP(WardrobeCarcassMaterial,SheetsData,5,FALSE))+(VLOOKUP("H/F (22mm)",SheetsData,7,FALSE)*1.44))))),IF(ISERROR(FIND("drawer front",A55))=FALSE,((B55/1000)*(C55/1000))*VLOOKUP(WardrobeDoorMaterial,SheetsData,8,0),IF(AND(WardrobeDrawerType="Match carcass",ISERROR(FIND("drawer box",A55))=FALSE),(((((B55/1000)*(C55/1000))+((B55/1000)*(D55/1000)))*2)*VLOOKUP(WardrobeCarcassMaterial,SheetsData,8,0))+(((C55/1000)*(D55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box",A55))=FALSE),(((((B55/1000)*(C55/1000))+((B55/1000)*(D55/1000)))*2)*(16/1000)*VLOOKUP(LEFT(WardrobeCarcassMaterial,FIND(" ",WardrobeCarcassMaterial))&amp;"(solid m3)",SolidData,4,0))+(((C55/1000)*(D55/1000))*VLOOKUP(LEFT(WardrobeCarcassMaterial,FIND("(",WardrobeCarcassMaterial)-1)&amp;IF(OR(ISERROR(FIND("ply",WardrobeCarcassMaterial))=FALSE,ISERROR(FIND("H/F",WardrobeCarcassMaterial))=FALSE),"(9mm)","(10mm)"),SheetsData,8,0)),IF(ISERROR(FIND("shelf",A55))=FALSE,((C55/1000)*(D55/1000))*VLOOKUP(WardrobeCarcassMaterial,SheetsData,7,FALSE),IF(ISERROR(FIND("Office pod",A55))=FALSE,3*VLOOKUP(WardrobeCarcassMaterial,SheetsData,5,0),IF(ISERROR(FIND(" panel",A55))=FALSE,((B55/1000)*(C55/1000))*VLOOKUP(WardrobeDoorMaterial,SheetsData,8,0),IF(ISERROR(FIND("Fillers",A55))=FALSE,(((0.06*(C55/1000))*2)*VLOOKUP("H/F (18mm)",SheetsData,8,0))+(((0.06*(C55/1000))*2)*VLOOKUP("H/F (9mm)",SheetsData,8,0)),IF(ISERROR(FIND("Cornice (stacked)",A55))=FALSE,((0.08*(C55/1000))*2)*VLOOKUP("H/F (22mm)",SheetsData,8,0),IF(OR(ISERROR(FIND("Plinth",A55))=FALSE,ISERROR(FIND("Cornice (flat)",A55))=FALSE),((B55/1000)*(C55/1000))*VLOOKUP("H/F (18mm)",SheetsData,8,0),IF(ISERROR(FIND("Pelmet",A55))=FALSE,((((B55/1000)*(C55/1000))*2)*VLOOKUP("H/F (18mm)",SheetsData,8,0)),IF(ISERROR(FIND("Fireplace",A55))=FALSE,IF(ISERROR(FIND("over 1600",A55))=FALSE,2*VLOOKUP(WardrobeCarcassMaterial,SheetsData,5,FALSE),VLOOKUP(WardrobeCarcassMaterial,SheetsData,5,FALSE)),IF(ISERROR(FIND("table",A55))=FALSE,((B55/1000)*0.6)*VLOOKUP("Birch ply (24mm)",SheetsData,7,FALSE),IF(ISERROR(FIND("Worktop",A55))=FALSE,((B55/1000)*(C55/1000))*VLOOKUP(WardrobeDoorMaterial,SheetsData,7,FALSE),"Check formula")))))))))))))))))</f>
        <v>42.861</v>
      </c>
      <c r="F55" s="152" t="str">
        <f>IFERROR(__xludf.DUMMYFUNCTION("IF(OR(A55="""",AND(ISERROR(FIND(""drawer box"",A55))=FALSE,WardrobeDrawerType=""Solid dovetail"")),"""",IF(ISERROR(FIND(""bins"",A55))=FALSE,VLOOKUP(""Base carcass 600"",Wardrobes_etcData,6,0),IF(OR(ISERROR(FIND(""larder"",A55))=FALSE,ISERROR(FIND(""unit"&amp;""",A55))=FALSE),VLOOKUP(LEFT(A55,FIND("" "",A55))&amp;""carcass ""&amp;RIGHT(A55,LEN(A55)-len(regexextract(A55,"".* ""))),Wardrobes_etcData,6,0),IF(ISERROR(FIND(""drawer front"",A55))=FALSE,IF(ISERROR(FIND(""veneer"",WardrobeCarcassMaterial))=TRUE,0,(((B55+C55)/1"&amp;"000)*2)*VLOOKUP(""Edge banding (per M)"",SheetsData,5,0)),IF(ISERROR(FIND(""drawer box"",A55))=FALSE,IF(ISERROR(FIND(""veneer"",WardrobeCarcassMaterial))=TRUE,0,(((C55+D55)/1000)*2)*VLOOKUP(""Edge banding (per M)"",SheetsData,5,0)),IF(ISERROR(FIND(""shelf"&amp;""",A55))=FALSE,IF(ISERROR(FIND(""veneer"",WardrobeCarcassMaterial))=TRUE,0,(C55/1000)*VLOOKUP(""Edge banding (per M)"",SheetsData,5,0)),IF(AND(OR(ISERROR(FIND(""arcass"",A55))=FALSE,ISERROR(FIND(""Fireplace"",A55))=FALSE),ISERROR(FIND(""shelf"",A55))=TRUE"&amp;"),IF(ISERROR(FIND(""veneer"",WardrobeCarcassMaterial))=TRUE,0,((2*(B55+C55))/1000)*VLOOKUP(""Edge banding (per M)"",SheetsData,5,0)),IF(ISERROR(FIND(""door"",A55))=TRUE,"""",IF(ISERROR(FIND(""veneer"",WardrobeDoorMaterial))=TRUE,"""",((2*(B55+C55))/1000)*"&amp;"VLOOKUP(""Edge banding (per M)"",SheetsData,5,0))))))))))"),"")</f>
        <v/>
      </c>
      <c r="G55" s="153" t="str">
        <f>IF(A55="","",IF(AND(ISERROR(FIND("arcass",A55))=TRUE,ISERROR(FIND("Fireplace",A55))=TRUE),"",IF(VALUE(C55)&lt;606,4*VLOOKUP("Plinth foot (2 Parts 80mm)",FurnitureData,5,FALSE),IF(VALUE(C55)&lt;1211,6*VLOOKUP("Plinth foot (2 Parts 80mm)",FurnitureData,5,FALSE),8*VLOOKUP("Plinth foot (2 Parts 80mm)",FurnitureData,5,FALSE)))))</f>
        <v/>
      </c>
      <c r="H55" s="115" t="str">
        <f>IF(OR(A55="",ISERROR(FIND("door",A55))=TRUE),"",VLOOKUP("Hinges &amp; plates (Hettich thick door)",FurnitureData,5,0)*5)</f>
        <v/>
      </c>
      <c r="I55" s="115" t="str">
        <f>IF(ISERROR(FIND("shelf",A55))=FALSE,(VLOOKUP("Shelf pegs",FurnitureData,5,0)/100)*4,"")</f>
        <v/>
      </c>
      <c r="J55" s="152" t="str">
        <f>IF(OR(ISERROR(FIND("fridge/freezer",A55))=FALSE,ISERROR(FIND("sink",A55))=FALSE,ISERROR(FIND("larder",A55))=FALSE),VLOOKUP("Deep shelf "&amp;C55,Wardrobes_etcData,18,0),IF(OR(ISERROR(FIND("single oven",A55))=FALSE,ISERROR(FIND("Base carcass",A55))=FALSE),2*VLOOKUP("Deep shelf "&amp;C55,Wardrobes_etcData,18,0),IF(AND(ISERROR(FIND("wall carcass",A55))=FALSE,ISERROR(FIND("Boiler",A55))=TRUE),2*VLOOKUP("Shallow shelf "&amp;C55,Wardrobes_etcData,18,0),IF(ISERROR(FIND("double oven",A55))=FALSE,3*VLOOKUP("Deep shelf "&amp;C55,Wardrobes_etcData,18,0),IF(ISERROR(FIND("Tower carcass",A55))=FALSE,6*VLOOKUP("Deep shelf "&amp;C55,Wardrobes_etcData,18,0),"")))))</f>
        <v/>
      </c>
      <c r="K55" s="152" t="str">
        <f>IF(ISERROR(FIND("sink",A55))=FALSE,VLOOKUP("Sink liner - Aluminium "&amp;RIGHT(A55,LEN(A55)-22)&amp;"mm",ExceptionalData,5,0),IF(ISERROR(FIND("bins",A55))=FALSE,VLOOKUP("Drawer runners and clip set for bin unit (500) Dynapro",FurnitureData,5,0)+(2*VLOOKUP("Bin (42L Anthracite)",FurnitureData,5,0)),IF(ISERROR(FIND("larder",A55))=FALSE,VLOOKUP("Pull out larder unit 600mm",FurnitureData,5,0),IF(AND(ISERROR(FIND("drawer box",A55))=FALSE,ISERROR(FIND("internal",A55))=TRUE),VLOOKUP("Drawer runners and clip set (550) Dynapro",FurnitureData,5,0),IF(ISERROR(FIND("internal drawer box",A55))=FALSE,VLOOKUP("Drawer runners and clip set (450) Dynapro",FurnitureData,5,0),IF(ISERROR(FIND("table",A55))=FALSE,VLOOKUP("Hairpin Leg (12mm Black "&amp;MID(A55,FIND("(",A55)+1,LEN(A55)-(FIND("(",A55))-1)&amp;"mm)",ExceptionalData,4,FALSE),""))))))</f>
        <v/>
      </c>
      <c r="L55" s="152">
        <f t="shared" si="3"/>
        <v>42.861</v>
      </c>
      <c r="M55" s="154">
        <f>IF(A55="","",IF(AND(ISERROR(FIND("drawer front",A55))=FALSE,WardrobeDoorStyle="Flat"),(((B55/1000)*(C55/1000))*2)+((((B55+C55)/1000)*2)*0.022),IF(AND(ISERROR(FIND("drawer front",A55))=FALSE,LEFT(WardrobeDoorStyle,5)="Panel"),(((B55/1000)*(C55/1000))*2)+((((B55+C55)/1000)*2)*0.022)+((((C55/1000)-0.16)*0.013)*2)+((((D55/1000)-0.16)*0.013)*2),IF(AND(ISERROR(FIND("drawer front",A55))=FALSE,WardrobeDoorStyle="In-frame flat"),((((B55-76)/1000)*((C55-38)/1000))*2)+(MID(WardrobeDoorMaterial,FIND("(",WardrobeDoorMaterial)+1,2)/1000)*((((B55-76)+(C55-38))/1000)*2)+(((B55/1000)*0.032)*2)+((((B55-76)/1000)*0.032)*2)+(((B55/1000)*0.019)*4)+(((C55/1000)*0.032)*2)+((((C55-38)/1000)*0.032)*2)+(((C55/1000)*0.038)*4),IF(AND(ISERROR(FIND("drawer front",A55))=FALSE,LEFT(WardrobeDoorStyle,14)="In-frame panel"),((((B55-76)/1000)*((C55-38)/1000))*2)+((MID(WardrobeDoorMaterial,FIND("(",WardrobeDoorMaterial)+1,2)/1000)*((((B55-76)+(C55-38))/1000)*2))+((((B55-236)/1000)+((C55-198)/1000)*2)*0.013)+(((B55/1000)*0.032)*2)+((((B55-76)/1000)*0.032)*2)+(((B55/1000)*0.019)*4)+(((C55/1000)*0.032)*2)+((((C55-38)/1000)*0.032)*2)+(((C55/1000)*0.038)*4),IF(ISERROR(FIND("drawer box",A55))=FALSE,((((B55/1000)*(D55/1000))+((B55/1000)*(C55/1000)))*4)+((((D55/1000)+(C55/1000))*0.016)*4)+(((C55/1000)*(D55/1000))*2),IF(OR(ISERROR(FIND("shelf",A55))=FALSE,ISERROR(FIND("Filler panel",A55))=FALSE),(((C55/1000)*(D55/1000))*2)+((((C55+D55)*2)/1000)*0.022),IF(ISERROR(FIND("Fireplace",A55))=FALSE,((B55/1000)*(C55/1000)),IF(ISERROR(FIND("Worktop",A55))=FALSE,(B55/1000)*(C55/1000),IF(ISERROR(FIND("table",A55))=FALSE,(B55/1000)*0.6,IF(ISERROR(FIND("arcass",A55))=FALSE,(((C55/1000)*(D55/1000))*2)+(((B55/1000)*(D55/1000))*2)+((B55/1000)*(C55/1000))+((((B55/1000)*0.025)+((C55/1000)*0.025))*2),IF(AND(ISERROR(FIND("door",A55))=FALSE,WardrobeDoorStyle="Flat"),(((B55/1000)*(C55/1000))*2)+(MID(WardrobeDoorMaterial,FIND("(",WardrobeDoorMaterial)+1,2)/1000)*(((B55+C55)/1000)*2),IF(AND(ISERROR(FIND("door",A55))=FALSE,LEFT(WardrobeDoorStyle,5)="Panel"),(((B55/1000)*(C55/1000))*2)+((MID(WardrobeDoorMaterial,FIND("(",WardrobeDoorMaterial)+1,2)/1000)*(((B55+C55)/1000)*2))+(((((B55-160)+(C55-160))*2)/1000)*(0.013)),IF(AND(ISERROR(FIND("door",A55))=FALSE,WardrobeDoorStyle="In-frame flat"),((((B55-76)/1000)*((C55-38)/1000))*2)+(MID(WardrobeDoorMaterial,FIND("(",WardrobeDoorMaterial)+1,2)/1000)*((((B55-76)+(C55-38))/1000)*2)+(((B55/1000)*0.032)*2)+((((B55-76)/1000)*0.032)*2)+(((B55/1000)*0.019)*4)+(((C55/1000)*0.032)*2)+((((C55-38)/1000)*0.032)*2)+(((C55/1000)*0.038)*4),IF(AND(ISERROR(FIND("door",A55))=FALSE,LEFT(WardrobeDoorStyle,14)="In-frame panel"),((((B55-76)/1000)*((C55-38)/1000))*2)+((MID(WardrobeDoorMaterial,FIND("(",WardrobeDoorMaterial)+1,2)/1000)*((((B55-76)+(C55-38))/1000)*2))+((((B55-236)/1000)+((C55-198)/1000)*2)*0.013)+(((B55/1000)*0.032)*2)+((((B55-76)/1000)*0.032)*2)+(((B55/1000)*0.019)*4)+(((C55/1000)*0.032)*2)+((((C55-38)/1000)*0.032)*2)+(((C55/1000)*0.038)*4),IF(ISERROR(FIND("Plinth",A55))=FALSE,((B55/1000)*(C55/1000))+(((C55/1000)*0.018)*2)+(((B55/1000)*0.018)*2),IF(ISERROR(FIND("Cornice",A55))=FALSE,(((C55/1000)*0.1)*2)+(((C55/1000)*0.044)*2)+(((B55/1000)*0.08)*2),IF(ISERROR(FIND("Office pod",A55))=FALSE,((2400/1000)*(1200/1000))*6,IF(ISERROR(FIND("panel",A55))=FALSE,((B55/1000)*(C55/1000))+(0.022*((B55/1000)+((C55/1000)*2)))+((B55/1000)*0.05),IF(ISERROR(FIND("Fillers",A55))=FALSE,((C55/1000)*0.06)+((C55/1000)*0.069)+((0.06*0.018)*2)+((0.06*0.009)*2)+((C55/1000)*0.009)+((C55/1000)*0.018),IF(ISERROR(FIND("Pelmet",A55))=FALSE,((C55/1000)*0.05)+((C55/1000)*0.068)+((0.05*0.018)*4)+(((C55/1000)*0.018))*2)))))))))))))))))))))</f>
        <v>0.78</v>
      </c>
      <c r="N55" s="152">
        <f>IF(M55="","",IF(AND(ISERROR(FIND("carcass",A55))=TRUE,ISERROR(FIND("unit",A55))=TRUE,ISERROR(FIND("insert",A55))=TRUE,ISERROR(FIND("rack",A55))=TRUE,ISERROR(FIND("box",A55))=TRUE,ISERROR(FIND("shelf",A55))=TRUE),VLOOKUP(WardrobeDoorFinish,Finishing!$A$2:$K$10,9,0)*M55,IF(ISERROR(FIND("table",A55))=FALSE,VLOOKUP("Sayerlack AF0072 Interior Clear Self-Sealer",FinishingData,9,FALSE)*M55,VLOOKUP(WardrobeCarcassFinish,Finishing!$A$2:$K$40,9,0)*M55)))</f>
        <v>5.85</v>
      </c>
      <c r="O55" s="159">
        <v>0.75</v>
      </c>
      <c r="P55" s="159">
        <v>1.25</v>
      </c>
      <c r="Q55" s="152">
        <f>IF(OR(O55="",P55=""),"",((O55*X55)*(VLOOKUP("Workshop",Labour!$A$3:$E$20,4,0)/8))+((P55*AE55)*(VLOOKUP("Finishing",Labour!$A$3:$E$20,4,0)/8)))</f>
        <v>67.8125</v>
      </c>
      <c r="R55" s="152">
        <f t="shared" si="4"/>
        <v>116.5235</v>
      </c>
      <c r="S55" s="156">
        <f>IF(OR(O55="",P55=""),"",IF(OR(ISERROR(FIND("carcass",$A55))=FALSE,ISERROR(FIND("unit",$A55))=FALSE),VLOOKUP(WardrobeCarcassMaterial,FixedListsCarcassMaterial,2,0),0))</f>
        <v>0</v>
      </c>
      <c r="T55" s="156">
        <f>IF(OR(O55="",P55=""),"",IF(ISERROR(FIND("door",$A55))=FALSE,VLOOKUP(WardrobeDoorStyle,FixedListsDoorStyle,2,0),0))</f>
        <v>0</v>
      </c>
      <c r="U55" s="156">
        <f>IF(OR(O55="",P55=""),"",IF(ISERROR(FIND("door",$A55))=FALSE,VLOOKUP(WardrobeDoorMaterial,FixedListsDoorMaterial,2,0),0))</f>
        <v>0</v>
      </c>
      <c r="V55" s="156">
        <f>IF(OR(O55="",P55=""),"",IF(ISERROR(FIND("drawer",$A55))=FALSE,VLOOKUP(WardrobeDrawerType,FixedListsDrawerType,2,0),0))</f>
        <v>0</v>
      </c>
      <c r="W55" s="156">
        <f>IF(OR(O55="",P55=""),"",IF(S55&gt;0,VLOOKUP(WardrobeHandleType,FixedListsHandleType,2,FALSE),0))</f>
        <v>0</v>
      </c>
      <c r="X55" s="156">
        <f t="shared" si="5"/>
        <v>1</v>
      </c>
      <c r="Y55" s="156">
        <f>IF(OR(O55="",P55=""),"",IF(OR(ISERROR(FIND("carcass",$A55))=FALSE,ISERROR(FIND("unit",$A55))=FALSE),VLOOKUP(WardrobeCarcassMaterial,FixedListsCarcassMaterial,3,0),0))</f>
        <v>0</v>
      </c>
      <c r="Z55" s="156">
        <f>IF(OR(O55="",P55=""),"",IF(ISERROR(FIND("door",$A55))=FALSE,VLOOKUP(WardrobeDoorStyle,FixedListsDoorStyle,3,0),0))</f>
        <v>0</v>
      </c>
      <c r="AA55" s="156">
        <f>IF(OR(O55="",P55=""),"",IF(ISERROR(FIND("door",$A55))=FALSE,VLOOKUP(WardrobeDoorMaterial,FixedListsDoorMaterial,3,0),0))</f>
        <v>0</v>
      </c>
      <c r="AB55" s="156">
        <f>IF(OR(O55="",P55=""),"",IF(ISERROR(FIND("drawer",$A55))=FALSE,VLOOKUP(WardrobeDrawerType,FixedListsDrawerType,3,0),0))</f>
        <v>0</v>
      </c>
      <c r="AC55" s="156">
        <f>IF(OR(O55="",P55=""),"",IF(S55&gt;0,VLOOKUP(WardrobeHandleType,FixedListsHandleType,3,FALSE),0))</f>
        <v>0</v>
      </c>
      <c r="AD55" s="156">
        <f>IF(OR(O55="",P55=""),"",IF(OR(ISERROR(FIND("carcass",$A55))=FALSE,ISERROR(FIND("unit",$A55))=FALSE),VLOOKUP(WardrobeCarcassFinish,FixedListsFinishes,3,0),IF(OR(ISERROR(FIND("door",$A55))=FALSE,ISERROR(FIND("Plinth",$A55))=FALSE,ISERROR(FIND("Cornice",$A55))=FALSE,ISERROR(FIND("Fillers",$A55))=FALSE,ISERROR(FIND("Pelmet",$A55))=FALSE,ISERROR(FIND("panel",$A55))=FALSE,ISERROR(FIND("post",$A55))=FALSE),VLOOKUP(WardrobeDoorFinish,FixedListsFinishes,3,0),IF(OR(ISERROR(FIND("drawer",$A55))=FALSE,ISERROR(FIND("insert",$A55))=FALSE,ISERROR(FIND("rck",$A55))=FALSE),VLOOKUP(WardrobeCarcassFinish,FixedListsFinishes,3,0),0))))</f>
        <v>0</v>
      </c>
      <c r="AE55" s="156">
        <f t="shared" si="6"/>
        <v>1</v>
      </c>
      <c r="AF55" s="157" t="str">
        <f>IF(AND(WardrobeHandleType="Channel",OR(ISERROR(FIND("arcass",$A55))=FALSE,ISERROR(FIND("unit",$A55))=FALSE)),IF(ISERROR(FIND("Tower",$A55))=TRUE,IF(WardrobeHandleFinish="Match carcass",IF(ISERROR(FIND("Walnut",WardrobeCarcassMaterial))=FALSE,(0.035*0.075*($C55/1000))*VLOOKUP("Walnut (solid m3)",SolidData,4,FALSE),IF(ISERROR(FIND("Oak",WardrobeCarcassMaterial))=FALSE,(0.035*0.075*($C55/1000))*VLOOKUP("Oak (solid m3)",SolidData,4,FALSE),IF(ISERROR(FIND("ply",WardrobeCarcassMaterial))=FALSE,(0.1*($C55/1000))*VLOOKUP("Birch ply (24mm)",SheetsData,7,FALSE),IF(ISERROR(FIND("H/F",WardrobeCarcassMaterial))=FALSE,(0.1*($C55/1000))*VLOOKUP("H/F (22mm)",SheetsData,7,FALSE),"Carcass - not tower - new material")))),IF(WardrobeHandleFinish="Match door",IF(ISERROR(FIND("Walnut",WardrobeDoorMaterial))=FALSE,(0.035*0.075*($C55/1000))*VLOOKUP("Walnut (solid m3)",SolidData,4,FALSE),IF(ISERROR(FIND("Oak",WardrobeDoorMaterial))=FALSE,(0.035*0.075*($C55/1000))*VLOOKUP("Oak (solid m3)",SolidData,4,FALSE),IF(ISERROR(FIND("ply",WardrobeDoorMaterial))=FALSE,(0.1*($C55/1000))*VLOOKUP("Birch ply (24mm)",SheetsData,7,FALSE),IF(ISERROR(FIND("H/F",WardrobeCarcassMaterial))=FALSE,(0.1*($C55/1000))*VLOOKUP("H/F (22mm)",SheetsData,7,FALSE),"Door - not tower - new material")))),"Channel - not tower - handle set to other")),IF(ISERROR(FIND("Tower",$A55))=FALSE,IF(WardrobeHandleFinish="Match carcass",IF(ISERROR(FIND("Walnut",WardrobeCarcassMaterial))=FALSE,(0.035*0.075*($B55/1000))*VLOOKUP("Walnut (solid m3)",SolidData,4,FALSE),IF(ISERROR(FIND("Oak",WardrobeCarcassMaterial))=FALSE,(0.035*0.075*($B55/1000))*VLOOKUP("Oak (solid m3)",SolidData,4,FALSE),IF(ISERROR(FIND("ply",WardrobeCarcassMaterial))=FALSE,(0.1*($B55/1000))*VLOOKUP("Birch ply (24mm)",SheetsData,7,FALSE),IF(ISERROR(FIND("H/F",WardrobeCarcassMaterial))=FALSE,(0.1*($C55/1000))*VLOOKUP("H/F (22mm)",SheetsData,7,FALSE),"Carcass - tower - new material")))),IF(WardrobeHandleFinish="Match door",IF(ISERROR(FIND("Walnut",WardrobeDoorMaterial))=FALSE,(0.035*0.075*($B55/1000))*VLOOKUP("Walnut (solid m3)",SolidData,4,FALSE),IF(ISERROR(FIND("Oak",WardrobeDoorMaterial))=FALSE,(0.035*0.075*($B55/1000))*VLOOKUP("Oak (solid m3)",SolidData,4,FALSE),IF(ISERROR(FIND("ply",WardrobeDoorMaterial))=FALSE,(0.1*($B55/1000))*VLOOKUP("Birch ply (24mm)",SheetData,7,FALSE),IF(ISERROR(FIND("H/F",WardrobeCarcassMaterial))=FALSE,(0.1*($C55/1000))*VLOOKUP("H/F (22mm)",SheetsData,7,FALSE),"Door - tower - new material")))),"Channel - tower - handle set to other")))),"")</f>
        <v/>
      </c>
    </row>
    <row r="56">
      <c r="A56" s="150" t="s">
        <v>251</v>
      </c>
      <c r="B56" s="160" t="str">
        <f t="shared" si="1"/>
        <v>2400</v>
      </c>
      <c r="C56" s="160" t="str">
        <f>IFERROR(__xludf.DUMMYFUNCTION("IF(A56="""","""",IF(ISERROR(FIND(""arcass"",A56))=FALSE,MID(A56,FIND(""*"",A56)+1,FIND(""*"",A56,FIND(""*"",A56)+1)-FIND(""*"",A56)-1),IF(ISERROR(FIND(""End panel"",A56))=FALSE,RIGHT(A56,3),IF(OR(ISERROR(FIND(""drawer"",A56))=FALSE,ISERROR(FIND(""door"",A"&amp;"56))=FALSE,ISERROR(FIND(""shelf"",A56))=FALSE,ISERROR(FIND(""panel"",A56))=FALSE,ISERROR(FIND(""Plinth"",A56))=FALSE,ISERROR(FIND(""Cornice"",A56))=FALSE,ISERROR(FIND(""Fillers"",A56))=FALSE,ISERROR(FIND(""Pelmet"",A56))=FALSE,ISERROR(FIND(""Fireplace up "&amp;"to 1600"",A56))=FALSE),RIGHT(A56,LEN(A56)-LEN(regexextract(A56,"".* ""))),IF(ISERROR(FIND(""table"",A56))=FALSE,""560"",IF(ISERROR(FIND(""Office pod"",A56))=FALSE,""1600"",IF(ISERROR(FIND(""Fireplace over 1600"",A56))=FALSE,""2400"",IF(ISERROR(FIND(""Work"&amp;"top"",A56))=FALSE,""650"",""Whoops""))))))))"),"650")</f>
        <v>650</v>
      </c>
      <c r="D56" s="161" t="str">
        <f t="shared" si="2"/>
        <v/>
      </c>
      <c r="E56" s="152">
        <f>IF(OR(A56="",AND(ISERROR(FIND("drawer",A56))=FALSE,WardrobeDrawerType="")),"",IF(ISERROR(FIND("door",A56))=FALSE,IF(WardrobeDoorStyle="Flat",((B56/1000)*(C56/1000))*VLOOKUP(WardrobeDoorMaterial,SheetsData,8,0),IF(LEFT(WardrobeDoorStyle,5)="Panel",(((((B56/1000)*2)*0.08)+((((C56/1000)-0.16)*2)*0.08))*VLOOKUP("H/F (22mm)",SheetsData,8,0))+(((B56/1000)-0.14)*((C56/1000)-0.14)*VLOOKUP("H/F (9mm)",SheetsData,8,0)),IF(WardrobeDoorStyle="In-frame flat",((((((B56/1000)*0.019)*0.038)+((((C56-38)/1000)*0.038)*0.038))*2)*VLOOKUP("Tulip (solid m3)",SolidData,4,0))+(((B56-76)/1000)*((C56-38)/1000))*VLOOKUP("H/F (22mm)",SheetsData,8,0),IF(LEFT(WardrobeDoorStyle,14)="In-frame panel",(((((((B56/1000)*0.019)*0.038)+((((C56-38)/1000)*0.038)*0.038))*2)*VLOOKUP("Tulip (solid m3)",SolidData,4,0))+(((((((B56-76)/1000)*2)*0.08)+(((((C56-198)/1000)*2)*0.08)))*VLOOKUP("H/F (22mm)",SheetsData,8,0))+(((B56-216)/1000)*((C56-178)/1000)*VLOOKUP("H/F (9mm)",SheetsData,8,0)))))))),IF(AND(ISERROR(FIND("arcass",A56))=FALSE,ISERROR(FIND("ost corner",A56))=TRUE),IF(AND(VALUE(B56)&lt;1211,VALUE(C56)&lt;1211,VALUE(D56)&lt;606),1*VLOOKUP(WardrobeCarcassMaterial,SheetsData,5,FALSE),IF(AND(VALUE(B56)&lt;2421,VALUE(C56)&lt;2421,VALUE(D56)&lt;606),2*VLOOKUP(WardrobeCarcassMaterial,SheetsData,5,FALSE),IF(AND(VALUE(B56)&lt;2421,VALUE(C56)&lt;1211,VALUE(D56)&lt;1211),3*VLOOKUP(WardrobeCarcassMaterial,SheetsData,5,FALSE),IF(AND(VALUE(B56)&lt;2421,VALUE(C56)&lt;2421,VALUE(D56)&lt;1211),4*VLOOKUP(WardrobeCarcassMaterial,SheetsData,5,FALSE))))),IF(AND(ISERROR(FIND("arcass",A56))=FALSE,ISERROR(FIND("ost corner",A56))=FALSE),IF(AND(VALUE(B56)&lt;1211,VALUE(C56)&lt;1211,VALUE(D56)&lt;606),(1*VLOOKUP(WardrobeCarcassMaterial,SheetsData,5,FALSE))+(VLOOKUP("H/F (22mm)",SheetsData,7,FALSE)*1.44),IF(AND(VALUE(B56)&lt;2421,VALUE(C56)&lt;2421,VALUE(D56)&lt;606),(2*VLOOKUP(WardrobeCarcassMaterial,SheetsData,5,FALSE))+(VLOOKUP("H/F (22mm)",SheetsData,7,FALSE)*1.44),IF(AND(VALUE(B56)&lt;2421,VALUE(C56)&lt;1211,VALUE(D56)&lt;1211),(3*VLOOKUP(WardrobeCarcassMaterial,SheetsData,5,FALSE))+(VLOOKUP("H/F (22mm)",SheetsData,7,FALSE)*1.44),IF(AND(VALUE(B56)&lt;2421,VALUE(C56)&lt;2421,VALUE(D56)&lt;1211),(4*VLOOKUP(WardrobeCarcassMaterial,SheetsData,5,FALSE))+(VLOOKUP("H/F (22mm)",SheetsData,7,FALSE)*1.44))))),IF(ISERROR(FIND("drawer front",A56))=FALSE,((B56/1000)*(C56/1000))*VLOOKUP(WardrobeDoorMaterial,SheetsData,8,0),IF(AND(WardrobeDrawerType="Match carcass",ISERROR(FIND("drawer box",A56))=FALSE),(((((B56/1000)*(C56/1000))+((B56/1000)*(D56/1000)))*2)*VLOOKUP(WardrobeCarcassMaterial,SheetsData,8,0))+(((C56/1000)*(D56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box",A56))=FALSE),(((((B56/1000)*(C56/1000))+((B56/1000)*(D56/1000)))*2)*(16/1000)*VLOOKUP(LEFT(WardrobeCarcassMaterial,FIND(" ",WardrobeCarcassMaterial))&amp;"(solid m3)",SolidData,4,0))+(((C56/1000)*(D56/1000))*VLOOKUP(LEFT(WardrobeCarcassMaterial,FIND("(",WardrobeCarcassMaterial)-1)&amp;IF(OR(ISERROR(FIND("ply",WardrobeCarcassMaterial))=FALSE,ISERROR(FIND("H/F",WardrobeCarcassMaterial))=FALSE),"(9mm)","(10mm)"),SheetsData,8,0)),IF(ISERROR(FIND("shelf",A56))=FALSE,((C56/1000)*(D56/1000))*VLOOKUP(WardrobeCarcassMaterial,SheetsData,7,FALSE),IF(ISERROR(FIND("Office pod",A56))=FALSE,3*VLOOKUP(WardrobeCarcassMaterial,SheetsData,5,0),IF(ISERROR(FIND(" panel",A56))=FALSE,((B56/1000)*(C56/1000))*VLOOKUP(WardrobeDoorMaterial,SheetsData,8,0),IF(ISERROR(FIND("Fillers",A56))=FALSE,(((0.06*(C56/1000))*2)*VLOOKUP("H/F (18mm)",SheetsData,8,0))+(((0.06*(C56/1000))*2)*VLOOKUP("H/F (9mm)",SheetsData,8,0)),IF(ISERROR(FIND("Cornice (stacked)",A56))=FALSE,((0.08*(C56/1000))*2)*VLOOKUP("H/F (22mm)",SheetsData,8,0),IF(OR(ISERROR(FIND("Plinth",A56))=FALSE,ISERROR(FIND("Cornice (flat)",A56))=FALSE),((B56/1000)*(C56/1000))*VLOOKUP("H/F (18mm)",SheetsData,8,0),IF(ISERROR(FIND("Pelmet",A56))=FALSE,((((B56/1000)*(C56/1000))*2)*VLOOKUP("H/F (18mm)",SheetsData,8,0)),IF(ISERROR(FIND("Fireplace",A56))=FALSE,IF(ISERROR(FIND("over 1600",A56))=FALSE,2*VLOOKUP(WardrobeCarcassMaterial,SheetsData,5,FALSE),VLOOKUP(WardrobeCarcassMaterial,SheetsData,5,FALSE)),IF(ISERROR(FIND("table",A56))=FALSE,((B56/1000)*0.6)*VLOOKUP("Birch ply (24mm)",SheetsData,7,FALSE),IF(ISERROR(FIND("Worktop",A56))=FALSE,((B56/1000)*(C56/1000))*VLOOKUP(WardrobeDoorMaterial,SheetsData,7,FALSE),"Check formula")))))))))))))))))</f>
        <v>85.722</v>
      </c>
      <c r="F56" s="152" t="str">
        <f>IFERROR(__xludf.DUMMYFUNCTION("IF(OR(A56="""",AND(ISERROR(FIND(""drawer box"",A56))=FALSE,WardrobeDrawerType=""Solid dovetail"")),"""",IF(ISERROR(FIND(""bins"",A56))=FALSE,VLOOKUP(""Base carcass 600"",Wardrobes_etcData,6,0),IF(OR(ISERROR(FIND(""larder"",A56))=FALSE,ISERROR(FIND(""unit"&amp;""",A56))=FALSE),VLOOKUP(LEFT(A56,FIND("" "",A56))&amp;""carcass ""&amp;RIGHT(A56,LEN(A56)-len(regexextract(A56,"".* ""))),Wardrobes_etcData,6,0),IF(ISERROR(FIND(""drawer front"",A56))=FALSE,IF(ISERROR(FIND(""veneer"",WardrobeCarcassMaterial))=TRUE,0,(((B56+C56)/1"&amp;"000)*2)*VLOOKUP(""Edge banding (per M)"",SheetsData,5,0)),IF(ISERROR(FIND(""drawer box"",A56))=FALSE,IF(ISERROR(FIND(""veneer"",WardrobeCarcassMaterial))=TRUE,0,(((C56+D56)/1000)*2)*VLOOKUP(""Edge banding (per M)"",SheetsData,5,0)),IF(ISERROR(FIND(""shelf"&amp;""",A56))=FALSE,IF(ISERROR(FIND(""veneer"",WardrobeCarcassMaterial))=TRUE,0,(C56/1000)*VLOOKUP(""Edge banding (per M)"",SheetsData,5,0)),IF(AND(OR(ISERROR(FIND(""arcass"",A56))=FALSE,ISERROR(FIND(""Fireplace"",A56))=FALSE),ISERROR(FIND(""shelf"",A56))=TRUE"&amp;"),IF(ISERROR(FIND(""veneer"",WardrobeCarcassMaterial))=TRUE,0,((2*(B56+C56))/1000)*VLOOKUP(""Edge banding (per M)"",SheetsData,5,0)),IF(ISERROR(FIND(""door"",A56))=TRUE,"""",IF(ISERROR(FIND(""veneer"",WardrobeDoorMaterial))=TRUE,"""",((2*(B56+C56))/1000)*"&amp;"VLOOKUP(""Edge banding (per M)"",SheetsData,5,0))))))))))"),"")</f>
        <v/>
      </c>
      <c r="G56" s="153" t="str">
        <f>IF(A56="","",IF(AND(ISERROR(FIND("arcass",A56))=TRUE,ISERROR(FIND("Fireplace",A56))=TRUE),"",IF(VALUE(C56)&lt;606,4*VLOOKUP("Plinth foot (2 Parts 80mm)",FurnitureData,5,FALSE),IF(VALUE(C56)&lt;1211,6*VLOOKUP("Plinth foot (2 Parts 80mm)",FurnitureData,5,FALSE),8*VLOOKUP("Plinth foot (2 Parts 80mm)",FurnitureData,5,FALSE)))))</f>
        <v/>
      </c>
      <c r="H56" s="115" t="str">
        <f>IF(OR(A56="",ISERROR(FIND("door",A56))=TRUE),"",VLOOKUP("Hinges &amp; plates (Hettich thick door)",FurnitureData,5,0)*5)</f>
        <v/>
      </c>
      <c r="I56" s="115" t="str">
        <f>IF(ISERROR(FIND("shelf",A56))=FALSE,(VLOOKUP("Shelf pegs",FurnitureData,5,0)/100)*4,"")</f>
        <v/>
      </c>
      <c r="J56" s="152" t="str">
        <f>IF(OR(ISERROR(FIND("fridge/freezer",A56))=FALSE,ISERROR(FIND("sink",A56))=FALSE,ISERROR(FIND("larder",A56))=FALSE),VLOOKUP("Deep shelf "&amp;C56,Wardrobes_etcData,18,0),IF(OR(ISERROR(FIND("single oven",A56))=FALSE,ISERROR(FIND("Base carcass",A56))=FALSE),2*VLOOKUP("Deep shelf "&amp;C56,Wardrobes_etcData,18,0),IF(AND(ISERROR(FIND("wall carcass",A56))=FALSE,ISERROR(FIND("Boiler",A56))=TRUE),2*VLOOKUP("Shallow shelf "&amp;C56,Wardrobes_etcData,18,0),IF(ISERROR(FIND("double oven",A56))=FALSE,3*VLOOKUP("Deep shelf "&amp;C56,Wardrobes_etcData,18,0),IF(ISERROR(FIND("Tower carcass",A56))=FALSE,6*VLOOKUP("Deep shelf "&amp;C56,Wardrobes_etcData,18,0),"")))))</f>
        <v/>
      </c>
      <c r="K56" s="152" t="str">
        <f>IF(ISERROR(FIND("sink",A56))=FALSE,VLOOKUP("Sink liner - Aluminium "&amp;RIGHT(A56,LEN(A56)-22)&amp;"mm",ExceptionalData,5,0),IF(ISERROR(FIND("bins",A56))=FALSE,VLOOKUP("Drawer runners and clip set for bin unit (500) Dynapro",FurnitureData,5,0)+(2*VLOOKUP("Bin (42L Anthracite)",FurnitureData,5,0)),IF(ISERROR(FIND("larder",A56))=FALSE,VLOOKUP("Pull out larder unit 600mm",FurnitureData,5,0),IF(AND(ISERROR(FIND("drawer box",A56))=FALSE,ISERROR(FIND("internal",A56))=TRUE),VLOOKUP("Drawer runners and clip set (550) Dynapro",FurnitureData,5,0),IF(ISERROR(FIND("internal drawer box",A56))=FALSE,VLOOKUP("Drawer runners and clip set (450) Dynapro",FurnitureData,5,0),IF(ISERROR(FIND("table",A56))=FALSE,VLOOKUP("Hairpin Leg (12mm Black "&amp;MID(A56,FIND("(",A56)+1,LEN(A56)-(FIND("(",A56))-1)&amp;"mm)",ExceptionalData,4,FALSE),""))))))</f>
        <v/>
      </c>
      <c r="L56" s="152">
        <f t="shared" si="3"/>
        <v>85.722</v>
      </c>
      <c r="M56" s="154">
        <f>IF(A56="","",IF(AND(ISERROR(FIND("drawer front",A56))=FALSE,WardrobeDoorStyle="Flat"),(((B56/1000)*(C56/1000))*2)+((((B56+C56)/1000)*2)*0.022),IF(AND(ISERROR(FIND("drawer front",A56))=FALSE,LEFT(WardrobeDoorStyle,5)="Panel"),(((B56/1000)*(C56/1000))*2)+((((B56+C56)/1000)*2)*0.022)+((((C56/1000)-0.16)*0.013)*2)+((((D56/1000)-0.16)*0.013)*2),IF(AND(ISERROR(FIND("drawer front",A56))=FALSE,WardrobeDoorStyle="In-frame flat"),((((B56-76)/1000)*((C56-38)/1000))*2)+(MID(WardrobeDoorMaterial,FIND("(",WardrobeDoorMaterial)+1,2)/1000)*((((B56-76)+(C56-38))/1000)*2)+(((B56/1000)*0.032)*2)+((((B56-76)/1000)*0.032)*2)+(((B56/1000)*0.019)*4)+(((C56/1000)*0.032)*2)+((((C56-38)/1000)*0.032)*2)+(((C56/1000)*0.038)*4),IF(AND(ISERROR(FIND("drawer front",A56))=FALSE,LEFT(WardrobeDoorStyle,14)="In-frame panel"),((((B56-76)/1000)*((C56-38)/1000))*2)+((MID(WardrobeDoorMaterial,FIND("(",WardrobeDoorMaterial)+1,2)/1000)*((((B56-76)+(C56-38))/1000)*2))+((((B56-236)/1000)+((C56-198)/1000)*2)*0.013)+(((B56/1000)*0.032)*2)+((((B56-76)/1000)*0.032)*2)+(((B56/1000)*0.019)*4)+(((C56/1000)*0.032)*2)+((((C56-38)/1000)*0.032)*2)+(((C56/1000)*0.038)*4),IF(ISERROR(FIND("drawer box",A56))=FALSE,((((B56/1000)*(D56/1000))+((B56/1000)*(C56/1000)))*4)+((((D56/1000)+(C56/1000))*0.016)*4)+(((C56/1000)*(D56/1000))*2),IF(OR(ISERROR(FIND("shelf",A56))=FALSE,ISERROR(FIND("Filler panel",A56))=FALSE),(((C56/1000)*(D56/1000))*2)+((((C56+D56)*2)/1000)*0.022),IF(ISERROR(FIND("Fireplace",A56))=FALSE,((B56/1000)*(C56/1000)),IF(ISERROR(FIND("Worktop",A56))=FALSE,(B56/1000)*(C56/1000),IF(ISERROR(FIND("table",A56))=FALSE,(B56/1000)*0.6,IF(ISERROR(FIND("arcass",A56))=FALSE,(((C56/1000)*(D56/1000))*2)+(((B56/1000)*(D56/1000))*2)+((B56/1000)*(C56/1000))+((((B56/1000)*0.025)+((C56/1000)*0.025))*2),IF(AND(ISERROR(FIND("door",A56))=FALSE,WardrobeDoorStyle="Flat"),(((B56/1000)*(C56/1000))*2)+(MID(WardrobeDoorMaterial,FIND("(",WardrobeDoorMaterial)+1,2)/1000)*(((B56+C56)/1000)*2),IF(AND(ISERROR(FIND("door",A56))=FALSE,LEFT(WardrobeDoorStyle,5)="Panel"),(((B56/1000)*(C56/1000))*2)+((MID(WardrobeDoorMaterial,FIND("(",WardrobeDoorMaterial)+1,2)/1000)*(((B56+C56)/1000)*2))+(((((B56-160)+(C56-160))*2)/1000)*(0.013)),IF(AND(ISERROR(FIND("door",A56))=FALSE,WardrobeDoorStyle="In-frame flat"),((((B56-76)/1000)*((C56-38)/1000))*2)+(MID(WardrobeDoorMaterial,FIND("(",WardrobeDoorMaterial)+1,2)/1000)*((((B56-76)+(C56-38))/1000)*2)+(((B56/1000)*0.032)*2)+((((B56-76)/1000)*0.032)*2)+(((B56/1000)*0.019)*4)+(((C56/1000)*0.032)*2)+((((C56-38)/1000)*0.032)*2)+(((C56/1000)*0.038)*4),IF(AND(ISERROR(FIND("door",A56))=FALSE,LEFT(WardrobeDoorStyle,14)="In-frame panel"),((((B56-76)/1000)*((C56-38)/1000))*2)+((MID(WardrobeDoorMaterial,FIND("(",WardrobeDoorMaterial)+1,2)/1000)*((((B56-76)+(C56-38))/1000)*2))+((((B56-236)/1000)+((C56-198)/1000)*2)*0.013)+(((B56/1000)*0.032)*2)+((((B56-76)/1000)*0.032)*2)+(((B56/1000)*0.019)*4)+(((C56/1000)*0.032)*2)+((((C56-38)/1000)*0.032)*2)+(((C56/1000)*0.038)*4),IF(ISERROR(FIND("Plinth",A56))=FALSE,((B56/1000)*(C56/1000))+(((C56/1000)*0.018)*2)+(((B56/1000)*0.018)*2),IF(ISERROR(FIND("Cornice",A56))=FALSE,(((C56/1000)*0.1)*2)+(((C56/1000)*0.044)*2)+(((B56/1000)*0.08)*2),IF(ISERROR(FIND("Office pod",A56))=FALSE,((2400/1000)*(1200/1000))*6,IF(ISERROR(FIND("panel",A56))=FALSE,((B56/1000)*(C56/1000))+(0.022*((B56/1000)+((C56/1000)*2)))+((B56/1000)*0.05),IF(ISERROR(FIND("Fillers",A56))=FALSE,((C56/1000)*0.06)+((C56/1000)*0.069)+((0.06*0.018)*2)+((0.06*0.009)*2)+((C56/1000)*0.009)+((C56/1000)*0.018),IF(ISERROR(FIND("Pelmet",A56))=FALSE,((C56/1000)*0.05)+((C56/1000)*0.068)+((0.05*0.018)*4)+(((C56/1000)*0.018))*2)))))))))))))))))))))</f>
        <v>1.56</v>
      </c>
      <c r="N56" s="152">
        <f>IF(M56="","",IF(AND(ISERROR(FIND("carcass",A56))=TRUE,ISERROR(FIND("unit",A56))=TRUE,ISERROR(FIND("insert",A56))=TRUE,ISERROR(FIND("rack",A56))=TRUE,ISERROR(FIND("box",A56))=TRUE,ISERROR(FIND("shelf",A56))=TRUE),VLOOKUP(WardrobeDoorFinish,Finishing!$A$2:$K$10,9,0)*M56,IF(ISERROR(FIND("table",A56))=FALSE,VLOOKUP("Sayerlack AF0072 Interior Clear Self-Sealer",FinishingData,9,FALSE)*M56,VLOOKUP(WardrobeCarcassFinish,Finishing!$A$2:$K$40,9,0)*M56)))</f>
        <v>11.7</v>
      </c>
      <c r="O56" s="159">
        <v>1.0</v>
      </c>
      <c r="P56" s="159">
        <v>1.5</v>
      </c>
      <c r="Q56" s="152">
        <f>IF(OR(O56="",P56=""),"",((O56*X56)*(VLOOKUP("Workshop",Labour!$A$3:$E$20,4,0)/8))+((P56*AE56)*(VLOOKUP("Finishing",Labour!$A$3:$E$20,4,0)/8)))</f>
        <v>85.75</v>
      </c>
      <c r="R56" s="152">
        <f t="shared" si="4"/>
        <v>183.172</v>
      </c>
      <c r="S56" s="156">
        <f>IF(OR(O56="",P56=""),"",IF(OR(ISERROR(FIND("carcass",$A56))=FALSE,ISERROR(FIND("unit",$A56))=FALSE),VLOOKUP(WardrobeCarcassMaterial,FixedListsCarcassMaterial,2,0),0))</f>
        <v>0</v>
      </c>
      <c r="T56" s="156">
        <f>IF(OR(O56="",P56=""),"",IF(ISERROR(FIND("door",$A56))=FALSE,VLOOKUP(WardrobeDoorStyle,FixedListsDoorStyle,2,0),0))</f>
        <v>0</v>
      </c>
      <c r="U56" s="156">
        <f>IF(OR(O56="",P56=""),"",IF(ISERROR(FIND("door",$A56))=FALSE,VLOOKUP(WardrobeDoorMaterial,FixedListsDoorMaterial,2,0),0))</f>
        <v>0</v>
      </c>
      <c r="V56" s="156">
        <f>IF(OR(O56="",P56=""),"",IF(ISERROR(FIND("drawer",$A56))=FALSE,VLOOKUP(WardrobeDrawerType,FixedListsDrawerType,2,0),0))</f>
        <v>0</v>
      </c>
      <c r="W56" s="156">
        <f>IF(OR(O56="",P56=""),"",IF(S56&gt;0,VLOOKUP(WardrobeHandleType,FixedListsHandleType,2,FALSE),0))</f>
        <v>0</v>
      </c>
      <c r="X56" s="156">
        <f t="shared" si="5"/>
        <v>1</v>
      </c>
      <c r="Y56" s="156">
        <f>IF(OR(O56="",P56=""),"",IF(OR(ISERROR(FIND("carcass",$A56))=FALSE,ISERROR(FIND("unit",$A56))=FALSE),VLOOKUP(WardrobeCarcassMaterial,FixedListsCarcassMaterial,3,0),0))</f>
        <v>0</v>
      </c>
      <c r="Z56" s="156">
        <f>IF(OR(O56="",P56=""),"",IF(ISERROR(FIND("door",$A56))=FALSE,VLOOKUP(WardrobeDoorStyle,FixedListsDoorStyle,3,0),0))</f>
        <v>0</v>
      </c>
      <c r="AA56" s="156">
        <f>IF(OR(O56="",P56=""),"",IF(ISERROR(FIND("door",$A56))=FALSE,VLOOKUP(WardrobeDoorMaterial,FixedListsDoorMaterial,3,0),0))</f>
        <v>0</v>
      </c>
      <c r="AB56" s="156">
        <f>IF(OR(O56="",P56=""),"",IF(ISERROR(FIND("drawer",$A56))=FALSE,VLOOKUP(WardrobeDrawerType,FixedListsDrawerType,3,0),0))</f>
        <v>0</v>
      </c>
      <c r="AC56" s="156">
        <f>IF(OR(O56="",P56=""),"",IF(S56&gt;0,VLOOKUP(WardrobeHandleType,FixedListsHandleType,3,FALSE),0))</f>
        <v>0</v>
      </c>
      <c r="AD56" s="156">
        <f>IF(OR(O56="",P56=""),"",IF(OR(ISERROR(FIND("carcass",$A56))=FALSE,ISERROR(FIND("unit",$A56))=FALSE),VLOOKUP(WardrobeCarcassFinish,FixedListsFinishes,3,0),IF(OR(ISERROR(FIND("door",$A56))=FALSE,ISERROR(FIND("Plinth",$A56))=FALSE,ISERROR(FIND("Cornice",$A56))=FALSE,ISERROR(FIND("Fillers",$A56))=FALSE,ISERROR(FIND("Pelmet",$A56))=FALSE,ISERROR(FIND("panel",$A56))=FALSE,ISERROR(FIND("post",$A56))=FALSE),VLOOKUP(WardrobeDoorFinish,FixedListsFinishes,3,0),IF(OR(ISERROR(FIND("drawer",$A56))=FALSE,ISERROR(FIND("insert",$A56))=FALSE,ISERROR(FIND("rck",$A56))=FALSE),VLOOKUP(WardrobeCarcassFinish,FixedListsFinishes,3,0),0))))</f>
        <v>0</v>
      </c>
      <c r="AE56" s="156">
        <f t="shared" si="6"/>
        <v>1</v>
      </c>
      <c r="AF56" s="157" t="str">
        <f>IF(AND(WardrobeHandleType="Channel",OR(ISERROR(FIND("arcass",$A56))=FALSE,ISERROR(FIND("unit",$A56))=FALSE)),IF(ISERROR(FIND("Tower",$A56))=TRUE,IF(WardrobeHandleFinish="Match carcass",IF(ISERROR(FIND("Walnut",WardrobeCarcassMaterial))=FALSE,(0.035*0.075*($C56/1000))*VLOOKUP("Walnut (solid m3)",SolidData,4,FALSE),IF(ISERROR(FIND("Oak",WardrobeCarcassMaterial))=FALSE,(0.035*0.075*($C56/1000))*VLOOKUP("Oak (solid m3)",SolidData,4,FALSE),IF(ISERROR(FIND("ply",WardrobeCarcassMaterial))=FALSE,(0.1*($C56/1000))*VLOOKUP("Birch ply (24mm)",SheetsData,7,FALSE),IF(ISERROR(FIND("H/F",WardrobeCarcassMaterial))=FALSE,(0.1*($C56/1000))*VLOOKUP("H/F (22mm)",SheetsData,7,FALSE),"Carcass - not tower - new material")))),IF(WardrobeHandleFinish="Match door",IF(ISERROR(FIND("Walnut",WardrobeDoorMaterial))=FALSE,(0.035*0.075*($C56/1000))*VLOOKUP("Walnut (solid m3)",SolidData,4,FALSE),IF(ISERROR(FIND("Oak",WardrobeDoorMaterial))=FALSE,(0.035*0.075*($C56/1000))*VLOOKUP("Oak (solid m3)",SolidData,4,FALSE),IF(ISERROR(FIND("ply",WardrobeDoorMaterial))=FALSE,(0.1*($C56/1000))*VLOOKUP("Birch ply (24mm)",SheetsData,7,FALSE),IF(ISERROR(FIND("H/F",WardrobeCarcassMaterial))=FALSE,(0.1*($C56/1000))*VLOOKUP("H/F (22mm)",SheetsData,7,FALSE),"Door - not tower - new material")))),"Channel - not tower - handle set to other")),IF(ISERROR(FIND("Tower",$A56))=FALSE,IF(WardrobeHandleFinish="Match carcass",IF(ISERROR(FIND("Walnut",WardrobeCarcassMaterial))=FALSE,(0.035*0.075*($B56/1000))*VLOOKUP("Walnut (solid m3)",SolidData,4,FALSE),IF(ISERROR(FIND("Oak",WardrobeCarcassMaterial))=FALSE,(0.035*0.075*($B56/1000))*VLOOKUP("Oak (solid m3)",SolidData,4,FALSE),IF(ISERROR(FIND("ply",WardrobeCarcassMaterial))=FALSE,(0.1*($B56/1000))*VLOOKUP("Birch ply (24mm)",SheetsData,7,FALSE),IF(ISERROR(FIND("H/F",WardrobeCarcassMaterial))=FALSE,(0.1*($C56/1000))*VLOOKUP("H/F (22mm)",SheetsData,7,FALSE),"Carcass - tower - new material")))),IF(WardrobeHandleFinish="Match door",IF(ISERROR(FIND("Walnut",WardrobeDoorMaterial))=FALSE,(0.035*0.075*($B56/1000))*VLOOKUP("Walnut (solid m3)",SolidData,4,FALSE),IF(ISERROR(FIND("Oak",WardrobeDoorMaterial))=FALSE,(0.035*0.075*($B56/1000))*VLOOKUP("Oak (solid m3)",SolidData,4,FALSE),IF(ISERROR(FIND("ply",WardrobeDoorMaterial))=FALSE,(0.1*($B56/1000))*VLOOKUP("Birch ply (24mm)",SheetData,7,FALSE),IF(ISERROR(FIND("H/F",WardrobeCarcassMaterial))=FALSE,(0.1*($C56/1000))*VLOOKUP("H/F (22mm)",SheetsData,7,FALSE),"Door - tower - new material")))),"Channel - tower - handle set to other")))),"")</f>
        <v/>
      </c>
    </row>
    <row r="57">
      <c r="A57" s="150" t="s">
        <v>252</v>
      </c>
      <c r="B57" s="160" t="str">
        <f t="shared" si="1"/>
        <v>950</v>
      </c>
      <c r="C57" s="160" t="str">
        <f>IFERROR(__xludf.DUMMYFUNCTION("IF(A57="""","""",IF(ISERROR(FIND(""arcass"",A57))=FALSE,MID(A57,FIND(""*"",A57)+1,FIND(""*"",A57,FIND(""*"",A57)+1)-FIND(""*"",A57)-1),IF(ISERROR(FIND(""End panel"",A57))=FALSE,RIGHT(A57,3),IF(OR(ISERROR(FIND(""drawer"",A57))=FALSE,ISERROR(FIND(""door"",A"&amp;"57))=FALSE,ISERROR(FIND(""shelf"",A57))=FALSE,ISERROR(FIND(""panel"",A57))=FALSE,ISERROR(FIND(""Plinth"",A57))=FALSE,ISERROR(FIND(""Cornice"",A57))=FALSE,ISERROR(FIND(""Fillers"",A57))=FALSE,ISERROR(FIND(""Pelmet"",A57))=FALSE,ISERROR(FIND(""Fireplace up "&amp;"to 1600"",A57))=FALSE),RIGHT(A57,LEN(A57)-LEN(regexextract(A57,"".* ""))),IF(ISERROR(FIND(""table"",A57))=FALSE,""560"",IF(ISERROR(FIND(""Office pod"",A57))=FALSE,""1600"",IF(ISERROR(FIND(""Fireplace over 1600"",A57))=FALSE,""2400"",IF(ISERROR(FIND(""Work"&amp;"top"",A57))=FALSE,""650"",""Whoops""))))))))"),"1600")</f>
        <v>1600</v>
      </c>
      <c r="D57" s="161" t="str">
        <f t="shared" si="2"/>
        <v>800</v>
      </c>
      <c r="E57" s="152">
        <f>IF(OR(A57="",AND(ISERROR(FIND("drawer",A57))=FALSE,WardrobeDrawerType="")),"",IF(ISERROR(FIND("door",A57))=FALSE,IF(WardrobeDoorStyle="Flat",((B57/1000)*(C57/1000))*VLOOKUP(WardrobeDoorMaterial,SheetsData,8,0),IF(LEFT(WardrobeDoorStyle,5)="Panel",(((((B57/1000)*2)*0.08)+((((C57/1000)-0.16)*2)*0.08))*VLOOKUP("H/F (22mm)",SheetsData,8,0))+(((B57/1000)-0.14)*((C57/1000)-0.14)*VLOOKUP("H/F (9mm)",SheetsData,8,0)),IF(WardrobeDoorStyle="In-frame flat",((((((B57/1000)*0.019)*0.038)+((((C57-38)/1000)*0.038)*0.038))*2)*VLOOKUP("Tulip (solid m3)",SolidData,4,0))+(((B57-76)/1000)*((C57-38)/1000))*VLOOKUP("H/F (22mm)",SheetsData,8,0),IF(LEFT(WardrobeDoorStyle,14)="In-frame panel",(((((((B57/1000)*0.019)*0.038)+((((C57-38)/1000)*0.038)*0.038))*2)*VLOOKUP("Tulip (solid m3)",SolidData,4,0))+(((((((B57-76)/1000)*2)*0.08)+(((((C57-198)/1000)*2)*0.08)))*VLOOKUP("H/F (22mm)",SheetsData,8,0))+(((B57-216)/1000)*((C57-178)/1000)*VLOOKUP("H/F (9mm)",SheetsData,8,0)))))))),IF(AND(ISERROR(FIND("arcass",A57))=FALSE,ISERROR(FIND("ost corner",A57))=TRUE),IF(AND(VALUE(B57)&lt;1211,VALUE(C57)&lt;1211,VALUE(D57)&lt;606),1*VLOOKUP(WardrobeCarcassMaterial,SheetsData,5,FALSE),IF(AND(VALUE(B57)&lt;2421,VALUE(C57)&lt;2421,VALUE(D57)&lt;606),2*VLOOKUP(WardrobeCarcassMaterial,SheetsData,5,FALSE),IF(AND(VALUE(B57)&lt;2421,VALUE(C57)&lt;1211,VALUE(D57)&lt;1211),3*VLOOKUP(WardrobeCarcassMaterial,SheetsData,5,FALSE),IF(AND(VALUE(B57)&lt;2421,VALUE(C57)&lt;2421,VALUE(D57)&lt;1211),4*VLOOKUP(WardrobeCarcassMaterial,SheetsData,5,FALSE))))),IF(AND(ISERROR(FIND("arcass",A57))=FALSE,ISERROR(FIND("ost corner",A57))=FALSE),IF(AND(VALUE(B57)&lt;1211,VALUE(C57)&lt;1211,VALUE(D57)&lt;606),(1*VLOOKUP(WardrobeCarcassMaterial,SheetsData,5,FALSE))+(VLOOKUP("H/F (22mm)",SheetsData,7,FALSE)*1.44),IF(AND(VALUE(B57)&lt;2421,VALUE(C57)&lt;2421,VALUE(D57)&lt;606),(2*VLOOKUP(WardrobeCarcassMaterial,SheetsData,5,FALSE))+(VLOOKUP("H/F (22mm)",SheetsData,7,FALSE)*1.44),IF(AND(VALUE(B57)&lt;2421,VALUE(C57)&lt;1211,VALUE(D57)&lt;1211),(3*VLOOKUP(WardrobeCarcassMaterial,SheetsData,5,FALSE))+(VLOOKUP("H/F (22mm)",SheetsData,7,FALSE)*1.44),IF(AND(VALUE(B57)&lt;2421,VALUE(C57)&lt;2421,VALUE(D57)&lt;1211),(4*VLOOKUP(WardrobeCarcassMaterial,SheetsData,5,FALSE))+(VLOOKUP("H/F (22mm)",SheetsData,7,FALSE)*1.44))))),IF(ISERROR(FIND("drawer front",A57))=FALSE,((B57/1000)*(C57/1000))*VLOOKUP(WardrobeDoorMaterial,SheetsData,8,0),IF(AND(WardrobeDrawerType="Match carcass",ISERROR(FIND("drawer box",A57))=FALSE),(((((B57/1000)*(C57/1000))+((B57/1000)*(D57/1000)))*2)*VLOOKUP(WardrobeCarcassMaterial,SheetsData,8,0))+(((C57/1000)*(D57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box",A57))=FALSE),(((((B57/1000)*(C57/1000))+((B57/1000)*(D57/1000)))*2)*(16/1000)*VLOOKUP(LEFT(WardrobeCarcassMaterial,FIND(" ",WardrobeCarcassMaterial))&amp;"(solid m3)",SolidData,4,0))+(((C57/1000)*(D57/1000))*VLOOKUP(LEFT(WardrobeCarcassMaterial,FIND("(",WardrobeCarcassMaterial)-1)&amp;IF(OR(ISERROR(FIND("ply",WardrobeCarcassMaterial))=FALSE,ISERROR(FIND("H/F",WardrobeCarcassMaterial))=FALSE),"(9mm)","(10mm)"),SheetsData,8,0)),IF(ISERROR(FIND("shelf",A57))=FALSE,((C57/1000)*(D57/1000))*VLOOKUP(WardrobeCarcassMaterial,SheetsData,7,FALSE),IF(ISERROR(FIND("Office pod",A57))=FALSE,3*VLOOKUP(WardrobeCarcassMaterial,SheetsData,5,0),IF(ISERROR(FIND(" panel",A57))=FALSE,((B57/1000)*(C57/1000))*VLOOKUP(WardrobeDoorMaterial,SheetsData,8,0),IF(ISERROR(FIND("Fillers",A57))=FALSE,(((0.06*(C57/1000))*2)*VLOOKUP("H/F (18mm)",SheetsData,8,0))+(((0.06*(C57/1000))*2)*VLOOKUP("H/F (9mm)",SheetsData,8,0)),IF(ISERROR(FIND("Cornice (stacked)",A57))=FALSE,((0.08*(C57/1000))*2)*VLOOKUP("H/F (22mm)",SheetsData,8,0),IF(OR(ISERROR(FIND("Plinth",A57))=FALSE,ISERROR(FIND("Cornice (flat)",A57))=FALSE),((B57/1000)*(C57/1000))*VLOOKUP("H/F (18mm)",SheetsData,8,0),IF(ISERROR(FIND("Pelmet",A57))=FALSE,((((B57/1000)*(C57/1000))*2)*VLOOKUP("H/F (18mm)",SheetsData,8,0)),IF(ISERROR(FIND("Fireplace",A57))=FALSE,IF(ISERROR(FIND("over 1600",A57))=FALSE,2*VLOOKUP(WardrobeCarcassMaterial,SheetsData,5,FALSE),VLOOKUP(WardrobeCarcassMaterial,SheetsData,5,FALSE)),IF(ISERROR(FIND("table",A57))=FALSE,((B57/1000)*0.6)*VLOOKUP("Birch ply (24mm)",SheetsData,7,FALSE),IF(ISERROR(FIND("Worktop",A57))=FALSE,((B57/1000)*(C57/1000))*VLOOKUP(WardrobeDoorMaterial,SheetsData,7,FALSE),"Check formula")))))))))))))))))</f>
        <v>296.85</v>
      </c>
      <c r="F57" s="152" t="str">
        <f>IFERROR(__xludf.DUMMYFUNCTION("IF(OR(A57="""",AND(ISERROR(FIND(""drawer box"",A57))=FALSE,WardrobeDrawerType=""Solid dovetail"")),"""",IF(ISERROR(FIND(""bins"",A57))=FALSE,VLOOKUP(""Base carcass 600"",Wardrobes_etcData,6,0),IF(OR(ISERROR(FIND(""larder"",A57))=FALSE,ISERROR(FIND(""unit"&amp;""",A57))=FALSE),VLOOKUP(LEFT(A57,FIND("" "",A57))&amp;""carcass ""&amp;RIGHT(A57,LEN(A57)-len(regexextract(A57,"".* ""))),Wardrobes_etcData,6,0),IF(ISERROR(FIND(""drawer front"",A57))=FALSE,IF(ISERROR(FIND(""veneer"",WardrobeCarcassMaterial))=TRUE,0,(((B57+C57)/1"&amp;"000)*2)*VLOOKUP(""Edge banding (per M)"",SheetsData,5,0)),IF(ISERROR(FIND(""drawer box"",A57))=FALSE,IF(ISERROR(FIND(""veneer"",WardrobeCarcassMaterial))=TRUE,0,(((C57+D57)/1000)*2)*VLOOKUP(""Edge banding (per M)"",SheetsData,5,0)),IF(ISERROR(FIND(""shelf"&amp;""",A57))=FALSE,IF(ISERROR(FIND(""veneer"",WardrobeCarcassMaterial))=TRUE,0,(C57/1000)*VLOOKUP(""Edge banding (per M)"",SheetsData,5,0)),IF(AND(OR(ISERROR(FIND(""arcass"",A57))=FALSE,ISERROR(FIND(""Fireplace"",A57))=FALSE),ISERROR(FIND(""shelf"",A57))=TRUE"&amp;"),IF(ISERROR(FIND(""veneer"",WardrobeCarcassMaterial))=TRUE,0,((2*(B57+C57))/1000)*VLOOKUP(""Edge banding (per M)"",SheetsData,5,0)),IF(ISERROR(FIND(""door"",A57))=TRUE,"""",IF(ISERROR(FIND(""veneer"",WardrobeDoorMaterial))=TRUE,"""",((2*(B57+C57))/1000)*"&amp;"VLOOKUP(""Edge banding (per M)"",SheetsData,5,0))))))))))"),"")</f>
        <v/>
      </c>
      <c r="G57" s="153" t="str">
        <f>IF(A57="","",IF(AND(ISERROR(FIND("arcass",A57))=TRUE,ISERROR(FIND("Fireplace",A57))=TRUE),"",IF(VALUE(C57)&lt;606,4*VLOOKUP("Plinth foot (2 Parts 80mm)",FurnitureData,5,FALSE),IF(VALUE(C57)&lt;1211,6*VLOOKUP("Plinth foot (2 Parts 80mm)",FurnitureData,5,FALSE),8*VLOOKUP("Plinth foot (2 Parts 80mm)",FurnitureData,5,FALSE)))))</f>
        <v/>
      </c>
      <c r="H57" s="115" t="str">
        <f>IF(OR(A57="",ISERROR(FIND("door",A57))=TRUE),"",VLOOKUP("Hinges &amp; plates (Hettich thick door)",FurnitureData,5,0)*5)</f>
        <v/>
      </c>
      <c r="I57" s="115" t="str">
        <f>IF(ISERROR(FIND("shelf",A57))=FALSE,(VLOOKUP("Shelf pegs",FurnitureData,5,0)/100)*4,"")</f>
        <v/>
      </c>
      <c r="J57" s="152" t="str">
        <f>IF(OR(ISERROR(FIND("fridge/freezer",A57))=FALSE,ISERROR(FIND("sink",A57))=FALSE,ISERROR(FIND("larder",A57))=FALSE),VLOOKUP("Deep shelf "&amp;C57,Wardrobes_etcData,18,0),IF(OR(ISERROR(FIND("single oven",A57))=FALSE,ISERROR(FIND("Base carcass",A57))=FALSE),2*VLOOKUP("Deep shelf "&amp;C57,Wardrobes_etcData,18,0),IF(AND(ISERROR(FIND("wall carcass",A57))=FALSE,ISERROR(FIND("Boiler",A57))=TRUE),2*VLOOKUP("Shallow shelf "&amp;C57,Wardrobes_etcData,18,0),IF(ISERROR(FIND("double oven",A57))=FALSE,3*VLOOKUP("Deep shelf "&amp;C57,Wardrobes_etcData,18,0),IF(ISERROR(FIND("Tower carcass",A57))=FALSE,6*VLOOKUP("Deep shelf "&amp;C57,Wardrobes_etcData,18,0),"")))))</f>
        <v/>
      </c>
      <c r="K57" s="152" t="str">
        <f>IF(ISERROR(FIND("sink",A57))=FALSE,VLOOKUP("Sink liner - Aluminium "&amp;RIGHT(A57,LEN(A57)-22)&amp;"mm",ExceptionalData,5,0),IF(ISERROR(FIND("bins",A57))=FALSE,VLOOKUP("Drawer runners and clip set for bin unit (500) Dynapro",FurnitureData,5,0)+(2*VLOOKUP("Bin (42L Anthracite)",FurnitureData,5,0)),IF(ISERROR(FIND("larder",A57))=FALSE,VLOOKUP("Pull out larder unit 600mm",FurnitureData,5,0),IF(AND(ISERROR(FIND("drawer box",A57))=FALSE,ISERROR(FIND("internal",A57))=TRUE),VLOOKUP("Drawer runners and clip set (550) Dynapro",FurnitureData,5,0),IF(ISERROR(FIND("internal drawer box",A57))=FALSE,VLOOKUP("Drawer runners and clip set (450) Dynapro",FurnitureData,5,0),IF(ISERROR(FIND("table",A57))=FALSE,VLOOKUP("Hairpin Leg (12mm Black "&amp;MID(A57,FIND("(",A57)+1,LEN(A57)-(FIND("(",A57))-1)&amp;"mm)",ExceptionalData,4,FALSE),""))))))</f>
        <v/>
      </c>
      <c r="L57" s="152">
        <f t="shared" si="3"/>
        <v>296.85</v>
      </c>
      <c r="M57" s="154">
        <f>IF(A57="","",IF(AND(ISERROR(FIND("drawer front",A57))=FALSE,WardrobeDoorStyle="Flat"),(((B57/1000)*(C57/1000))*2)+((((B57+C57)/1000)*2)*0.022),IF(AND(ISERROR(FIND("drawer front",A57))=FALSE,LEFT(WardrobeDoorStyle,5)="Panel"),(((B57/1000)*(C57/1000))*2)+((((B57+C57)/1000)*2)*0.022)+((((C57/1000)-0.16)*0.013)*2)+((((D57/1000)-0.16)*0.013)*2),IF(AND(ISERROR(FIND("drawer front",A57))=FALSE,WardrobeDoorStyle="In-frame flat"),((((B57-76)/1000)*((C57-38)/1000))*2)+(MID(WardrobeDoorMaterial,FIND("(",WardrobeDoorMaterial)+1,2)/1000)*((((B57-76)+(C57-38))/1000)*2)+(((B57/1000)*0.032)*2)+((((B57-76)/1000)*0.032)*2)+(((B57/1000)*0.019)*4)+(((C57/1000)*0.032)*2)+((((C57-38)/1000)*0.032)*2)+(((C57/1000)*0.038)*4),IF(AND(ISERROR(FIND("drawer front",A57))=FALSE,LEFT(WardrobeDoorStyle,14)="In-frame panel"),((((B57-76)/1000)*((C57-38)/1000))*2)+((MID(WardrobeDoorMaterial,FIND("(",WardrobeDoorMaterial)+1,2)/1000)*((((B57-76)+(C57-38))/1000)*2))+((((B57-236)/1000)+((C57-198)/1000)*2)*0.013)+(((B57/1000)*0.032)*2)+((((B57-76)/1000)*0.032)*2)+(((B57/1000)*0.019)*4)+(((C57/1000)*0.032)*2)+((((C57-38)/1000)*0.032)*2)+(((C57/1000)*0.038)*4),IF(ISERROR(FIND("drawer box",A57))=FALSE,((((B57/1000)*(D57/1000))+((B57/1000)*(C57/1000)))*4)+((((D57/1000)+(C57/1000))*0.016)*4)+(((C57/1000)*(D57/1000))*2),IF(OR(ISERROR(FIND("shelf",A57))=FALSE,ISERROR(FIND("Filler panel",A57))=FALSE),(((C57/1000)*(D57/1000))*2)+((((C57+D57)*2)/1000)*0.022),IF(ISERROR(FIND("Fireplace",A57))=FALSE,((B57/1000)*(C57/1000)),IF(ISERROR(FIND("Worktop",A57))=FALSE,(B57/1000)*(C57/1000),IF(ISERROR(FIND("table",A57))=FALSE,(B57/1000)*0.6,IF(ISERROR(FIND("arcass",A57))=FALSE,(((C57/1000)*(D57/1000))*2)+(((B57/1000)*(D57/1000))*2)+((B57/1000)*(C57/1000))+((((B57/1000)*0.025)+((C57/1000)*0.025))*2),IF(AND(ISERROR(FIND("door",A57))=FALSE,WardrobeDoorStyle="Flat"),(((B57/1000)*(C57/1000))*2)+(MID(WardrobeDoorMaterial,FIND("(",WardrobeDoorMaterial)+1,2)/1000)*(((B57+C57)/1000)*2),IF(AND(ISERROR(FIND("door",A57))=FALSE,LEFT(WardrobeDoorStyle,5)="Panel"),(((B57/1000)*(C57/1000))*2)+((MID(WardrobeDoorMaterial,FIND("(",WardrobeDoorMaterial)+1,2)/1000)*(((B57+C57)/1000)*2))+(((((B57-160)+(C57-160))*2)/1000)*(0.013)),IF(AND(ISERROR(FIND("door",A57))=FALSE,WardrobeDoorStyle="In-frame flat"),((((B57-76)/1000)*((C57-38)/1000))*2)+(MID(WardrobeDoorMaterial,FIND("(",WardrobeDoorMaterial)+1,2)/1000)*((((B57-76)+(C57-38))/1000)*2)+(((B57/1000)*0.032)*2)+((((B57-76)/1000)*0.032)*2)+(((B57/1000)*0.019)*4)+(((C57/1000)*0.032)*2)+((((C57-38)/1000)*0.032)*2)+(((C57/1000)*0.038)*4),IF(AND(ISERROR(FIND("door",A57))=FALSE,LEFT(WardrobeDoorStyle,14)="In-frame panel"),((((B57-76)/1000)*((C57-38)/1000))*2)+((MID(WardrobeDoorMaterial,FIND("(",WardrobeDoorMaterial)+1,2)/1000)*((((B57-76)+(C57-38))/1000)*2))+((((B57-236)/1000)+((C57-198)/1000)*2)*0.013)+(((B57/1000)*0.032)*2)+((((B57-76)/1000)*0.032)*2)+(((B57/1000)*0.019)*4)+(((C57/1000)*0.032)*2)+((((C57-38)/1000)*0.032)*2)+(((C57/1000)*0.038)*4),IF(ISERROR(FIND("Plinth",A57))=FALSE,((B57/1000)*(C57/1000))+(((C57/1000)*0.018)*2)+(((B57/1000)*0.018)*2),IF(ISERROR(FIND("Cornice",A57))=FALSE,(((C57/1000)*0.1)*2)+(((C57/1000)*0.044)*2)+(((B57/1000)*0.08)*2),IF(ISERROR(FIND("Office pod",A57))=FALSE,((2400/1000)*(1200/1000))*6,IF(ISERROR(FIND("panel",A57))=FALSE,((B57/1000)*(C57/1000))+(0.022*((B57/1000)+((C57/1000)*2)))+((B57/1000)*0.05),IF(ISERROR(FIND("Fillers",A57))=FALSE,((C57/1000)*0.06)+((C57/1000)*0.069)+((0.06*0.018)*2)+((0.06*0.009)*2)+((C57/1000)*0.009)+((C57/1000)*0.018),IF(ISERROR(FIND("Pelmet",A57))=FALSE,((C57/1000)*0.05)+((C57/1000)*0.068)+((0.05*0.018)*4)+(((C57/1000)*0.018))*2)))))))))))))))))))))</f>
        <v>17.28</v>
      </c>
      <c r="N57" s="152">
        <f>IF(M57="","",IF(AND(ISERROR(FIND("carcass",A57))=TRUE,ISERROR(FIND("unit",A57))=TRUE,ISERROR(FIND("insert",A57))=TRUE,ISERROR(FIND("rack",A57))=TRUE,ISERROR(FIND("box",A57))=TRUE,ISERROR(FIND("shelf",A57))=TRUE),VLOOKUP(WardrobeDoorFinish,Finishing!$A$2:$K$10,9,0)*M57,IF(ISERROR(FIND("table",A57))=FALSE,VLOOKUP("Sayerlack AF0072 Interior Clear Self-Sealer",FinishingData,9,FALSE)*M57,VLOOKUP(WardrobeCarcassFinish,Finishing!$A$2:$K$40,9,0)*M57)))</f>
        <v>129.6</v>
      </c>
      <c r="O57" s="159">
        <v>8.0</v>
      </c>
      <c r="P57" s="159">
        <v>8.0</v>
      </c>
      <c r="Q57" s="152">
        <f>IF(OR(O57="",P57=""),"",((O57*X57)*(VLOOKUP("Workshop",Labour!$A$3:$E$20,4,0)/8))+((P57*AE57)*(VLOOKUP("Finishing",Labour!$A$3:$E$20,4,0)/8)))</f>
        <v>574</v>
      </c>
      <c r="R57" s="152">
        <f t="shared" si="4"/>
        <v>1000.45</v>
      </c>
      <c r="S57" s="156">
        <f>IF(OR(O57="",P57=""),"",IF(OR(ISERROR(FIND("carcass",$A57))=FALSE,ISERROR(FIND("unit",$A57))=FALSE),VLOOKUP(WardrobeCarcassMaterial,FixedListsCarcassMaterial,2,0),0))</f>
        <v>0</v>
      </c>
      <c r="T57" s="156">
        <f>IF(OR(O57="",P57=""),"",IF(ISERROR(FIND("door",$A57))=FALSE,VLOOKUP(WardrobeDoorStyle,FixedListsDoorStyle,2,0),0))</f>
        <v>0</v>
      </c>
      <c r="U57" s="156">
        <f>IF(OR(O57="",P57=""),"",IF(ISERROR(FIND("door",$A57))=FALSE,VLOOKUP(WardrobeDoorMaterial,FixedListsDoorMaterial,2,0),0))</f>
        <v>0</v>
      </c>
      <c r="V57" s="156">
        <f>IF(OR(O57="",P57=""),"",IF(ISERROR(FIND("drawer",$A57))=FALSE,VLOOKUP(WardrobeDrawerType,FixedListsDrawerType,2,0),0))</f>
        <v>0</v>
      </c>
      <c r="W57" s="156">
        <f>IF(OR(O57="",P57=""),"",IF(S57&gt;0,VLOOKUP(WardrobeHandleType,FixedListsHandleType,2,FALSE),0))</f>
        <v>0</v>
      </c>
      <c r="X57" s="156">
        <f t="shared" si="5"/>
        <v>1</v>
      </c>
      <c r="Y57" s="156">
        <f>IF(OR(O57="",P57=""),"",IF(OR(ISERROR(FIND("carcass",$A57))=FALSE,ISERROR(FIND("unit",$A57))=FALSE),VLOOKUP(WardrobeCarcassMaterial,FixedListsCarcassMaterial,3,0),0))</f>
        <v>0</v>
      </c>
      <c r="Z57" s="156">
        <f>IF(OR(O57="",P57=""),"",IF(ISERROR(FIND("door",$A57))=FALSE,VLOOKUP(WardrobeDoorStyle,FixedListsDoorStyle,3,0),0))</f>
        <v>0</v>
      </c>
      <c r="AA57" s="156">
        <f>IF(OR(O57="",P57=""),"",IF(ISERROR(FIND("door",$A57))=FALSE,VLOOKUP(WardrobeDoorMaterial,FixedListsDoorMaterial,3,0),0))</f>
        <v>0</v>
      </c>
      <c r="AB57" s="156">
        <f>IF(OR(O57="",P57=""),"",IF(ISERROR(FIND("drawer",$A57))=FALSE,VLOOKUP(WardrobeDrawerType,FixedListsDrawerType,3,0),0))</f>
        <v>0</v>
      </c>
      <c r="AC57" s="156">
        <f>IF(OR(O57="",P57=""),"",IF(S57&gt;0,VLOOKUP(WardrobeHandleType,FixedListsHandleType,3,FALSE),0))</f>
        <v>0</v>
      </c>
      <c r="AD57" s="156">
        <f>IF(OR(O57="",P57=""),"",IF(OR(ISERROR(FIND("carcass",$A57))=FALSE,ISERROR(FIND("unit",$A57))=FALSE),VLOOKUP(WardrobeCarcassFinish,FixedListsFinishes,3,0),IF(OR(ISERROR(FIND("door",$A57))=FALSE,ISERROR(FIND("Plinth",$A57))=FALSE,ISERROR(FIND("Cornice",$A57))=FALSE,ISERROR(FIND("Fillers",$A57))=FALSE,ISERROR(FIND("Pelmet",$A57))=FALSE,ISERROR(FIND("panel",$A57))=FALSE,ISERROR(FIND("post",$A57))=FALSE),VLOOKUP(WardrobeDoorFinish,FixedListsFinishes,3,0),IF(OR(ISERROR(FIND("drawer",$A57))=FALSE,ISERROR(FIND("insert",$A57))=FALSE,ISERROR(FIND("rck",$A57))=FALSE),VLOOKUP(WardrobeCarcassFinish,FixedListsFinishes,3,0),0))))</f>
        <v>0</v>
      </c>
      <c r="AE57" s="156">
        <f t="shared" si="6"/>
        <v>1</v>
      </c>
      <c r="AF57" s="157" t="str">
        <f>IF(AND(WardrobeHandleType="Channel",OR(ISERROR(FIND("arcass",$A57))=FALSE,ISERROR(FIND("unit",$A57))=FALSE)),IF(ISERROR(FIND("Tower",$A57))=TRUE,IF(WardrobeHandleFinish="Match carcass",IF(ISERROR(FIND("Walnut",WardrobeCarcassMaterial))=FALSE,(0.035*0.075*($C57/1000))*VLOOKUP("Walnut (solid m3)",SolidData,4,FALSE),IF(ISERROR(FIND("Oak",WardrobeCarcassMaterial))=FALSE,(0.035*0.075*($C57/1000))*VLOOKUP("Oak (solid m3)",SolidData,4,FALSE),IF(ISERROR(FIND("ply",WardrobeCarcassMaterial))=FALSE,(0.1*($C57/1000))*VLOOKUP("Birch ply (24mm)",SheetsData,7,FALSE),IF(ISERROR(FIND("H/F",WardrobeCarcassMaterial))=FALSE,(0.1*($C57/1000))*VLOOKUP("H/F (22mm)",SheetsData,7,FALSE),"Carcass - not tower - new material")))),IF(WardrobeHandleFinish="Match door",IF(ISERROR(FIND("Walnut",WardrobeDoorMaterial))=FALSE,(0.035*0.075*($C57/1000))*VLOOKUP("Walnut (solid m3)",SolidData,4,FALSE),IF(ISERROR(FIND("Oak",WardrobeDoorMaterial))=FALSE,(0.035*0.075*($C57/1000))*VLOOKUP("Oak (solid m3)",SolidData,4,FALSE),IF(ISERROR(FIND("ply",WardrobeDoorMaterial))=FALSE,(0.1*($C57/1000))*VLOOKUP("Birch ply (24mm)",SheetsData,7,FALSE),IF(ISERROR(FIND("H/F",WardrobeCarcassMaterial))=FALSE,(0.1*($C57/1000))*VLOOKUP("H/F (22mm)",SheetsData,7,FALSE),"Door - not tower - new material")))),"Channel - not tower - handle set to other")),IF(ISERROR(FIND("Tower",$A57))=FALSE,IF(WardrobeHandleFinish="Match carcass",IF(ISERROR(FIND("Walnut",WardrobeCarcassMaterial))=FALSE,(0.035*0.075*($B57/1000))*VLOOKUP("Walnut (solid m3)",SolidData,4,FALSE),IF(ISERROR(FIND("Oak",WardrobeCarcassMaterial))=FALSE,(0.035*0.075*($B57/1000))*VLOOKUP("Oak (solid m3)",SolidData,4,FALSE),IF(ISERROR(FIND("ply",WardrobeCarcassMaterial))=FALSE,(0.1*($B57/1000))*VLOOKUP("Birch ply (24mm)",SheetsData,7,FALSE),IF(ISERROR(FIND("H/F",WardrobeCarcassMaterial))=FALSE,(0.1*($C57/1000))*VLOOKUP("H/F (22mm)",SheetsData,7,FALSE),"Carcass - tower - new material")))),IF(WardrobeHandleFinish="Match door",IF(ISERROR(FIND("Walnut",WardrobeDoorMaterial))=FALSE,(0.035*0.075*($B57/1000))*VLOOKUP("Walnut (solid m3)",SolidData,4,FALSE),IF(ISERROR(FIND("Oak",WardrobeDoorMaterial))=FALSE,(0.035*0.075*($B57/1000))*VLOOKUP("Oak (solid m3)",SolidData,4,FALSE),IF(ISERROR(FIND("ply",WardrobeDoorMaterial))=FALSE,(0.1*($B57/1000))*VLOOKUP("Birch ply (24mm)",SheetData,7,FALSE),IF(ISERROR(FIND("H/F",WardrobeCarcassMaterial))=FALSE,(0.1*($C57/1000))*VLOOKUP("H/F (22mm)",SheetsData,7,FALSE),"Door - tower - new material")))),"Channel - tower - handle set to other")))),"")</f>
        <v/>
      </c>
    </row>
    <row r="58">
      <c r="A58" s="150" t="s">
        <v>253</v>
      </c>
      <c r="B58" s="160" t="str">
        <f t="shared" si="1"/>
        <v> 2420</v>
      </c>
      <c r="C58" s="160" t="str">
        <f>IFERROR(__xludf.DUMMYFUNCTION("IF(A58="""","""",IF(ISERROR(FIND(""arcass"",A58))=FALSE,MID(A58,FIND(""*"",A58)+1,FIND(""*"",A58,FIND(""*"",A58)+1)-FIND(""*"",A58)-1),IF(ISERROR(FIND(""End panel"",A58))=FALSE,RIGHT(A58,3),IF(OR(ISERROR(FIND(""drawer"",A58))=FALSE,ISERROR(FIND(""door"",A"&amp;"58))=FALSE,ISERROR(FIND(""shelf"",A58))=FALSE,ISERROR(FIND(""panel"",A58))=FALSE,ISERROR(FIND(""Plinth"",A58))=FALSE,ISERROR(FIND(""Cornice"",A58))=FALSE,ISERROR(FIND(""Fillers"",A58))=FALSE,ISERROR(FIND(""Pelmet"",A58))=FALSE,ISERROR(FIND(""Fireplace up "&amp;"to 1600"",A58))=FALSE),RIGHT(A58,LEN(A58)-LEN(regexextract(A58,"".* ""))),IF(ISERROR(FIND(""table"",A58))=FALSE,""560"",IF(ISERROR(FIND(""Office pod"",A58))=FALSE,""1600"",IF(ISERROR(FIND(""Fireplace over 1600"",A58))=FALSE,""2400"",IF(ISERROR(FIND(""Work"&amp;"top"",A58))=FALSE,""650"",""Whoops""))))))))"),"2420")</f>
        <v>2420</v>
      </c>
      <c r="D58" s="161" t="str">
        <f t="shared" si="2"/>
        <v>1210</v>
      </c>
      <c r="E58" s="152">
        <f>IF(OR(A58="",AND(ISERROR(FIND("drawer",A58))=FALSE,WardrobeDrawerType="")),"",IF(ISERROR(FIND("door",A58))=FALSE,IF(WardrobeDoorStyle="Flat",((B58/1000)*(C58/1000))*VLOOKUP(WardrobeDoorMaterial,SheetsData,8,0),IF(LEFT(WardrobeDoorStyle,5)="Panel",(((((B58/1000)*2)*0.08)+((((C58/1000)-0.16)*2)*0.08))*VLOOKUP("H/F (22mm)",SheetsData,8,0))+(((B58/1000)-0.14)*((C58/1000)-0.14)*VLOOKUP("H/F (9mm)",SheetsData,8,0)),IF(WardrobeDoorStyle="In-frame flat",((((((B58/1000)*0.019)*0.038)+((((C58-38)/1000)*0.038)*0.038))*2)*VLOOKUP("Tulip (solid m3)",SolidData,4,0))+(((B58-76)/1000)*((C58-38)/1000))*VLOOKUP("H/F (22mm)",SheetsData,8,0),IF(LEFT(WardrobeDoorStyle,14)="In-frame panel",(((((((B58/1000)*0.019)*0.038)+((((C58-38)/1000)*0.038)*0.038))*2)*VLOOKUP("Tulip (solid m3)",SolidData,4,0))+(((((((B58-76)/1000)*2)*0.08)+(((((C58-198)/1000)*2)*0.08)))*VLOOKUP("H/F (22mm)",SheetsData,8,0))+(((B58-216)/1000)*((C58-178)/1000)*VLOOKUP("H/F (9mm)",SheetsData,8,0)))))))),IF(AND(ISERROR(FIND("arcass",A58))=FALSE,ISERROR(FIND("ost corner",A58))=TRUE),IF(AND(VALUE(B58)&lt;1211,VALUE(C58)&lt;1211,VALUE(D58)&lt;606),1*VLOOKUP(WardrobeCarcassMaterial,SheetsData,5,FALSE),IF(AND(VALUE(B58)&lt;2421,VALUE(C58)&lt;2421,VALUE(D58)&lt;606),2*VLOOKUP(WardrobeCarcassMaterial,SheetsData,5,FALSE),IF(AND(VALUE(B58)&lt;2421,VALUE(C58)&lt;1211,VALUE(D58)&lt;1211),3*VLOOKUP(WardrobeCarcassMaterial,SheetsData,5,FALSE),IF(AND(VALUE(B58)&lt;2421,VALUE(C58)&lt;2421,VALUE(D58)&lt;1211),4*VLOOKUP(WardrobeCarcassMaterial,SheetsData,5,FALSE))))),IF(AND(ISERROR(FIND("arcass",A58))=FALSE,ISERROR(FIND("ost corner",A58))=FALSE),IF(AND(VALUE(B58)&lt;1211,VALUE(C58)&lt;1211,VALUE(D58)&lt;606),(1*VLOOKUP(WardrobeCarcassMaterial,SheetsData,5,FALSE))+(VLOOKUP("H/F (22mm)",SheetsData,7,FALSE)*1.44),IF(AND(VALUE(B58)&lt;2421,VALUE(C58)&lt;2421,VALUE(D58)&lt;606),(2*VLOOKUP(WardrobeCarcassMaterial,SheetsData,5,FALSE))+(VLOOKUP("H/F (22mm)",SheetsData,7,FALSE)*1.44),IF(AND(VALUE(B58)&lt;2421,VALUE(C58)&lt;1211,VALUE(D58)&lt;1211),(3*VLOOKUP(WardrobeCarcassMaterial,SheetsData,5,FALSE))+(VLOOKUP("H/F (22mm)",SheetsData,7,FALSE)*1.44),IF(AND(VALUE(B58)&lt;2421,VALUE(C58)&lt;2421,VALUE(D58)&lt;1211),(4*VLOOKUP(WardrobeCarcassMaterial,SheetsData,5,FALSE))+(VLOOKUP("H/F (22mm)",SheetsData,7,FALSE)*1.44))))),IF(ISERROR(FIND("drawer front",A58))=FALSE,((B58/1000)*(C58/1000))*VLOOKUP(WardrobeDoorMaterial,SheetsData,8,0),IF(AND(WardrobeDrawerType="Match carcass",ISERROR(FIND("drawer box",A58))=FALSE),(((((B58/1000)*(C58/1000))+((B58/1000)*(D58/1000)))*2)*VLOOKUP(WardrobeCarcassMaterial,SheetsData,8,0))+(((C58/1000)*(D58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box",A58))=FALSE),(((((B58/1000)*(C58/1000))+((B58/1000)*(D58/1000)))*2)*(16/1000)*VLOOKUP(LEFT(WardrobeCarcassMaterial,FIND(" ",WardrobeCarcassMaterial))&amp;"(solid m3)",SolidData,4,0))+(((C58/1000)*(D58/1000))*VLOOKUP(LEFT(WardrobeCarcassMaterial,FIND("(",WardrobeCarcassMaterial)-1)&amp;IF(OR(ISERROR(FIND("ply",WardrobeCarcassMaterial))=FALSE,ISERROR(FIND("H/F",WardrobeCarcassMaterial))=FALSE),"(9mm)","(10mm)"),SheetsData,8,0)),IF(ISERROR(FIND("shelf",A58))=FALSE,((C58/1000)*(D58/1000))*VLOOKUP(WardrobeCarcassMaterial,SheetsData,7,FALSE),IF(ISERROR(FIND("Office pod",A58))=FALSE,3*VLOOKUP(WardrobeCarcassMaterial,SheetsData,5,0),IF(ISERROR(FIND(" panel",A58))=FALSE,((B58/1000)*(C58/1000))*VLOOKUP(WardrobeDoorMaterial,SheetsData,8,0),IF(ISERROR(FIND("Fillers",A58))=FALSE,(((0.06*(C58/1000))*2)*VLOOKUP("H/F (18mm)",SheetsData,8,0))+(((0.06*(C58/1000))*2)*VLOOKUP("H/F (9mm)",SheetsData,8,0)),IF(ISERROR(FIND("Cornice (stacked)",A58))=FALSE,((0.08*(C58/1000))*2)*VLOOKUP("H/F (22mm)",SheetsData,8,0),IF(OR(ISERROR(FIND("Plinth",A58))=FALSE,ISERROR(FIND("Cornice (flat)",A58))=FALSE),((B58/1000)*(C58/1000))*VLOOKUP("H/F (18mm)",SheetsData,8,0),IF(ISERROR(FIND("Pelmet",A58))=FALSE,((((B58/1000)*(C58/1000))*2)*VLOOKUP("H/F (18mm)",SheetsData,8,0)),IF(ISERROR(FIND("Fireplace",A58))=FALSE,IF(ISERROR(FIND("over 1600",A58))=FALSE,2*VLOOKUP(WardrobeCarcassMaterial,SheetsData,5,FALSE),VLOOKUP(WardrobeCarcassMaterial,SheetsData,5,FALSE)),IF(ISERROR(FIND("table",A58))=FALSE,((B58/1000)*0.6)*VLOOKUP("Birch ply (24mm)",SheetsData,7,FALSE),IF(ISERROR(FIND("Worktop",A58))=FALSE,((B58/1000)*(C58/1000))*VLOOKUP(WardrobeDoorMaterial,SheetsData,7,FALSE),"Check formula")))))))))))))))))</f>
        <v>474.928</v>
      </c>
      <c r="F58" s="152">
        <f>IFERROR(__xludf.DUMMYFUNCTION("IF(OR(A58="""",AND(ISERROR(FIND(""drawer box"",A58))=FALSE,WardrobeDrawerType=""Solid dovetail"")),"""",IF(ISERROR(FIND(""bins"",A58))=FALSE,VLOOKUP(""Base carcass 600"",Wardrobes_etcData,6,0),IF(OR(ISERROR(FIND(""larder"",A58))=FALSE,ISERROR(FIND(""unit"&amp;""",A58))=FALSE),VLOOKUP(LEFT(A58,FIND("" "",A58))&amp;""carcass ""&amp;RIGHT(A58,LEN(A58)-len(regexextract(A58,"".* ""))),Wardrobes_etcData,6,0),IF(ISERROR(FIND(""drawer front"",A58))=FALSE,IF(ISERROR(FIND(""veneer"",WardrobeCarcassMaterial))=TRUE,0,(((B58+C58)/1"&amp;"000)*2)*VLOOKUP(""Edge banding (per M)"",SheetsData,5,0)),IF(ISERROR(FIND(""drawer box"",A58))=FALSE,IF(ISERROR(FIND(""veneer"",WardrobeCarcassMaterial))=TRUE,0,(((C58+D58)/1000)*2)*VLOOKUP(""Edge banding (per M)"",SheetsData,5,0)),IF(ISERROR(FIND(""shelf"&amp;""",A58))=FALSE,IF(ISERROR(FIND(""veneer"",WardrobeCarcassMaterial))=TRUE,0,(C58/1000)*VLOOKUP(""Edge banding (per M)"",SheetsData,5,0)),IF(AND(OR(ISERROR(FIND(""arcass"",A58))=FALSE,ISERROR(FIND(""Fireplace"",A58))=FALSE),ISERROR(FIND(""shelf"",A58))=TRUE"&amp;"),IF(ISERROR(FIND(""veneer"",WardrobeCarcassMaterial))=TRUE,0,((2*(B58+C58))/1000)*VLOOKUP(""Edge banding (per M)"",SheetsData,5,0)),IF(ISERROR(FIND(""door"",A58))=TRUE,"""",IF(ISERROR(FIND(""veneer"",WardrobeDoorMaterial))=TRUE,"""",((2*(B58+C58))/1000)*"&amp;"VLOOKUP(""Edge banding (per M)"",SheetsData,5,0))))))))))"),0.0)</f>
        <v>0</v>
      </c>
      <c r="G58" s="153">
        <f>IF(A58="","",IF(AND(ISERROR(FIND("arcass",A58))=TRUE,ISERROR(FIND("Fireplace",A58))=TRUE),"",IF(VALUE(C58)&lt;606,4*VLOOKUP("Plinth foot (2 Parts 80mm)",FurnitureData,5,FALSE),IF(VALUE(C58)&lt;1211,6*VLOOKUP("Plinth foot (2 Parts 80mm)",FurnitureData,5,FALSE),8*VLOOKUP("Plinth foot (2 Parts 80mm)",FurnitureData,5,FALSE)))))</f>
        <v>7.6</v>
      </c>
      <c r="H58" s="115" t="str">
        <f>IF(OR(A58="",ISERROR(FIND("door",A58))=TRUE),"",VLOOKUP("Hinges &amp; plates (Hettich thick door)",FurnitureData,5,0)*5)</f>
        <v/>
      </c>
      <c r="I58" s="115" t="str">
        <f>IF(ISERROR(FIND("shelf",A58))=FALSE,(VLOOKUP("Shelf pegs",FurnitureData,5,0)/100)*4,"")</f>
        <v/>
      </c>
      <c r="J58" s="152" t="str">
        <f>IF(OR(ISERROR(FIND("fridge/freezer",A58))=FALSE,ISERROR(FIND("sink",A58))=FALSE,ISERROR(FIND("larder",A58))=FALSE),VLOOKUP("Deep shelf "&amp;C58,Wardrobes_etcData,18,0),IF(OR(ISERROR(FIND("single oven",A58))=FALSE,ISERROR(FIND("Base carcass",A58))=FALSE),2*VLOOKUP("Deep shelf "&amp;C58,Wardrobes_etcData,18,0),IF(AND(ISERROR(FIND("wall carcass",A58))=FALSE,ISERROR(FIND("Boiler",A58))=TRUE),2*VLOOKUP("Shallow shelf "&amp;C58,Wardrobes_etcData,18,0),IF(ISERROR(FIND("double oven",A58))=FALSE,3*VLOOKUP("Deep shelf "&amp;C58,Wardrobes_etcData,18,0),IF(ISERROR(FIND("Tower carcass",A58))=FALSE,6*VLOOKUP("Deep shelf "&amp;C58,Wardrobes_etcData,18,0),"")))))</f>
        <v/>
      </c>
      <c r="K58" s="152" t="str">
        <f>IF(ISERROR(FIND("sink",A58))=FALSE,VLOOKUP("Sink liner - Aluminium "&amp;RIGHT(A58,LEN(A58)-22)&amp;"mm",ExceptionalData,5,0),IF(ISERROR(FIND("bins",A58))=FALSE,VLOOKUP("Drawer runners and clip set for bin unit (500) Dynapro",FurnitureData,5,0)+(2*VLOOKUP("Bin (42L Anthracite)",FurnitureData,5,0)),IF(ISERROR(FIND("larder",A58))=FALSE,VLOOKUP("Pull out larder unit 600mm",FurnitureData,5,0),IF(AND(ISERROR(FIND("drawer box",A58))=FALSE,ISERROR(FIND("internal",A58))=TRUE),VLOOKUP("Drawer runners and clip set (550) Dynapro",FurnitureData,5,0),IF(ISERROR(FIND("internal drawer box",A58))=FALSE,VLOOKUP("Drawer runners and clip set (450) Dynapro",FurnitureData,5,0),IF(ISERROR(FIND("table",A58))=FALSE,VLOOKUP("Hairpin Leg (12mm Black "&amp;MID(A58,FIND("(",A58)+1,LEN(A58)-(FIND("(",A58))-1)&amp;"mm)",ExceptionalData,4,FALSE),""))))))</f>
        <v/>
      </c>
      <c r="L58" s="152">
        <f t="shared" si="3"/>
        <v>482.528</v>
      </c>
      <c r="M58" s="154">
        <f>IF(A58="","",IF(AND(ISERROR(FIND("drawer front",A58))=FALSE,WardrobeDoorStyle="Flat"),(((B58/1000)*(C58/1000))*2)+((((B58+C58)/1000)*2)*0.022),IF(AND(ISERROR(FIND("drawer front",A58))=FALSE,LEFT(WardrobeDoorStyle,5)="Panel"),(((B58/1000)*(C58/1000))*2)+((((B58+C58)/1000)*2)*0.022)+((((C58/1000)-0.16)*0.013)*2)+((((D58/1000)-0.16)*0.013)*2),IF(AND(ISERROR(FIND("drawer front",A58))=FALSE,WardrobeDoorStyle="In-frame flat"),((((B58-76)/1000)*((C58-38)/1000))*2)+(MID(WardrobeDoorMaterial,FIND("(",WardrobeDoorMaterial)+1,2)/1000)*((((B58-76)+(C58-38))/1000)*2)+(((B58/1000)*0.032)*2)+((((B58-76)/1000)*0.032)*2)+(((B58/1000)*0.019)*4)+(((C58/1000)*0.032)*2)+((((C58-38)/1000)*0.032)*2)+(((C58/1000)*0.038)*4),IF(AND(ISERROR(FIND("drawer front",A58))=FALSE,LEFT(WardrobeDoorStyle,14)="In-frame panel"),((((B58-76)/1000)*((C58-38)/1000))*2)+((MID(WardrobeDoorMaterial,FIND("(",WardrobeDoorMaterial)+1,2)/1000)*((((B58-76)+(C58-38))/1000)*2))+((((B58-236)/1000)+((C58-198)/1000)*2)*0.013)+(((B58/1000)*0.032)*2)+((((B58-76)/1000)*0.032)*2)+(((B58/1000)*0.019)*4)+(((C58/1000)*0.032)*2)+((((C58-38)/1000)*0.032)*2)+(((C58/1000)*0.038)*4),IF(ISERROR(FIND("drawer box",A58))=FALSE,((((B58/1000)*(D58/1000))+((B58/1000)*(C58/1000)))*4)+((((D58/1000)+(C58/1000))*0.016)*4)+(((C58/1000)*(D58/1000))*2),IF(OR(ISERROR(FIND("shelf",A58))=FALSE,ISERROR(FIND("Filler panel",A58))=FALSE),(((C58/1000)*(D58/1000))*2)+((((C58+D58)*2)/1000)*0.022),IF(ISERROR(FIND("Fireplace",A58))=FALSE,((B58/1000)*(C58/1000)),IF(ISERROR(FIND("Worktop",A58))=FALSE,(B58/1000)*(C58/1000),IF(ISERROR(FIND("table",A58))=FALSE,(B58/1000)*0.6,IF(ISERROR(FIND("arcass",A58))=FALSE,(((C58/1000)*(D58/1000))*2)+(((B58/1000)*(D58/1000))*2)+((B58/1000)*(C58/1000))+((((B58/1000)*0.025)+((C58/1000)*0.025))*2),IF(AND(ISERROR(FIND("door",A58))=FALSE,WardrobeDoorStyle="Flat"),(((B58/1000)*(C58/1000))*2)+(MID(WardrobeDoorMaterial,FIND("(",WardrobeDoorMaterial)+1,2)/1000)*(((B58+C58)/1000)*2),IF(AND(ISERROR(FIND("door",A58))=FALSE,LEFT(WardrobeDoorStyle,5)="Panel"),(((B58/1000)*(C58/1000))*2)+((MID(WardrobeDoorMaterial,FIND("(",WardrobeDoorMaterial)+1,2)/1000)*(((B58+C58)/1000)*2))+(((((B58-160)+(C58-160))*2)/1000)*(0.013)),IF(AND(ISERROR(FIND("door",A58))=FALSE,WardrobeDoorStyle="In-frame flat"),((((B58-76)/1000)*((C58-38)/1000))*2)+(MID(WardrobeDoorMaterial,FIND("(",WardrobeDoorMaterial)+1,2)/1000)*((((B58-76)+(C58-38))/1000)*2)+(((B58/1000)*0.032)*2)+((((B58-76)/1000)*0.032)*2)+(((B58/1000)*0.019)*4)+(((C58/1000)*0.032)*2)+((((C58-38)/1000)*0.032)*2)+(((C58/1000)*0.038)*4),IF(AND(ISERROR(FIND("door",A58))=FALSE,LEFT(WardrobeDoorStyle,14)="In-frame panel"),((((B58-76)/1000)*((C58-38)/1000))*2)+((MID(WardrobeDoorMaterial,FIND("(",WardrobeDoorMaterial)+1,2)/1000)*((((B58-76)+(C58-38))/1000)*2))+((((B58-236)/1000)+((C58-198)/1000)*2)*0.013)+(((B58/1000)*0.032)*2)+((((B58-76)/1000)*0.032)*2)+(((B58/1000)*0.019)*4)+(((C58/1000)*0.032)*2)+((((C58-38)/1000)*0.032)*2)+(((C58/1000)*0.038)*4),IF(ISERROR(FIND("Plinth",A58))=FALSE,((B58/1000)*(C58/1000))+(((C58/1000)*0.018)*2)+(((B58/1000)*0.018)*2),IF(ISERROR(FIND("Cornice",A58))=FALSE,(((C58/1000)*0.1)*2)+(((C58/1000)*0.044)*2)+(((B58/1000)*0.08)*2),IF(ISERROR(FIND("Office pod",A58))=FALSE,((2400/1000)*(1200/1000))*6,IF(ISERROR(FIND("panel",A58))=FALSE,((B58/1000)*(C58/1000))+(0.022*((B58/1000)+((C58/1000)*2)))+((B58/1000)*0.05),IF(ISERROR(FIND("Fillers",A58))=FALSE,((C58/1000)*0.06)+((C58/1000)*0.069)+((0.06*0.018)*2)+((0.06*0.009)*2)+((C58/1000)*0.009)+((C58/1000)*0.018),IF(ISERROR(FIND("Pelmet",A58))=FALSE,((C58/1000)*0.05)+((C58/1000)*0.068)+((0.05*0.018)*4)+(((C58/1000)*0.018))*2)))))))))))))))))))))</f>
        <v>17.8112</v>
      </c>
      <c r="N58" s="152">
        <f>IF(M58="","",IF(AND(ISERROR(FIND("carcass",A58))=TRUE,ISERROR(FIND("unit",A58))=TRUE,ISERROR(FIND("insert",A58))=TRUE,ISERROR(FIND("rack",A58))=TRUE,ISERROR(FIND("box",A58))=TRUE,ISERROR(FIND("shelf",A58))=TRUE),VLOOKUP(WardrobeDoorFinish,Finishing!$A$2:$K$10,9,0)*M58,IF(ISERROR(FIND("table",A58))=FALSE,VLOOKUP("Sayerlack AF0072 Interior Clear Self-Sealer",FinishingData,9,FALSE)*M58,VLOOKUP(WardrobeCarcassFinish,Finishing!$A$2:$K$40,9,0)*M58)))</f>
        <v>66.792</v>
      </c>
      <c r="O58" s="159">
        <v>2.5</v>
      </c>
      <c r="P58" s="159">
        <v>2.5</v>
      </c>
      <c r="Q58" s="152">
        <f>IF(OR(O58="",P58=""),"",((O58*X58)*(VLOOKUP("Workshop",Labour!$A$3:$E$20,4,0)/8))+((P58*AE58)*(VLOOKUP("Finishing",Labour!$A$3:$E$20,4,0)/8)))</f>
        <v>179.375</v>
      </c>
      <c r="R58" s="152">
        <f t="shared" si="4"/>
        <v>728.695</v>
      </c>
      <c r="S58" s="156">
        <f>IF(OR(O58="",P58=""),"",IF(OR(ISERROR(FIND("carcass",$A58))=FALSE,ISERROR(FIND("unit",$A58))=FALSE),VLOOKUP(WardrobeCarcassMaterial,FixedListsCarcassMaterial,2,0),0))</f>
        <v>1</v>
      </c>
      <c r="T58" s="156">
        <f>IF(OR(O58="",P58=""),"",IF(ISERROR(FIND("door",$A58))=FALSE,VLOOKUP(WardrobeDoorStyle,FixedListsDoorStyle,2,0),0))</f>
        <v>0</v>
      </c>
      <c r="U58" s="156">
        <f>IF(OR(O58="",P58=""),"",IF(ISERROR(FIND("door",$A58))=FALSE,VLOOKUP(WardrobeDoorMaterial,FixedListsDoorMaterial,2,0),0))</f>
        <v>0</v>
      </c>
      <c r="V58" s="156">
        <f>IF(OR(O58="",P58=""),"",IF(ISERROR(FIND("drawer",$A58))=FALSE,VLOOKUP(WardrobeDrawerType,FixedListsDrawerType,2,0),0))</f>
        <v>0</v>
      </c>
      <c r="W58" s="156">
        <f>IF(OR(O58="",P58=""),"",IF(S58&gt;0,VLOOKUP(WardrobeHandleType,FixedListsHandleType,2,FALSE),0))</f>
        <v>1</v>
      </c>
      <c r="X58" s="156">
        <f t="shared" si="5"/>
        <v>1</v>
      </c>
      <c r="Y58" s="156">
        <f>IF(OR(O58="",P58=""),"",IF(OR(ISERROR(FIND("carcass",$A58))=FALSE,ISERROR(FIND("unit",$A58))=FALSE),VLOOKUP(WardrobeCarcassMaterial,FixedListsCarcassMaterial,3,0),0))</f>
        <v>1</v>
      </c>
      <c r="Z58" s="156">
        <f>IF(OR(O58="",P58=""),"",IF(ISERROR(FIND("door",$A58))=FALSE,VLOOKUP(WardrobeDoorStyle,FixedListsDoorStyle,3,0),0))</f>
        <v>0</v>
      </c>
      <c r="AA58" s="156">
        <f>IF(OR(O58="",P58=""),"",IF(ISERROR(FIND("door",$A58))=FALSE,VLOOKUP(WardrobeDoorMaterial,FixedListsDoorMaterial,3,0),0))</f>
        <v>0</v>
      </c>
      <c r="AB58" s="156">
        <f>IF(OR(O58="",P58=""),"",IF(ISERROR(FIND("drawer",$A58))=FALSE,VLOOKUP(WardrobeDrawerType,FixedListsDrawerType,3,0),0))</f>
        <v>0</v>
      </c>
      <c r="AC58" s="156">
        <f>IF(OR(O58="",P58=""),"",IF(S58&gt;0,VLOOKUP(WardrobeHandleType,FixedListsHandleType,3,FALSE),0))</f>
        <v>1</v>
      </c>
      <c r="AD58" s="156">
        <f>IF(OR(O58="",P58=""),"",IF(OR(ISERROR(FIND("carcass",$A58))=FALSE,ISERROR(FIND("unit",$A58))=FALSE),VLOOKUP(WardrobeCarcassFinish,FixedListsFinishes,3,0),IF(OR(ISERROR(FIND("door",$A58))=FALSE,ISERROR(FIND("Plinth",$A58))=FALSE,ISERROR(FIND("Cornice",$A58))=FALSE,ISERROR(FIND("Fillers",$A58))=FALSE,ISERROR(FIND("Pelmet",$A58))=FALSE,ISERROR(FIND("panel",$A58))=FALSE,ISERROR(FIND("post",$A58))=FALSE),VLOOKUP(WardrobeDoorFinish,FixedListsFinishes,3,0),IF(OR(ISERROR(FIND("drawer",$A58))=FALSE,ISERROR(FIND("insert",$A58))=FALSE,ISERROR(FIND("rck",$A58))=FALSE),VLOOKUP(WardrobeCarcassFinish,FixedListsFinishes,3,0),0))))</f>
        <v>1</v>
      </c>
      <c r="AE58" s="156">
        <f t="shared" si="6"/>
        <v>1</v>
      </c>
      <c r="AF58" s="157" t="str">
        <f>IF(AND(WardrobeHandleType="Channel",OR(ISERROR(FIND("arcass",$A58))=FALSE,ISERROR(FIND("unit",$A58))=FALSE)),IF(ISERROR(FIND("Tower",$A58))=TRUE,IF(WardrobeHandleFinish="Match carcass",IF(ISERROR(FIND("Walnut",WardrobeCarcassMaterial))=FALSE,(0.035*0.075*($C58/1000))*VLOOKUP("Walnut (solid m3)",SolidData,4,FALSE),IF(ISERROR(FIND("Oak",WardrobeCarcassMaterial))=FALSE,(0.035*0.075*($C58/1000))*VLOOKUP("Oak (solid m3)",SolidData,4,FALSE),IF(ISERROR(FIND("ply",WardrobeCarcassMaterial))=FALSE,(0.1*($C58/1000))*VLOOKUP("Birch ply (24mm)",SheetsData,7,FALSE),IF(ISERROR(FIND("H/F",WardrobeCarcassMaterial))=FALSE,(0.1*($C58/1000))*VLOOKUP("H/F (22mm)",SheetsData,7,FALSE),"Carcass - not tower - new material")))),IF(WardrobeHandleFinish="Match door",IF(ISERROR(FIND("Walnut",WardrobeDoorMaterial))=FALSE,(0.035*0.075*($C58/1000))*VLOOKUP("Walnut (solid m3)",SolidData,4,FALSE),IF(ISERROR(FIND("Oak",WardrobeDoorMaterial))=FALSE,(0.035*0.075*($C58/1000))*VLOOKUP("Oak (solid m3)",SolidData,4,FALSE),IF(ISERROR(FIND("ply",WardrobeDoorMaterial))=FALSE,(0.1*($C58/1000))*VLOOKUP("Birch ply (24mm)",SheetsData,7,FALSE),IF(ISERROR(FIND("H/F",WardrobeCarcassMaterial))=FALSE,(0.1*($C58/1000))*VLOOKUP("H/F (22mm)",SheetsData,7,FALSE),"Door - not tower - new material")))),"Channel - not tower - handle set to other")),IF(ISERROR(FIND("Tower",$A58))=FALSE,IF(WardrobeHandleFinish="Match carcass",IF(ISERROR(FIND("Walnut",WardrobeCarcassMaterial))=FALSE,(0.035*0.075*($B58/1000))*VLOOKUP("Walnut (solid m3)",SolidData,4,FALSE),IF(ISERROR(FIND("Oak",WardrobeCarcassMaterial))=FALSE,(0.035*0.075*($B58/1000))*VLOOKUP("Oak (solid m3)",SolidData,4,FALSE),IF(ISERROR(FIND("ply",WardrobeCarcassMaterial))=FALSE,(0.1*($B58/1000))*VLOOKUP("Birch ply (24mm)",SheetsData,7,FALSE),IF(ISERROR(FIND("H/F",WardrobeCarcassMaterial))=FALSE,(0.1*($C58/1000))*VLOOKUP("H/F (22mm)",SheetsData,7,FALSE),"Carcass - tower - new material")))),IF(WardrobeHandleFinish="Match door",IF(ISERROR(FIND("Walnut",WardrobeDoorMaterial))=FALSE,(0.035*0.075*($B58/1000))*VLOOKUP("Walnut (solid m3)",SolidData,4,FALSE),IF(ISERROR(FIND("Oak",WardrobeDoorMaterial))=FALSE,(0.035*0.075*($B58/1000))*VLOOKUP("Oak (solid m3)",SolidData,4,FALSE),IF(ISERROR(FIND("ply",WardrobeDoorMaterial))=FALSE,(0.1*($B58/1000))*VLOOKUP("Birch ply (24mm)",SheetData,7,FALSE),IF(ISERROR(FIND("H/F",WardrobeCarcassMaterial))=FALSE,(0.1*($C58/1000))*VLOOKUP("H/F (22mm)",SheetsData,7,FALSE),"Door - tower - new material")))),"Channel - tower - handle set to other")))),"")</f>
        <v/>
      </c>
    </row>
    <row r="59">
      <c r="A59" s="150" t="s">
        <v>254</v>
      </c>
      <c r="B59" s="160" t="str">
        <f t="shared" si="1"/>
        <v>2420</v>
      </c>
      <c r="C59" s="160" t="str">
        <f>IFERROR(__xludf.DUMMYFUNCTION("IF(A59="""","""",IF(ISERROR(FIND(""arcass"",A59))=FALSE,MID(A59,FIND(""*"",A59)+1,FIND(""*"",A59,FIND(""*"",A59)+1)-FIND(""*"",A59)-1),IF(ISERROR(FIND(""End panel"",A59))=FALSE,RIGHT(A59,3),IF(OR(ISERROR(FIND(""drawer"",A59))=FALSE,ISERROR(FIND(""door"",A"&amp;"59))=FALSE,ISERROR(FIND(""shelf"",A59))=FALSE,ISERROR(FIND(""panel"",A59))=FALSE,ISERROR(FIND(""Plinth"",A59))=FALSE,ISERROR(FIND(""Cornice"",A59))=FALSE,ISERROR(FIND(""Fillers"",A59))=FALSE,ISERROR(FIND(""Pelmet"",A59))=FALSE,ISERROR(FIND(""Fireplace up "&amp;"to 1600"",A59))=FALSE),RIGHT(A59,LEN(A59)-LEN(regexextract(A59,"".* ""))),IF(ISERROR(FIND(""table"",A59))=FALSE,""560"",IF(ISERROR(FIND(""Office pod"",A59))=FALSE,""1600"",IF(ISERROR(FIND(""Fireplace over 1600"",A59))=FALSE,""2400"",IF(ISERROR(FIND(""Work"&amp;"top"",A59))=FALSE,""650"",""Whoops""))))))))"),"1210")</f>
        <v>1210</v>
      </c>
      <c r="D59" s="161" t="str">
        <f t="shared" si="2"/>
        <v>1210</v>
      </c>
      <c r="E59" s="152">
        <f>IF(OR(A59="",AND(ISERROR(FIND("drawer",A59))=FALSE,WardrobeDrawerType="")),"",IF(ISERROR(FIND("door",A59))=FALSE,IF(WardrobeDoorStyle="Flat",((B59/1000)*(C59/1000))*VLOOKUP(WardrobeDoorMaterial,SheetsData,8,0),IF(LEFT(WardrobeDoorStyle,5)="Panel",(((((B59/1000)*2)*0.08)+((((C59/1000)-0.16)*2)*0.08))*VLOOKUP("H/F (22mm)",SheetsData,8,0))+(((B59/1000)-0.14)*((C59/1000)-0.14)*VLOOKUP("H/F (9mm)",SheetsData,8,0)),IF(WardrobeDoorStyle="In-frame flat",((((((B59/1000)*0.019)*0.038)+((((C59-38)/1000)*0.038)*0.038))*2)*VLOOKUP("Tulip (solid m3)",SolidData,4,0))+(((B59-76)/1000)*((C59-38)/1000))*VLOOKUP("H/F (22mm)",SheetsData,8,0),IF(LEFT(WardrobeDoorStyle,14)="In-frame panel",(((((((B59/1000)*0.019)*0.038)+((((C59-38)/1000)*0.038)*0.038))*2)*VLOOKUP("Tulip (solid m3)",SolidData,4,0))+(((((((B59-76)/1000)*2)*0.08)+(((((C59-198)/1000)*2)*0.08)))*VLOOKUP("H/F (22mm)",SheetsData,8,0))+(((B59-216)/1000)*((C59-178)/1000)*VLOOKUP("H/F (9mm)",SheetsData,8,0)))))))),IF(AND(ISERROR(FIND("arcass",A59))=FALSE,ISERROR(FIND("ost corner",A59))=TRUE),IF(AND(VALUE(B59)&lt;1211,VALUE(C59)&lt;1211,VALUE(D59)&lt;606),1*VLOOKUP(WardrobeCarcassMaterial,SheetsData,5,FALSE),IF(AND(VALUE(B59)&lt;2421,VALUE(C59)&lt;2421,VALUE(D59)&lt;606),2*VLOOKUP(WardrobeCarcassMaterial,SheetsData,5,FALSE),IF(AND(VALUE(B59)&lt;2421,VALUE(C59)&lt;1211,VALUE(D59)&lt;1211),3*VLOOKUP(WardrobeCarcassMaterial,SheetsData,5,FALSE),IF(AND(VALUE(B59)&lt;2421,VALUE(C59)&lt;2421,VALUE(D59)&lt;1211),4*VLOOKUP(WardrobeCarcassMaterial,SheetsData,5,FALSE))))),IF(AND(ISERROR(FIND("arcass",A59))=FALSE,ISERROR(FIND("ost corner",A59))=FALSE),IF(AND(VALUE(B59)&lt;1211,VALUE(C59)&lt;1211,VALUE(D59)&lt;606),(1*VLOOKUP(WardrobeCarcassMaterial,SheetsData,5,FALSE))+(VLOOKUP("H/F (22mm)",SheetsData,7,FALSE)*1.44),IF(AND(VALUE(B59)&lt;2421,VALUE(C59)&lt;2421,VALUE(D59)&lt;606),(2*VLOOKUP(WardrobeCarcassMaterial,SheetsData,5,FALSE))+(VLOOKUP("H/F (22mm)",SheetsData,7,FALSE)*1.44),IF(AND(VALUE(B59)&lt;2421,VALUE(C59)&lt;1211,VALUE(D59)&lt;1211),(3*VLOOKUP(WardrobeCarcassMaterial,SheetsData,5,FALSE))+(VLOOKUP("H/F (22mm)",SheetsData,7,FALSE)*1.44),IF(AND(VALUE(B59)&lt;2421,VALUE(C59)&lt;2421,VALUE(D59)&lt;1211),(4*VLOOKUP(WardrobeCarcassMaterial,SheetsData,5,FALSE))+(VLOOKUP("H/F (22mm)",SheetsData,7,FALSE)*1.44))))),IF(ISERROR(FIND("drawer front",A59))=FALSE,((B59/1000)*(C59/1000))*VLOOKUP(WardrobeDoorMaterial,SheetsData,8,0),IF(AND(WardrobeDrawerType="Match carcass",ISERROR(FIND("drawer box",A59))=FALSE),(((((B59/1000)*(C59/1000))+((B59/1000)*(D59/1000)))*2)*VLOOKUP(WardrobeCarcassMaterial,SheetsData,8,0))+(((C59/1000)*(D59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box",A59))=FALSE),(((((B59/1000)*(C59/1000))+((B59/1000)*(D59/1000)))*2)*(16/1000)*VLOOKUP(LEFT(WardrobeCarcassMaterial,FIND(" ",WardrobeCarcassMaterial))&amp;"(solid m3)",SolidData,4,0))+(((C59/1000)*(D59/1000))*VLOOKUP(LEFT(WardrobeCarcassMaterial,FIND("(",WardrobeCarcassMaterial)-1)&amp;IF(OR(ISERROR(FIND("ply",WardrobeCarcassMaterial))=FALSE,ISERROR(FIND("H/F",WardrobeCarcassMaterial))=FALSE),"(9mm)","(10mm)"),SheetsData,8,0)),IF(ISERROR(FIND("shelf",A59))=FALSE,((C59/1000)*(D59/1000))*VLOOKUP(WardrobeCarcassMaterial,SheetsData,7,FALSE),IF(ISERROR(FIND("Office pod",A59))=FALSE,3*VLOOKUP(WardrobeCarcassMaterial,SheetsData,5,0),IF(ISERROR(FIND(" panel",A59))=FALSE,((B59/1000)*(C59/1000))*VLOOKUP(WardrobeDoorMaterial,SheetsData,8,0),IF(ISERROR(FIND("Fillers",A59))=FALSE,(((0.06*(C59/1000))*2)*VLOOKUP("H/F (18mm)",SheetsData,8,0))+(((0.06*(C59/1000))*2)*VLOOKUP("H/F (9mm)",SheetsData,8,0)),IF(ISERROR(FIND("Cornice (stacked)",A59))=FALSE,((0.08*(C59/1000))*2)*VLOOKUP("H/F (22mm)",SheetsData,8,0),IF(OR(ISERROR(FIND("Plinth",A59))=FALSE,ISERROR(FIND("Cornice (flat)",A59))=FALSE),((B59/1000)*(C59/1000))*VLOOKUP("H/F (18mm)",SheetsData,8,0),IF(ISERROR(FIND("Pelmet",A59))=FALSE,((((B59/1000)*(C59/1000))*2)*VLOOKUP("H/F (18mm)",SheetsData,8,0)),IF(ISERROR(FIND("Fireplace",A59))=FALSE,IF(ISERROR(FIND("over 1600",A59))=FALSE,2*VLOOKUP(WardrobeCarcassMaterial,SheetsData,5,FALSE),VLOOKUP(WardrobeCarcassMaterial,SheetsData,5,FALSE)),IF(ISERROR(FIND("table",A59))=FALSE,((B59/1000)*0.6)*VLOOKUP("Birch ply (24mm)",SheetsData,7,FALSE),IF(ISERROR(FIND("Worktop",A59))=FALSE,((B59/1000)*(C59/1000))*VLOOKUP(WardrobeDoorMaterial,SheetsData,7,FALSE),"Check formula")))))))))))))))))</f>
        <v>375.978</v>
      </c>
      <c r="F59" s="152">
        <f>IFERROR(__xludf.DUMMYFUNCTION("IF(OR(A59="""",AND(ISERROR(FIND(""drawer box"",A59))=FALSE,WardrobeDrawerType=""Solid dovetail"")),"""",IF(ISERROR(FIND(""bins"",A59))=FALSE,VLOOKUP(""Base carcass 600"",Wardrobes_etcData,6,0),IF(OR(ISERROR(FIND(""larder"",A59))=FALSE,ISERROR(FIND(""unit"&amp;""",A59))=FALSE),VLOOKUP(LEFT(A59,FIND("" "",A59))&amp;""carcass ""&amp;RIGHT(A59,LEN(A59)-len(regexextract(A59,"".* ""))),Wardrobes_etcData,6,0),IF(ISERROR(FIND(""drawer front"",A59))=FALSE,IF(ISERROR(FIND(""veneer"",WardrobeCarcassMaterial))=TRUE,0,(((B59+C59)/1"&amp;"000)*2)*VLOOKUP(""Edge banding (per M)"",SheetsData,5,0)),IF(ISERROR(FIND(""drawer box"",A59))=FALSE,IF(ISERROR(FIND(""veneer"",WardrobeCarcassMaterial))=TRUE,0,(((C59+D59)/1000)*2)*VLOOKUP(""Edge banding (per M)"",SheetsData,5,0)),IF(ISERROR(FIND(""shelf"&amp;""",A59))=FALSE,IF(ISERROR(FIND(""veneer"",WardrobeCarcassMaterial))=TRUE,0,(C59/1000)*VLOOKUP(""Edge banding (per M)"",SheetsData,5,0)),IF(AND(OR(ISERROR(FIND(""arcass"",A59))=FALSE,ISERROR(FIND(""Fireplace"",A59))=FALSE),ISERROR(FIND(""shelf"",A59))=TRUE"&amp;"),IF(ISERROR(FIND(""veneer"",WardrobeCarcassMaterial))=TRUE,0,((2*(B59+C59))/1000)*VLOOKUP(""Edge banding (per M)"",SheetsData,5,0)),IF(ISERROR(FIND(""door"",A59))=TRUE,"""",IF(ISERROR(FIND(""veneer"",WardrobeDoorMaterial))=TRUE,"""",((2*(B59+C59))/1000)*"&amp;"VLOOKUP(""Edge banding (per M)"",SheetsData,5,0))))))))))"),0.0)</f>
        <v>0</v>
      </c>
      <c r="G59" s="153">
        <f>IF(A59="","",IF(AND(ISERROR(FIND("arcass",A59))=TRUE,ISERROR(FIND("Fireplace",A59))=TRUE),"",IF(VALUE(C59)&lt;606,4*VLOOKUP("Plinth foot (2 Parts 80mm)",FurnitureData,5,FALSE),IF(VALUE(C59)&lt;1211,6*VLOOKUP("Plinth foot (2 Parts 80mm)",FurnitureData,5,FALSE),8*VLOOKUP("Plinth foot (2 Parts 80mm)",FurnitureData,5,FALSE)))))</f>
        <v>5.7</v>
      </c>
      <c r="H59" s="115" t="str">
        <f>IF(OR(A59="",ISERROR(FIND("door",A59))=TRUE),"",VLOOKUP("Hinges &amp; plates (Hettich thick door)",FurnitureData,5,0)*5)</f>
        <v/>
      </c>
      <c r="I59" s="115" t="str">
        <f>IF(ISERROR(FIND("shelf",A59))=FALSE,(VLOOKUP("Shelf pegs",FurnitureData,5,0)/100)*4,"")</f>
        <v/>
      </c>
      <c r="J59" s="152" t="str">
        <f>IF(OR(ISERROR(FIND("fridge/freezer",A59))=FALSE,ISERROR(FIND("sink",A59))=FALSE,ISERROR(FIND("larder",A59))=FALSE),VLOOKUP("Deep shelf "&amp;C59,Wardrobes_etcData,18,0),IF(OR(ISERROR(FIND("single oven",A59))=FALSE,ISERROR(FIND("Base carcass",A59))=FALSE),2*VLOOKUP("Deep shelf "&amp;C59,Wardrobes_etcData,18,0),IF(AND(ISERROR(FIND("wall carcass",A59))=FALSE,ISERROR(FIND("Boiler",A59))=TRUE),2*VLOOKUP("Shallow shelf "&amp;C59,Wardrobes_etcData,18,0),IF(ISERROR(FIND("double oven",A59))=FALSE,3*VLOOKUP("Deep shelf "&amp;C59,Wardrobes_etcData,18,0),IF(ISERROR(FIND("Tower carcass",A59))=FALSE,6*VLOOKUP("Deep shelf "&amp;C59,Wardrobes_etcData,18,0),"")))))</f>
        <v/>
      </c>
      <c r="K59" s="152" t="str">
        <f>IF(ISERROR(FIND("sink",A59))=FALSE,VLOOKUP("Sink liner - Aluminium "&amp;RIGHT(A59,LEN(A59)-22)&amp;"mm",ExceptionalData,5,0),IF(ISERROR(FIND("bins",A59))=FALSE,VLOOKUP("Drawer runners and clip set for bin unit (500) Dynapro",FurnitureData,5,0)+(2*VLOOKUP("Bin (42L Anthracite)",FurnitureData,5,0)),IF(ISERROR(FIND("larder",A59))=FALSE,VLOOKUP("Pull out larder unit 600mm",FurnitureData,5,0),IF(AND(ISERROR(FIND("drawer box",A59))=FALSE,ISERROR(FIND("internal",A59))=TRUE),VLOOKUP("Drawer runners and clip set (550) Dynapro",FurnitureData,5,0),IF(ISERROR(FIND("internal drawer box",A59))=FALSE,VLOOKUP("Drawer runners and clip set (450) Dynapro",FurnitureData,5,0),IF(ISERROR(FIND("table",A59))=FALSE,VLOOKUP("Hairpin Leg (12mm Black "&amp;MID(A59,FIND("(",A59)+1,LEN(A59)-(FIND("(",A59))-1)&amp;"mm)",ExceptionalData,4,FALSE),""))))))</f>
        <v/>
      </c>
      <c r="L59" s="152">
        <f t="shared" si="3"/>
        <v>381.678</v>
      </c>
      <c r="M59" s="154">
        <f>IF(A59="","",IF(AND(ISERROR(FIND("drawer front",A59))=FALSE,WardrobeDoorStyle="Flat"),(((B59/1000)*(C59/1000))*2)+((((B59+C59)/1000)*2)*0.022),IF(AND(ISERROR(FIND("drawer front",A59))=FALSE,LEFT(WardrobeDoorStyle,5)="Panel"),(((B59/1000)*(C59/1000))*2)+((((B59+C59)/1000)*2)*0.022)+((((C59/1000)-0.16)*0.013)*2)+((((D59/1000)-0.16)*0.013)*2),IF(AND(ISERROR(FIND("drawer front",A59))=FALSE,WardrobeDoorStyle="In-frame flat"),((((B59-76)/1000)*((C59-38)/1000))*2)+(MID(WardrobeDoorMaterial,FIND("(",WardrobeDoorMaterial)+1,2)/1000)*((((B59-76)+(C59-38))/1000)*2)+(((B59/1000)*0.032)*2)+((((B59-76)/1000)*0.032)*2)+(((B59/1000)*0.019)*4)+(((C59/1000)*0.032)*2)+((((C59-38)/1000)*0.032)*2)+(((C59/1000)*0.038)*4),IF(AND(ISERROR(FIND("drawer front",A59))=FALSE,LEFT(WardrobeDoorStyle,14)="In-frame panel"),((((B59-76)/1000)*((C59-38)/1000))*2)+((MID(WardrobeDoorMaterial,FIND("(",WardrobeDoorMaterial)+1,2)/1000)*((((B59-76)+(C59-38))/1000)*2))+((((B59-236)/1000)+((C59-198)/1000)*2)*0.013)+(((B59/1000)*0.032)*2)+((((B59-76)/1000)*0.032)*2)+(((B59/1000)*0.019)*4)+(((C59/1000)*0.032)*2)+((((C59-38)/1000)*0.032)*2)+(((C59/1000)*0.038)*4),IF(ISERROR(FIND("drawer box",A59))=FALSE,((((B59/1000)*(D59/1000))+((B59/1000)*(C59/1000)))*4)+((((D59/1000)+(C59/1000))*0.016)*4)+(((C59/1000)*(D59/1000))*2),IF(OR(ISERROR(FIND("shelf",A59))=FALSE,ISERROR(FIND("Filler panel",A59))=FALSE),(((C59/1000)*(D59/1000))*2)+((((C59+D59)*2)/1000)*0.022),IF(ISERROR(FIND("Fireplace",A59))=FALSE,((B59/1000)*(C59/1000)),IF(ISERROR(FIND("Worktop",A59))=FALSE,(B59/1000)*(C59/1000),IF(ISERROR(FIND("table",A59))=FALSE,(B59/1000)*0.6,IF(ISERROR(FIND("arcass",A59))=FALSE,(((C59/1000)*(D59/1000))*2)+(((B59/1000)*(D59/1000))*2)+((B59/1000)*(C59/1000))+((((B59/1000)*0.025)+((C59/1000)*0.025))*2),IF(AND(ISERROR(FIND("door",A59))=FALSE,WardrobeDoorStyle="Flat"),(((B59/1000)*(C59/1000))*2)+(MID(WardrobeDoorMaterial,FIND("(",WardrobeDoorMaterial)+1,2)/1000)*(((B59+C59)/1000)*2),IF(AND(ISERROR(FIND("door",A59))=FALSE,LEFT(WardrobeDoorStyle,5)="Panel"),(((B59/1000)*(C59/1000))*2)+((MID(WardrobeDoorMaterial,FIND("(",WardrobeDoorMaterial)+1,2)/1000)*(((B59+C59)/1000)*2))+(((((B59-160)+(C59-160))*2)/1000)*(0.013)),IF(AND(ISERROR(FIND("door",A59))=FALSE,WardrobeDoorStyle="In-frame flat"),((((B59-76)/1000)*((C59-38)/1000))*2)+(MID(WardrobeDoorMaterial,FIND("(",WardrobeDoorMaterial)+1,2)/1000)*((((B59-76)+(C59-38))/1000)*2)+(((B59/1000)*0.032)*2)+((((B59-76)/1000)*0.032)*2)+(((B59/1000)*0.019)*4)+(((C59/1000)*0.032)*2)+((((C59-38)/1000)*0.032)*2)+(((C59/1000)*0.038)*4),IF(AND(ISERROR(FIND("door",A59))=FALSE,LEFT(WardrobeDoorStyle,14)="In-frame panel"),((((B59-76)/1000)*((C59-38)/1000))*2)+((MID(WardrobeDoorMaterial,FIND("(",WardrobeDoorMaterial)+1,2)/1000)*((((B59-76)+(C59-38))/1000)*2))+((((B59-236)/1000)+((C59-198)/1000)*2)*0.013)+(((B59/1000)*0.032)*2)+((((B59-76)/1000)*0.032)*2)+(((B59/1000)*0.019)*4)+(((C59/1000)*0.032)*2)+((((C59-38)/1000)*0.032)*2)+(((C59/1000)*0.038)*4),IF(ISERROR(FIND("Plinth",A59))=FALSE,((B59/1000)*(C59/1000))+(((C59/1000)*0.018)*2)+(((B59/1000)*0.018)*2),IF(ISERROR(FIND("Cornice",A59))=FALSE,(((C59/1000)*0.1)*2)+(((C59/1000)*0.044)*2)+(((B59/1000)*0.08)*2),IF(ISERROR(FIND("Office pod",A59))=FALSE,((2400/1000)*(1200/1000))*6,IF(ISERROR(FIND("panel",A59))=FALSE,((B59/1000)*(C59/1000))+(0.022*((B59/1000)+((C59/1000)*2)))+((B59/1000)*0.05),IF(ISERROR(FIND("Fillers",A59))=FALSE,((C59/1000)*0.06)+((C59/1000)*0.069)+((0.06*0.018)*2)+((0.06*0.009)*2)+((C59/1000)*0.009)+((C59/1000)*0.018),IF(ISERROR(FIND("Pelmet",A59))=FALSE,((C59/1000)*0.05)+((C59/1000)*0.068)+((0.05*0.018)*4)+(((C59/1000)*0.018))*2)))))))))))))))))))))</f>
        <v>11.8943</v>
      </c>
      <c r="N59" s="152">
        <f>IF(M59="","",IF(AND(ISERROR(FIND("carcass",A59))=TRUE,ISERROR(FIND("unit",A59))=TRUE,ISERROR(FIND("insert",A59))=TRUE,ISERROR(FIND("rack",A59))=TRUE,ISERROR(FIND("box",A59))=TRUE,ISERROR(FIND("shelf",A59))=TRUE),VLOOKUP(WardrobeDoorFinish,Finishing!$A$2:$K$10,9,0)*M59,IF(ISERROR(FIND("table",A59))=FALSE,VLOOKUP("Sayerlack AF0072 Interior Clear Self-Sealer",FinishingData,9,FALSE)*M59,VLOOKUP(WardrobeCarcassFinish,Finishing!$A$2:$K$40,9,0)*M59)))</f>
        <v>44.603625</v>
      </c>
      <c r="O59" s="159">
        <v>2.0</v>
      </c>
      <c r="P59" s="159">
        <v>2.0</v>
      </c>
      <c r="Q59" s="152">
        <f>IF(OR(O59="",P59=""),"",((O59*X59)*(VLOOKUP("Workshop",Labour!$A$3:$E$20,4,0)/8))+((P59*AE59)*(VLOOKUP("Finishing",Labour!$A$3:$E$20,4,0)/8)))</f>
        <v>143.5</v>
      </c>
      <c r="R59" s="152">
        <f t="shared" si="4"/>
        <v>569.781625</v>
      </c>
      <c r="S59" s="156">
        <f>IF(OR(O59="",P59=""),"",IF(OR(ISERROR(FIND("carcass",$A59))=FALSE,ISERROR(FIND("unit",$A59))=FALSE),VLOOKUP(WardrobeCarcassMaterial,FixedListsCarcassMaterial,2,0),0))</f>
        <v>1</v>
      </c>
      <c r="T59" s="156">
        <f>IF(OR(O59="",P59=""),"",IF(ISERROR(FIND("door",$A59))=FALSE,VLOOKUP(WardrobeDoorStyle,FixedListsDoorStyle,2,0),0))</f>
        <v>0</v>
      </c>
      <c r="U59" s="156">
        <f>IF(OR(O59="",P59=""),"",IF(ISERROR(FIND("door",$A59))=FALSE,VLOOKUP(WardrobeDoorMaterial,FixedListsDoorMaterial,2,0),0))</f>
        <v>0</v>
      </c>
      <c r="V59" s="156">
        <f>IF(OR(O59="",P59=""),"",IF(ISERROR(FIND("drawer",$A59))=FALSE,VLOOKUP(WardrobeDrawerType,FixedListsDrawerType,2,0),0))</f>
        <v>0</v>
      </c>
      <c r="W59" s="156">
        <f>IF(OR(O59="",P59=""),"",IF(S59&gt;0,VLOOKUP(WardrobeHandleType,FixedListsHandleType,2,FALSE),0))</f>
        <v>1</v>
      </c>
      <c r="X59" s="156">
        <f t="shared" si="5"/>
        <v>1</v>
      </c>
      <c r="Y59" s="156">
        <f>IF(OR(O59="",P59=""),"",IF(OR(ISERROR(FIND("carcass",$A59))=FALSE,ISERROR(FIND("unit",$A59))=FALSE),VLOOKUP(WardrobeCarcassMaterial,FixedListsCarcassMaterial,3,0),0))</f>
        <v>1</v>
      </c>
      <c r="Z59" s="156">
        <f>IF(OR(O59="",P59=""),"",IF(ISERROR(FIND("door",$A59))=FALSE,VLOOKUP(WardrobeDoorStyle,FixedListsDoorStyle,3,0),0))</f>
        <v>0</v>
      </c>
      <c r="AA59" s="156">
        <f>IF(OR(O59="",P59=""),"",IF(ISERROR(FIND("door",$A59))=FALSE,VLOOKUP(WardrobeDoorMaterial,FixedListsDoorMaterial,3,0),0))</f>
        <v>0</v>
      </c>
      <c r="AB59" s="156">
        <f>IF(OR(O59="",P59=""),"",IF(ISERROR(FIND("drawer",$A59))=FALSE,VLOOKUP(WardrobeDrawerType,FixedListsDrawerType,3,0),0))</f>
        <v>0</v>
      </c>
      <c r="AC59" s="156">
        <f>IF(OR(O59="",P59=""),"",IF(S59&gt;0,VLOOKUP(WardrobeHandleType,FixedListsHandleType,3,FALSE),0))</f>
        <v>1</v>
      </c>
      <c r="AD59" s="156">
        <f>IF(OR(O59="",P59=""),"",IF(OR(ISERROR(FIND("carcass",$A59))=FALSE,ISERROR(FIND("unit",$A59))=FALSE),VLOOKUP(WardrobeCarcassFinish,FixedListsFinishes,3,0),IF(OR(ISERROR(FIND("door",$A59))=FALSE,ISERROR(FIND("Plinth",$A59))=FALSE,ISERROR(FIND("Cornice",$A59))=FALSE,ISERROR(FIND("Fillers",$A59))=FALSE,ISERROR(FIND("Pelmet",$A59))=FALSE,ISERROR(FIND("panel",$A59))=FALSE,ISERROR(FIND("post",$A59))=FALSE),VLOOKUP(WardrobeDoorFinish,FixedListsFinishes,3,0),IF(OR(ISERROR(FIND("drawer",$A59))=FALSE,ISERROR(FIND("insert",$A59))=FALSE,ISERROR(FIND("rck",$A59))=FALSE),VLOOKUP(WardrobeCarcassFinish,FixedListsFinishes,3,0),0))))</f>
        <v>1</v>
      </c>
      <c r="AE59" s="156">
        <f t="shared" si="6"/>
        <v>1</v>
      </c>
      <c r="AF59" s="157" t="str">
        <f>IF(AND(WardrobeHandleType="Channel",OR(ISERROR(FIND("arcass",$A59))=FALSE,ISERROR(FIND("unit",$A59))=FALSE)),IF(ISERROR(FIND("Tower",$A59))=TRUE,IF(WardrobeHandleFinish="Match carcass",IF(ISERROR(FIND("Walnut",WardrobeCarcassMaterial))=FALSE,(0.035*0.075*($C59/1000))*VLOOKUP("Walnut (solid m3)",SolidData,4,FALSE),IF(ISERROR(FIND("Oak",WardrobeCarcassMaterial))=FALSE,(0.035*0.075*($C59/1000))*VLOOKUP("Oak (solid m3)",SolidData,4,FALSE),IF(ISERROR(FIND("ply",WardrobeCarcassMaterial))=FALSE,(0.1*($C59/1000))*VLOOKUP("Birch ply (24mm)",SheetsData,7,FALSE),IF(ISERROR(FIND("H/F",WardrobeCarcassMaterial))=FALSE,(0.1*($C59/1000))*VLOOKUP("H/F (22mm)",SheetsData,7,FALSE),"Carcass - not tower - new material")))),IF(WardrobeHandleFinish="Match door",IF(ISERROR(FIND("Walnut",WardrobeDoorMaterial))=FALSE,(0.035*0.075*($C59/1000))*VLOOKUP("Walnut (solid m3)",SolidData,4,FALSE),IF(ISERROR(FIND("Oak",WardrobeDoorMaterial))=FALSE,(0.035*0.075*($C59/1000))*VLOOKUP("Oak (solid m3)",SolidData,4,FALSE),IF(ISERROR(FIND("ply",WardrobeDoorMaterial))=FALSE,(0.1*($C59/1000))*VLOOKUP("Birch ply (24mm)",SheetsData,7,FALSE),IF(ISERROR(FIND("H/F",WardrobeCarcassMaterial))=FALSE,(0.1*($C59/1000))*VLOOKUP("H/F (22mm)",SheetsData,7,FALSE),"Door - not tower - new material")))),"Channel - not tower - handle set to other")),IF(ISERROR(FIND("Tower",$A59))=FALSE,IF(WardrobeHandleFinish="Match carcass",IF(ISERROR(FIND("Walnut",WardrobeCarcassMaterial))=FALSE,(0.035*0.075*($B59/1000))*VLOOKUP("Walnut (solid m3)",SolidData,4,FALSE),IF(ISERROR(FIND("Oak",WardrobeCarcassMaterial))=FALSE,(0.035*0.075*($B59/1000))*VLOOKUP("Oak (solid m3)",SolidData,4,FALSE),IF(ISERROR(FIND("ply",WardrobeCarcassMaterial))=FALSE,(0.1*($B59/1000))*VLOOKUP("Birch ply (24mm)",SheetsData,7,FALSE),IF(ISERROR(FIND("H/F",WardrobeCarcassMaterial))=FALSE,(0.1*($C59/1000))*VLOOKUP("H/F (22mm)",SheetsData,7,FALSE),"Carcass - tower - new material")))),IF(WardrobeHandleFinish="Match door",IF(ISERROR(FIND("Walnut",WardrobeDoorMaterial))=FALSE,(0.035*0.075*($B59/1000))*VLOOKUP("Walnut (solid m3)",SolidData,4,FALSE),IF(ISERROR(FIND("Oak",WardrobeDoorMaterial))=FALSE,(0.035*0.075*($B59/1000))*VLOOKUP("Oak (solid m3)",SolidData,4,FALSE),IF(ISERROR(FIND("ply",WardrobeDoorMaterial))=FALSE,(0.1*($B59/1000))*VLOOKUP("Birch ply (24mm)",SheetData,7,FALSE),IF(ISERROR(FIND("H/F",WardrobeCarcassMaterial))=FALSE,(0.1*($C59/1000))*VLOOKUP("H/F (22mm)",SheetsData,7,FALSE),"Door - tower - new material")))),"Channel - tower - handle set to other")))),"")</f>
        <v/>
      </c>
    </row>
    <row r="60">
      <c r="A60" s="150" t="s">
        <v>255</v>
      </c>
      <c r="B60" s="160" t="str">
        <f t="shared" si="1"/>
        <v>2420</v>
      </c>
      <c r="C60" s="160" t="str">
        <f>IFERROR(__xludf.DUMMYFUNCTION("IF(A60="""","""",IF(ISERROR(FIND(""arcass"",A60))=FALSE,MID(A60,FIND(""*"",A60)+1,FIND(""*"",A60,FIND(""*"",A60)+1)-FIND(""*"",A60)-1),IF(ISERROR(FIND(""End panel"",A60))=FALSE,RIGHT(A60,3),IF(OR(ISERROR(FIND(""drawer"",A60))=FALSE,ISERROR(FIND(""door"",A"&amp;"60))=FALSE,ISERROR(FIND(""shelf"",A60))=FALSE,ISERROR(FIND(""panel"",A60))=FALSE,ISERROR(FIND(""Plinth"",A60))=FALSE,ISERROR(FIND(""Cornice"",A60))=FALSE,ISERROR(FIND(""Fillers"",A60))=FALSE,ISERROR(FIND(""Pelmet"",A60))=FALSE,ISERROR(FIND(""Fireplace up "&amp;"to 1600"",A60))=FALSE),RIGHT(A60,LEN(A60)-LEN(regexextract(A60,"".* ""))),IF(ISERROR(FIND(""table"",A60))=FALSE,""560"",IF(ISERROR(FIND(""Office pod"",A60))=FALSE,""1600"",IF(ISERROR(FIND(""Fireplace over 1600"",A60))=FALSE,""2400"",IF(ISERROR(FIND(""Work"&amp;"top"",A60))=FALSE,""650"",""Whoops""))))))))"),"2420")</f>
        <v>2420</v>
      </c>
      <c r="D60" s="161" t="str">
        <f t="shared" si="2"/>
        <v>605</v>
      </c>
      <c r="E60" s="152">
        <f>IF(OR(A60="",AND(ISERROR(FIND("drawer",A60))=FALSE,WardrobeDrawerType="")),"",IF(ISERROR(FIND("door",A60))=FALSE,IF(WardrobeDoorStyle="Flat",((B60/1000)*(C60/1000))*VLOOKUP(WardrobeDoorMaterial,SheetsData,8,0),IF(LEFT(WardrobeDoorStyle,5)="Panel",(((((B60/1000)*2)*0.08)+((((C60/1000)-0.16)*2)*0.08))*VLOOKUP("H/F (22mm)",SheetsData,8,0))+(((B60/1000)-0.14)*((C60/1000)-0.14)*VLOOKUP("H/F (9mm)",SheetsData,8,0)),IF(WardrobeDoorStyle="In-frame flat",((((((B60/1000)*0.019)*0.038)+((((C60-38)/1000)*0.038)*0.038))*2)*VLOOKUP("Tulip (solid m3)",SolidData,4,0))+(((B60-76)/1000)*((C60-38)/1000))*VLOOKUP("H/F (22mm)",SheetsData,8,0),IF(LEFT(WardrobeDoorStyle,14)="In-frame panel",(((((((B60/1000)*0.019)*0.038)+((((C60-38)/1000)*0.038)*0.038))*2)*VLOOKUP("Tulip (solid m3)",SolidData,4,0))+(((((((B60-76)/1000)*2)*0.08)+(((((C60-198)/1000)*2)*0.08)))*VLOOKUP("H/F (22mm)",SheetsData,8,0))+(((B60-216)/1000)*((C60-178)/1000)*VLOOKUP("H/F (9mm)",SheetsData,8,0)))))))),IF(AND(ISERROR(FIND("arcass",A60))=FALSE,ISERROR(FIND("ost corner",A60))=TRUE),IF(AND(VALUE(B60)&lt;1211,VALUE(C60)&lt;1211,VALUE(D60)&lt;606),1*VLOOKUP(WardrobeCarcassMaterial,SheetsData,5,FALSE),IF(AND(VALUE(B60)&lt;2421,VALUE(C60)&lt;2421,VALUE(D60)&lt;606),2*VLOOKUP(WardrobeCarcassMaterial,SheetsData,5,FALSE),IF(AND(VALUE(B60)&lt;2421,VALUE(C60)&lt;1211,VALUE(D60)&lt;1211),3*VLOOKUP(WardrobeCarcassMaterial,SheetsData,5,FALSE),IF(AND(VALUE(B60)&lt;2421,VALUE(C60)&lt;2421,VALUE(D60)&lt;1211),4*VLOOKUP(WardrobeCarcassMaterial,SheetsData,5,FALSE))))),IF(AND(ISERROR(FIND("arcass",A60))=FALSE,ISERROR(FIND("ost corner",A60))=FALSE),IF(AND(VALUE(B60)&lt;1211,VALUE(C60)&lt;1211,VALUE(D60)&lt;606),(1*VLOOKUP(WardrobeCarcassMaterial,SheetsData,5,FALSE))+(VLOOKUP("H/F (22mm)",SheetsData,7,FALSE)*1.44),IF(AND(VALUE(B60)&lt;2421,VALUE(C60)&lt;2421,VALUE(D60)&lt;606),(2*VLOOKUP(WardrobeCarcassMaterial,SheetsData,5,FALSE))+(VLOOKUP("H/F (22mm)",SheetsData,7,FALSE)*1.44),IF(AND(VALUE(B60)&lt;2421,VALUE(C60)&lt;1211,VALUE(D60)&lt;1211),(3*VLOOKUP(WardrobeCarcassMaterial,SheetsData,5,FALSE))+(VLOOKUP("H/F (22mm)",SheetsData,7,FALSE)*1.44),IF(AND(VALUE(B60)&lt;2421,VALUE(C60)&lt;2421,VALUE(D60)&lt;1211),(4*VLOOKUP(WardrobeCarcassMaterial,SheetsData,5,FALSE))+(VLOOKUP("H/F (22mm)",SheetsData,7,FALSE)*1.44))))),IF(ISERROR(FIND("drawer front",A60))=FALSE,((B60/1000)*(C60/1000))*VLOOKUP(WardrobeDoorMaterial,SheetsData,8,0),IF(AND(WardrobeDrawerType="Match carcass",ISERROR(FIND("drawer box",A60))=FALSE),(((((B60/1000)*(C60/1000))+((B60/1000)*(D60/1000)))*2)*VLOOKUP(WardrobeCarcassMaterial,SheetsData,8,0))+(((C60/1000)*(D60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box",A60))=FALSE),(((((B60/1000)*(C60/1000))+((B60/1000)*(D60/1000)))*2)*(16/1000)*VLOOKUP(LEFT(WardrobeCarcassMaterial,FIND(" ",WardrobeCarcassMaterial))&amp;"(solid m3)",SolidData,4,0))+(((C60/1000)*(D60/1000))*VLOOKUP(LEFT(WardrobeCarcassMaterial,FIND("(",WardrobeCarcassMaterial)-1)&amp;IF(OR(ISERROR(FIND("ply",WardrobeCarcassMaterial))=FALSE,ISERROR(FIND("H/F",WardrobeCarcassMaterial))=FALSE),"(9mm)","(10mm)"),SheetsData,8,0)),IF(ISERROR(FIND("shelf",A60))=FALSE,((C60/1000)*(D60/1000))*VLOOKUP(WardrobeCarcassMaterial,SheetsData,7,FALSE),IF(ISERROR(FIND("Office pod",A60))=FALSE,3*VLOOKUP(WardrobeCarcassMaterial,SheetsData,5,0),IF(ISERROR(FIND(" panel",A60))=FALSE,((B60/1000)*(C60/1000))*VLOOKUP(WardrobeDoorMaterial,SheetsData,8,0),IF(ISERROR(FIND("Fillers",A60))=FALSE,(((0.06*(C60/1000))*2)*VLOOKUP("H/F (18mm)",SheetsData,8,0))+(((0.06*(C60/1000))*2)*VLOOKUP("H/F (9mm)",SheetsData,8,0)),IF(ISERROR(FIND("Cornice (stacked)",A60))=FALSE,((0.08*(C60/1000))*2)*VLOOKUP("H/F (22mm)",SheetsData,8,0),IF(OR(ISERROR(FIND("Plinth",A60))=FALSE,ISERROR(FIND("Cornice (flat)",A60))=FALSE),((B60/1000)*(C60/1000))*VLOOKUP("H/F (18mm)",SheetsData,8,0),IF(ISERROR(FIND("Pelmet",A60))=FALSE,((((B60/1000)*(C60/1000))*2)*VLOOKUP("H/F (18mm)",SheetsData,8,0)),IF(ISERROR(FIND("Fireplace",A60))=FALSE,IF(ISERROR(FIND("over 1600",A60))=FALSE,2*VLOOKUP(WardrobeCarcassMaterial,SheetsData,5,FALSE),VLOOKUP(WardrobeCarcassMaterial,SheetsData,5,FALSE)),IF(ISERROR(FIND("table",A60))=FALSE,((B60/1000)*0.6)*VLOOKUP("Birch ply (24mm)",SheetsData,7,FALSE),IF(ISERROR(FIND("Worktop",A60))=FALSE,((B60/1000)*(C60/1000))*VLOOKUP(WardrobeDoorMaterial,SheetsData,7,FALSE),"Check formula")))))))))))))))))</f>
        <v>277.028</v>
      </c>
      <c r="F60" s="152">
        <f>IFERROR(__xludf.DUMMYFUNCTION("IF(OR(A60="""",AND(ISERROR(FIND(""drawer box"",A60))=FALSE,WardrobeDrawerType=""Solid dovetail"")),"""",IF(ISERROR(FIND(""bins"",A60))=FALSE,VLOOKUP(""Base carcass 600"",Wardrobes_etcData,6,0),IF(OR(ISERROR(FIND(""larder"",A60))=FALSE,ISERROR(FIND(""unit"&amp;""",A60))=FALSE),VLOOKUP(LEFT(A60,FIND("" "",A60))&amp;""carcass ""&amp;RIGHT(A60,LEN(A60)-len(regexextract(A60,"".* ""))),Wardrobes_etcData,6,0),IF(ISERROR(FIND(""drawer front"",A60))=FALSE,IF(ISERROR(FIND(""veneer"",WardrobeCarcassMaterial))=TRUE,0,(((B60+C60)/1"&amp;"000)*2)*VLOOKUP(""Edge banding (per M)"",SheetsData,5,0)),IF(ISERROR(FIND(""drawer box"",A60))=FALSE,IF(ISERROR(FIND(""veneer"",WardrobeCarcassMaterial))=TRUE,0,(((C60+D60)/1000)*2)*VLOOKUP(""Edge banding (per M)"",SheetsData,5,0)),IF(ISERROR(FIND(""shelf"&amp;""",A60))=FALSE,IF(ISERROR(FIND(""veneer"",WardrobeCarcassMaterial))=TRUE,0,(C60/1000)*VLOOKUP(""Edge banding (per M)"",SheetsData,5,0)),IF(AND(OR(ISERROR(FIND(""arcass"",A60))=FALSE,ISERROR(FIND(""Fireplace"",A60))=FALSE),ISERROR(FIND(""shelf"",A60))=TRUE"&amp;"),IF(ISERROR(FIND(""veneer"",WardrobeCarcassMaterial))=TRUE,0,((2*(B60+C60))/1000)*VLOOKUP(""Edge banding (per M)"",SheetsData,5,0)),IF(ISERROR(FIND(""door"",A60))=TRUE,"""",IF(ISERROR(FIND(""veneer"",WardrobeDoorMaterial))=TRUE,"""",((2*(B60+C60))/1000)*"&amp;"VLOOKUP(""Edge banding (per M)"",SheetsData,5,0))))))))))"),0.0)</f>
        <v>0</v>
      </c>
      <c r="G60" s="153">
        <f>IF(A60="","",IF(AND(ISERROR(FIND("arcass",A60))=TRUE,ISERROR(FIND("Fireplace",A60))=TRUE),"",IF(VALUE(C60)&lt;606,4*VLOOKUP("Plinth foot (2 Parts 80mm)",FurnitureData,5,FALSE),IF(VALUE(C60)&lt;1211,6*VLOOKUP("Plinth foot (2 Parts 80mm)",FurnitureData,5,FALSE),8*VLOOKUP("Plinth foot (2 Parts 80mm)",FurnitureData,5,FALSE)))))</f>
        <v>7.6</v>
      </c>
      <c r="H60" s="115" t="str">
        <f>IF(OR(A60="",ISERROR(FIND("door",A60))=TRUE),"",VLOOKUP("Hinges &amp; plates (Hettich thick door)",FurnitureData,5,0)*5)</f>
        <v/>
      </c>
      <c r="I60" s="115" t="str">
        <f>IF(ISERROR(FIND("shelf",A60))=FALSE,(VLOOKUP("Shelf pegs",FurnitureData,5,0)/100)*4,"")</f>
        <v/>
      </c>
      <c r="J60" s="152" t="str">
        <f>IF(OR(ISERROR(FIND("fridge/freezer",A60))=FALSE,ISERROR(FIND("sink",A60))=FALSE,ISERROR(FIND("larder",A60))=FALSE),VLOOKUP("Deep shelf "&amp;C60,Wardrobes_etcData,18,0),IF(OR(ISERROR(FIND("single oven",A60))=FALSE,ISERROR(FIND("Base carcass",A60))=FALSE),2*VLOOKUP("Deep shelf "&amp;C60,Wardrobes_etcData,18,0),IF(AND(ISERROR(FIND("wall carcass",A60))=FALSE,ISERROR(FIND("Boiler",A60))=TRUE),2*VLOOKUP("Shallow shelf "&amp;C60,Wardrobes_etcData,18,0),IF(ISERROR(FIND("double oven",A60))=FALSE,3*VLOOKUP("Deep shelf "&amp;C60,Wardrobes_etcData,18,0),IF(ISERROR(FIND("Tower carcass",A60))=FALSE,6*VLOOKUP("Deep shelf "&amp;C60,Wardrobes_etcData,18,0),"")))))</f>
        <v/>
      </c>
      <c r="K60" s="152" t="str">
        <f>IF(ISERROR(FIND("sink",A60))=FALSE,VLOOKUP("Sink liner - Aluminium "&amp;RIGHT(A60,LEN(A60)-22)&amp;"mm",ExceptionalData,5,0),IF(ISERROR(FIND("bins",A60))=FALSE,VLOOKUP("Drawer runners and clip set for bin unit (500) Dynapro",FurnitureData,5,0)+(2*VLOOKUP("Bin (42L Anthracite)",FurnitureData,5,0)),IF(ISERROR(FIND("larder",A60))=FALSE,VLOOKUP("Pull out larder unit 600mm",FurnitureData,5,0),IF(AND(ISERROR(FIND("drawer box",A60))=FALSE,ISERROR(FIND("internal",A60))=TRUE),VLOOKUP("Drawer runners and clip set (550) Dynapro",FurnitureData,5,0),IF(ISERROR(FIND("internal drawer box",A60))=FALSE,VLOOKUP("Drawer runners and clip set (450) Dynapro",FurnitureData,5,0),IF(ISERROR(FIND("table",A60))=FALSE,VLOOKUP("Hairpin Leg (12mm Black "&amp;MID(A60,FIND("(",A60)+1,LEN(A60)-(FIND("(",A60))-1)&amp;"mm)",ExceptionalData,4,FALSE),""))))))</f>
        <v/>
      </c>
      <c r="L60" s="152">
        <f t="shared" si="3"/>
        <v>284.628</v>
      </c>
      <c r="M60" s="154">
        <f>IF(A60="","",IF(AND(ISERROR(FIND("drawer front",A60))=FALSE,WardrobeDoorStyle="Flat"),(((B60/1000)*(C60/1000))*2)+((((B60+C60)/1000)*2)*0.022),IF(AND(ISERROR(FIND("drawer front",A60))=FALSE,LEFT(WardrobeDoorStyle,5)="Panel"),(((B60/1000)*(C60/1000))*2)+((((B60+C60)/1000)*2)*0.022)+((((C60/1000)-0.16)*0.013)*2)+((((D60/1000)-0.16)*0.013)*2),IF(AND(ISERROR(FIND("drawer front",A60))=FALSE,WardrobeDoorStyle="In-frame flat"),((((B60-76)/1000)*((C60-38)/1000))*2)+(MID(WardrobeDoorMaterial,FIND("(",WardrobeDoorMaterial)+1,2)/1000)*((((B60-76)+(C60-38))/1000)*2)+(((B60/1000)*0.032)*2)+((((B60-76)/1000)*0.032)*2)+(((B60/1000)*0.019)*4)+(((C60/1000)*0.032)*2)+((((C60-38)/1000)*0.032)*2)+(((C60/1000)*0.038)*4),IF(AND(ISERROR(FIND("drawer front",A60))=FALSE,LEFT(WardrobeDoorStyle,14)="In-frame panel"),((((B60-76)/1000)*((C60-38)/1000))*2)+((MID(WardrobeDoorMaterial,FIND("(",WardrobeDoorMaterial)+1,2)/1000)*((((B60-76)+(C60-38))/1000)*2))+((((B60-236)/1000)+((C60-198)/1000)*2)*0.013)+(((B60/1000)*0.032)*2)+((((B60-76)/1000)*0.032)*2)+(((B60/1000)*0.019)*4)+(((C60/1000)*0.032)*2)+((((C60-38)/1000)*0.032)*2)+(((C60/1000)*0.038)*4),IF(ISERROR(FIND("drawer box",A60))=FALSE,((((B60/1000)*(D60/1000))+((B60/1000)*(C60/1000)))*4)+((((D60/1000)+(C60/1000))*0.016)*4)+(((C60/1000)*(D60/1000))*2),IF(OR(ISERROR(FIND("shelf",A60))=FALSE,ISERROR(FIND("Filler panel",A60))=FALSE),(((C60/1000)*(D60/1000))*2)+((((C60+D60)*2)/1000)*0.022),IF(ISERROR(FIND("Fireplace",A60))=FALSE,((B60/1000)*(C60/1000)),IF(ISERROR(FIND("Worktop",A60))=FALSE,(B60/1000)*(C60/1000),IF(ISERROR(FIND("table",A60))=FALSE,(B60/1000)*0.6,IF(ISERROR(FIND("arcass",A60))=FALSE,(((C60/1000)*(D60/1000))*2)+(((B60/1000)*(D60/1000))*2)+((B60/1000)*(C60/1000))+((((B60/1000)*0.025)+((C60/1000)*0.025))*2),IF(AND(ISERROR(FIND("door",A60))=FALSE,WardrobeDoorStyle="Flat"),(((B60/1000)*(C60/1000))*2)+(MID(WardrobeDoorMaterial,FIND("(",WardrobeDoorMaterial)+1,2)/1000)*(((B60+C60)/1000)*2),IF(AND(ISERROR(FIND("door",A60))=FALSE,LEFT(WardrobeDoorStyle,5)="Panel"),(((B60/1000)*(C60/1000))*2)+((MID(WardrobeDoorMaterial,FIND("(",WardrobeDoorMaterial)+1,2)/1000)*(((B60+C60)/1000)*2))+(((((B60-160)+(C60-160))*2)/1000)*(0.013)),IF(AND(ISERROR(FIND("door",A60))=FALSE,WardrobeDoorStyle="In-frame flat"),((((B60-76)/1000)*((C60-38)/1000))*2)+(MID(WardrobeDoorMaterial,FIND("(",WardrobeDoorMaterial)+1,2)/1000)*((((B60-76)+(C60-38))/1000)*2)+(((B60/1000)*0.032)*2)+((((B60-76)/1000)*0.032)*2)+(((B60/1000)*0.019)*4)+(((C60/1000)*0.032)*2)+((((C60-38)/1000)*0.032)*2)+(((C60/1000)*0.038)*4),IF(AND(ISERROR(FIND("door",A60))=FALSE,LEFT(WardrobeDoorStyle,14)="In-frame panel"),((((B60-76)/1000)*((C60-38)/1000))*2)+((MID(WardrobeDoorMaterial,FIND("(",WardrobeDoorMaterial)+1,2)/1000)*((((B60-76)+(C60-38))/1000)*2))+((((B60-236)/1000)+((C60-198)/1000)*2)*0.013)+(((B60/1000)*0.032)*2)+((((B60-76)/1000)*0.032)*2)+(((B60/1000)*0.019)*4)+(((C60/1000)*0.032)*2)+((((C60-38)/1000)*0.032)*2)+(((C60/1000)*0.038)*4),IF(ISERROR(FIND("Plinth",A60))=FALSE,((B60/1000)*(C60/1000))+(((C60/1000)*0.018)*2)+(((B60/1000)*0.018)*2),IF(ISERROR(FIND("Cornice",A60))=FALSE,(((C60/1000)*0.1)*2)+(((C60/1000)*0.044)*2)+(((B60/1000)*0.08)*2),IF(ISERROR(FIND("Office pod",A60))=FALSE,((2400/1000)*(1200/1000))*6,IF(ISERROR(FIND("panel",A60))=FALSE,((B60/1000)*(C60/1000))+(0.022*((B60/1000)+((C60/1000)*2)))+((B60/1000)*0.05),IF(ISERROR(FIND("Fillers",A60))=FALSE,((C60/1000)*0.06)+((C60/1000)*0.069)+((0.06*0.018)*2)+((0.06*0.009)*2)+((C60/1000)*0.009)+((C60/1000)*0.018),IF(ISERROR(FIND("Pelmet",A60))=FALSE,((C60/1000)*0.05)+((C60/1000)*0.068)+((0.05*0.018)*4)+(((C60/1000)*0.018))*2)))))))))))))))))))))</f>
        <v>11.9548</v>
      </c>
      <c r="N60" s="152">
        <f>IF(M60="","",IF(AND(ISERROR(FIND("carcass",A60))=TRUE,ISERROR(FIND("unit",A60))=TRUE,ISERROR(FIND("insert",A60))=TRUE,ISERROR(FIND("rack",A60))=TRUE,ISERROR(FIND("box",A60))=TRUE,ISERROR(FIND("shelf",A60))=TRUE),VLOOKUP(WardrobeDoorFinish,Finishing!$A$2:$K$10,9,0)*M60,IF(ISERROR(FIND("table",A60))=FALSE,VLOOKUP("Sayerlack AF0072 Interior Clear Self-Sealer",FinishingData,9,FALSE)*M60,VLOOKUP(WardrobeCarcassFinish,Finishing!$A$2:$K$40,9,0)*M60)))</f>
        <v>44.8305</v>
      </c>
      <c r="O60" s="159">
        <v>1.5</v>
      </c>
      <c r="P60" s="159">
        <v>1.5</v>
      </c>
      <c r="Q60" s="152">
        <f>IF(OR(O60="",P60=""),"",((O60*X60)*(VLOOKUP("Workshop",Labour!$A$3:$E$20,4,0)/8))+((P60*AE60)*(VLOOKUP("Finishing",Labour!$A$3:$E$20,4,0)/8)))</f>
        <v>107.625</v>
      </c>
      <c r="R60" s="152">
        <f t="shared" si="4"/>
        <v>437.0835</v>
      </c>
      <c r="S60" s="156">
        <f>IF(OR(O60="",P60=""),"",IF(OR(ISERROR(FIND("carcass",$A60))=FALSE,ISERROR(FIND("unit",$A60))=FALSE),VLOOKUP(WardrobeCarcassMaterial,FixedListsCarcassMaterial,2,0),0))</f>
        <v>1</v>
      </c>
      <c r="T60" s="156">
        <f>IF(OR(O60="",P60=""),"",IF(ISERROR(FIND("door",$A60))=FALSE,VLOOKUP(WardrobeDoorStyle,FixedListsDoorStyle,2,0),0))</f>
        <v>0</v>
      </c>
      <c r="U60" s="156">
        <f>IF(OR(O60="",P60=""),"",IF(ISERROR(FIND("door",$A60))=FALSE,VLOOKUP(WardrobeDoorMaterial,FixedListsDoorMaterial,2,0),0))</f>
        <v>0</v>
      </c>
      <c r="V60" s="156">
        <f>IF(OR(O60="",P60=""),"",IF(ISERROR(FIND("drawer",$A60))=FALSE,VLOOKUP(WardrobeDrawerType,FixedListsDrawerType,2,0),0))</f>
        <v>0</v>
      </c>
      <c r="W60" s="156">
        <f>IF(OR(O60="",P60=""),"",IF(S60&gt;0,VLOOKUP(WardrobeHandleType,FixedListsHandleType,2,FALSE),0))</f>
        <v>1</v>
      </c>
      <c r="X60" s="156">
        <f t="shared" si="5"/>
        <v>1</v>
      </c>
      <c r="Y60" s="156">
        <f>IF(OR(O60="",P60=""),"",IF(OR(ISERROR(FIND("carcass",$A60))=FALSE,ISERROR(FIND("unit",$A60))=FALSE),VLOOKUP(WardrobeCarcassMaterial,FixedListsCarcassMaterial,3,0),0))</f>
        <v>1</v>
      </c>
      <c r="Z60" s="156">
        <f>IF(OR(O60="",P60=""),"",IF(ISERROR(FIND("door",$A60))=FALSE,VLOOKUP(WardrobeDoorStyle,FixedListsDoorStyle,3,0),0))</f>
        <v>0</v>
      </c>
      <c r="AA60" s="156">
        <f>IF(OR(O60="",P60=""),"",IF(ISERROR(FIND("door",$A60))=FALSE,VLOOKUP(WardrobeDoorMaterial,FixedListsDoorMaterial,3,0),0))</f>
        <v>0</v>
      </c>
      <c r="AB60" s="156">
        <f>IF(OR(O60="",P60=""),"",IF(ISERROR(FIND("drawer",$A60))=FALSE,VLOOKUP(WardrobeDrawerType,FixedListsDrawerType,3,0),0))</f>
        <v>0</v>
      </c>
      <c r="AC60" s="156">
        <f>IF(OR(O60="",P60=""),"",IF(S60&gt;0,VLOOKUP(WardrobeHandleType,FixedListsHandleType,3,FALSE),0))</f>
        <v>1</v>
      </c>
      <c r="AD60" s="156">
        <f>IF(OR(O60="",P60=""),"",IF(OR(ISERROR(FIND("carcass",$A60))=FALSE,ISERROR(FIND("unit",$A60))=FALSE),VLOOKUP(WardrobeCarcassFinish,FixedListsFinishes,3,0),IF(OR(ISERROR(FIND("door",$A60))=FALSE,ISERROR(FIND("Plinth",$A60))=FALSE,ISERROR(FIND("Cornice",$A60))=FALSE,ISERROR(FIND("Fillers",$A60))=FALSE,ISERROR(FIND("Pelmet",$A60))=FALSE,ISERROR(FIND("panel",$A60))=FALSE,ISERROR(FIND("post",$A60))=FALSE),VLOOKUP(WardrobeDoorFinish,FixedListsFinishes,3,0),IF(OR(ISERROR(FIND("drawer",$A60))=FALSE,ISERROR(FIND("insert",$A60))=FALSE,ISERROR(FIND("rck",$A60))=FALSE),VLOOKUP(WardrobeCarcassFinish,FixedListsFinishes,3,0),0))))</f>
        <v>1</v>
      </c>
      <c r="AE60" s="156">
        <f t="shared" si="6"/>
        <v>1</v>
      </c>
      <c r="AF60" s="157" t="str">
        <f>IF(AND(WardrobeHandleType="Channel",OR(ISERROR(FIND("arcass",$A60))=FALSE,ISERROR(FIND("unit",$A60))=FALSE)),IF(ISERROR(FIND("Tower",$A60))=TRUE,IF(WardrobeHandleFinish="Match carcass",IF(ISERROR(FIND("Walnut",WardrobeCarcassMaterial))=FALSE,(0.035*0.075*($C60/1000))*VLOOKUP("Walnut (solid m3)",SolidData,4,FALSE),IF(ISERROR(FIND("Oak",WardrobeCarcassMaterial))=FALSE,(0.035*0.075*($C60/1000))*VLOOKUP("Oak (solid m3)",SolidData,4,FALSE),IF(ISERROR(FIND("ply",WardrobeCarcassMaterial))=FALSE,(0.1*($C60/1000))*VLOOKUP("Birch ply (24mm)",SheetsData,7,FALSE),IF(ISERROR(FIND("H/F",WardrobeCarcassMaterial))=FALSE,(0.1*($C60/1000))*VLOOKUP("H/F (22mm)",SheetsData,7,FALSE),"Carcass - not tower - new material")))),IF(WardrobeHandleFinish="Match door",IF(ISERROR(FIND("Walnut",WardrobeDoorMaterial))=FALSE,(0.035*0.075*($C60/1000))*VLOOKUP("Walnut (solid m3)",SolidData,4,FALSE),IF(ISERROR(FIND("Oak",WardrobeDoorMaterial))=FALSE,(0.035*0.075*($C60/1000))*VLOOKUP("Oak (solid m3)",SolidData,4,FALSE),IF(ISERROR(FIND("ply",WardrobeDoorMaterial))=FALSE,(0.1*($C60/1000))*VLOOKUP("Birch ply (24mm)",SheetsData,7,FALSE),IF(ISERROR(FIND("H/F",WardrobeCarcassMaterial))=FALSE,(0.1*($C60/1000))*VLOOKUP("H/F (22mm)",SheetsData,7,FALSE),"Door - not tower - new material")))),"Channel - not tower - handle set to other")),IF(ISERROR(FIND("Tower",$A60))=FALSE,IF(WardrobeHandleFinish="Match carcass",IF(ISERROR(FIND("Walnut",WardrobeCarcassMaterial))=FALSE,(0.035*0.075*($B60/1000))*VLOOKUP("Walnut (solid m3)",SolidData,4,FALSE),IF(ISERROR(FIND("Oak",WardrobeCarcassMaterial))=FALSE,(0.035*0.075*($B60/1000))*VLOOKUP("Oak (solid m3)",SolidData,4,FALSE),IF(ISERROR(FIND("ply",WardrobeCarcassMaterial))=FALSE,(0.1*($B60/1000))*VLOOKUP("Birch ply (24mm)",SheetsData,7,FALSE),IF(ISERROR(FIND("H/F",WardrobeCarcassMaterial))=FALSE,(0.1*($C60/1000))*VLOOKUP("H/F (22mm)",SheetsData,7,FALSE),"Carcass - tower - new material")))),IF(WardrobeHandleFinish="Match door",IF(ISERROR(FIND("Walnut",WardrobeDoorMaterial))=FALSE,(0.035*0.075*($B60/1000))*VLOOKUP("Walnut (solid m3)",SolidData,4,FALSE),IF(ISERROR(FIND("Oak",WardrobeDoorMaterial))=FALSE,(0.035*0.075*($B60/1000))*VLOOKUP("Oak (solid m3)",SolidData,4,FALSE),IF(ISERROR(FIND("ply",WardrobeDoorMaterial))=FALSE,(0.1*($B60/1000))*VLOOKUP("Birch ply (24mm)",SheetData,7,FALSE),IF(ISERROR(FIND("H/F",WardrobeCarcassMaterial))=FALSE,(0.1*($C60/1000))*VLOOKUP("H/F (22mm)",SheetsData,7,FALSE),"Door - tower - new material")))),"Channel - tower - handle set to other")))),"")</f>
        <v/>
      </c>
    </row>
    <row r="61">
      <c r="A61" s="150" t="s">
        <v>256</v>
      </c>
      <c r="B61" s="160" t="str">
        <f t="shared" si="1"/>
        <v>1210</v>
      </c>
      <c r="C61" s="160" t="str">
        <f>IFERROR(__xludf.DUMMYFUNCTION("IF(A61="""","""",IF(ISERROR(FIND(""arcass"",A61))=FALSE,MID(A61,FIND(""*"",A61)+1,FIND(""*"",A61,FIND(""*"",A61)+1)-FIND(""*"",A61)-1),IF(ISERROR(FIND(""End panel"",A61))=FALSE,RIGHT(A61,3),IF(OR(ISERROR(FIND(""drawer"",A61))=FALSE,ISERROR(FIND(""door"",A"&amp;"61))=FALSE,ISERROR(FIND(""shelf"",A61))=FALSE,ISERROR(FIND(""panel"",A61))=FALSE,ISERROR(FIND(""Plinth"",A61))=FALSE,ISERROR(FIND(""Cornice"",A61))=FALSE,ISERROR(FIND(""Fillers"",A61))=FALSE,ISERROR(FIND(""Pelmet"",A61))=FALSE,ISERROR(FIND(""Fireplace up "&amp;"to 1600"",A61))=FALSE),RIGHT(A61,LEN(A61)-LEN(regexextract(A61,"".* ""))),IF(ISERROR(FIND(""table"",A61))=FALSE,""560"",IF(ISERROR(FIND(""Office pod"",A61))=FALSE,""1600"",IF(ISERROR(FIND(""Fireplace over 1600"",A61))=FALSE,""2400"",IF(ISERROR(FIND(""Work"&amp;"top"",A61))=FALSE,""650"",""Whoops""))))))))"),"1210")</f>
        <v>1210</v>
      </c>
      <c r="D61" s="161" t="str">
        <f t="shared" si="2"/>
        <v>605</v>
      </c>
      <c r="E61" s="152">
        <f>IF(OR(A61="",AND(ISERROR(FIND("drawer",A61))=FALSE,WardrobeDrawerType="")),"",IF(ISERROR(FIND("door",A61))=FALSE,IF(WardrobeDoorStyle="Flat",((B61/1000)*(C61/1000))*VLOOKUP(WardrobeDoorMaterial,SheetsData,8,0),IF(LEFT(WardrobeDoorStyle,5)="Panel",(((((B61/1000)*2)*0.08)+((((C61/1000)-0.16)*2)*0.08))*VLOOKUP("H/F (22mm)",SheetsData,8,0))+(((B61/1000)-0.14)*((C61/1000)-0.14)*VLOOKUP("H/F (9mm)",SheetsData,8,0)),IF(WardrobeDoorStyle="In-frame flat",((((((B61/1000)*0.019)*0.038)+((((C61-38)/1000)*0.038)*0.038))*2)*VLOOKUP("Tulip (solid m3)",SolidData,4,0))+(((B61-76)/1000)*((C61-38)/1000))*VLOOKUP("H/F (22mm)",SheetsData,8,0),IF(LEFT(WardrobeDoorStyle,14)="In-frame panel",(((((((B61/1000)*0.019)*0.038)+((((C61-38)/1000)*0.038)*0.038))*2)*VLOOKUP("Tulip (solid m3)",SolidData,4,0))+(((((((B61-76)/1000)*2)*0.08)+(((((C61-198)/1000)*2)*0.08)))*VLOOKUP("H/F (22mm)",SheetsData,8,0))+(((B61-216)/1000)*((C61-178)/1000)*VLOOKUP("H/F (9mm)",SheetsData,8,0)))))))),IF(AND(ISERROR(FIND("arcass",A61))=FALSE,ISERROR(FIND("ost corner",A61))=TRUE),IF(AND(VALUE(B61)&lt;1211,VALUE(C61)&lt;1211,VALUE(D61)&lt;606),1*VLOOKUP(WardrobeCarcassMaterial,SheetsData,5,FALSE),IF(AND(VALUE(B61)&lt;2421,VALUE(C61)&lt;2421,VALUE(D61)&lt;606),2*VLOOKUP(WardrobeCarcassMaterial,SheetsData,5,FALSE),IF(AND(VALUE(B61)&lt;2421,VALUE(C61)&lt;1211,VALUE(D61)&lt;1211),3*VLOOKUP(WardrobeCarcassMaterial,SheetsData,5,FALSE),IF(AND(VALUE(B61)&lt;2421,VALUE(C61)&lt;2421,VALUE(D61)&lt;1211),4*VLOOKUP(WardrobeCarcassMaterial,SheetsData,5,FALSE))))),IF(AND(ISERROR(FIND("arcass",A61))=FALSE,ISERROR(FIND("ost corner",A61))=FALSE),IF(AND(VALUE(B61)&lt;1211,VALUE(C61)&lt;1211,VALUE(D61)&lt;606),(1*VLOOKUP(WardrobeCarcassMaterial,SheetsData,5,FALSE))+(VLOOKUP("H/F (22mm)",SheetsData,7,FALSE)*1.44),IF(AND(VALUE(B61)&lt;2421,VALUE(C61)&lt;2421,VALUE(D61)&lt;606),(2*VLOOKUP(WardrobeCarcassMaterial,SheetsData,5,FALSE))+(VLOOKUP("H/F (22mm)",SheetsData,7,FALSE)*1.44),IF(AND(VALUE(B61)&lt;2421,VALUE(C61)&lt;1211,VALUE(D61)&lt;1211),(3*VLOOKUP(WardrobeCarcassMaterial,SheetsData,5,FALSE))+(VLOOKUP("H/F (22mm)",SheetsData,7,FALSE)*1.44),IF(AND(VALUE(B61)&lt;2421,VALUE(C61)&lt;2421,VALUE(D61)&lt;1211),(4*VLOOKUP(WardrobeCarcassMaterial,SheetsData,5,FALSE))+(VLOOKUP("H/F (22mm)",SheetsData,7,FALSE)*1.44))))),IF(ISERROR(FIND("drawer front",A61))=FALSE,((B61/1000)*(C61/1000))*VLOOKUP(WardrobeDoorMaterial,SheetsData,8,0),IF(AND(WardrobeDrawerType="Match carcass",ISERROR(FIND("drawer box",A61))=FALSE),(((((B61/1000)*(C61/1000))+((B61/1000)*(D61/1000)))*2)*VLOOKUP(WardrobeCarcassMaterial,SheetsData,8,0))+(((C61/1000)*(D61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box",A61))=FALSE),(((((B61/1000)*(C61/1000))+((B61/1000)*(D61/1000)))*2)*(16/1000)*VLOOKUP(LEFT(WardrobeCarcassMaterial,FIND(" ",WardrobeCarcassMaterial))&amp;"(solid m3)",SolidData,4,0))+(((C61/1000)*(D61/1000))*VLOOKUP(LEFT(WardrobeCarcassMaterial,FIND("(",WardrobeCarcassMaterial)-1)&amp;IF(OR(ISERROR(FIND("ply",WardrobeCarcassMaterial))=FALSE,ISERROR(FIND("H/F",WardrobeCarcassMaterial))=FALSE),"(9mm)","(10mm)"),SheetsData,8,0)),IF(ISERROR(FIND("shelf",A61))=FALSE,((C61/1000)*(D61/1000))*VLOOKUP(WardrobeCarcassMaterial,SheetsData,7,FALSE),IF(ISERROR(FIND("Office pod",A61))=FALSE,3*VLOOKUP(WardrobeCarcassMaterial,SheetsData,5,0),IF(ISERROR(FIND(" panel",A61))=FALSE,((B61/1000)*(C61/1000))*VLOOKUP(WardrobeDoorMaterial,SheetsData,8,0),IF(ISERROR(FIND("Fillers",A61))=FALSE,(((0.06*(C61/1000))*2)*VLOOKUP("H/F (18mm)",SheetsData,8,0))+(((0.06*(C61/1000))*2)*VLOOKUP("H/F (9mm)",SheetsData,8,0)),IF(ISERROR(FIND("Cornice (stacked)",A61))=FALSE,((0.08*(C61/1000))*2)*VLOOKUP("H/F (22mm)",SheetsData,8,0),IF(OR(ISERROR(FIND("Plinth",A61))=FALSE,ISERROR(FIND("Cornice (flat)",A61))=FALSE),((B61/1000)*(C61/1000))*VLOOKUP("H/F (18mm)",SheetsData,8,0),IF(ISERROR(FIND("Pelmet",A61))=FALSE,((((B61/1000)*(C61/1000))*2)*VLOOKUP("H/F (18mm)",SheetsData,8,0)),IF(ISERROR(FIND("Fireplace",A61))=FALSE,IF(ISERROR(FIND("over 1600",A61))=FALSE,2*VLOOKUP(WardrobeCarcassMaterial,SheetsData,5,FALSE),VLOOKUP(WardrobeCarcassMaterial,SheetsData,5,FALSE)),IF(ISERROR(FIND("table",A61))=FALSE,((B61/1000)*0.6)*VLOOKUP("Birch ply (24mm)",SheetsData,7,FALSE),IF(ISERROR(FIND("Worktop",A61))=FALSE,((B61/1000)*(C61/1000))*VLOOKUP(WardrobeDoorMaterial,SheetsData,7,FALSE),"Check formula")))))))))))))))))</f>
        <v>178.078</v>
      </c>
      <c r="F61" s="152">
        <f>IFERROR(__xludf.DUMMYFUNCTION("IF(OR(A61="""",AND(ISERROR(FIND(""drawer box"",A61))=FALSE,WardrobeDrawerType=""Solid dovetail"")),"""",IF(ISERROR(FIND(""bins"",A61))=FALSE,VLOOKUP(""Base carcass 600"",Wardrobes_etcData,6,0),IF(OR(ISERROR(FIND(""larder"",A61))=FALSE,ISERROR(FIND(""unit"&amp;""",A61))=FALSE),VLOOKUP(LEFT(A61,FIND("" "",A61))&amp;""carcass ""&amp;RIGHT(A61,LEN(A61)-len(regexextract(A61,"".* ""))),Wardrobes_etcData,6,0),IF(ISERROR(FIND(""drawer front"",A61))=FALSE,IF(ISERROR(FIND(""veneer"",WardrobeCarcassMaterial))=TRUE,0,(((B61+C61)/1"&amp;"000)*2)*VLOOKUP(""Edge banding (per M)"",SheetsData,5,0)),IF(ISERROR(FIND(""drawer box"",A61))=FALSE,IF(ISERROR(FIND(""veneer"",WardrobeCarcassMaterial))=TRUE,0,(((C61+D61)/1000)*2)*VLOOKUP(""Edge banding (per M)"",SheetsData,5,0)),IF(ISERROR(FIND(""shelf"&amp;""",A61))=FALSE,IF(ISERROR(FIND(""veneer"",WardrobeCarcassMaterial))=TRUE,0,(C61/1000)*VLOOKUP(""Edge banding (per M)"",SheetsData,5,0)),IF(AND(OR(ISERROR(FIND(""arcass"",A61))=FALSE,ISERROR(FIND(""Fireplace"",A61))=FALSE),ISERROR(FIND(""shelf"",A61))=TRUE"&amp;"),IF(ISERROR(FIND(""veneer"",WardrobeCarcassMaterial))=TRUE,0,((2*(B61+C61))/1000)*VLOOKUP(""Edge banding (per M)"",SheetsData,5,0)),IF(ISERROR(FIND(""door"",A61))=TRUE,"""",IF(ISERROR(FIND(""veneer"",WardrobeDoorMaterial))=TRUE,"""",((2*(B61+C61))/1000)*"&amp;"VLOOKUP(""Edge banding (per M)"",SheetsData,5,0))))))))))"),0.0)</f>
        <v>0</v>
      </c>
      <c r="G61" s="153">
        <f>IF(A61="","",IF(AND(ISERROR(FIND("arcass",A61))=TRUE,ISERROR(FIND("Fireplace",A61))=TRUE),"",IF(VALUE(C61)&lt;606,4*VLOOKUP("Plinth foot (2 Parts 80mm)",FurnitureData,5,FALSE),IF(VALUE(C61)&lt;1211,6*VLOOKUP("Plinth foot (2 Parts 80mm)",FurnitureData,5,FALSE),8*VLOOKUP("Plinth foot (2 Parts 80mm)",FurnitureData,5,FALSE)))))</f>
        <v>5.7</v>
      </c>
      <c r="H61" s="115" t="str">
        <f>IF(OR(A61="",ISERROR(FIND("door",A61))=TRUE),"",VLOOKUP("Hinges &amp; plates (Hettich thick door)",FurnitureData,5,0)*5)</f>
        <v/>
      </c>
      <c r="I61" s="115" t="str">
        <f>IF(ISERROR(FIND("shelf",A61))=FALSE,(VLOOKUP("Shelf pegs",FurnitureData,5,0)/100)*4,"")</f>
        <v/>
      </c>
      <c r="J61" s="152" t="str">
        <f>IF(OR(ISERROR(FIND("fridge/freezer",A61))=FALSE,ISERROR(FIND("sink",A61))=FALSE,ISERROR(FIND("larder",A61))=FALSE),VLOOKUP("Deep shelf "&amp;C61,Wardrobes_etcData,18,0),IF(OR(ISERROR(FIND("single oven",A61))=FALSE,ISERROR(FIND("Base carcass",A61))=FALSE),2*VLOOKUP("Deep shelf "&amp;C61,Wardrobes_etcData,18,0),IF(AND(ISERROR(FIND("wall carcass",A61))=FALSE,ISERROR(FIND("Boiler",A61))=TRUE),2*VLOOKUP("Shallow shelf "&amp;C61,Wardrobes_etcData,18,0),IF(ISERROR(FIND("double oven",A61))=FALSE,3*VLOOKUP("Deep shelf "&amp;C61,Wardrobes_etcData,18,0),IF(ISERROR(FIND("Tower carcass",A61))=FALSE,6*VLOOKUP("Deep shelf "&amp;C61,Wardrobes_etcData,18,0),"")))))</f>
        <v/>
      </c>
      <c r="K61" s="152" t="str">
        <f>IF(ISERROR(FIND("sink",A61))=FALSE,VLOOKUP("Sink liner - Aluminium "&amp;RIGHT(A61,LEN(A61)-22)&amp;"mm",ExceptionalData,5,0),IF(ISERROR(FIND("bins",A61))=FALSE,VLOOKUP("Drawer runners and clip set for bin unit (500) Dynapro",FurnitureData,5,0)+(2*VLOOKUP("Bin (42L Anthracite)",FurnitureData,5,0)),IF(ISERROR(FIND("larder",A61))=FALSE,VLOOKUP("Pull out larder unit 600mm",FurnitureData,5,0),IF(AND(ISERROR(FIND("drawer box",A61))=FALSE,ISERROR(FIND("internal",A61))=TRUE),VLOOKUP("Drawer runners and clip set (550) Dynapro",FurnitureData,5,0),IF(ISERROR(FIND("internal drawer box",A61))=FALSE,VLOOKUP("Drawer runners and clip set (450) Dynapro",FurnitureData,5,0),IF(ISERROR(FIND("table",A61))=FALSE,VLOOKUP("Hairpin Leg (12mm Black "&amp;MID(A61,FIND("(",A61)+1,LEN(A61)-(FIND("(",A61))-1)&amp;"mm)",ExceptionalData,4,FALSE),""))))))</f>
        <v/>
      </c>
      <c r="L61" s="152">
        <f t="shared" si="3"/>
        <v>183.778</v>
      </c>
      <c r="M61" s="154">
        <f>IF(A61="","",IF(AND(ISERROR(FIND("drawer front",A61))=FALSE,WardrobeDoorStyle="Flat"),(((B61/1000)*(C61/1000))*2)+((((B61+C61)/1000)*2)*0.022),IF(AND(ISERROR(FIND("drawer front",A61))=FALSE,LEFT(WardrobeDoorStyle,5)="Panel"),(((B61/1000)*(C61/1000))*2)+((((B61+C61)/1000)*2)*0.022)+((((C61/1000)-0.16)*0.013)*2)+((((D61/1000)-0.16)*0.013)*2),IF(AND(ISERROR(FIND("drawer front",A61))=FALSE,WardrobeDoorStyle="In-frame flat"),((((B61-76)/1000)*((C61-38)/1000))*2)+(MID(WardrobeDoorMaterial,FIND("(",WardrobeDoorMaterial)+1,2)/1000)*((((B61-76)+(C61-38))/1000)*2)+(((B61/1000)*0.032)*2)+((((B61-76)/1000)*0.032)*2)+(((B61/1000)*0.019)*4)+(((C61/1000)*0.032)*2)+((((C61-38)/1000)*0.032)*2)+(((C61/1000)*0.038)*4),IF(AND(ISERROR(FIND("drawer front",A61))=FALSE,LEFT(WardrobeDoorStyle,14)="In-frame panel"),((((B61-76)/1000)*((C61-38)/1000))*2)+((MID(WardrobeDoorMaterial,FIND("(",WardrobeDoorMaterial)+1,2)/1000)*((((B61-76)+(C61-38))/1000)*2))+((((B61-236)/1000)+((C61-198)/1000)*2)*0.013)+(((B61/1000)*0.032)*2)+((((B61-76)/1000)*0.032)*2)+(((B61/1000)*0.019)*4)+(((C61/1000)*0.032)*2)+((((C61-38)/1000)*0.032)*2)+(((C61/1000)*0.038)*4),IF(ISERROR(FIND("drawer box",A61))=FALSE,((((B61/1000)*(D61/1000))+((B61/1000)*(C61/1000)))*4)+((((D61/1000)+(C61/1000))*0.016)*4)+(((C61/1000)*(D61/1000))*2),IF(OR(ISERROR(FIND("shelf",A61))=FALSE,ISERROR(FIND("Filler panel",A61))=FALSE),(((C61/1000)*(D61/1000))*2)+((((C61+D61)*2)/1000)*0.022),IF(ISERROR(FIND("Fireplace",A61))=FALSE,((B61/1000)*(C61/1000)),IF(ISERROR(FIND("Worktop",A61))=FALSE,(B61/1000)*(C61/1000),IF(ISERROR(FIND("table",A61))=FALSE,(B61/1000)*0.6,IF(ISERROR(FIND("arcass",A61))=FALSE,(((C61/1000)*(D61/1000))*2)+(((B61/1000)*(D61/1000))*2)+((B61/1000)*(C61/1000))+((((B61/1000)*0.025)+((C61/1000)*0.025))*2),IF(AND(ISERROR(FIND("door",A61))=FALSE,WardrobeDoorStyle="Flat"),(((B61/1000)*(C61/1000))*2)+(MID(WardrobeDoorMaterial,FIND("(",WardrobeDoorMaterial)+1,2)/1000)*(((B61+C61)/1000)*2),IF(AND(ISERROR(FIND("door",A61))=FALSE,LEFT(WardrobeDoorStyle,5)="Panel"),(((B61/1000)*(C61/1000))*2)+((MID(WardrobeDoorMaterial,FIND("(",WardrobeDoorMaterial)+1,2)/1000)*(((B61+C61)/1000)*2))+(((((B61-160)+(C61-160))*2)/1000)*(0.013)),IF(AND(ISERROR(FIND("door",A61))=FALSE,WardrobeDoorStyle="In-frame flat"),((((B61-76)/1000)*((C61-38)/1000))*2)+(MID(WardrobeDoorMaterial,FIND("(",WardrobeDoorMaterial)+1,2)/1000)*((((B61-76)+(C61-38))/1000)*2)+(((B61/1000)*0.032)*2)+((((B61-76)/1000)*0.032)*2)+(((B61/1000)*0.019)*4)+(((C61/1000)*0.032)*2)+((((C61-38)/1000)*0.032)*2)+(((C61/1000)*0.038)*4),IF(AND(ISERROR(FIND("door",A61))=FALSE,LEFT(WardrobeDoorStyle,14)="In-frame panel"),((((B61-76)/1000)*((C61-38)/1000))*2)+((MID(WardrobeDoorMaterial,FIND("(",WardrobeDoorMaterial)+1,2)/1000)*((((B61-76)+(C61-38))/1000)*2))+((((B61-236)/1000)+((C61-198)/1000)*2)*0.013)+(((B61/1000)*0.032)*2)+((((B61-76)/1000)*0.032)*2)+(((B61/1000)*0.019)*4)+(((C61/1000)*0.032)*2)+((((C61-38)/1000)*0.032)*2)+(((C61/1000)*0.038)*4),IF(ISERROR(FIND("Plinth",A61))=FALSE,((B61/1000)*(C61/1000))+(((C61/1000)*0.018)*2)+(((B61/1000)*0.018)*2),IF(ISERROR(FIND("Cornice",A61))=FALSE,(((C61/1000)*0.1)*2)+(((C61/1000)*0.044)*2)+(((B61/1000)*0.08)*2),IF(ISERROR(FIND("Office pod",A61))=FALSE,((2400/1000)*(1200/1000))*6,IF(ISERROR(FIND("panel",A61))=FALSE,((B61/1000)*(C61/1000))+(0.022*((B61/1000)+((C61/1000)*2)))+((B61/1000)*0.05),IF(ISERROR(FIND("Fillers",A61))=FALSE,((C61/1000)*0.06)+((C61/1000)*0.069)+((0.06*0.018)*2)+((0.06*0.009)*2)+((C61/1000)*0.009)+((C61/1000)*0.018),IF(ISERROR(FIND("Pelmet",A61))=FALSE,((C61/1000)*0.05)+((C61/1000)*0.068)+((0.05*0.018)*4)+(((C61/1000)*0.018))*2)))))))))))))))))))))</f>
        <v>4.5133</v>
      </c>
      <c r="N61" s="152">
        <f>IF(M61="","",IF(AND(ISERROR(FIND("carcass",A61))=TRUE,ISERROR(FIND("unit",A61))=TRUE,ISERROR(FIND("insert",A61))=TRUE,ISERROR(FIND("rack",A61))=TRUE,ISERROR(FIND("box",A61))=TRUE,ISERROR(FIND("shelf",A61))=TRUE),VLOOKUP(WardrobeDoorFinish,Finishing!$A$2:$K$10,9,0)*M61,IF(ISERROR(FIND("table",A61))=FALSE,VLOOKUP("Sayerlack AF0072 Interior Clear Self-Sealer",FinishingData,9,FALSE)*M61,VLOOKUP(WardrobeCarcassFinish,Finishing!$A$2:$K$40,9,0)*M61)))</f>
        <v>16.924875</v>
      </c>
      <c r="O61" s="159">
        <v>1.0</v>
      </c>
      <c r="P61" s="159">
        <v>1.0</v>
      </c>
      <c r="Q61" s="152">
        <f>IF(OR(O61="",P61=""),"",((O61*X61)*(VLOOKUP("Workshop",Labour!$A$3:$E$20,4,0)/8))+((P61*AE61)*(VLOOKUP("Finishing",Labour!$A$3:$E$20,4,0)/8)))</f>
        <v>71.75</v>
      </c>
      <c r="R61" s="152">
        <f t="shared" si="4"/>
        <v>272.452875</v>
      </c>
      <c r="S61" s="156">
        <f>IF(OR(O61="",P61=""),"",IF(OR(ISERROR(FIND("carcass",$A61))=FALSE,ISERROR(FIND("unit",$A61))=FALSE),VLOOKUP(WardrobeCarcassMaterial,FixedListsCarcassMaterial,2,0),0))</f>
        <v>1</v>
      </c>
      <c r="T61" s="156">
        <f>IF(OR(O61="",P61=""),"",IF(ISERROR(FIND("door",$A61))=FALSE,VLOOKUP(WardrobeDoorStyle,FixedListsDoorStyle,2,0),0))</f>
        <v>0</v>
      </c>
      <c r="U61" s="156">
        <f>IF(OR(O61="",P61=""),"",IF(ISERROR(FIND("door",$A61))=FALSE,VLOOKUP(WardrobeDoorMaterial,FixedListsDoorMaterial,2,0),0))</f>
        <v>0</v>
      </c>
      <c r="V61" s="156">
        <f>IF(OR(O61="",P61=""),"",IF(ISERROR(FIND("drawer",$A61))=FALSE,VLOOKUP(WardrobeDrawerType,FixedListsDrawerType,2,0),0))</f>
        <v>0</v>
      </c>
      <c r="W61" s="156">
        <f>IF(OR(O61="",P61=""),"",IF(S61&gt;0,VLOOKUP(WardrobeHandleType,FixedListsHandleType,2,FALSE),0))</f>
        <v>1</v>
      </c>
      <c r="X61" s="156">
        <f t="shared" si="5"/>
        <v>1</v>
      </c>
      <c r="Y61" s="156">
        <f>IF(OR(O61="",P61=""),"",IF(OR(ISERROR(FIND("carcass",$A61))=FALSE,ISERROR(FIND("unit",$A61))=FALSE),VLOOKUP(WardrobeCarcassMaterial,FixedListsCarcassMaterial,3,0),0))</f>
        <v>1</v>
      </c>
      <c r="Z61" s="156">
        <f>IF(OR(O61="",P61=""),"",IF(ISERROR(FIND("door",$A61))=FALSE,VLOOKUP(WardrobeDoorStyle,FixedListsDoorStyle,3,0),0))</f>
        <v>0</v>
      </c>
      <c r="AA61" s="156">
        <f>IF(OR(O61="",P61=""),"",IF(ISERROR(FIND("door",$A61))=FALSE,VLOOKUP(WardrobeDoorMaterial,FixedListsDoorMaterial,3,0),0))</f>
        <v>0</v>
      </c>
      <c r="AB61" s="156">
        <f>IF(OR(O61="",P61=""),"",IF(ISERROR(FIND("drawer",$A61))=FALSE,VLOOKUP(WardrobeDrawerType,FixedListsDrawerType,3,0),0))</f>
        <v>0</v>
      </c>
      <c r="AC61" s="156">
        <f>IF(OR(O61="",P61=""),"",IF(S61&gt;0,VLOOKUP(WardrobeHandleType,FixedListsHandleType,3,FALSE),0))</f>
        <v>1</v>
      </c>
      <c r="AD61" s="156">
        <f>IF(OR(O61="",P61=""),"",IF(OR(ISERROR(FIND("carcass",$A61))=FALSE,ISERROR(FIND("unit",$A61))=FALSE),VLOOKUP(WardrobeCarcassFinish,FixedListsFinishes,3,0),IF(OR(ISERROR(FIND("door",$A61))=FALSE,ISERROR(FIND("Plinth",$A61))=FALSE,ISERROR(FIND("Cornice",$A61))=FALSE,ISERROR(FIND("Fillers",$A61))=FALSE,ISERROR(FIND("Pelmet",$A61))=FALSE,ISERROR(FIND("panel",$A61))=FALSE,ISERROR(FIND("post",$A61))=FALSE),VLOOKUP(WardrobeDoorFinish,FixedListsFinishes,3,0),IF(OR(ISERROR(FIND("drawer",$A61))=FALSE,ISERROR(FIND("insert",$A61))=FALSE,ISERROR(FIND("rck",$A61))=FALSE),VLOOKUP(WardrobeCarcassFinish,FixedListsFinishes,3,0),0))))</f>
        <v>1</v>
      </c>
      <c r="AE61" s="156">
        <f t="shared" si="6"/>
        <v>1</v>
      </c>
      <c r="AF61" s="157" t="str">
        <f>IF(AND(WardrobeHandleType="Channel",OR(ISERROR(FIND("arcass",$A61))=FALSE,ISERROR(FIND("unit",$A61))=FALSE)),IF(ISERROR(FIND("Tower",$A61))=TRUE,IF(WardrobeHandleFinish="Match carcass",IF(ISERROR(FIND("Walnut",WardrobeCarcassMaterial))=FALSE,(0.035*0.075*($C61/1000))*VLOOKUP("Walnut (solid m3)",SolidData,4,FALSE),IF(ISERROR(FIND("Oak",WardrobeCarcassMaterial))=FALSE,(0.035*0.075*($C61/1000))*VLOOKUP("Oak (solid m3)",SolidData,4,FALSE),IF(ISERROR(FIND("ply",WardrobeCarcassMaterial))=FALSE,(0.1*($C61/1000))*VLOOKUP("Birch ply (24mm)",SheetsData,7,FALSE),IF(ISERROR(FIND("H/F",WardrobeCarcassMaterial))=FALSE,(0.1*($C61/1000))*VLOOKUP("H/F (22mm)",SheetsData,7,FALSE),"Carcass - not tower - new material")))),IF(WardrobeHandleFinish="Match door",IF(ISERROR(FIND("Walnut",WardrobeDoorMaterial))=FALSE,(0.035*0.075*($C61/1000))*VLOOKUP("Walnut (solid m3)",SolidData,4,FALSE),IF(ISERROR(FIND("Oak",WardrobeDoorMaterial))=FALSE,(0.035*0.075*($C61/1000))*VLOOKUP("Oak (solid m3)",SolidData,4,FALSE),IF(ISERROR(FIND("ply",WardrobeDoorMaterial))=FALSE,(0.1*($C61/1000))*VLOOKUP("Birch ply (24mm)",SheetsData,7,FALSE),IF(ISERROR(FIND("H/F",WardrobeCarcassMaterial))=FALSE,(0.1*($C61/1000))*VLOOKUP("H/F (22mm)",SheetsData,7,FALSE),"Door - not tower - new material")))),"Channel - not tower - handle set to other")),IF(ISERROR(FIND("Tower",$A61))=FALSE,IF(WardrobeHandleFinish="Match carcass",IF(ISERROR(FIND("Walnut",WardrobeCarcassMaterial))=FALSE,(0.035*0.075*($B61/1000))*VLOOKUP("Walnut (solid m3)",SolidData,4,FALSE),IF(ISERROR(FIND("Oak",WardrobeCarcassMaterial))=FALSE,(0.035*0.075*($B61/1000))*VLOOKUP("Oak (solid m3)",SolidData,4,FALSE),IF(ISERROR(FIND("ply",WardrobeCarcassMaterial))=FALSE,(0.1*($B61/1000))*VLOOKUP("Birch ply (24mm)",SheetsData,7,FALSE),IF(ISERROR(FIND("H/F",WardrobeCarcassMaterial))=FALSE,(0.1*($C61/1000))*VLOOKUP("H/F (22mm)",SheetsData,7,FALSE),"Carcass - tower - new material")))),IF(WardrobeHandleFinish="Match door",IF(ISERROR(FIND("Walnut",WardrobeDoorMaterial))=FALSE,(0.035*0.075*($B61/1000))*VLOOKUP("Walnut (solid m3)",SolidData,4,FALSE),IF(ISERROR(FIND("Oak",WardrobeDoorMaterial))=FALSE,(0.035*0.075*($B61/1000))*VLOOKUP("Oak (solid m3)",SolidData,4,FALSE),IF(ISERROR(FIND("ply",WardrobeDoorMaterial))=FALSE,(0.1*($B61/1000))*VLOOKUP("Birch ply (24mm)",SheetData,7,FALSE),IF(ISERROR(FIND("H/F",WardrobeCarcassMaterial))=FALSE,(0.1*($C61/1000))*VLOOKUP("H/F (22mm)",SheetsData,7,FALSE),"Door - tower - new material")))),"Channel - tower - handle set to other")))),"")</f>
        <v/>
      </c>
    </row>
    <row r="62">
      <c r="A62" s="150" t="s">
        <v>215</v>
      </c>
      <c r="B62" s="160" t="str">
        <f t="shared" si="1"/>
        <v>80</v>
      </c>
      <c r="C62" s="160" t="str">
        <f>IFERROR(__xludf.DUMMYFUNCTION("IF(A62="""","""",IF(ISERROR(FIND(""arcass"",A62))=FALSE,MID(A62,FIND(""*"",A62)+1,FIND(""*"",A62,FIND(""*"",A62)+1)-FIND(""*"",A62)-1),IF(ISERROR(FIND(""End panel"",A62))=FALSE,RIGHT(A62,3),IF(OR(ISERROR(FIND(""drawer"",A62))=FALSE,ISERROR(FIND(""door"",A"&amp;"62))=FALSE,ISERROR(FIND(""shelf"",A62))=FALSE,ISERROR(FIND(""panel"",A62))=FALSE,ISERROR(FIND(""Plinth"",A62))=FALSE,ISERROR(FIND(""Cornice"",A62))=FALSE,ISERROR(FIND(""Fillers"",A62))=FALSE,ISERROR(FIND(""Pelmet"",A62))=FALSE,ISERROR(FIND(""Fireplace up "&amp;"to 1600"",A62))=FALSE),RIGHT(A62,LEN(A62)-LEN(regexextract(A62,"".* ""))),IF(ISERROR(FIND(""table"",A62))=FALSE,""560"",IF(ISERROR(FIND(""Office pod"",A62))=FALSE,""1600"",IF(ISERROR(FIND(""Fireplace over 1600"",A62))=FALSE,""2400"",IF(ISERROR(FIND(""Work"&amp;"top"",A62))=FALSE,""650"",""Whoops""))))))))"),"2400")</f>
        <v>2400</v>
      </c>
      <c r="D62" s="161" t="str">
        <f t="shared" si="2"/>
        <v/>
      </c>
      <c r="E62" s="152">
        <f>IF(OR(A62="",AND(ISERROR(FIND("drawer",A62))=FALSE,WardrobeDrawerType="")),"",IF(ISERROR(FIND("door",A62))=FALSE,IF(WardrobeDoorStyle="Flat",((B62/1000)*(C62/1000))*VLOOKUP(WardrobeDoorMaterial,SheetsData,8,0),IF(LEFT(WardrobeDoorStyle,5)="Panel",(((((B62/1000)*2)*0.08)+((((C62/1000)-0.16)*2)*0.08))*VLOOKUP("H/F (22mm)",SheetsData,8,0))+(((B62/1000)-0.14)*((C62/1000)-0.14)*VLOOKUP("H/F (9mm)",SheetsData,8,0)),IF(WardrobeDoorStyle="In-frame flat",((((((B62/1000)*0.019)*0.038)+((((C62-38)/1000)*0.038)*0.038))*2)*VLOOKUP("Tulip (solid m3)",SolidData,4,0))+(((B62-76)/1000)*((C62-38)/1000))*VLOOKUP("H/F (22mm)",SheetsData,8,0),IF(LEFT(WardrobeDoorStyle,14)="In-frame panel",(((((((B62/1000)*0.019)*0.038)+((((C62-38)/1000)*0.038)*0.038))*2)*VLOOKUP("Tulip (solid m3)",SolidData,4,0))+(((((((B62-76)/1000)*2)*0.08)+(((((C62-198)/1000)*2)*0.08)))*VLOOKUP("H/F (22mm)",SheetsData,8,0))+(((B62-216)/1000)*((C62-178)/1000)*VLOOKUP("H/F (9mm)",SheetsData,8,0)))))))),IF(AND(ISERROR(FIND("arcass",A62))=FALSE,ISERROR(FIND("ost corner",A62))=TRUE),IF(AND(VALUE(B62)&lt;1211,VALUE(C62)&lt;1211,VALUE(D62)&lt;606),1*VLOOKUP(WardrobeCarcassMaterial,SheetsData,5,FALSE),IF(AND(VALUE(B62)&lt;2421,VALUE(C62)&lt;2421,VALUE(D62)&lt;606),2*VLOOKUP(WardrobeCarcassMaterial,SheetsData,5,FALSE),IF(AND(VALUE(B62)&lt;2421,VALUE(C62)&lt;1211,VALUE(D62)&lt;1211),3*VLOOKUP(WardrobeCarcassMaterial,SheetsData,5,FALSE),IF(AND(VALUE(B62)&lt;2421,VALUE(C62)&lt;2421,VALUE(D62)&lt;1211),4*VLOOKUP(WardrobeCarcassMaterial,SheetsData,5,FALSE))))),IF(AND(ISERROR(FIND("arcass",A62))=FALSE,ISERROR(FIND("ost corner",A62))=FALSE),IF(AND(VALUE(B62)&lt;1211,VALUE(C62)&lt;1211,VALUE(D62)&lt;606),(1*VLOOKUP(WardrobeCarcassMaterial,SheetsData,5,FALSE))+(VLOOKUP("H/F (22mm)",SheetsData,7,FALSE)*1.44),IF(AND(VALUE(B62)&lt;2421,VALUE(C62)&lt;2421,VALUE(D62)&lt;606),(2*VLOOKUP(WardrobeCarcassMaterial,SheetsData,5,FALSE))+(VLOOKUP("H/F (22mm)",SheetsData,7,FALSE)*1.44),IF(AND(VALUE(B62)&lt;2421,VALUE(C62)&lt;1211,VALUE(D62)&lt;1211),(3*VLOOKUP(WardrobeCarcassMaterial,SheetsData,5,FALSE))+(VLOOKUP("H/F (22mm)",SheetsData,7,FALSE)*1.44),IF(AND(VALUE(B62)&lt;2421,VALUE(C62)&lt;2421,VALUE(D62)&lt;1211),(4*VLOOKUP(WardrobeCarcassMaterial,SheetsData,5,FALSE))+(VLOOKUP("H/F (22mm)",SheetsData,7,FALSE)*1.44))))),IF(ISERROR(FIND("drawer front",A62))=FALSE,((B62/1000)*(C62/1000))*VLOOKUP(WardrobeDoorMaterial,SheetsData,8,0),IF(AND(WardrobeDrawerType="Match carcass",ISERROR(FIND("drawer box",A62))=FALSE),(((((B62/1000)*(C62/1000))+((B62/1000)*(D62/1000)))*2)*VLOOKUP(WardrobeCarcassMaterial,SheetsData,8,0))+(((C62/1000)*(D62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box",A62))=FALSE),(((((B62/1000)*(C62/1000))+((B62/1000)*(D62/1000)))*2)*(16/1000)*VLOOKUP(LEFT(WardrobeCarcassMaterial,FIND(" ",WardrobeCarcassMaterial))&amp;"(solid m3)",SolidData,4,0))+(((C62/1000)*(D62/1000))*VLOOKUP(LEFT(WardrobeCarcassMaterial,FIND("(",WardrobeCarcassMaterial)-1)&amp;IF(OR(ISERROR(FIND("ply",WardrobeCarcassMaterial))=FALSE,ISERROR(FIND("H/F",WardrobeCarcassMaterial))=FALSE),"(9mm)","(10mm)"),SheetsData,8,0)),IF(ISERROR(FIND("shelf",A62))=FALSE,((C62/1000)*(D62/1000))*VLOOKUP(WardrobeCarcassMaterial,SheetsData,7,FALSE),IF(ISERROR(FIND("Office pod",A62))=FALSE,3*VLOOKUP(WardrobeCarcassMaterial,SheetsData,5,0),IF(ISERROR(FIND(" panel",A62))=FALSE,((B62/1000)*(C62/1000))*VLOOKUP(WardrobeDoorMaterial,SheetsData,8,0),IF(ISERROR(FIND("Fillers",A62))=FALSE,(((0.06*(C62/1000))*2)*VLOOKUP("H/F (18mm)",SheetsData,8,0))+(((0.06*(C62/1000))*2)*VLOOKUP("H/F (9mm)",SheetsData,8,0)),IF(ISERROR(FIND("Cornice (stacked)",A62))=FALSE,((0.08*(C62/1000))*2)*VLOOKUP("H/F (22mm)",SheetsData,8,0),IF(OR(ISERROR(FIND("Plinth",A62))=FALSE,ISERROR(FIND("Cornice (flat)",A62))=FALSE),((B62/1000)*(C62/1000))*VLOOKUP("H/F (18mm)",SheetsData,8,0),IF(ISERROR(FIND("Pelmet",A62))=FALSE,((((B62/1000)*(C62/1000))*2)*VLOOKUP("H/F (18mm)",SheetsData,8,0)),IF(ISERROR(FIND("Fireplace",A62))=FALSE,IF(ISERROR(FIND("over 1600",A62))=FALSE,2*VLOOKUP(WardrobeCarcassMaterial,SheetsData,5,FALSE),VLOOKUP(WardrobeCarcassMaterial,SheetsData,5,FALSE)),IF(ISERROR(FIND("table",A62))=FALSE,((B62/1000)*0.6)*VLOOKUP("Birch ply (24mm)",SheetsData,7,FALSE),IF(ISERROR(FIND("Worktop",A62))=FALSE,((B62/1000)*(C62/1000))*VLOOKUP(WardrobeDoorMaterial,SheetsData,7,FALSE),"Check formula")))))))))))))))))</f>
        <v>7.10615426</v>
      </c>
      <c r="F62" s="152" t="str">
        <f>IFERROR(__xludf.DUMMYFUNCTION("IF(OR(A62="""",AND(ISERROR(FIND(""drawer box"",A62))=FALSE,WardrobeDrawerType=""Solid dovetail"")),"""",IF(ISERROR(FIND(""bins"",A62))=FALSE,VLOOKUP(""Base carcass 600"",Wardrobes_etcData,6,0),IF(OR(ISERROR(FIND(""larder"",A62))=FALSE,ISERROR(FIND(""unit"&amp;""",A62))=FALSE),VLOOKUP(LEFT(A62,FIND("" "",A62))&amp;""carcass ""&amp;RIGHT(A62,LEN(A62)-len(regexextract(A62,"".* ""))),Wardrobes_etcData,6,0),IF(ISERROR(FIND(""drawer front"",A62))=FALSE,IF(ISERROR(FIND(""veneer"",WardrobeCarcassMaterial))=TRUE,0,(((B62+C62)/1"&amp;"000)*2)*VLOOKUP(""Edge banding (per M)"",SheetsData,5,0)),IF(ISERROR(FIND(""drawer box"",A62))=FALSE,IF(ISERROR(FIND(""veneer"",WardrobeCarcassMaterial))=TRUE,0,(((C62+D62)/1000)*2)*VLOOKUP(""Edge banding (per M)"",SheetsData,5,0)),IF(ISERROR(FIND(""shelf"&amp;""",A62))=FALSE,IF(ISERROR(FIND(""veneer"",WardrobeCarcassMaterial))=TRUE,0,(C62/1000)*VLOOKUP(""Edge banding (per M)"",SheetsData,5,0)),IF(AND(OR(ISERROR(FIND(""arcass"",A62))=FALSE,ISERROR(FIND(""Fireplace"",A62))=FALSE),ISERROR(FIND(""shelf"",A62))=TRUE"&amp;"),IF(ISERROR(FIND(""veneer"",WardrobeCarcassMaterial))=TRUE,0,((2*(B62+C62))/1000)*VLOOKUP(""Edge banding (per M)"",SheetsData,5,0)),IF(ISERROR(FIND(""door"",A62))=TRUE,"""",IF(ISERROR(FIND(""veneer"",WardrobeDoorMaterial))=TRUE,"""",((2*(B62+C62))/1000)*"&amp;"VLOOKUP(""Edge banding (per M)"",SheetsData,5,0))))))))))"),"")</f>
        <v/>
      </c>
      <c r="G62" s="153" t="str">
        <f>IF(A62="","",IF(AND(ISERROR(FIND("arcass",A62))=TRUE,ISERROR(FIND("Fireplace",A62))=TRUE),"",IF(VALUE(C62)&lt;606,4*VLOOKUP("Plinth foot (2 Parts 80mm)",FurnitureData,5,FALSE),IF(VALUE(C62)&lt;1211,6*VLOOKUP("Plinth foot (2 Parts 80mm)",FurnitureData,5,FALSE),8*VLOOKUP("Plinth foot (2 Parts 80mm)",FurnitureData,5,FALSE)))))</f>
        <v/>
      </c>
      <c r="H62" s="115" t="str">
        <f>IF(OR(A62="",ISERROR(FIND("door",A62))=TRUE),"",VLOOKUP("Hinges &amp; plates (Hettich thick door)",FurnitureData,5,0)*5)</f>
        <v/>
      </c>
      <c r="I62" s="115" t="str">
        <f>IF(ISERROR(FIND("shelf",A62))=FALSE,(VLOOKUP("Shelf pegs",FurnitureData,5,0)/100)*4,"")</f>
        <v/>
      </c>
      <c r="J62" s="152" t="str">
        <f>IF(OR(ISERROR(FIND("fridge/freezer",A62))=FALSE,ISERROR(FIND("sink",A62))=FALSE,ISERROR(FIND("larder",A62))=FALSE),VLOOKUP("Deep shelf "&amp;C62,Wardrobes_etcData,18,0),IF(OR(ISERROR(FIND("single oven",A62))=FALSE,ISERROR(FIND("Base carcass",A62))=FALSE),2*VLOOKUP("Deep shelf "&amp;C62,Wardrobes_etcData,18,0),IF(AND(ISERROR(FIND("wall carcass",A62))=FALSE,ISERROR(FIND("Boiler",A62))=TRUE),2*VLOOKUP("Shallow shelf "&amp;C62,Wardrobes_etcData,18,0),IF(ISERROR(FIND("double oven",A62))=FALSE,3*VLOOKUP("Deep shelf "&amp;C62,Wardrobes_etcData,18,0),IF(ISERROR(FIND("Tower carcass",A62))=FALSE,6*VLOOKUP("Deep shelf "&amp;C62,Wardrobes_etcData,18,0),"")))))</f>
        <v/>
      </c>
      <c r="K62" s="152" t="str">
        <f>IF(ISERROR(FIND("sink",A62))=FALSE,VLOOKUP("Sink liner - Aluminium "&amp;RIGHT(A62,LEN(A62)-22)&amp;"mm",ExceptionalData,5,0),IF(ISERROR(FIND("bins",A62))=FALSE,VLOOKUP("Drawer runners and clip set for bin unit (500) Dynapro",FurnitureData,5,0)+(2*VLOOKUP("Bin (42L Anthracite)",FurnitureData,5,0)),IF(ISERROR(FIND("larder",A62))=FALSE,VLOOKUP("Pull out larder unit 600mm",FurnitureData,5,0),IF(AND(ISERROR(FIND("drawer box",A62))=FALSE,ISERROR(FIND("internal",A62))=TRUE),VLOOKUP("Drawer runners and clip set (550) Dynapro",FurnitureData,5,0),IF(ISERROR(FIND("internal drawer box",A62))=FALSE,VLOOKUP("Drawer runners and clip set (450) Dynapro",FurnitureData,5,0),IF(ISERROR(FIND("table",A62))=FALSE,VLOOKUP("Hairpin Leg (12mm Black "&amp;MID(A62,FIND("(",A62)+1,LEN(A62)-(FIND("(",A62))-1)&amp;"mm)",ExceptionalData,4,FALSE),""))))))</f>
        <v/>
      </c>
      <c r="L62" s="152">
        <f t="shared" si="3"/>
        <v>7.10615426</v>
      </c>
      <c r="M62" s="154">
        <f>IF(A62="","",IF(AND(ISERROR(FIND("drawer front",A62))=FALSE,WardrobeDoorStyle="Flat"),(((B62/1000)*(C62/1000))*2)+((((B62+C62)/1000)*2)*0.022),IF(AND(ISERROR(FIND("drawer front",A62))=FALSE,LEFT(WardrobeDoorStyle,5)="Panel"),(((B62/1000)*(C62/1000))*2)+((((B62+C62)/1000)*2)*0.022)+((((C62/1000)-0.16)*0.013)*2)+((((D62/1000)-0.16)*0.013)*2),IF(AND(ISERROR(FIND("drawer front",A62))=FALSE,WardrobeDoorStyle="In-frame flat"),((((B62-76)/1000)*((C62-38)/1000))*2)+(MID(WardrobeDoorMaterial,FIND("(",WardrobeDoorMaterial)+1,2)/1000)*((((B62-76)+(C62-38))/1000)*2)+(((B62/1000)*0.032)*2)+((((B62-76)/1000)*0.032)*2)+(((B62/1000)*0.019)*4)+(((C62/1000)*0.032)*2)+((((C62-38)/1000)*0.032)*2)+(((C62/1000)*0.038)*4),IF(AND(ISERROR(FIND("drawer front",A62))=FALSE,LEFT(WardrobeDoorStyle,14)="In-frame panel"),((((B62-76)/1000)*((C62-38)/1000))*2)+((MID(WardrobeDoorMaterial,FIND("(",WardrobeDoorMaterial)+1,2)/1000)*((((B62-76)+(C62-38))/1000)*2))+((((B62-236)/1000)+((C62-198)/1000)*2)*0.013)+(((B62/1000)*0.032)*2)+((((B62-76)/1000)*0.032)*2)+(((B62/1000)*0.019)*4)+(((C62/1000)*0.032)*2)+((((C62-38)/1000)*0.032)*2)+(((C62/1000)*0.038)*4),IF(ISERROR(FIND("drawer box",A62))=FALSE,((((B62/1000)*(D62/1000))+((B62/1000)*(C62/1000)))*4)+((((D62/1000)+(C62/1000))*0.016)*4)+(((C62/1000)*(D62/1000))*2),IF(OR(ISERROR(FIND("shelf",A62))=FALSE,ISERROR(FIND("Filler panel",A62))=FALSE),(((C62/1000)*(D62/1000))*2)+((((C62+D62)*2)/1000)*0.022),IF(ISERROR(FIND("Fireplace",A62))=FALSE,((B62/1000)*(C62/1000)),IF(ISERROR(FIND("Worktop",A62))=FALSE,(B62/1000)*(C62/1000),IF(ISERROR(FIND("table",A62))=FALSE,(B62/1000)*0.6,IF(ISERROR(FIND("arcass",A62))=FALSE,(((C62/1000)*(D62/1000))*2)+(((B62/1000)*(D62/1000))*2)+((B62/1000)*(C62/1000))+((((B62/1000)*0.025)+((C62/1000)*0.025))*2),IF(AND(ISERROR(FIND("door",A62))=FALSE,WardrobeDoorStyle="Flat"),(((B62/1000)*(C62/1000))*2)+(MID(WardrobeDoorMaterial,FIND("(",WardrobeDoorMaterial)+1,2)/1000)*(((B62+C62)/1000)*2),IF(AND(ISERROR(FIND("door",A62))=FALSE,LEFT(WardrobeDoorStyle,5)="Panel"),(((B62/1000)*(C62/1000))*2)+((MID(WardrobeDoorMaterial,FIND("(",WardrobeDoorMaterial)+1,2)/1000)*(((B62+C62)/1000)*2))+(((((B62-160)+(C62-160))*2)/1000)*(0.013)),IF(AND(ISERROR(FIND("door",A62))=FALSE,WardrobeDoorStyle="In-frame flat"),((((B62-76)/1000)*((C62-38)/1000))*2)+(MID(WardrobeDoorMaterial,FIND("(",WardrobeDoorMaterial)+1,2)/1000)*((((B62-76)+(C62-38))/1000)*2)+(((B62/1000)*0.032)*2)+((((B62-76)/1000)*0.032)*2)+(((B62/1000)*0.019)*4)+(((C62/1000)*0.032)*2)+((((C62-38)/1000)*0.032)*2)+(((C62/1000)*0.038)*4),IF(AND(ISERROR(FIND("door",A62))=FALSE,LEFT(WardrobeDoorStyle,14)="In-frame panel"),((((B62-76)/1000)*((C62-38)/1000))*2)+((MID(WardrobeDoorMaterial,FIND("(",WardrobeDoorMaterial)+1,2)/1000)*((((B62-76)+(C62-38))/1000)*2))+((((B62-236)/1000)+((C62-198)/1000)*2)*0.013)+(((B62/1000)*0.032)*2)+((((B62-76)/1000)*0.032)*2)+(((B62/1000)*0.019)*4)+(((C62/1000)*0.032)*2)+((((C62-38)/1000)*0.032)*2)+(((C62/1000)*0.038)*4),IF(ISERROR(FIND("Plinth",A62))=FALSE,((B62/1000)*(C62/1000))+(((C62/1000)*0.018)*2)+(((B62/1000)*0.018)*2),IF(ISERROR(FIND("Cornice",A62))=FALSE,(((C62/1000)*0.1)*2)+(((C62/1000)*0.044)*2)+(((B62/1000)*0.08)*2),IF(ISERROR(FIND("Office pod",A62))=FALSE,((2400/1000)*(1200/1000))*6,IF(ISERROR(FIND("panel",A62))=FALSE,((B62/1000)*(C62/1000))+(0.022*((B62/1000)+((C62/1000)*2)))+((B62/1000)*0.05),IF(ISERROR(FIND("Fillers",A62))=FALSE,((C62/1000)*0.06)+((C62/1000)*0.069)+((0.06*0.018)*2)+((0.06*0.009)*2)+((C62/1000)*0.009)+((C62/1000)*0.018),IF(ISERROR(FIND("Pelmet",A62))=FALSE,((C62/1000)*0.05)+((C62/1000)*0.068)+((0.05*0.018)*4)+(((C62/1000)*0.018))*2)))))))))))))))))))))</f>
        <v>0.37764</v>
      </c>
      <c r="N62" s="152">
        <f>IF(M62="","",IF(AND(ISERROR(FIND("carcass",A62))=TRUE,ISERROR(FIND("unit",A62))=TRUE,ISERROR(FIND("insert",A62))=TRUE,ISERROR(FIND("rack",A62))=TRUE,ISERROR(FIND("box",A62))=TRUE,ISERROR(FIND("shelf",A62))=TRUE),VLOOKUP(WardrobeDoorFinish,Finishing!$A$2:$K$10,9,0)*M62,IF(ISERROR(FIND("table",A62))=FALSE,VLOOKUP("Sayerlack AF0072 Interior Clear Self-Sealer",FinishingData,9,FALSE)*M62,VLOOKUP(WardrobeCarcassFinish,Finishing!$A$2:$K$40,9,0)*M62)))</f>
        <v>2.8323</v>
      </c>
      <c r="O62" s="159">
        <v>1.0</v>
      </c>
      <c r="P62" s="159">
        <v>1.0</v>
      </c>
      <c r="Q62" s="152">
        <f>IF(OR(O62="",P62=""),"",((O62*X62)*(VLOOKUP("Workshop",Labour!$A$3:$E$20,4,0)/8))+((P62*AE62)*(VLOOKUP("Finishing",Labour!$A$3:$E$20,4,0)/8)))</f>
        <v>99.75</v>
      </c>
      <c r="R62" s="152">
        <f t="shared" si="4"/>
        <v>109.6884543</v>
      </c>
      <c r="S62" s="156">
        <f>IF(OR(O62="",P62=""),"",IF(OR(ISERROR(FIND("carcass",$A62))=FALSE,ISERROR(FIND("unit",$A62))=FALSE),VLOOKUP(WardrobeCarcassMaterial,FixedListsCarcassMaterial,2,0),0))</f>
        <v>0</v>
      </c>
      <c r="T62" s="156">
        <f>IF(OR(O62="",P62=""),"",IF(ISERROR(FIND("door",$A62))=FALSE,VLOOKUP(WardrobeDoorStyle,FixedListsDoorStyle,2,0),0))</f>
        <v>0</v>
      </c>
      <c r="U62" s="156">
        <f>IF(OR(O62="",P62=""),"",IF(ISERROR(FIND("door",$A62))=FALSE,VLOOKUP(WardrobeDoorMaterial,FixedListsDoorMaterial,2,0),0))</f>
        <v>0</v>
      </c>
      <c r="V62" s="156">
        <f>IF(OR(O62="",P62=""),"",IF(ISERROR(FIND("drawer",$A62))=FALSE,VLOOKUP(WardrobeDrawerType,FixedListsDrawerType,2,0),0))</f>
        <v>0</v>
      </c>
      <c r="W62" s="156">
        <f>IF(OR(O62="",P62=""),"",IF(S62&gt;0,VLOOKUP(WardrobeHandleType,FixedListsHandleType,2,FALSE),0))</f>
        <v>0</v>
      </c>
      <c r="X62" s="156">
        <f t="shared" si="5"/>
        <v>1</v>
      </c>
      <c r="Y62" s="156">
        <f>IF(OR(O62="",P62=""),"",IF(OR(ISERROR(FIND("carcass",$A62))=FALSE,ISERROR(FIND("unit",$A62))=FALSE),VLOOKUP(WardrobeCarcassMaterial,FixedListsCarcassMaterial,3,0),0))</f>
        <v>0</v>
      </c>
      <c r="Z62" s="156">
        <f>IF(OR(O62="",P62=""),"",IF(ISERROR(FIND("door",$A62))=FALSE,VLOOKUP(WardrobeDoorStyle,FixedListsDoorStyle,3,0),0))</f>
        <v>0</v>
      </c>
      <c r="AA62" s="156">
        <f>IF(OR(O62="",P62=""),"",IF(ISERROR(FIND("door",$A62))=FALSE,VLOOKUP(WardrobeDoorMaterial,FixedListsDoorMaterial,3,0),0))</f>
        <v>0</v>
      </c>
      <c r="AB62" s="156">
        <f>IF(OR(O62="",P62=""),"",IF(ISERROR(FIND("drawer",$A62))=FALSE,VLOOKUP(WardrobeDrawerType,FixedListsDrawerType,3,0),0))</f>
        <v>0</v>
      </c>
      <c r="AC62" s="156">
        <f>IF(OR(O62="",P62=""),"",IF(S62&gt;0,VLOOKUP(WardrobeHandleType,FixedListsHandleType,3,FALSE),0))</f>
        <v>0</v>
      </c>
      <c r="AD62" s="156">
        <f>IF(OR(O62="",P62=""),"",IF(OR(ISERROR(FIND("carcass",$A62))=FALSE,ISERROR(FIND("unit",$A62))=FALSE),VLOOKUP(WardrobeCarcassFinish,FixedListsFinishes,3,0),IF(OR(ISERROR(FIND("door",$A62))=FALSE,ISERROR(FIND("Plinth",$A62))=FALSE,ISERROR(FIND("Cornice",$A62))=FALSE,ISERROR(FIND("Fillers",$A62))=FALSE,ISERROR(FIND("Pelmet",$A62))=FALSE,ISERROR(FIND("panel",$A62))=FALSE,ISERROR(FIND("post",$A62))=FALSE),VLOOKUP(WardrobeDoorFinish,FixedListsFinishes,3,0),IF(OR(ISERROR(FIND("drawer",$A62))=FALSE,ISERROR(FIND("insert",$A62))=FALSE,ISERROR(FIND("rck",$A62))=FALSE),VLOOKUP(WardrobeCarcassFinish,FixedListsFinishes,3,0),0))))</f>
        <v>2</v>
      </c>
      <c r="AE62" s="156">
        <f t="shared" si="6"/>
        <v>2</v>
      </c>
      <c r="AF62" s="157" t="str">
        <f>IF(AND(WardrobeHandleType="Channel",OR(ISERROR(FIND("arcass",$A62))=FALSE,ISERROR(FIND("unit",$A62))=FALSE)),IF(ISERROR(FIND("Tower",$A62))=TRUE,IF(WardrobeHandleFinish="Match carcass",IF(ISERROR(FIND("Walnut",WardrobeCarcassMaterial))=FALSE,(0.035*0.075*($C62/1000))*VLOOKUP("Walnut (solid m3)",SolidData,4,FALSE),IF(ISERROR(FIND("Oak",WardrobeCarcassMaterial))=FALSE,(0.035*0.075*($C62/1000))*VLOOKUP("Oak (solid m3)",SolidData,4,FALSE),IF(ISERROR(FIND("ply",WardrobeCarcassMaterial))=FALSE,(0.1*($C62/1000))*VLOOKUP("Birch ply (24mm)",SheetsData,7,FALSE),IF(ISERROR(FIND("H/F",WardrobeCarcassMaterial))=FALSE,(0.1*($C62/1000))*VLOOKUP("H/F (22mm)",SheetsData,7,FALSE),"Carcass - not tower - new material")))),IF(WardrobeHandleFinish="Match door",IF(ISERROR(FIND("Walnut",WardrobeDoorMaterial))=FALSE,(0.035*0.075*($C62/1000))*VLOOKUP("Walnut (solid m3)",SolidData,4,FALSE),IF(ISERROR(FIND("Oak",WardrobeDoorMaterial))=FALSE,(0.035*0.075*($C62/1000))*VLOOKUP("Oak (solid m3)",SolidData,4,FALSE),IF(ISERROR(FIND("ply",WardrobeDoorMaterial))=FALSE,(0.1*($C62/1000))*VLOOKUP("Birch ply (24mm)",SheetsData,7,FALSE),IF(ISERROR(FIND("H/F",WardrobeCarcassMaterial))=FALSE,(0.1*($C62/1000))*VLOOKUP("H/F (22mm)",SheetsData,7,FALSE),"Door - not tower - new material")))),"Channel - not tower - handle set to other")),IF(ISERROR(FIND("Tower",$A62))=FALSE,IF(WardrobeHandleFinish="Match carcass",IF(ISERROR(FIND("Walnut",WardrobeCarcassMaterial))=FALSE,(0.035*0.075*($B62/1000))*VLOOKUP("Walnut (solid m3)",SolidData,4,FALSE),IF(ISERROR(FIND("Oak",WardrobeCarcassMaterial))=FALSE,(0.035*0.075*($B62/1000))*VLOOKUP("Oak (solid m3)",SolidData,4,FALSE),IF(ISERROR(FIND("ply",WardrobeCarcassMaterial))=FALSE,(0.1*($B62/1000))*VLOOKUP("Birch ply (24mm)",SheetsData,7,FALSE),IF(ISERROR(FIND("H/F",WardrobeCarcassMaterial))=FALSE,(0.1*($C62/1000))*VLOOKUP("H/F (22mm)",SheetsData,7,FALSE),"Carcass - tower - new material")))),IF(WardrobeHandleFinish="Match door",IF(ISERROR(FIND("Walnut",WardrobeDoorMaterial))=FALSE,(0.035*0.075*($B62/1000))*VLOOKUP("Walnut (solid m3)",SolidData,4,FALSE),IF(ISERROR(FIND("Oak",WardrobeDoorMaterial))=FALSE,(0.035*0.075*($B62/1000))*VLOOKUP("Oak (solid m3)",SolidData,4,FALSE),IF(ISERROR(FIND("ply",WardrobeDoorMaterial))=FALSE,(0.1*($B62/1000))*VLOOKUP("Birch ply (24mm)",SheetData,7,FALSE),IF(ISERROR(FIND("H/F",WardrobeCarcassMaterial))=FALSE,(0.1*($C62/1000))*VLOOKUP("H/F (22mm)",SheetsData,7,FALSE),"Door - tower - new material")))),"Channel - tower - handle set to other")))),"")</f>
        <v/>
      </c>
    </row>
    <row r="63">
      <c r="A63" s="150"/>
      <c r="B63" s="160" t="str">
        <f t="shared" si="1"/>
        <v/>
      </c>
      <c r="C63" s="160" t="str">
        <f>IFERROR(__xludf.DUMMYFUNCTION("IF(A63="""","""",IF(ISERROR(FIND(""arcass"",A63))=FALSE,MID(A63,FIND(""*"",A63)+1,FIND(""*"",A63,FIND(""*"",A63)+1)-FIND(""*"",A63)-1),IF(ISERROR(FIND(""End panel"",A63))=FALSE,RIGHT(A63,3),IF(OR(ISERROR(FIND(""drawer"",A63))=FALSE,ISERROR(FIND(""door"",A"&amp;"63))=FALSE,ISERROR(FIND(""shelf"",A63))=FALSE,ISERROR(FIND(""panel"",A63))=FALSE,ISERROR(FIND(""Plinth"",A63))=FALSE,ISERROR(FIND(""Cornice"",A63))=FALSE,ISERROR(FIND(""Fillers"",A63))=FALSE,ISERROR(FIND(""Pelmet"",A63))=FALSE,ISERROR(FIND(""Fireplace up "&amp;"to 1600"",A63))=FALSE),RIGHT(A63,LEN(A63)-LEN(regexextract(A63,"".* ""))),IF(ISERROR(FIND(""table"",A63))=FALSE,""560"",IF(ISERROR(FIND(""Office pod"",A63))=FALSE,""1600"",IF(ISERROR(FIND(""Fireplace over 1600"",A63))=FALSE,""2400"",IF(ISERROR(FIND(""Work"&amp;"top"",A63))=FALSE,""650"",""Whoops""))))))))"),"")</f>
        <v/>
      </c>
      <c r="D63" s="161" t="str">
        <f t="shared" si="2"/>
        <v/>
      </c>
      <c r="E63" s="152" t="str">
        <f>IF(OR(A63="",AND(ISERROR(FIND("drawer",A63))=FALSE,WardrobeDrawerType="")),"",IF(ISERROR(FIND("door",A63))=FALSE,IF(WardrobeDoorStyle="Flat",((B63/1000)*(C63/1000))*VLOOKUP(WardrobeDoorMaterial,SheetsData,8,0),IF(LEFT(WardrobeDoorStyle,5)="Panel",(((((B63/1000)*2)*0.08)+((((C63/1000)-0.16)*2)*0.08))*VLOOKUP("H/F (22mm)",SheetsData,8,0))+(((B63/1000)-0.14)*((C63/1000)-0.14)*VLOOKUP("H/F (9mm)",SheetsData,8,0)),IF(WardrobeDoorStyle="In-frame flat",((((((B63/1000)*0.019)*0.038)+((((C63-38)/1000)*0.038)*0.038))*2)*VLOOKUP("Tulip (solid m3)",SolidData,4,0))+(((B63-76)/1000)*((C63-38)/1000))*VLOOKUP("H/F (22mm)",SheetsData,8,0),IF(LEFT(WardrobeDoorStyle,14)="In-frame panel",(((((((B63/1000)*0.019)*0.038)+((((C63-38)/1000)*0.038)*0.038))*2)*VLOOKUP("Tulip (solid m3)",SolidData,4,0))+(((((((B63-76)/1000)*2)*0.08)+(((((C63-198)/1000)*2)*0.08)))*VLOOKUP("H/F (22mm)",SheetsData,8,0))+(((B63-216)/1000)*((C63-178)/1000)*VLOOKUP("H/F (9mm)",SheetsData,8,0)))))))),IF(AND(ISERROR(FIND("arcass",A63))=FALSE,ISERROR(FIND("ost corner",A63))=TRUE),IF(AND(VALUE(B63)&lt;1211,VALUE(C63)&lt;1211,VALUE(D63)&lt;606),1*VLOOKUP(WardrobeCarcassMaterial,SheetsData,5,FALSE),IF(AND(VALUE(B63)&lt;2421,VALUE(C63)&lt;2421,VALUE(D63)&lt;606),2*VLOOKUP(WardrobeCarcassMaterial,SheetsData,5,FALSE),IF(AND(VALUE(B63)&lt;2421,VALUE(C63)&lt;1211,VALUE(D63)&lt;1211),3*VLOOKUP(WardrobeCarcassMaterial,SheetsData,5,FALSE),IF(AND(VALUE(B63)&lt;2421,VALUE(C63)&lt;2421,VALUE(D63)&lt;1211),4*VLOOKUP(WardrobeCarcassMaterial,SheetsData,5,FALSE))))),IF(AND(ISERROR(FIND("arcass",A63))=FALSE,ISERROR(FIND("ost corner",A63))=FALSE),IF(AND(VALUE(B63)&lt;1211,VALUE(C63)&lt;1211,VALUE(D63)&lt;606),(1*VLOOKUP(WardrobeCarcassMaterial,SheetsData,5,FALSE))+(VLOOKUP("H/F (22mm)",SheetsData,7,FALSE)*1.44),IF(AND(VALUE(B63)&lt;2421,VALUE(C63)&lt;2421,VALUE(D63)&lt;606),(2*VLOOKUP(WardrobeCarcassMaterial,SheetsData,5,FALSE))+(VLOOKUP("H/F (22mm)",SheetsData,7,FALSE)*1.44),IF(AND(VALUE(B63)&lt;2421,VALUE(C63)&lt;1211,VALUE(D63)&lt;1211),(3*VLOOKUP(WardrobeCarcassMaterial,SheetsData,5,FALSE))+(VLOOKUP("H/F (22mm)",SheetsData,7,FALSE)*1.44),IF(AND(VALUE(B63)&lt;2421,VALUE(C63)&lt;2421,VALUE(D63)&lt;1211),(4*VLOOKUP(WardrobeCarcassMaterial,SheetsData,5,FALSE))+(VLOOKUP("H/F (22mm)",SheetsData,7,FALSE)*1.44))))),IF(ISERROR(FIND("drawer front",A63))=FALSE,((B63/1000)*(C63/1000))*VLOOKUP(WardrobeDoorMaterial,SheetsData,8,0),IF(AND(WardrobeDrawerType="Match carcass",ISERROR(FIND("drawer box",A63))=FALSE),(((((B63/1000)*(C63/1000))+((B63/1000)*(D63/1000)))*2)*VLOOKUP(WardrobeCarcassMaterial,SheetsData,8,0))+(((C63/1000)*(D63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box",A63))=FALSE),(((((B63/1000)*(C63/1000))+((B63/1000)*(D63/1000)))*2)*(16/1000)*VLOOKUP(LEFT(WardrobeCarcassMaterial,FIND(" ",WardrobeCarcassMaterial))&amp;"(solid m3)",SolidData,4,0))+(((C63/1000)*(D63/1000))*VLOOKUP(LEFT(WardrobeCarcassMaterial,FIND("(",WardrobeCarcassMaterial)-1)&amp;IF(OR(ISERROR(FIND("ply",WardrobeCarcassMaterial))=FALSE,ISERROR(FIND("H/F",WardrobeCarcassMaterial))=FALSE),"(9mm)","(10mm)"),SheetsData,8,0)),IF(ISERROR(FIND("shelf",A63))=FALSE,((C63/1000)*(D63/1000))*VLOOKUP(WardrobeCarcassMaterial,SheetsData,7,FALSE),IF(ISERROR(FIND("Office pod",A63))=FALSE,3*VLOOKUP(WardrobeCarcassMaterial,SheetsData,5,0),IF(ISERROR(FIND(" panel",A63))=FALSE,((B63/1000)*(C63/1000))*VLOOKUP(WardrobeDoorMaterial,SheetsData,8,0),IF(ISERROR(FIND("Fillers",A63))=FALSE,(((0.06*(C63/1000))*2)*VLOOKUP("H/F (18mm)",SheetsData,8,0))+(((0.06*(C63/1000))*2)*VLOOKUP("H/F (9mm)",SheetsData,8,0)),IF(ISERROR(FIND("Cornice (stacked)",A63))=FALSE,((0.08*(C63/1000))*2)*VLOOKUP("H/F (22mm)",SheetsData,8,0),IF(OR(ISERROR(FIND("Plinth",A63))=FALSE,ISERROR(FIND("Cornice (flat)",A63))=FALSE),((B63/1000)*(C63/1000))*VLOOKUP("H/F (18mm)",SheetsData,8,0),IF(ISERROR(FIND("Pelmet",A63))=FALSE,((((B63/1000)*(C63/1000))*2)*VLOOKUP("H/F (18mm)",SheetsData,8,0)),IF(ISERROR(FIND("Fireplace",A63))=FALSE,IF(ISERROR(FIND("over 1600",A63))=FALSE,2*VLOOKUP(WardrobeCarcassMaterial,SheetsData,5,FALSE),VLOOKUP(WardrobeCarcassMaterial,SheetsData,5,FALSE)),IF(ISERROR(FIND("table",A63))=FALSE,((B63/1000)*0.6)*VLOOKUP("Birch ply (24mm)",SheetsData,7,FALSE),IF(ISERROR(FIND("Worktop",A63))=FALSE,((B63/1000)*(C63/1000))*VLOOKUP(WardrobeDoorMaterial,SheetsData,7,FALSE),"Check formula")))))))))))))))))</f>
        <v/>
      </c>
      <c r="F63" s="152" t="str">
        <f>IFERROR(__xludf.DUMMYFUNCTION("IF(OR(A63="""",AND(ISERROR(FIND(""drawer box"",A63))=FALSE,WardrobeDrawerType=""Solid dovetail"")),"""",IF(ISERROR(FIND(""bins"",A63))=FALSE,VLOOKUP(""Base carcass 600"",Wardrobes_etcData,6,0),IF(OR(ISERROR(FIND(""larder"",A63))=FALSE,ISERROR(FIND(""unit"&amp;""",A63))=FALSE),VLOOKUP(LEFT(A63,FIND("" "",A63))&amp;""carcass ""&amp;RIGHT(A63,LEN(A63)-len(regexextract(A63,"".* ""))),Wardrobes_etcData,6,0),IF(ISERROR(FIND(""drawer front"",A63))=FALSE,IF(ISERROR(FIND(""veneer"",WardrobeCarcassMaterial))=TRUE,0,(((B63+C63)/1"&amp;"000)*2)*VLOOKUP(""Edge banding (per M)"",SheetsData,5,0)),IF(ISERROR(FIND(""drawer box"",A63))=FALSE,IF(ISERROR(FIND(""veneer"",WardrobeCarcassMaterial))=TRUE,0,(((C63+D63)/1000)*2)*VLOOKUP(""Edge banding (per M)"",SheetsData,5,0)),IF(ISERROR(FIND(""shelf"&amp;""",A63))=FALSE,IF(ISERROR(FIND(""veneer"",WardrobeCarcassMaterial))=TRUE,0,(C63/1000)*VLOOKUP(""Edge banding (per M)"",SheetsData,5,0)),IF(AND(OR(ISERROR(FIND(""arcass"",A63))=FALSE,ISERROR(FIND(""Fireplace"",A63))=FALSE),ISERROR(FIND(""shelf"",A63))=TRUE"&amp;"),IF(ISERROR(FIND(""veneer"",WardrobeCarcassMaterial))=TRUE,0,((2*(B63+C63))/1000)*VLOOKUP(""Edge banding (per M)"",SheetsData,5,0)),IF(ISERROR(FIND(""door"",A63))=TRUE,"""",IF(ISERROR(FIND(""veneer"",WardrobeDoorMaterial))=TRUE,"""",((2*(B63+C63))/1000)*"&amp;"VLOOKUP(""Edge banding (per M)"",SheetsData,5,0))))))))))"),"")</f>
        <v/>
      </c>
      <c r="G63" s="153" t="str">
        <f>IF(A63="","",IF(AND(ISERROR(FIND("arcass",A63))=TRUE,ISERROR(FIND("Fireplace",A63))=TRUE),"",IF(VALUE(C63)&lt;606,4*VLOOKUP("Plinth foot (2 Parts 80mm)",FurnitureData,5,FALSE),IF(VALUE(C63)&lt;1211,6*VLOOKUP("Plinth foot (2 Parts 80mm)",FurnitureData,5,FALSE),8*VLOOKUP("Plinth foot (2 Parts 80mm)",FurnitureData,5,FALSE)))))</f>
        <v/>
      </c>
      <c r="H63" s="115" t="str">
        <f>IF(OR(A63="",ISERROR(FIND("door",A63))=TRUE),"",VLOOKUP("Hinges &amp; plates (Hettich thick door)",FurnitureData,5,0)*5)</f>
        <v/>
      </c>
      <c r="I63" s="115" t="str">
        <f>IF(ISERROR(FIND("shelf",A63))=FALSE,(VLOOKUP("Shelf pegs",FurnitureData,5,0)/100)*4,"")</f>
        <v/>
      </c>
      <c r="J63" s="152" t="str">
        <f>IF(OR(ISERROR(FIND("fridge/freezer",A63))=FALSE,ISERROR(FIND("sink",A63))=FALSE,ISERROR(FIND("larder",A63))=FALSE),VLOOKUP("Deep shelf "&amp;C63,Wardrobes_etcData,18,0),IF(OR(ISERROR(FIND("single oven",A63))=FALSE,ISERROR(FIND("Base carcass",A63))=FALSE),2*VLOOKUP("Deep shelf "&amp;C63,Wardrobes_etcData,18,0),IF(AND(ISERROR(FIND("wall carcass",A63))=FALSE,ISERROR(FIND("Boiler",A63))=TRUE),2*VLOOKUP("Shallow shelf "&amp;C63,Wardrobes_etcData,18,0),IF(ISERROR(FIND("double oven",A63))=FALSE,3*VLOOKUP("Deep shelf "&amp;C63,Wardrobes_etcData,18,0),IF(ISERROR(FIND("Tower carcass",A63))=FALSE,6*VLOOKUP("Deep shelf "&amp;C63,Wardrobes_etcData,18,0),"")))))</f>
        <v/>
      </c>
      <c r="K63" s="152" t="str">
        <f>IF(ISERROR(FIND("sink",A63))=FALSE,VLOOKUP("Sink liner - Aluminium "&amp;RIGHT(A63,LEN(A63)-22)&amp;"mm",ExceptionalData,5,0),IF(ISERROR(FIND("bins",A63))=FALSE,VLOOKUP("Drawer runners and clip set for bin unit (500) Dynapro",FurnitureData,5,0)+(2*VLOOKUP("Bin (42L Anthracite)",FurnitureData,5,0)),IF(ISERROR(FIND("larder",A63))=FALSE,VLOOKUP("Pull out larder unit 600mm",FurnitureData,5,0),IF(AND(ISERROR(FIND("drawer box",A63))=FALSE,ISERROR(FIND("internal",A63))=TRUE),VLOOKUP("Drawer runners and clip set (550) Dynapro",FurnitureData,5,0),IF(ISERROR(FIND("internal drawer box",A63))=FALSE,VLOOKUP("Drawer runners and clip set (450) Dynapro",FurnitureData,5,0),IF(ISERROR(FIND("table",A63))=FALSE,VLOOKUP("Hairpin Leg (12mm Black "&amp;MID(A63,FIND("(",A63)+1,LEN(A63)-(FIND("(",A63))-1)&amp;"mm)",ExceptionalData,4,FALSE),""))))))</f>
        <v/>
      </c>
      <c r="L63" s="152" t="str">
        <f t="shared" si="3"/>
        <v/>
      </c>
      <c r="M63" s="154" t="str">
        <f>IF(A63="","",IF(AND(ISERROR(FIND("drawer front",A63))=FALSE,WardrobeDoorStyle="Flat"),(((B63/1000)*(C63/1000))*2)+((((B63+C63)/1000)*2)*0.022),IF(AND(ISERROR(FIND("drawer front",A63))=FALSE,LEFT(WardrobeDoorStyle,5)="Panel"),(((B63/1000)*(C63/1000))*2)+((((B63+C63)/1000)*2)*0.022)+((((C63/1000)-0.16)*0.013)*2)+((((D63/1000)-0.16)*0.013)*2),IF(AND(ISERROR(FIND("drawer front",A63))=FALSE,WardrobeDoorStyle="In-frame flat"),((((B63-76)/1000)*((C63-38)/1000))*2)+(MID(WardrobeDoorMaterial,FIND("(",WardrobeDoorMaterial)+1,2)/1000)*((((B63-76)+(C63-38))/1000)*2)+(((B63/1000)*0.032)*2)+((((B63-76)/1000)*0.032)*2)+(((B63/1000)*0.019)*4)+(((C63/1000)*0.032)*2)+((((C63-38)/1000)*0.032)*2)+(((C63/1000)*0.038)*4),IF(AND(ISERROR(FIND("drawer front",A63))=FALSE,LEFT(WardrobeDoorStyle,14)="In-frame panel"),((((B63-76)/1000)*((C63-38)/1000))*2)+((MID(WardrobeDoorMaterial,FIND("(",WardrobeDoorMaterial)+1,2)/1000)*((((B63-76)+(C63-38))/1000)*2))+((((B63-236)/1000)+((C63-198)/1000)*2)*0.013)+(((B63/1000)*0.032)*2)+((((B63-76)/1000)*0.032)*2)+(((B63/1000)*0.019)*4)+(((C63/1000)*0.032)*2)+((((C63-38)/1000)*0.032)*2)+(((C63/1000)*0.038)*4),IF(ISERROR(FIND("drawer box",A63))=FALSE,((((B63/1000)*(D63/1000))+((B63/1000)*(C63/1000)))*4)+((((D63/1000)+(C63/1000))*0.016)*4)+(((C63/1000)*(D63/1000))*2),IF(OR(ISERROR(FIND("shelf",A63))=FALSE,ISERROR(FIND("Filler panel",A63))=FALSE),(((C63/1000)*(D63/1000))*2)+((((C63+D63)*2)/1000)*0.022),IF(ISERROR(FIND("Fireplace",A63))=FALSE,((B63/1000)*(C63/1000)),IF(ISERROR(FIND("Worktop",A63))=FALSE,(B63/1000)*(C63/1000),IF(ISERROR(FIND("table",A63))=FALSE,(B63/1000)*0.6,IF(ISERROR(FIND("arcass",A63))=FALSE,(((C63/1000)*(D63/1000))*2)+(((B63/1000)*(D63/1000))*2)+((B63/1000)*(C63/1000))+((((B63/1000)*0.025)+((C63/1000)*0.025))*2),IF(AND(ISERROR(FIND("door",A63))=FALSE,WardrobeDoorStyle="Flat"),(((B63/1000)*(C63/1000))*2)+(MID(WardrobeDoorMaterial,FIND("(",WardrobeDoorMaterial)+1,2)/1000)*(((B63+C63)/1000)*2),IF(AND(ISERROR(FIND("door",A63))=FALSE,LEFT(WardrobeDoorStyle,5)="Panel"),(((B63/1000)*(C63/1000))*2)+((MID(WardrobeDoorMaterial,FIND("(",WardrobeDoorMaterial)+1,2)/1000)*(((B63+C63)/1000)*2))+(((((B63-160)+(C63-160))*2)/1000)*(0.013)),IF(AND(ISERROR(FIND("door",A63))=FALSE,WardrobeDoorStyle="In-frame flat"),((((B63-76)/1000)*((C63-38)/1000))*2)+(MID(WardrobeDoorMaterial,FIND("(",WardrobeDoorMaterial)+1,2)/1000)*((((B63-76)+(C63-38))/1000)*2)+(((B63/1000)*0.032)*2)+((((B63-76)/1000)*0.032)*2)+(((B63/1000)*0.019)*4)+(((C63/1000)*0.032)*2)+((((C63-38)/1000)*0.032)*2)+(((C63/1000)*0.038)*4),IF(AND(ISERROR(FIND("door",A63))=FALSE,LEFT(WardrobeDoorStyle,14)="In-frame panel"),((((B63-76)/1000)*((C63-38)/1000))*2)+((MID(WardrobeDoorMaterial,FIND("(",WardrobeDoorMaterial)+1,2)/1000)*((((B63-76)+(C63-38))/1000)*2))+((((B63-236)/1000)+((C63-198)/1000)*2)*0.013)+(((B63/1000)*0.032)*2)+((((B63-76)/1000)*0.032)*2)+(((B63/1000)*0.019)*4)+(((C63/1000)*0.032)*2)+((((C63-38)/1000)*0.032)*2)+(((C63/1000)*0.038)*4),IF(ISERROR(FIND("Plinth",A63))=FALSE,((B63/1000)*(C63/1000))+(((C63/1000)*0.018)*2)+(((B63/1000)*0.018)*2),IF(ISERROR(FIND("Cornice",A63))=FALSE,(((C63/1000)*0.1)*2)+(((C63/1000)*0.044)*2)+(((B63/1000)*0.08)*2),IF(ISERROR(FIND("Office pod",A63))=FALSE,((2400/1000)*(1200/1000))*6,IF(ISERROR(FIND("panel",A63))=FALSE,((B63/1000)*(C63/1000))+(0.022*((B63/1000)+((C63/1000)*2)))+((B63/1000)*0.05),IF(ISERROR(FIND("Fillers",A63))=FALSE,((C63/1000)*0.06)+((C63/1000)*0.069)+((0.06*0.018)*2)+((0.06*0.009)*2)+((C63/1000)*0.009)+((C63/1000)*0.018),IF(ISERROR(FIND("Pelmet",A63))=FALSE,((C63/1000)*0.05)+((C63/1000)*0.068)+((0.05*0.018)*4)+(((C63/1000)*0.018))*2)))))))))))))))))))))</f>
        <v/>
      </c>
      <c r="N63" s="152" t="str">
        <f>IF(M63="","",IF(AND(ISERROR(FIND("carcass",A63))=TRUE,ISERROR(FIND("unit",A63))=TRUE,ISERROR(FIND("insert",A63))=TRUE,ISERROR(FIND("rack",A63))=TRUE,ISERROR(FIND("box",A63))=TRUE,ISERROR(FIND("shelf",A63))=TRUE),VLOOKUP(WardrobeDoorFinish,Finishing!$A$2:$K$10,9,0)*M63,IF(ISERROR(FIND("table",A63))=FALSE,VLOOKUP("Sayerlack AF0072 Interior Clear Self-Sealer",FinishingData,9,FALSE)*M63,VLOOKUP(WardrobeCarcassFinish,Finishing!$A$2:$K$40,9,0)*M63)))</f>
        <v/>
      </c>
      <c r="O63" s="159"/>
      <c r="P63" s="159"/>
      <c r="Q63" s="152" t="str">
        <f>IF(OR(O63="",P63=""),"",((O63*X63)*(VLOOKUP("Workshop",Labour!$A$3:$E$20,4,0)/8))+((P63*AE63)*(VLOOKUP("Finishing",Labour!$A$3:$E$20,4,0)/8)))</f>
        <v/>
      </c>
      <c r="R63" s="152" t="str">
        <f t="shared" si="4"/>
        <v/>
      </c>
      <c r="S63" s="156" t="str">
        <f>IF(OR(O63="",P63=""),"",IF(OR(ISERROR(FIND("carcass",$A63))=FALSE,ISERROR(FIND("unit",$A63))=FALSE),VLOOKUP(WardrobeCarcassMaterial,FixedListsCarcassMaterial,2,0),0))</f>
        <v/>
      </c>
      <c r="T63" s="156" t="str">
        <f>IF(OR(O63="",P63=""),"",IF(ISERROR(FIND("door",$A63))=FALSE,VLOOKUP(WardrobeDoorStyle,FixedListsDoorStyle,2,0),0))</f>
        <v/>
      </c>
      <c r="U63" s="156" t="str">
        <f>IF(OR(O63="",P63=""),"",IF(ISERROR(FIND("door",$A63))=FALSE,VLOOKUP(WardrobeDoorMaterial,FixedListsDoorMaterial,2,0),0))</f>
        <v/>
      </c>
      <c r="V63" s="156" t="str">
        <f>IF(OR(O63="",P63=""),"",IF(ISERROR(FIND("drawer",$A63))=FALSE,VLOOKUP(WardrobeDrawerType,FixedListsDrawerType,2,0),0))</f>
        <v/>
      </c>
      <c r="W63" s="156" t="str">
        <f>IF(OR(O63="",P63=""),"",IF(S63&gt;0,VLOOKUP(WardrobeHandleType,FixedListsHandleType,2,FALSE),0))</f>
        <v/>
      </c>
      <c r="X63" s="156" t="str">
        <f t="shared" si="5"/>
        <v/>
      </c>
      <c r="Y63" s="156" t="str">
        <f>IF(OR(O63="",P63=""),"",IF(OR(ISERROR(FIND("carcass",$A63))=FALSE,ISERROR(FIND("unit",$A63))=FALSE),VLOOKUP(WardrobeCarcassMaterial,FixedListsCarcassMaterial,3,0),0))</f>
        <v/>
      </c>
      <c r="Z63" s="156" t="str">
        <f>IF(OR(O63="",P63=""),"",IF(ISERROR(FIND("door",$A63))=FALSE,VLOOKUP(WardrobeDoorStyle,FixedListsDoorStyle,3,0),0))</f>
        <v/>
      </c>
      <c r="AA63" s="156" t="str">
        <f>IF(OR(O63="",P63=""),"",IF(ISERROR(FIND("door",$A63))=FALSE,VLOOKUP(WardrobeDoorMaterial,FixedListsDoorMaterial,3,0),0))</f>
        <v/>
      </c>
      <c r="AB63" s="156" t="str">
        <f>IF(OR(O63="",P63=""),"",IF(ISERROR(FIND("drawer",$A63))=FALSE,VLOOKUP(WardrobeDrawerType,FixedListsDrawerType,3,0),0))</f>
        <v/>
      </c>
      <c r="AC63" s="156" t="str">
        <f>IF(OR(O63="",P63=""),"",IF(S63&gt;0,VLOOKUP(WardrobeHandleType,FixedListsHandleType,3,FALSE),0))</f>
        <v/>
      </c>
      <c r="AD63" s="156" t="str">
        <f>IF(OR(O63="",P63=""),"",IF(OR(ISERROR(FIND("carcass",$A63))=FALSE,ISERROR(FIND("unit",$A63))=FALSE),VLOOKUP(WardrobeCarcassFinish,FixedListsFinishes,3,0),IF(OR(ISERROR(FIND("door",$A63))=FALSE,ISERROR(FIND("Plinth",$A63))=FALSE,ISERROR(FIND("Cornice",$A63))=FALSE,ISERROR(FIND("Fillers",$A63))=FALSE,ISERROR(FIND("Pelmet",$A63))=FALSE,ISERROR(FIND("panel",$A63))=FALSE,ISERROR(FIND("post",$A63))=FALSE),VLOOKUP(WardrobeDoorFinish,FixedListsFinishes,3,0),IF(OR(ISERROR(FIND("drawer",$A63))=FALSE,ISERROR(FIND("insert",$A63))=FALSE,ISERROR(FIND("rck",$A63))=FALSE),VLOOKUP(WardrobeCarcassFinish,FixedListsFinishes,3,0),0))))</f>
        <v/>
      </c>
      <c r="AE63" s="156" t="str">
        <f t="shared" si="6"/>
        <v/>
      </c>
      <c r="AF63" s="157" t="str">
        <f>IF(AND(WardrobeHandleType="Channel",OR(ISERROR(FIND("arcass",$A63))=FALSE,ISERROR(FIND("unit",$A63))=FALSE)),IF(ISERROR(FIND("Tower",$A63))=TRUE,IF(WardrobeHandleFinish="Match carcass",IF(ISERROR(FIND("Walnut",WardrobeCarcassMaterial))=FALSE,(0.035*0.075*($C63/1000))*VLOOKUP("Walnut (solid m3)",SolidData,4,FALSE),IF(ISERROR(FIND("Oak",WardrobeCarcassMaterial))=FALSE,(0.035*0.075*($C63/1000))*VLOOKUP("Oak (solid m3)",SolidData,4,FALSE),IF(ISERROR(FIND("ply",WardrobeCarcassMaterial))=FALSE,(0.1*($C63/1000))*VLOOKUP("Birch ply (24mm)",SheetsData,7,FALSE),IF(ISERROR(FIND("H/F",WardrobeCarcassMaterial))=FALSE,(0.1*($C63/1000))*VLOOKUP("H/F (22mm)",SheetsData,7,FALSE),"Carcass - not tower - new material")))),IF(WardrobeHandleFinish="Match door",IF(ISERROR(FIND("Walnut",WardrobeDoorMaterial))=FALSE,(0.035*0.075*($C63/1000))*VLOOKUP("Walnut (solid m3)",SolidData,4,FALSE),IF(ISERROR(FIND("Oak",WardrobeDoorMaterial))=FALSE,(0.035*0.075*($C63/1000))*VLOOKUP("Oak (solid m3)",SolidData,4,FALSE),IF(ISERROR(FIND("ply",WardrobeDoorMaterial))=FALSE,(0.1*($C63/1000))*VLOOKUP("Birch ply (24mm)",SheetsData,7,FALSE),IF(ISERROR(FIND("H/F",WardrobeCarcassMaterial))=FALSE,(0.1*($C63/1000))*VLOOKUP("H/F (22mm)",SheetsData,7,FALSE),"Door - not tower - new material")))),"Channel - not tower - handle set to other")),IF(ISERROR(FIND("Tower",$A63))=FALSE,IF(WardrobeHandleFinish="Match carcass",IF(ISERROR(FIND("Walnut",WardrobeCarcassMaterial))=FALSE,(0.035*0.075*($B63/1000))*VLOOKUP("Walnut (solid m3)",SolidData,4,FALSE),IF(ISERROR(FIND("Oak",WardrobeCarcassMaterial))=FALSE,(0.035*0.075*($B63/1000))*VLOOKUP("Oak (solid m3)",SolidData,4,FALSE),IF(ISERROR(FIND("ply",WardrobeCarcassMaterial))=FALSE,(0.1*($B63/1000))*VLOOKUP("Birch ply (24mm)",SheetsData,7,FALSE),IF(ISERROR(FIND("H/F",WardrobeCarcassMaterial))=FALSE,(0.1*($C63/1000))*VLOOKUP("H/F (22mm)",SheetsData,7,FALSE),"Carcass - tower - new material")))),IF(WardrobeHandleFinish="Match door",IF(ISERROR(FIND("Walnut",WardrobeDoorMaterial))=FALSE,(0.035*0.075*($B63/1000))*VLOOKUP("Walnut (solid m3)",SolidData,4,FALSE),IF(ISERROR(FIND("Oak",WardrobeDoorMaterial))=FALSE,(0.035*0.075*($B63/1000))*VLOOKUP("Oak (solid m3)",SolidData,4,FALSE),IF(ISERROR(FIND("ply",WardrobeDoorMaterial))=FALSE,(0.1*($B63/1000))*VLOOKUP("Birch ply (24mm)",SheetData,7,FALSE),IF(ISERROR(FIND("H/F",WardrobeCarcassMaterial))=FALSE,(0.1*($C63/1000))*VLOOKUP("H/F (22mm)",SheetsData,7,FALSE),"Door - tower - new material")))),"Channel - tower - handle set to other")))),"")</f>
        <v/>
      </c>
    </row>
    <row r="64">
      <c r="A64" s="150"/>
      <c r="B64" s="160" t="str">
        <f t="shared" si="1"/>
        <v/>
      </c>
      <c r="C64" s="160" t="str">
        <f>IFERROR(__xludf.DUMMYFUNCTION("IF(A64="""","""",IF(ISERROR(FIND(""arcass"",A64))=FALSE,MID(A64,FIND(""*"",A64)+1,FIND(""*"",A64,FIND(""*"",A64)+1)-FIND(""*"",A64)-1),IF(ISERROR(FIND(""End panel"",A64))=FALSE,RIGHT(A64,3),IF(OR(ISERROR(FIND(""drawer"",A64))=FALSE,ISERROR(FIND(""door"",A"&amp;"64))=FALSE,ISERROR(FIND(""shelf"",A64))=FALSE,ISERROR(FIND(""panel"",A64))=FALSE,ISERROR(FIND(""Plinth"",A64))=FALSE,ISERROR(FIND(""Cornice"",A64))=FALSE,ISERROR(FIND(""Fillers"",A64))=FALSE,ISERROR(FIND(""Pelmet"",A64))=FALSE,ISERROR(FIND(""Fireplace up "&amp;"to 1600"",A64))=FALSE),RIGHT(A64,LEN(A64)-LEN(regexextract(A64,"".* ""))),IF(ISERROR(FIND(""table"",A64))=FALSE,""560"",IF(ISERROR(FIND(""Office pod"",A64))=FALSE,""1600"",IF(ISERROR(FIND(""Fireplace over 1600"",A64))=FALSE,""2400"",IF(ISERROR(FIND(""Work"&amp;"top"",A64))=FALSE,""650"",""Whoops""))))))))"),"")</f>
        <v/>
      </c>
      <c r="D64" s="161" t="str">
        <f t="shared" si="2"/>
        <v/>
      </c>
      <c r="E64" s="152" t="str">
        <f>IF(OR(A64="",AND(ISERROR(FIND("drawer",A64))=FALSE,WardrobeDrawerType="")),"",IF(ISERROR(FIND("door",A64))=FALSE,IF(WardrobeDoorStyle="Flat",((B64/1000)*(C64/1000))*VLOOKUP(WardrobeDoorMaterial,SheetsData,8,0),IF(LEFT(WardrobeDoorStyle,5)="Panel",(((((B64/1000)*2)*0.08)+((((C64/1000)-0.16)*2)*0.08))*VLOOKUP("H/F (22mm)",SheetsData,8,0))+(((B64/1000)-0.14)*((C64/1000)-0.14)*VLOOKUP("H/F (9mm)",SheetsData,8,0)),IF(WardrobeDoorStyle="In-frame flat",((((((B64/1000)*0.019)*0.038)+((((C64-38)/1000)*0.038)*0.038))*2)*VLOOKUP("Tulip (solid m3)",SolidData,4,0))+(((B64-76)/1000)*((C64-38)/1000))*VLOOKUP("H/F (22mm)",SheetsData,8,0),IF(LEFT(WardrobeDoorStyle,14)="In-frame panel",(((((((B64/1000)*0.019)*0.038)+((((C64-38)/1000)*0.038)*0.038))*2)*VLOOKUP("Tulip (solid m3)",SolidData,4,0))+(((((((B64-76)/1000)*2)*0.08)+(((((C64-198)/1000)*2)*0.08)))*VLOOKUP("H/F (22mm)",SheetsData,8,0))+(((B64-216)/1000)*((C64-178)/1000)*VLOOKUP("H/F (9mm)",SheetsData,8,0)))))))),IF(AND(ISERROR(FIND("arcass",A64))=FALSE,ISERROR(FIND("ost corner",A64))=TRUE),IF(AND(VALUE(B64)&lt;1211,VALUE(C64)&lt;1211,VALUE(D64)&lt;606),1*VLOOKUP(WardrobeCarcassMaterial,SheetsData,5,FALSE),IF(AND(VALUE(B64)&lt;2421,VALUE(C64)&lt;2421,VALUE(D64)&lt;606),2*VLOOKUP(WardrobeCarcassMaterial,SheetsData,5,FALSE),IF(AND(VALUE(B64)&lt;2421,VALUE(C64)&lt;1211,VALUE(D64)&lt;1211),3*VLOOKUP(WardrobeCarcassMaterial,SheetsData,5,FALSE),IF(AND(VALUE(B64)&lt;2421,VALUE(C64)&lt;2421,VALUE(D64)&lt;1211),4*VLOOKUP(WardrobeCarcassMaterial,SheetsData,5,FALSE))))),IF(AND(ISERROR(FIND("arcass",A64))=FALSE,ISERROR(FIND("ost corner",A64))=FALSE),IF(AND(VALUE(B64)&lt;1211,VALUE(C64)&lt;1211,VALUE(D64)&lt;606),(1*VLOOKUP(WardrobeCarcassMaterial,SheetsData,5,FALSE))+(VLOOKUP("H/F (22mm)",SheetsData,7,FALSE)*1.44),IF(AND(VALUE(B64)&lt;2421,VALUE(C64)&lt;2421,VALUE(D64)&lt;606),(2*VLOOKUP(WardrobeCarcassMaterial,SheetsData,5,FALSE))+(VLOOKUP("H/F (22mm)",SheetsData,7,FALSE)*1.44),IF(AND(VALUE(B64)&lt;2421,VALUE(C64)&lt;1211,VALUE(D64)&lt;1211),(3*VLOOKUP(WardrobeCarcassMaterial,SheetsData,5,FALSE))+(VLOOKUP("H/F (22mm)",SheetsData,7,FALSE)*1.44),IF(AND(VALUE(B64)&lt;2421,VALUE(C64)&lt;2421,VALUE(D64)&lt;1211),(4*VLOOKUP(WardrobeCarcassMaterial,SheetsData,5,FALSE))+(VLOOKUP("H/F (22mm)",SheetsData,7,FALSE)*1.44))))),IF(ISERROR(FIND("drawer front",A64))=FALSE,((B64/1000)*(C64/1000))*VLOOKUP(WardrobeDoorMaterial,SheetsData,8,0),IF(AND(WardrobeDrawerType="Match carcass",ISERROR(FIND("drawer box",A64))=FALSE),(((((B64/1000)*(C64/1000))+((B64/1000)*(D64/1000)))*2)*VLOOKUP(WardrobeCarcassMaterial,SheetsData,8,0))+(((C64/1000)*(D64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box",A64))=FALSE),(((((B64/1000)*(C64/1000))+((B64/1000)*(D64/1000)))*2)*(16/1000)*VLOOKUP(LEFT(WardrobeCarcassMaterial,FIND(" ",WardrobeCarcassMaterial))&amp;"(solid m3)",SolidData,4,0))+(((C64/1000)*(D64/1000))*VLOOKUP(LEFT(WardrobeCarcassMaterial,FIND("(",WardrobeCarcassMaterial)-1)&amp;IF(OR(ISERROR(FIND("ply",WardrobeCarcassMaterial))=FALSE,ISERROR(FIND("H/F",WardrobeCarcassMaterial))=FALSE),"(9mm)","(10mm)"),SheetsData,8,0)),IF(ISERROR(FIND("shelf",A64))=FALSE,((C64/1000)*(D64/1000))*VLOOKUP(WardrobeCarcassMaterial,SheetsData,7,FALSE),IF(ISERROR(FIND("Office pod",A64))=FALSE,3*VLOOKUP(WardrobeCarcassMaterial,SheetsData,5,0),IF(ISERROR(FIND(" panel",A64))=FALSE,((B64/1000)*(C64/1000))*VLOOKUP(WardrobeDoorMaterial,SheetsData,8,0),IF(ISERROR(FIND("Fillers",A64))=FALSE,(((0.06*(C64/1000))*2)*VLOOKUP("H/F (18mm)",SheetsData,8,0))+(((0.06*(C64/1000))*2)*VLOOKUP("H/F (9mm)",SheetsData,8,0)),IF(ISERROR(FIND("Cornice (stacked)",A64))=FALSE,((0.08*(C64/1000))*2)*VLOOKUP("H/F (22mm)",SheetsData,8,0),IF(OR(ISERROR(FIND("Plinth",A64))=FALSE,ISERROR(FIND("Cornice (flat)",A64))=FALSE),((B64/1000)*(C64/1000))*VLOOKUP("H/F (18mm)",SheetsData,8,0),IF(ISERROR(FIND("Pelmet",A64))=FALSE,((((B64/1000)*(C64/1000))*2)*VLOOKUP("H/F (18mm)",SheetsData,8,0)),IF(ISERROR(FIND("Fireplace",A64))=FALSE,IF(ISERROR(FIND("over 1600",A64))=FALSE,2*VLOOKUP(WardrobeCarcassMaterial,SheetsData,5,FALSE),VLOOKUP(WardrobeCarcassMaterial,SheetsData,5,FALSE)),IF(ISERROR(FIND("table",A64))=FALSE,((B64/1000)*0.6)*VLOOKUP("Birch ply (24mm)",SheetsData,7,FALSE),IF(ISERROR(FIND("Worktop",A64))=FALSE,((B64/1000)*(C64/1000))*VLOOKUP(WardrobeDoorMaterial,SheetsData,7,FALSE),"Check formula")))))))))))))))))</f>
        <v/>
      </c>
      <c r="F64" s="152" t="str">
        <f>IFERROR(__xludf.DUMMYFUNCTION("IF(OR(A64="""",AND(ISERROR(FIND(""drawer box"",A64))=FALSE,WardrobeDrawerType=""Solid dovetail"")),"""",IF(ISERROR(FIND(""bins"",A64))=FALSE,VLOOKUP(""Base carcass 600"",Wardrobes_etcData,6,0),IF(OR(ISERROR(FIND(""larder"",A64))=FALSE,ISERROR(FIND(""unit"&amp;""",A64))=FALSE),VLOOKUP(LEFT(A64,FIND("" "",A64))&amp;""carcass ""&amp;RIGHT(A64,LEN(A64)-len(regexextract(A64,"".* ""))),Wardrobes_etcData,6,0),IF(ISERROR(FIND(""drawer front"",A64))=FALSE,IF(ISERROR(FIND(""veneer"",WardrobeCarcassMaterial))=TRUE,0,(((B64+C64)/1"&amp;"000)*2)*VLOOKUP(""Edge banding (per M)"",SheetsData,5,0)),IF(ISERROR(FIND(""drawer box"",A64))=FALSE,IF(ISERROR(FIND(""veneer"",WardrobeCarcassMaterial))=TRUE,0,(((C64+D64)/1000)*2)*VLOOKUP(""Edge banding (per M)"",SheetsData,5,0)),IF(ISERROR(FIND(""shelf"&amp;""",A64))=FALSE,IF(ISERROR(FIND(""veneer"",WardrobeCarcassMaterial))=TRUE,0,(C64/1000)*VLOOKUP(""Edge banding (per M)"",SheetsData,5,0)),IF(AND(OR(ISERROR(FIND(""arcass"",A64))=FALSE,ISERROR(FIND(""Fireplace"",A64))=FALSE),ISERROR(FIND(""shelf"",A64))=TRUE"&amp;"),IF(ISERROR(FIND(""veneer"",WardrobeCarcassMaterial))=TRUE,0,((2*(B64+C64))/1000)*VLOOKUP(""Edge banding (per M)"",SheetsData,5,0)),IF(ISERROR(FIND(""door"",A64))=TRUE,"""",IF(ISERROR(FIND(""veneer"",WardrobeDoorMaterial))=TRUE,"""",((2*(B64+C64))/1000)*"&amp;"VLOOKUP(""Edge banding (per M)"",SheetsData,5,0))))))))))"),"")</f>
        <v/>
      </c>
      <c r="G64" s="153" t="str">
        <f>IF(A64="","",IF(AND(ISERROR(FIND("arcass",A64))=TRUE,ISERROR(FIND("Fireplace",A64))=TRUE),"",IF(VALUE(C64)&lt;606,4*VLOOKUP("Plinth foot (2 Parts 80mm)",FurnitureData,5,FALSE),IF(VALUE(C64)&lt;1211,6*VLOOKUP("Plinth foot (2 Parts 80mm)",FurnitureData,5,FALSE),8*VLOOKUP("Plinth foot (2 Parts 80mm)",FurnitureData,5,FALSE)))))</f>
        <v/>
      </c>
      <c r="H64" s="115" t="str">
        <f>IF(OR(A64="",ISERROR(FIND("door",A64))=TRUE),"",VLOOKUP("Hinges &amp; plates (Hettich thick door)",FurnitureData,5,0)*5)</f>
        <v/>
      </c>
      <c r="I64" s="115" t="str">
        <f>IF(ISERROR(FIND("shelf",A64))=FALSE,(VLOOKUP("Shelf pegs",FurnitureData,5,0)/100)*4,"")</f>
        <v/>
      </c>
      <c r="J64" s="152" t="str">
        <f>IF(OR(ISERROR(FIND("fridge/freezer",A64))=FALSE,ISERROR(FIND("sink",A64))=FALSE,ISERROR(FIND("larder",A64))=FALSE),VLOOKUP("Deep shelf "&amp;C64,Wardrobes_etcData,18,0),IF(OR(ISERROR(FIND("single oven",A64))=FALSE,ISERROR(FIND("Base carcass",A64))=FALSE),2*VLOOKUP("Deep shelf "&amp;C64,Wardrobes_etcData,18,0),IF(AND(ISERROR(FIND("wall carcass",A64))=FALSE,ISERROR(FIND("Boiler",A64))=TRUE),2*VLOOKUP("Shallow shelf "&amp;C64,Wardrobes_etcData,18,0),IF(ISERROR(FIND("double oven",A64))=FALSE,3*VLOOKUP("Deep shelf "&amp;C64,Wardrobes_etcData,18,0),IF(ISERROR(FIND("Tower carcass",A64))=FALSE,6*VLOOKUP("Deep shelf "&amp;C64,Wardrobes_etcData,18,0),"")))))</f>
        <v/>
      </c>
      <c r="K64" s="152" t="str">
        <f>IF(ISERROR(FIND("sink",A64))=FALSE,VLOOKUP("Sink liner - Aluminium "&amp;RIGHT(A64,LEN(A64)-22)&amp;"mm",ExceptionalData,5,0),IF(ISERROR(FIND("bins",A64))=FALSE,VLOOKUP("Drawer runners and clip set for bin unit (500) Dynapro",FurnitureData,5,0)+(2*VLOOKUP("Bin (42L Anthracite)",FurnitureData,5,0)),IF(ISERROR(FIND("larder",A64))=FALSE,VLOOKUP("Pull out larder unit 600mm",FurnitureData,5,0),IF(AND(ISERROR(FIND("drawer box",A64))=FALSE,ISERROR(FIND("internal",A64))=TRUE),VLOOKUP("Drawer runners and clip set (550) Dynapro",FurnitureData,5,0),IF(ISERROR(FIND("internal drawer box",A64))=FALSE,VLOOKUP("Drawer runners and clip set (450) Dynapro",FurnitureData,5,0),IF(ISERROR(FIND("table",A64))=FALSE,VLOOKUP("Hairpin Leg (12mm Black "&amp;MID(A64,FIND("(",A64)+1,LEN(A64)-(FIND("(",A64))-1)&amp;"mm)",ExceptionalData,4,FALSE),""))))))</f>
        <v/>
      </c>
      <c r="L64" s="152" t="str">
        <f t="shared" si="3"/>
        <v/>
      </c>
      <c r="M64" s="154" t="str">
        <f>IF(A64="","",IF(AND(ISERROR(FIND("drawer front",A64))=FALSE,WardrobeDoorStyle="Flat"),(((B64/1000)*(C64/1000))*2)+((((B64+C64)/1000)*2)*0.022),IF(AND(ISERROR(FIND("drawer front",A64))=FALSE,LEFT(WardrobeDoorStyle,5)="Panel"),(((B64/1000)*(C64/1000))*2)+((((B64+C64)/1000)*2)*0.022)+((((C64/1000)-0.16)*0.013)*2)+((((D64/1000)-0.16)*0.013)*2),IF(AND(ISERROR(FIND("drawer front",A64))=FALSE,WardrobeDoorStyle="In-frame flat"),((((B64-76)/1000)*((C64-38)/1000))*2)+(MID(WardrobeDoorMaterial,FIND("(",WardrobeDoorMaterial)+1,2)/1000)*((((B64-76)+(C64-38))/1000)*2)+(((B64/1000)*0.032)*2)+((((B64-76)/1000)*0.032)*2)+(((B64/1000)*0.019)*4)+(((C64/1000)*0.032)*2)+((((C64-38)/1000)*0.032)*2)+(((C64/1000)*0.038)*4),IF(AND(ISERROR(FIND("drawer front",A64))=FALSE,LEFT(WardrobeDoorStyle,14)="In-frame panel"),((((B64-76)/1000)*((C64-38)/1000))*2)+((MID(WardrobeDoorMaterial,FIND("(",WardrobeDoorMaterial)+1,2)/1000)*((((B64-76)+(C64-38))/1000)*2))+((((B64-236)/1000)+((C64-198)/1000)*2)*0.013)+(((B64/1000)*0.032)*2)+((((B64-76)/1000)*0.032)*2)+(((B64/1000)*0.019)*4)+(((C64/1000)*0.032)*2)+((((C64-38)/1000)*0.032)*2)+(((C64/1000)*0.038)*4),IF(ISERROR(FIND("drawer box",A64))=FALSE,((((B64/1000)*(D64/1000))+((B64/1000)*(C64/1000)))*4)+((((D64/1000)+(C64/1000))*0.016)*4)+(((C64/1000)*(D64/1000))*2),IF(OR(ISERROR(FIND("shelf",A64))=FALSE,ISERROR(FIND("Filler panel",A64))=FALSE),(((C64/1000)*(D64/1000))*2)+((((C64+D64)*2)/1000)*0.022),IF(ISERROR(FIND("Fireplace",A64))=FALSE,((B64/1000)*(C64/1000)),IF(ISERROR(FIND("Worktop",A64))=FALSE,(B64/1000)*(C64/1000),IF(ISERROR(FIND("table",A64))=FALSE,(B64/1000)*0.6,IF(ISERROR(FIND("arcass",A64))=FALSE,(((C64/1000)*(D64/1000))*2)+(((B64/1000)*(D64/1000))*2)+((B64/1000)*(C64/1000))+((((B64/1000)*0.025)+((C64/1000)*0.025))*2),IF(AND(ISERROR(FIND("door",A64))=FALSE,WardrobeDoorStyle="Flat"),(((B64/1000)*(C64/1000))*2)+(MID(WardrobeDoorMaterial,FIND("(",WardrobeDoorMaterial)+1,2)/1000)*(((B64+C64)/1000)*2),IF(AND(ISERROR(FIND("door",A64))=FALSE,LEFT(WardrobeDoorStyle,5)="Panel"),(((B64/1000)*(C64/1000))*2)+((MID(WardrobeDoorMaterial,FIND("(",WardrobeDoorMaterial)+1,2)/1000)*(((B64+C64)/1000)*2))+(((((B64-160)+(C64-160))*2)/1000)*(0.013)),IF(AND(ISERROR(FIND("door",A64))=FALSE,WardrobeDoorStyle="In-frame flat"),((((B64-76)/1000)*((C64-38)/1000))*2)+(MID(WardrobeDoorMaterial,FIND("(",WardrobeDoorMaterial)+1,2)/1000)*((((B64-76)+(C64-38))/1000)*2)+(((B64/1000)*0.032)*2)+((((B64-76)/1000)*0.032)*2)+(((B64/1000)*0.019)*4)+(((C64/1000)*0.032)*2)+((((C64-38)/1000)*0.032)*2)+(((C64/1000)*0.038)*4),IF(AND(ISERROR(FIND("door",A64))=FALSE,LEFT(WardrobeDoorStyle,14)="In-frame panel"),((((B64-76)/1000)*((C64-38)/1000))*2)+((MID(WardrobeDoorMaterial,FIND("(",WardrobeDoorMaterial)+1,2)/1000)*((((B64-76)+(C64-38))/1000)*2))+((((B64-236)/1000)+((C64-198)/1000)*2)*0.013)+(((B64/1000)*0.032)*2)+((((B64-76)/1000)*0.032)*2)+(((B64/1000)*0.019)*4)+(((C64/1000)*0.032)*2)+((((C64-38)/1000)*0.032)*2)+(((C64/1000)*0.038)*4),IF(ISERROR(FIND("Plinth",A64))=FALSE,((B64/1000)*(C64/1000))+(((C64/1000)*0.018)*2)+(((B64/1000)*0.018)*2),IF(ISERROR(FIND("Cornice",A64))=FALSE,(((C64/1000)*0.1)*2)+(((C64/1000)*0.044)*2)+(((B64/1000)*0.08)*2),IF(ISERROR(FIND("Office pod",A64))=FALSE,((2400/1000)*(1200/1000))*6,IF(ISERROR(FIND("panel",A64))=FALSE,((B64/1000)*(C64/1000))+(0.022*((B64/1000)+((C64/1000)*2)))+((B64/1000)*0.05),IF(ISERROR(FIND("Fillers",A64))=FALSE,((C64/1000)*0.06)+((C64/1000)*0.069)+((0.06*0.018)*2)+((0.06*0.009)*2)+((C64/1000)*0.009)+((C64/1000)*0.018),IF(ISERROR(FIND("Pelmet",A64))=FALSE,((C64/1000)*0.05)+((C64/1000)*0.068)+((0.05*0.018)*4)+(((C64/1000)*0.018))*2)))))))))))))))))))))</f>
        <v/>
      </c>
      <c r="N64" s="152" t="str">
        <f>IF(M64="","",IF(AND(ISERROR(FIND("carcass",A64))=TRUE,ISERROR(FIND("unit",A64))=TRUE,ISERROR(FIND("insert",A64))=TRUE,ISERROR(FIND("rack",A64))=TRUE,ISERROR(FIND("box",A64))=TRUE,ISERROR(FIND("shelf",A64))=TRUE),VLOOKUP(WardrobeDoorFinish,Finishing!$A$2:$K$10,9,0)*M64,IF(ISERROR(FIND("table",A64))=FALSE,VLOOKUP("Sayerlack AF0072 Interior Clear Self-Sealer",FinishingData,9,FALSE)*M64,VLOOKUP(WardrobeCarcassFinish,Finishing!$A$2:$K$40,9,0)*M64)))</f>
        <v/>
      </c>
      <c r="O64" s="159"/>
      <c r="P64" s="159"/>
      <c r="Q64" s="152" t="str">
        <f>IF(OR(O64="",P64=""),"",((O64*X64)*(VLOOKUP("Workshop",Labour!$A$3:$E$20,4,0)/8))+((P64*AE64)*(VLOOKUP("Finishing",Labour!$A$3:$E$20,4,0)/8)))</f>
        <v/>
      </c>
      <c r="R64" s="152" t="str">
        <f t="shared" si="4"/>
        <v/>
      </c>
      <c r="S64" s="156" t="str">
        <f>IF(OR(O64="",P64=""),"",IF(OR(ISERROR(FIND("carcass",$A64))=FALSE,ISERROR(FIND("unit",$A64))=FALSE),VLOOKUP(WardrobeCarcassMaterial,FixedListsCarcassMaterial,2,0),0))</f>
        <v/>
      </c>
      <c r="T64" s="156" t="str">
        <f>IF(OR(O64="",P64=""),"",IF(ISERROR(FIND("door",$A64))=FALSE,VLOOKUP(WardrobeDoorStyle,FixedListsDoorStyle,2,0),0))</f>
        <v/>
      </c>
      <c r="U64" s="156" t="str">
        <f>IF(OR(O64="",P64=""),"",IF(ISERROR(FIND("door",$A64))=FALSE,VLOOKUP(WardrobeDoorMaterial,FixedListsDoorMaterial,2,0),0))</f>
        <v/>
      </c>
      <c r="V64" s="156" t="str">
        <f>IF(OR(O64="",P64=""),"",IF(ISERROR(FIND("drawer",$A64))=FALSE,VLOOKUP(WardrobeDrawerType,FixedListsDrawerType,2,0),0))</f>
        <v/>
      </c>
      <c r="W64" s="156" t="str">
        <f>IF(OR(O64="",P64=""),"",IF(S64&gt;0,VLOOKUP(WardrobeHandleType,FixedListsHandleType,2,FALSE),0))</f>
        <v/>
      </c>
      <c r="X64" s="156" t="str">
        <f t="shared" si="5"/>
        <v/>
      </c>
      <c r="Y64" s="156" t="str">
        <f>IF(OR(O64="",P64=""),"",IF(OR(ISERROR(FIND("carcass",$A64))=FALSE,ISERROR(FIND("unit",$A64))=FALSE),VLOOKUP(WardrobeCarcassMaterial,FixedListsCarcassMaterial,3,0),0))</f>
        <v/>
      </c>
      <c r="Z64" s="156" t="str">
        <f>IF(OR(O64="",P64=""),"",IF(ISERROR(FIND("door",$A64))=FALSE,VLOOKUP(WardrobeDoorStyle,FixedListsDoorStyle,3,0),0))</f>
        <v/>
      </c>
      <c r="AA64" s="156" t="str">
        <f>IF(OR(O64="",P64=""),"",IF(ISERROR(FIND("door",$A64))=FALSE,VLOOKUP(WardrobeDoorMaterial,FixedListsDoorMaterial,3,0),0))</f>
        <v/>
      </c>
      <c r="AB64" s="156" t="str">
        <f>IF(OR(O64="",P64=""),"",IF(ISERROR(FIND("drawer",$A64))=FALSE,VLOOKUP(WardrobeDrawerType,FixedListsDrawerType,3,0),0))</f>
        <v/>
      </c>
      <c r="AC64" s="156" t="str">
        <f>IF(OR(O64="",P64=""),"",IF(S64&gt;0,VLOOKUP(WardrobeHandleType,FixedListsHandleType,3,FALSE),0))</f>
        <v/>
      </c>
      <c r="AD64" s="156" t="str">
        <f>IF(OR(O64="",P64=""),"",IF(OR(ISERROR(FIND("carcass",$A64))=FALSE,ISERROR(FIND("unit",$A64))=FALSE),VLOOKUP(WardrobeCarcassFinish,FixedListsFinishes,3,0),IF(OR(ISERROR(FIND("door",$A64))=FALSE,ISERROR(FIND("Plinth",$A64))=FALSE,ISERROR(FIND("Cornice",$A64))=FALSE,ISERROR(FIND("Fillers",$A64))=FALSE,ISERROR(FIND("Pelmet",$A64))=FALSE,ISERROR(FIND("panel",$A64))=FALSE,ISERROR(FIND("post",$A64))=FALSE),VLOOKUP(WardrobeDoorFinish,FixedListsFinishes,3,0),IF(OR(ISERROR(FIND("drawer",$A64))=FALSE,ISERROR(FIND("insert",$A64))=FALSE,ISERROR(FIND("rck",$A64))=FALSE),VLOOKUP(WardrobeCarcassFinish,FixedListsFinishes,3,0),0))))</f>
        <v/>
      </c>
      <c r="AE64" s="156" t="str">
        <f t="shared" si="6"/>
        <v/>
      </c>
      <c r="AF64" s="157" t="str">
        <f>IF(AND(WardrobeHandleType="Channel",OR(ISERROR(FIND("arcass",$A64))=FALSE,ISERROR(FIND("unit",$A64))=FALSE)),IF(ISERROR(FIND("Tower",$A64))=TRUE,IF(WardrobeHandleFinish="Match carcass",IF(ISERROR(FIND("Walnut",WardrobeCarcassMaterial))=FALSE,(0.035*0.075*($C64/1000))*VLOOKUP("Walnut (solid m3)",SolidData,4,FALSE),IF(ISERROR(FIND("Oak",WardrobeCarcassMaterial))=FALSE,(0.035*0.075*($C64/1000))*VLOOKUP("Oak (solid m3)",SolidData,4,FALSE),IF(ISERROR(FIND("ply",WardrobeCarcassMaterial))=FALSE,(0.1*($C64/1000))*VLOOKUP("Birch ply (24mm)",SheetsData,7,FALSE),IF(ISERROR(FIND("H/F",WardrobeCarcassMaterial))=FALSE,(0.1*($C64/1000))*VLOOKUP("H/F (22mm)",SheetsData,7,FALSE),"Carcass - not tower - new material")))),IF(WardrobeHandleFinish="Match door",IF(ISERROR(FIND("Walnut",WardrobeDoorMaterial))=FALSE,(0.035*0.075*($C64/1000))*VLOOKUP("Walnut (solid m3)",SolidData,4,FALSE),IF(ISERROR(FIND("Oak",WardrobeDoorMaterial))=FALSE,(0.035*0.075*($C64/1000))*VLOOKUP("Oak (solid m3)",SolidData,4,FALSE),IF(ISERROR(FIND("ply",WardrobeDoorMaterial))=FALSE,(0.1*($C64/1000))*VLOOKUP("Birch ply (24mm)",SheetsData,7,FALSE),IF(ISERROR(FIND("H/F",WardrobeCarcassMaterial))=FALSE,(0.1*($C64/1000))*VLOOKUP("H/F (22mm)",SheetsData,7,FALSE),"Door - not tower - new material")))),"Channel - not tower - handle set to other")),IF(ISERROR(FIND("Tower",$A64))=FALSE,IF(WardrobeHandleFinish="Match carcass",IF(ISERROR(FIND("Walnut",WardrobeCarcassMaterial))=FALSE,(0.035*0.075*($B64/1000))*VLOOKUP("Walnut (solid m3)",SolidData,4,FALSE),IF(ISERROR(FIND("Oak",WardrobeCarcassMaterial))=FALSE,(0.035*0.075*($B64/1000))*VLOOKUP("Oak (solid m3)",SolidData,4,FALSE),IF(ISERROR(FIND("ply",WardrobeCarcassMaterial))=FALSE,(0.1*($B64/1000))*VLOOKUP("Birch ply (24mm)",SheetsData,7,FALSE),IF(ISERROR(FIND("H/F",WardrobeCarcassMaterial))=FALSE,(0.1*($C64/1000))*VLOOKUP("H/F (22mm)",SheetsData,7,FALSE),"Carcass - tower - new material")))),IF(WardrobeHandleFinish="Match door",IF(ISERROR(FIND("Walnut",WardrobeDoorMaterial))=FALSE,(0.035*0.075*($B64/1000))*VLOOKUP("Walnut (solid m3)",SolidData,4,FALSE),IF(ISERROR(FIND("Oak",WardrobeDoorMaterial))=FALSE,(0.035*0.075*($B64/1000))*VLOOKUP("Oak (solid m3)",SolidData,4,FALSE),IF(ISERROR(FIND("ply",WardrobeDoorMaterial))=FALSE,(0.1*($B64/1000))*VLOOKUP("Birch ply (24mm)",SheetData,7,FALSE),IF(ISERROR(FIND("H/F",WardrobeCarcassMaterial))=FALSE,(0.1*($C64/1000))*VLOOKUP("H/F (22mm)",SheetsData,7,FALSE),"Door - tower - new material")))),"Channel - tower - handle set to other")))),"")</f>
        <v/>
      </c>
    </row>
    <row r="65">
      <c r="A65" s="150"/>
      <c r="B65" s="160" t="str">
        <f t="shared" si="1"/>
        <v/>
      </c>
      <c r="C65" s="160" t="str">
        <f>IFERROR(__xludf.DUMMYFUNCTION("IF(A65="""","""",IF(ISERROR(FIND(""arcass"",A65))=FALSE,MID(A65,FIND(""*"",A65)+1,FIND(""*"",A65,FIND(""*"",A65)+1)-FIND(""*"",A65)-1),IF(ISERROR(FIND(""End panel"",A65))=FALSE,RIGHT(A65,3),IF(OR(ISERROR(FIND(""drawer"",A65))=FALSE,ISERROR(FIND(""door"",A"&amp;"65))=FALSE,ISERROR(FIND(""shelf"",A65))=FALSE,ISERROR(FIND(""panel"",A65))=FALSE,ISERROR(FIND(""Plinth"",A65))=FALSE,ISERROR(FIND(""Cornice"",A65))=FALSE,ISERROR(FIND(""Fillers"",A65))=FALSE,ISERROR(FIND(""Pelmet"",A65))=FALSE,ISERROR(FIND(""Fireplace up "&amp;"to 1600"",A65))=FALSE),RIGHT(A65,LEN(A65)-LEN(regexextract(A65,"".* ""))),IF(ISERROR(FIND(""table"",A65))=FALSE,""560"",IF(ISERROR(FIND(""Office pod"",A65))=FALSE,""1600"",IF(ISERROR(FIND(""Fireplace over 1600"",A65))=FALSE,""2400"",IF(ISERROR(FIND(""Work"&amp;"top"",A65))=FALSE,""650"",""Whoops""))))))))"),"")</f>
        <v/>
      </c>
      <c r="D65" s="161" t="str">
        <f t="shared" si="2"/>
        <v/>
      </c>
      <c r="E65" s="152" t="str">
        <f>IF(OR(A65="",AND(ISERROR(FIND("drawer",A65))=FALSE,WardrobeDrawerType="")),"",IF(ISERROR(FIND("door",A65))=FALSE,IF(WardrobeDoorStyle="Flat",((B65/1000)*(C65/1000))*VLOOKUP(WardrobeDoorMaterial,SheetsData,8,0),IF(LEFT(WardrobeDoorStyle,5)="Panel",(((((B65/1000)*2)*0.08)+((((C65/1000)-0.16)*2)*0.08))*VLOOKUP("H/F (22mm)",SheetsData,8,0))+(((B65/1000)-0.14)*((C65/1000)-0.14)*VLOOKUP("H/F (9mm)",SheetsData,8,0)),IF(WardrobeDoorStyle="In-frame flat",((((((B65/1000)*0.019)*0.038)+((((C65-38)/1000)*0.038)*0.038))*2)*VLOOKUP("Tulip (solid m3)",SolidData,4,0))+(((B65-76)/1000)*((C65-38)/1000))*VLOOKUP("H/F (22mm)",SheetsData,8,0),IF(LEFT(WardrobeDoorStyle,14)="In-frame panel",(((((((B65/1000)*0.019)*0.038)+((((C65-38)/1000)*0.038)*0.038))*2)*VLOOKUP("Tulip (solid m3)",SolidData,4,0))+(((((((B65-76)/1000)*2)*0.08)+(((((C65-198)/1000)*2)*0.08)))*VLOOKUP("H/F (22mm)",SheetsData,8,0))+(((B65-216)/1000)*((C65-178)/1000)*VLOOKUP("H/F (9mm)",SheetsData,8,0)))))))),IF(AND(ISERROR(FIND("arcass",A65))=FALSE,ISERROR(FIND("ost corner",A65))=TRUE),IF(AND(VALUE(B65)&lt;1211,VALUE(C65)&lt;1211,VALUE(D65)&lt;606),1*VLOOKUP(WardrobeCarcassMaterial,SheetsData,5,FALSE),IF(AND(VALUE(B65)&lt;2421,VALUE(C65)&lt;2421,VALUE(D65)&lt;606),2*VLOOKUP(WardrobeCarcassMaterial,SheetsData,5,FALSE),IF(AND(VALUE(B65)&lt;2421,VALUE(C65)&lt;1211,VALUE(D65)&lt;1211),3*VLOOKUP(WardrobeCarcassMaterial,SheetsData,5,FALSE),IF(AND(VALUE(B65)&lt;2421,VALUE(C65)&lt;2421,VALUE(D65)&lt;1211),4*VLOOKUP(WardrobeCarcassMaterial,SheetsData,5,FALSE))))),IF(AND(ISERROR(FIND("arcass",A65))=FALSE,ISERROR(FIND("ost corner",A65))=FALSE),IF(AND(VALUE(B65)&lt;1211,VALUE(C65)&lt;1211,VALUE(D65)&lt;606),(1*VLOOKUP(WardrobeCarcassMaterial,SheetsData,5,FALSE))+(VLOOKUP("H/F (22mm)",SheetsData,7,FALSE)*1.44),IF(AND(VALUE(B65)&lt;2421,VALUE(C65)&lt;2421,VALUE(D65)&lt;606),(2*VLOOKUP(WardrobeCarcassMaterial,SheetsData,5,FALSE))+(VLOOKUP("H/F (22mm)",SheetsData,7,FALSE)*1.44),IF(AND(VALUE(B65)&lt;2421,VALUE(C65)&lt;1211,VALUE(D65)&lt;1211),(3*VLOOKUP(WardrobeCarcassMaterial,SheetsData,5,FALSE))+(VLOOKUP("H/F (22mm)",SheetsData,7,FALSE)*1.44),IF(AND(VALUE(B65)&lt;2421,VALUE(C65)&lt;2421,VALUE(D65)&lt;1211),(4*VLOOKUP(WardrobeCarcassMaterial,SheetsData,5,FALSE))+(VLOOKUP("H/F (22mm)",SheetsData,7,FALSE)*1.44))))),IF(ISERROR(FIND("drawer front",A65))=FALSE,((B65/1000)*(C65/1000))*VLOOKUP(WardrobeDoorMaterial,SheetsData,8,0),IF(AND(WardrobeDrawerType="Match carcass",ISERROR(FIND("drawer box",A65))=FALSE),(((((B65/1000)*(C65/1000))+((B65/1000)*(D65/1000)))*2)*VLOOKUP(WardrobeCarcassMaterial,SheetsData,8,0))+(((C65/1000)*(D65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box",A65))=FALSE),(((((B65/1000)*(C65/1000))+((B65/1000)*(D65/1000)))*2)*(16/1000)*VLOOKUP(LEFT(WardrobeCarcassMaterial,FIND(" ",WardrobeCarcassMaterial))&amp;"(solid m3)",SolidData,4,0))+(((C65/1000)*(D65/1000))*VLOOKUP(LEFT(WardrobeCarcassMaterial,FIND("(",WardrobeCarcassMaterial)-1)&amp;IF(OR(ISERROR(FIND("ply",WardrobeCarcassMaterial))=FALSE,ISERROR(FIND("H/F",WardrobeCarcassMaterial))=FALSE),"(9mm)","(10mm)"),SheetsData,8,0)),IF(ISERROR(FIND("shelf",A65))=FALSE,((C65/1000)*(D65/1000))*VLOOKUP(WardrobeCarcassMaterial,SheetsData,7,FALSE),IF(ISERROR(FIND("Office pod",A65))=FALSE,3*VLOOKUP(WardrobeCarcassMaterial,SheetsData,5,0),IF(ISERROR(FIND(" panel",A65))=FALSE,((B65/1000)*(C65/1000))*VLOOKUP(WardrobeDoorMaterial,SheetsData,8,0),IF(ISERROR(FIND("Fillers",A65))=FALSE,(((0.06*(C65/1000))*2)*VLOOKUP("H/F (18mm)",SheetsData,8,0))+(((0.06*(C65/1000))*2)*VLOOKUP("H/F (9mm)",SheetsData,8,0)),IF(ISERROR(FIND("Cornice (stacked)",A65))=FALSE,((0.08*(C65/1000))*2)*VLOOKUP("H/F (22mm)",SheetsData,8,0),IF(OR(ISERROR(FIND("Plinth",A65))=FALSE,ISERROR(FIND("Cornice (flat)",A65))=FALSE),((B65/1000)*(C65/1000))*VLOOKUP("H/F (18mm)",SheetsData,8,0),IF(ISERROR(FIND("Pelmet",A65))=FALSE,((((B65/1000)*(C65/1000))*2)*VLOOKUP("H/F (18mm)",SheetsData,8,0)),IF(ISERROR(FIND("Fireplace",A65))=FALSE,IF(ISERROR(FIND("over 1600",A65))=FALSE,2*VLOOKUP(WardrobeCarcassMaterial,SheetsData,5,FALSE),VLOOKUP(WardrobeCarcassMaterial,SheetsData,5,FALSE)),IF(ISERROR(FIND("table",A65))=FALSE,((B65/1000)*0.6)*VLOOKUP("Birch ply (24mm)",SheetsData,7,FALSE),IF(ISERROR(FIND("Worktop",A65))=FALSE,((B65/1000)*(C65/1000))*VLOOKUP(WardrobeDoorMaterial,SheetsData,7,FALSE),"Check formula")))))))))))))))))</f>
        <v/>
      </c>
      <c r="F65" s="152" t="str">
        <f>IFERROR(__xludf.DUMMYFUNCTION("IF(OR(A65="""",AND(ISERROR(FIND(""drawer box"",A65))=FALSE,WardrobeDrawerType=""Solid dovetail"")),"""",IF(ISERROR(FIND(""bins"",A65))=FALSE,VLOOKUP(""Base carcass 600"",Wardrobes_etcData,6,0),IF(OR(ISERROR(FIND(""larder"",A65))=FALSE,ISERROR(FIND(""unit"&amp;""",A65))=FALSE),VLOOKUP(LEFT(A65,FIND("" "",A65))&amp;""carcass ""&amp;RIGHT(A65,LEN(A65)-len(regexextract(A65,"".* ""))),Wardrobes_etcData,6,0),IF(ISERROR(FIND(""drawer front"",A65))=FALSE,IF(ISERROR(FIND(""veneer"",WardrobeCarcassMaterial))=TRUE,0,(((B65+C65)/1"&amp;"000)*2)*VLOOKUP(""Edge banding (per M)"",SheetsData,5,0)),IF(ISERROR(FIND(""drawer box"",A65))=FALSE,IF(ISERROR(FIND(""veneer"",WardrobeCarcassMaterial))=TRUE,0,(((C65+D65)/1000)*2)*VLOOKUP(""Edge banding (per M)"",SheetsData,5,0)),IF(ISERROR(FIND(""shelf"&amp;""",A65))=FALSE,IF(ISERROR(FIND(""veneer"",WardrobeCarcassMaterial))=TRUE,0,(C65/1000)*VLOOKUP(""Edge banding (per M)"",SheetsData,5,0)),IF(AND(OR(ISERROR(FIND(""arcass"",A65))=FALSE,ISERROR(FIND(""Fireplace"",A65))=FALSE),ISERROR(FIND(""shelf"",A65))=TRUE"&amp;"),IF(ISERROR(FIND(""veneer"",WardrobeCarcassMaterial))=TRUE,0,((2*(B65+C65))/1000)*VLOOKUP(""Edge banding (per M)"",SheetsData,5,0)),IF(ISERROR(FIND(""door"",A65))=TRUE,"""",IF(ISERROR(FIND(""veneer"",WardrobeDoorMaterial))=TRUE,"""",((2*(B65+C65))/1000)*"&amp;"VLOOKUP(""Edge banding (per M)"",SheetsData,5,0))))))))))"),"")</f>
        <v/>
      </c>
      <c r="G65" s="153" t="str">
        <f>IF(A65="","",IF(AND(ISERROR(FIND("arcass",A65))=TRUE,ISERROR(FIND("Fireplace",A65))=TRUE),"",IF(VALUE(C65)&lt;606,4*VLOOKUP("Plinth foot (2 Parts 80mm)",FurnitureData,5,FALSE),IF(VALUE(C65)&lt;1211,6*VLOOKUP("Plinth foot (2 Parts 80mm)",FurnitureData,5,FALSE),8*VLOOKUP("Plinth foot (2 Parts 80mm)",FurnitureData,5,FALSE)))))</f>
        <v/>
      </c>
      <c r="H65" s="115" t="str">
        <f>IF(OR(A65="",ISERROR(FIND("door",A65))=TRUE),"",VLOOKUP("Hinges &amp; plates (Hettich thick door)",FurnitureData,5,0)*5)</f>
        <v/>
      </c>
      <c r="I65" s="115" t="str">
        <f>IF(ISERROR(FIND("shelf",A65))=FALSE,(VLOOKUP("Shelf pegs",FurnitureData,5,0)/100)*4,"")</f>
        <v/>
      </c>
      <c r="J65" s="152" t="str">
        <f>IF(OR(ISERROR(FIND("fridge/freezer",A65))=FALSE,ISERROR(FIND("sink",A65))=FALSE,ISERROR(FIND("larder",A65))=FALSE),VLOOKUP("Deep shelf "&amp;C65,Wardrobes_etcData,18,0),IF(OR(ISERROR(FIND("single oven",A65))=FALSE,ISERROR(FIND("Base carcass",A65))=FALSE),2*VLOOKUP("Deep shelf "&amp;C65,Wardrobes_etcData,18,0),IF(AND(ISERROR(FIND("wall carcass",A65))=FALSE,ISERROR(FIND("Boiler",A65))=TRUE),2*VLOOKUP("Shallow shelf "&amp;C65,Wardrobes_etcData,18,0),IF(ISERROR(FIND("double oven",A65))=FALSE,3*VLOOKUP("Deep shelf "&amp;C65,Wardrobes_etcData,18,0),IF(ISERROR(FIND("Tower carcass",A65))=FALSE,6*VLOOKUP("Deep shelf "&amp;C65,Wardrobes_etcData,18,0),"")))))</f>
        <v/>
      </c>
      <c r="K65" s="152" t="str">
        <f>IF(ISERROR(FIND("sink",A65))=FALSE,VLOOKUP("Sink liner - Aluminium "&amp;RIGHT(A65,LEN(A65)-22)&amp;"mm",ExceptionalData,5,0),IF(ISERROR(FIND("bins",A65))=FALSE,VLOOKUP("Drawer runners and clip set for bin unit (500) Dynapro",FurnitureData,5,0)+(2*VLOOKUP("Bin (42L Anthracite)",FurnitureData,5,0)),IF(ISERROR(FIND("larder",A65))=FALSE,VLOOKUP("Pull out larder unit 600mm",FurnitureData,5,0),IF(AND(ISERROR(FIND("drawer box",A65))=FALSE,ISERROR(FIND("internal",A65))=TRUE),VLOOKUP("Drawer runners and clip set (550) Dynapro",FurnitureData,5,0),IF(ISERROR(FIND("internal drawer box",A65))=FALSE,VLOOKUP("Drawer runners and clip set (450) Dynapro",FurnitureData,5,0),IF(ISERROR(FIND("table",A65))=FALSE,VLOOKUP("Hairpin Leg (12mm Black "&amp;MID(A65,FIND("(",A65)+1,LEN(A65)-(FIND("(",A65))-1)&amp;"mm)",ExceptionalData,4,FALSE),""))))))</f>
        <v/>
      </c>
      <c r="L65" s="152" t="str">
        <f t="shared" si="3"/>
        <v/>
      </c>
      <c r="M65" s="154" t="str">
        <f>IF(A65="","",IF(AND(ISERROR(FIND("drawer front",A65))=FALSE,WardrobeDoorStyle="Flat"),(((B65/1000)*(C65/1000))*2)+((((B65+C65)/1000)*2)*0.022),IF(AND(ISERROR(FIND("drawer front",A65))=FALSE,LEFT(WardrobeDoorStyle,5)="Panel"),(((B65/1000)*(C65/1000))*2)+((((B65+C65)/1000)*2)*0.022)+((((C65/1000)-0.16)*0.013)*2)+((((D65/1000)-0.16)*0.013)*2),IF(AND(ISERROR(FIND("drawer front",A65))=FALSE,WardrobeDoorStyle="In-frame flat"),((((B65-76)/1000)*((C65-38)/1000))*2)+(MID(WardrobeDoorMaterial,FIND("(",WardrobeDoorMaterial)+1,2)/1000)*((((B65-76)+(C65-38))/1000)*2)+(((B65/1000)*0.032)*2)+((((B65-76)/1000)*0.032)*2)+(((B65/1000)*0.019)*4)+(((C65/1000)*0.032)*2)+((((C65-38)/1000)*0.032)*2)+(((C65/1000)*0.038)*4),IF(AND(ISERROR(FIND("drawer front",A65))=FALSE,LEFT(WardrobeDoorStyle,14)="In-frame panel"),((((B65-76)/1000)*((C65-38)/1000))*2)+((MID(WardrobeDoorMaterial,FIND("(",WardrobeDoorMaterial)+1,2)/1000)*((((B65-76)+(C65-38))/1000)*2))+((((B65-236)/1000)+((C65-198)/1000)*2)*0.013)+(((B65/1000)*0.032)*2)+((((B65-76)/1000)*0.032)*2)+(((B65/1000)*0.019)*4)+(((C65/1000)*0.032)*2)+((((C65-38)/1000)*0.032)*2)+(((C65/1000)*0.038)*4),IF(ISERROR(FIND("drawer box",A65))=FALSE,((((B65/1000)*(D65/1000))+((B65/1000)*(C65/1000)))*4)+((((D65/1000)+(C65/1000))*0.016)*4)+(((C65/1000)*(D65/1000))*2),IF(OR(ISERROR(FIND("shelf",A65))=FALSE,ISERROR(FIND("Filler panel",A65))=FALSE),(((C65/1000)*(D65/1000))*2)+((((C65+D65)*2)/1000)*0.022),IF(ISERROR(FIND("Fireplace",A65))=FALSE,((B65/1000)*(C65/1000)),IF(ISERROR(FIND("Worktop",A65))=FALSE,(B65/1000)*(C65/1000),IF(ISERROR(FIND("table",A65))=FALSE,(B65/1000)*0.6,IF(ISERROR(FIND("arcass",A65))=FALSE,(((C65/1000)*(D65/1000))*2)+(((B65/1000)*(D65/1000))*2)+((B65/1000)*(C65/1000))+((((B65/1000)*0.025)+((C65/1000)*0.025))*2),IF(AND(ISERROR(FIND("door",A65))=FALSE,WardrobeDoorStyle="Flat"),(((B65/1000)*(C65/1000))*2)+(MID(WardrobeDoorMaterial,FIND("(",WardrobeDoorMaterial)+1,2)/1000)*(((B65+C65)/1000)*2),IF(AND(ISERROR(FIND("door",A65))=FALSE,LEFT(WardrobeDoorStyle,5)="Panel"),(((B65/1000)*(C65/1000))*2)+((MID(WardrobeDoorMaterial,FIND("(",WardrobeDoorMaterial)+1,2)/1000)*(((B65+C65)/1000)*2))+(((((B65-160)+(C65-160))*2)/1000)*(0.013)),IF(AND(ISERROR(FIND("door",A65))=FALSE,WardrobeDoorStyle="In-frame flat"),((((B65-76)/1000)*((C65-38)/1000))*2)+(MID(WardrobeDoorMaterial,FIND("(",WardrobeDoorMaterial)+1,2)/1000)*((((B65-76)+(C65-38))/1000)*2)+(((B65/1000)*0.032)*2)+((((B65-76)/1000)*0.032)*2)+(((B65/1000)*0.019)*4)+(((C65/1000)*0.032)*2)+((((C65-38)/1000)*0.032)*2)+(((C65/1000)*0.038)*4),IF(AND(ISERROR(FIND("door",A65))=FALSE,LEFT(WardrobeDoorStyle,14)="In-frame panel"),((((B65-76)/1000)*((C65-38)/1000))*2)+((MID(WardrobeDoorMaterial,FIND("(",WardrobeDoorMaterial)+1,2)/1000)*((((B65-76)+(C65-38))/1000)*2))+((((B65-236)/1000)+((C65-198)/1000)*2)*0.013)+(((B65/1000)*0.032)*2)+((((B65-76)/1000)*0.032)*2)+(((B65/1000)*0.019)*4)+(((C65/1000)*0.032)*2)+((((C65-38)/1000)*0.032)*2)+(((C65/1000)*0.038)*4),IF(ISERROR(FIND("Plinth",A65))=FALSE,((B65/1000)*(C65/1000))+(((C65/1000)*0.018)*2)+(((B65/1000)*0.018)*2),IF(ISERROR(FIND("Cornice",A65))=FALSE,(((C65/1000)*0.1)*2)+(((C65/1000)*0.044)*2)+(((B65/1000)*0.08)*2),IF(ISERROR(FIND("Office pod",A65))=FALSE,((2400/1000)*(1200/1000))*6,IF(ISERROR(FIND("panel",A65))=FALSE,((B65/1000)*(C65/1000))+(0.022*((B65/1000)+((C65/1000)*2)))+((B65/1000)*0.05),IF(ISERROR(FIND("Fillers",A65))=FALSE,((C65/1000)*0.06)+((C65/1000)*0.069)+((0.06*0.018)*2)+((0.06*0.009)*2)+((C65/1000)*0.009)+((C65/1000)*0.018),IF(ISERROR(FIND("Pelmet",A65))=FALSE,((C65/1000)*0.05)+((C65/1000)*0.068)+((0.05*0.018)*4)+(((C65/1000)*0.018))*2)))))))))))))))))))))</f>
        <v/>
      </c>
      <c r="N65" s="152" t="str">
        <f>IF(M65="","",IF(AND(ISERROR(FIND("carcass",A65))=TRUE,ISERROR(FIND("unit",A65))=TRUE,ISERROR(FIND("insert",A65))=TRUE,ISERROR(FIND("rack",A65))=TRUE,ISERROR(FIND("box",A65))=TRUE,ISERROR(FIND("shelf",A65))=TRUE),VLOOKUP(WardrobeDoorFinish,Finishing!$A$2:$K$10,9,0)*M65,IF(ISERROR(FIND("table",A65))=FALSE,VLOOKUP("Sayerlack AF0072 Interior Clear Self-Sealer",FinishingData,9,FALSE)*M65,VLOOKUP(WardrobeCarcassFinish,Finishing!$A$2:$K$40,9,0)*M65)))</f>
        <v/>
      </c>
      <c r="O65" s="159"/>
      <c r="P65" s="159"/>
      <c r="Q65" s="152" t="str">
        <f>IF(OR(O65="",P65=""),"",((O65*X65)*(VLOOKUP("Workshop",Labour!$A$3:$E$20,4,0)/8))+((P65*AE65)*(VLOOKUP("Finishing",Labour!$A$3:$E$20,4,0)/8)))</f>
        <v/>
      </c>
      <c r="R65" s="152" t="str">
        <f t="shared" si="4"/>
        <v/>
      </c>
      <c r="S65" s="156" t="str">
        <f>IF(OR(O65="",P65=""),"",IF(OR(ISERROR(FIND("carcass",$A65))=FALSE,ISERROR(FIND("unit",$A65))=FALSE),VLOOKUP(WardrobeCarcassMaterial,FixedListsCarcassMaterial,2,0),0))</f>
        <v/>
      </c>
      <c r="T65" s="156" t="str">
        <f>IF(OR(O65="",P65=""),"",IF(ISERROR(FIND("door",$A65))=FALSE,VLOOKUP(WardrobeDoorStyle,FixedListsDoorStyle,2,0),0))</f>
        <v/>
      </c>
      <c r="U65" s="156" t="str">
        <f>IF(OR(O65="",P65=""),"",IF(ISERROR(FIND("door",$A65))=FALSE,VLOOKUP(WardrobeDoorMaterial,FixedListsDoorMaterial,2,0),0))</f>
        <v/>
      </c>
      <c r="V65" s="156" t="str">
        <f>IF(OR(O65="",P65=""),"",IF(ISERROR(FIND("drawer",$A65))=FALSE,VLOOKUP(WardrobeDrawerType,FixedListsDrawerType,2,0),0))</f>
        <v/>
      </c>
      <c r="W65" s="156" t="str">
        <f>IF(OR(O65="",P65=""),"",IF(S65&gt;0,VLOOKUP(WardrobeHandleType,FixedListsHandleType,2,FALSE),0))</f>
        <v/>
      </c>
      <c r="X65" s="156" t="str">
        <f t="shared" si="5"/>
        <v/>
      </c>
      <c r="Y65" s="156" t="str">
        <f>IF(OR(O65="",P65=""),"",IF(OR(ISERROR(FIND("carcass",$A65))=FALSE,ISERROR(FIND("unit",$A65))=FALSE),VLOOKUP(WardrobeCarcassMaterial,FixedListsCarcassMaterial,3,0),0))</f>
        <v/>
      </c>
      <c r="Z65" s="156" t="str">
        <f>IF(OR(O65="",P65=""),"",IF(ISERROR(FIND("door",$A65))=FALSE,VLOOKUP(WardrobeDoorStyle,FixedListsDoorStyle,3,0),0))</f>
        <v/>
      </c>
      <c r="AA65" s="156" t="str">
        <f>IF(OR(O65="",P65=""),"",IF(ISERROR(FIND("door",$A65))=FALSE,VLOOKUP(WardrobeDoorMaterial,FixedListsDoorMaterial,3,0),0))</f>
        <v/>
      </c>
      <c r="AB65" s="156" t="str">
        <f>IF(OR(O65="",P65=""),"",IF(ISERROR(FIND("drawer",$A65))=FALSE,VLOOKUP(WardrobeDrawerType,FixedListsDrawerType,3,0),0))</f>
        <v/>
      </c>
      <c r="AC65" s="156" t="str">
        <f>IF(OR(O65="",P65=""),"",IF(S65&gt;0,VLOOKUP(WardrobeHandleType,FixedListsHandleType,3,FALSE),0))</f>
        <v/>
      </c>
      <c r="AD65" s="156" t="str">
        <f>IF(OR(O65="",P65=""),"",IF(OR(ISERROR(FIND("carcass",$A65))=FALSE,ISERROR(FIND("unit",$A65))=FALSE),VLOOKUP(WardrobeCarcassFinish,FixedListsFinishes,3,0),IF(OR(ISERROR(FIND("door",$A65))=FALSE,ISERROR(FIND("Plinth",$A65))=FALSE,ISERROR(FIND("Cornice",$A65))=FALSE,ISERROR(FIND("Fillers",$A65))=FALSE,ISERROR(FIND("Pelmet",$A65))=FALSE,ISERROR(FIND("panel",$A65))=FALSE,ISERROR(FIND("post",$A65))=FALSE),VLOOKUP(WardrobeDoorFinish,FixedListsFinishes,3,0),IF(OR(ISERROR(FIND("drawer",$A65))=FALSE,ISERROR(FIND("insert",$A65))=FALSE,ISERROR(FIND("rck",$A65))=FALSE),VLOOKUP(WardrobeCarcassFinish,FixedListsFinishes,3,0),0))))</f>
        <v/>
      </c>
      <c r="AE65" s="156" t="str">
        <f t="shared" si="6"/>
        <v/>
      </c>
      <c r="AF65" s="157" t="str">
        <f>IF(AND(WardrobeHandleType="Channel",OR(ISERROR(FIND("arcass",$A65))=FALSE,ISERROR(FIND("unit",$A65))=FALSE)),IF(ISERROR(FIND("Tower",$A65))=TRUE,IF(WardrobeHandleFinish="Match carcass",IF(ISERROR(FIND("Walnut",WardrobeCarcassMaterial))=FALSE,(0.035*0.075*($C65/1000))*VLOOKUP("Walnut (solid m3)",SolidData,4,FALSE),IF(ISERROR(FIND("Oak",WardrobeCarcassMaterial))=FALSE,(0.035*0.075*($C65/1000))*VLOOKUP("Oak (solid m3)",SolidData,4,FALSE),IF(ISERROR(FIND("ply",WardrobeCarcassMaterial))=FALSE,(0.1*($C65/1000))*VLOOKUP("Birch ply (24mm)",SheetsData,7,FALSE),IF(ISERROR(FIND("H/F",WardrobeCarcassMaterial))=FALSE,(0.1*($C65/1000))*VLOOKUP("H/F (22mm)",SheetsData,7,FALSE),"Carcass - not tower - new material")))),IF(WardrobeHandleFinish="Match door",IF(ISERROR(FIND("Walnut",WardrobeDoorMaterial))=FALSE,(0.035*0.075*($C65/1000))*VLOOKUP("Walnut (solid m3)",SolidData,4,FALSE),IF(ISERROR(FIND("Oak",WardrobeDoorMaterial))=FALSE,(0.035*0.075*($C65/1000))*VLOOKUP("Oak (solid m3)",SolidData,4,FALSE),IF(ISERROR(FIND("ply",WardrobeDoorMaterial))=FALSE,(0.1*($C65/1000))*VLOOKUP("Birch ply (24mm)",SheetsData,7,FALSE),IF(ISERROR(FIND("H/F",WardrobeCarcassMaterial))=FALSE,(0.1*($C65/1000))*VLOOKUP("H/F (22mm)",SheetsData,7,FALSE),"Door - not tower - new material")))),"Channel - not tower - handle set to other")),IF(ISERROR(FIND("Tower",$A65))=FALSE,IF(WardrobeHandleFinish="Match carcass",IF(ISERROR(FIND("Walnut",WardrobeCarcassMaterial))=FALSE,(0.035*0.075*($B65/1000))*VLOOKUP("Walnut (solid m3)",SolidData,4,FALSE),IF(ISERROR(FIND("Oak",WardrobeCarcassMaterial))=FALSE,(0.035*0.075*($B65/1000))*VLOOKUP("Oak (solid m3)",SolidData,4,FALSE),IF(ISERROR(FIND("ply",WardrobeCarcassMaterial))=FALSE,(0.1*($B65/1000))*VLOOKUP("Birch ply (24mm)",SheetsData,7,FALSE),IF(ISERROR(FIND("H/F",WardrobeCarcassMaterial))=FALSE,(0.1*($C65/1000))*VLOOKUP("H/F (22mm)",SheetsData,7,FALSE),"Carcass - tower - new material")))),IF(WardrobeHandleFinish="Match door",IF(ISERROR(FIND("Walnut",WardrobeDoorMaterial))=FALSE,(0.035*0.075*($B65/1000))*VLOOKUP("Walnut (solid m3)",SolidData,4,FALSE),IF(ISERROR(FIND("Oak",WardrobeDoorMaterial))=FALSE,(0.035*0.075*($B65/1000))*VLOOKUP("Oak (solid m3)",SolidData,4,FALSE),IF(ISERROR(FIND("ply",WardrobeDoorMaterial))=FALSE,(0.1*($B65/1000))*VLOOKUP("Birch ply (24mm)",SheetData,7,FALSE),IF(ISERROR(FIND("H/F",WardrobeCarcassMaterial))=FALSE,(0.1*($C65/1000))*VLOOKUP("H/F (22mm)",SheetsData,7,FALSE),"Door - tower - new material")))),"Channel - tower - handle set to other")))),"")</f>
        <v/>
      </c>
    </row>
    <row r="66">
      <c r="A66" s="150"/>
      <c r="B66" s="160" t="str">
        <f t="shared" si="1"/>
        <v/>
      </c>
      <c r="C66" s="160" t="str">
        <f>IFERROR(__xludf.DUMMYFUNCTION("IF(A66="""","""",IF(ISERROR(FIND(""arcass"",A66))=FALSE,MID(A66,FIND(""*"",A66)+1,FIND(""*"",A66,FIND(""*"",A66)+1)-FIND(""*"",A66)-1),IF(ISERROR(FIND(""End panel"",A66))=FALSE,RIGHT(A66,3),IF(OR(ISERROR(FIND(""drawer"",A66))=FALSE,ISERROR(FIND(""door"",A"&amp;"66))=FALSE,ISERROR(FIND(""shelf"",A66))=FALSE,ISERROR(FIND(""panel"",A66))=FALSE,ISERROR(FIND(""Plinth"",A66))=FALSE,ISERROR(FIND(""Cornice"",A66))=FALSE,ISERROR(FIND(""Fillers"",A66))=FALSE,ISERROR(FIND(""Pelmet"",A66))=FALSE,ISERROR(FIND(""Fireplace up "&amp;"to 1600"",A66))=FALSE),RIGHT(A66,LEN(A66)-LEN(regexextract(A66,"".* ""))),IF(ISERROR(FIND(""table"",A66))=FALSE,""560"",IF(ISERROR(FIND(""Office pod"",A66))=FALSE,""1600"",IF(ISERROR(FIND(""Fireplace over 1600"",A66))=FALSE,""2400"",IF(ISERROR(FIND(""Work"&amp;"top"",A66))=FALSE,""650"",""Whoops""))))))))"),"")</f>
        <v/>
      </c>
      <c r="D66" s="161" t="str">
        <f t="shared" si="2"/>
        <v/>
      </c>
      <c r="E66" s="152" t="str">
        <f>IF(OR(A66="",AND(ISERROR(FIND("drawer",A66))=FALSE,WardrobeDrawerType="")),"",IF(ISERROR(FIND("door",A66))=FALSE,IF(WardrobeDoorStyle="Flat",((B66/1000)*(C66/1000))*VLOOKUP(WardrobeDoorMaterial,SheetsData,8,0),IF(LEFT(WardrobeDoorStyle,5)="Panel",(((((B66/1000)*2)*0.08)+((((C66/1000)-0.16)*2)*0.08))*VLOOKUP("H/F (22mm)",SheetsData,8,0))+(((B66/1000)-0.14)*((C66/1000)-0.14)*VLOOKUP("H/F (9mm)",SheetsData,8,0)),IF(WardrobeDoorStyle="In-frame flat",((((((B66/1000)*0.019)*0.038)+((((C66-38)/1000)*0.038)*0.038))*2)*VLOOKUP("Tulip (solid m3)",SolidData,4,0))+(((B66-76)/1000)*((C66-38)/1000))*VLOOKUP("H/F (22mm)",SheetsData,8,0),IF(LEFT(WardrobeDoorStyle,14)="In-frame panel",(((((((B66/1000)*0.019)*0.038)+((((C66-38)/1000)*0.038)*0.038))*2)*VLOOKUP("Tulip (solid m3)",SolidData,4,0))+(((((((B66-76)/1000)*2)*0.08)+(((((C66-198)/1000)*2)*0.08)))*VLOOKUP("H/F (22mm)",SheetsData,8,0))+(((B66-216)/1000)*((C66-178)/1000)*VLOOKUP("H/F (9mm)",SheetsData,8,0)))))))),IF(AND(ISERROR(FIND("arcass",A66))=FALSE,ISERROR(FIND("ost corner",A66))=TRUE),IF(AND(VALUE(B66)&lt;1211,VALUE(C66)&lt;1211,VALUE(D66)&lt;606),1*VLOOKUP(WardrobeCarcassMaterial,SheetsData,5,FALSE),IF(AND(VALUE(B66)&lt;2421,VALUE(C66)&lt;2421,VALUE(D66)&lt;606),2*VLOOKUP(WardrobeCarcassMaterial,SheetsData,5,FALSE),IF(AND(VALUE(B66)&lt;2421,VALUE(C66)&lt;1211,VALUE(D66)&lt;1211),3*VLOOKUP(WardrobeCarcassMaterial,SheetsData,5,FALSE),IF(AND(VALUE(B66)&lt;2421,VALUE(C66)&lt;2421,VALUE(D66)&lt;1211),4*VLOOKUP(WardrobeCarcassMaterial,SheetsData,5,FALSE))))),IF(AND(ISERROR(FIND("arcass",A66))=FALSE,ISERROR(FIND("ost corner",A66))=FALSE),IF(AND(VALUE(B66)&lt;1211,VALUE(C66)&lt;1211,VALUE(D66)&lt;606),(1*VLOOKUP(WardrobeCarcassMaterial,SheetsData,5,FALSE))+(VLOOKUP("H/F (22mm)",SheetsData,7,FALSE)*1.44),IF(AND(VALUE(B66)&lt;2421,VALUE(C66)&lt;2421,VALUE(D66)&lt;606),(2*VLOOKUP(WardrobeCarcassMaterial,SheetsData,5,FALSE))+(VLOOKUP("H/F (22mm)",SheetsData,7,FALSE)*1.44),IF(AND(VALUE(B66)&lt;2421,VALUE(C66)&lt;1211,VALUE(D66)&lt;1211),(3*VLOOKUP(WardrobeCarcassMaterial,SheetsData,5,FALSE))+(VLOOKUP("H/F (22mm)",SheetsData,7,FALSE)*1.44),IF(AND(VALUE(B66)&lt;2421,VALUE(C66)&lt;2421,VALUE(D66)&lt;1211),(4*VLOOKUP(WardrobeCarcassMaterial,SheetsData,5,FALSE))+(VLOOKUP("H/F (22mm)",SheetsData,7,FALSE)*1.44))))),IF(ISERROR(FIND("drawer front",A66))=FALSE,((B66/1000)*(C66/1000))*VLOOKUP(WardrobeDoorMaterial,SheetsData,8,0),IF(AND(WardrobeDrawerType="Match carcass",ISERROR(FIND("drawer box",A66))=FALSE),(((((B66/1000)*(C66/1000))+((B66/1000)*(D66/1000)))*2)*VLOOKUP(WardrobeCarcassMaterial,SheetsData,8,0))+(((C66/1000)*(D66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box",A66))=FALSE),(((((B66/1000)*(C66/1000))+((B66/1000)*(D66/1000)))*2)*(16/1000)*VLOOKUP(LEFT(WardrobeCarcassMaterial,FIND(" ",WardrobeCarcassMaterial))&amp;"(solid m3)",SolidData,4,0))+(((C66/1000)*(D66/1000))*VLOOKUP(LEFT(WardrobeCarcassMaterial,FIND("(",WardrobeCarcassMaterial)-1)&amp;IF(OR(ISERROR(FIND("ply",WardrobeCarcassMaterial))=FALSE,ISERROR(FIND("H/F",WardrobeCarcassMaterial))=FALSE),"(9mm)","(10mm)"),SheetsData,8,0)),IF(ISERROR(FIND("shelf",A66))=FALSE,((C66/1000)*(D66/1000))*VLOOKUP(WardrobeCarcassMaterial,SheetsData,7,FALSE),IF(ISERROR(FIND("Office pod",A66))=FALSE,3*VLOOKUP(WardrobeCarcassMaterial,SheetsData,5,0),IF(ISERROR(FIND(" panel",A66))=FALSE,((B66/1000)*(C66/1000))*VLOOKUP(WardrobeDoorMaterial,SheetsData,8,0),IF(ISERROR(FIND("Fillers",A66))=FALSE,(((0.06*(C66/1000))*2)*VLOOKUP("H/F (18mm)",SheetsData,8,0))+(((0.06*(C66/1000))*2)*VLOOKUP("H/F (9mm)",SheetsData,8,0)),IF(ISERROR(FIND("Cornice (stacked)",A66))=FALSE,((0.08*(C66/1000))*2)*VLOOKUP("H/F (22mm)",SheetsData,8,0),IF(OR(ISERROR(FIND("Plinth",A66))=FALSE,ISERROR(FIND("Cornice (flat)",A66))=FALSE),((B66/1000)*(C66/1000))*VLOOKUP("H/F (18mm)",SheetsData,8,0),IF(ISERROR(FIND("Pelmet",A66))=FALSE,((((B66/1000)*(C66/1000))*2)*VLOOKUP("H/F (18mm)",SheetsData,8,0)),IF(ISERROR(FIND("Fireplace",A66))=FALSE,IF(ISERROR(FIND("over 1600",A66))=FALSE,2*VLOOKUP(WardrobeCarcassMaterial,SheetsData,5,FALSE),VLOOKUP(WardrobeCarcassMaterial,SheetsData,5,FALSE)),IF(ISERROR(FIND("table",A66))=FALSE,((B66/1000)*0.6)*VLOOKUP("Birch ply (24mm)",SheetsData,7,FALSE),IF(ISERROR(FIND("Worktop",A66))=FALSE,((B66/1000)*(C66/1000))*VLOOKUP(WardrobeDoorMaterial,SheetsData,7,FALSE),"Check formula")))))))))))))))))</f>
        <v/>
      </c>
      <c r="F66" s="152" t="str">
        <f>IFERROR(__xludf.DUMMYFUNCTION("IF(OR(A66="""",AND(ISERROR(FIND(""drawer box"",A66))=FALSE,WardrobeDrawerType=""Solid dovetail"")),"""",IF(ISERROR(FIND(""bins"",A66))=FALSE,VLOOKUP(""Base carcass 600"",Wardrobes_etcData,6,0),IF(OR(ISERROR(FIND(""larder"",A66))=FALSE,ISERROR(FIND(""unit"&amp;""",A66))=FALSE),VLOOKUP(LEFT(A66,FIND("" "",A66))&amp;""carcass ""&amp;RIGHT(A66,LEN(A66)-len(regexextract(A66,"".* ""))),Wardrobes_etcData,6,0),IF(ISERROR(FIND(""drawer front"",A66))=FALSE,IF(ISERROR(FIND(""veneer"",WardrobeCarcassMaterial))=TRUE,0,(((B66+C66)/1"&amp;"000)*2)*VLOOKUP(""Edge banding (per M)"",SheetsData,5,0)),IF(ISERROR(FIND(""drawer box"",A66))=FALSE,IF(ISERROR(FIND(""veneer"",WardrobeCarcassMaterial))=TRUE,0,(((C66+D66)/1000)*2)*VLOOKUP(""Edge banding (per M)"",SheetsData,5,0)),IF(ISERROR(FIND(""shelf"&amp;""",A66))=FALSE,IF(ISERROR(FIND(""veneer"",WardrobeCarcassMaterial))=TRUE,0,(C66/1000)*VLOOKUP(""Edge banding (per M)"",SheetsData,5,0)),IF(AND(OR(ISERROR(FIND(""arcass"",A66))=FALSE,ISERROR(FIND(""Fireplace"",A66))=FALSE),ISERROR(FIND(""shelf"",A66))=TRUE"&amp;"),IF(ISERROR(FIND(""veneer"",WardrobeCarcassMaterial))=TRUE,0,((2*(B66+C66))/1000)*VLOOKUP(""Edge banding (per M)"",SheetsData,5,0)),IF(ISERROR(FIND(""door"",A66))=TRUE,"""",IF(ISERROR(FIND(""veneer"",WardrobeDoorMaterial))=TRUE,"""",((2*(B66+C66))/1000)*"&amp;"VLOOKUP(""Edge banding (per M)"",SheetsData,5,0))))))))))"),"")</f>
        <v/>
      </c>
      <c r="G66" s="153" t="str">
        <f>IF(A66="","",IF(AND(ISERROR(FIND("arcass",A66))=TRUE,ISERROR(FIND("Fireplace",A66))=TRUE),"",IF(VALUE(C66)&lt;606,4*VLOOKUP("Plinth foot (2 Parts 80mm)",FurnitureData,5,FALSE),IF(VALUE(C66)&lt;1211,6*VLOOKUP("Plinth foot (2 Parts 80mm)",FurnitureData,5,FALSE),8*VLOOKUP("Plinth foot (2 Parts 80mm)",FurnitureData,5,FALSE)))))</f>
        <v/>
      </c>
      <c r="H66" s="115" t="str">
        <f>IF(OR(A66="",ISERROR(FIND("door",A66))=TRUE),"",VLOOKUP("Hinges &amp; plates (Hettich thick door)",FurnitureData,5,0)*5)</f>
        <v/>
      </c>
      <c r="I66" s="115" t="str">
        <f>IF(ISERROR(FIND("shelf",A66))=FALSE,(VLOOKUP("Shelf pegs",FurnitureData,5,0)/100)*4,"")</f>
        <v/>
      </c>
      <c r="J66" s="152" t="str">
        <f>IF(OR(ISERROR(FIND("fridge/freezer",A66))=FALSE,ISERROR(FIND("sink",A66))=FALSE,ISERROR(FIND("larder",A66))=FALSE),VLOOKUP("Deep shelf "&amp;C66,Wardrobes_etcData,18,0),IF(OR(ISERROR(FIND("single oven",A66))=FALSE,ISERROR(FIND("Base carcass",A66))=FALSE),2*VLOOKUP("Deep shelf "&amp;C66,Wardrobes_etcData,18,0),IF(AND(ISERROR(FIND("wall carcass",A66))=FALSE,ISERROR(FIND("Boiler",A66))=TRUE),2*VLOOKUP("Shallow shelf "&amp;C66,Wardrobes_etcData,18,0),IF(ISERROR(FIND("double oven",A66))=FALSE,3*VLOOKUP("Deep shelf "&amp;C66,Wardrobes_etcData,18,0),IF(ISERROR(FIND("Tower carcass",A66))=FALSE,6*VLOOKUP("Deep shelf "&amp;C66,Wardrobes_etcData,18,0),"")))))</f>
        <v/>
      </c>
      <c r="K66" s="152" t="str">
        <f>IF(ISERROR(FIND("sink",A66))=FALSE,VLOOKUP("Sink liner - Aluminium "&amp;RIGHT(A66,LEN(A66)-22)&amp;"mm",ExceptionalData,5,0),IF(ISERROR(FIND("bins",A66))=FALSE,VLOOKUP("Drawer runners and clip set for bin unit (500) Dynapro",FurnitureData,5,0)+(2*VLOOKUP("Bin (42L Anthracite)",FurnitureData,5,0)),IF(ISERROR(FIND("larder",A66))=FALSE,VLOOKUP("Pull out larder unit 600mm",FurnitureData,5,0),IF(AND(ISERROR(FIND("drawer box",A66))=FALSE,ISERROR(FIND("internal",A66))=TRUE),VLOOKUP("Drawer runners and clip set (550) Dynapro",FurnitureData,5,0),IF(ISERROR(FIND("internal drawer box",A66))=FALSE,VLOOKUP("Drawer runners and clip set (450) Dynapro",FurnitureData,5,0),IF(ISERROR(FIND("table",A66))=FALSE,VLOOKUP("Hairpin Leg (12mm Black "&amp;MID(A66,FIND("(",A66)+1,LEN(A66)-(FIND("(",A66))-1)&amp;"mm)",ExceptionalData,4,FALSE),""))))))</f>
        <v/>
      </c>
      <c r="L66" s="152" t="str">
        <f t="shared" si="3"/>
        <v/>
      </c>
      <c r="M66" s="154" t="str">
        <f>IF(A66="","",IF(AND(ISERROR(FIND("drawer front",A66))=FALSE,WardrobeDoorStyle="Flat"),(((B66/1000)*(C66/1000))*2)+((((B66+C66)/1000)*2)*0.022),IF(AND(ISERROR(FIND("drawer front",A66))=FALSE,LEFT(WardrobeDoorStyle,5)="Panel"),(((B66/1000)*(C66/1000))*2)+((((B66+C66)/1000)*2)*0.022)+((((C66/1000)-0.16)*0.013)*2)+((((D66/1000)-0.16)*0.013)*2),IF(AND(ISERROR(FIND("drawer front",A66))=FALSE,WardrobeDoorStyle="In-frame flat"),((((B66-76)/1000)*((C66-38)/1000))*2)+(MID(WardrobeDoorMaterial,FIND("(",WardrobeDoorMaterial)+1,2)/1000)*((((B66-76)+(C66-38))/1000)*2)+(((B66/1000)*0.032)*2)+((((B66-76)/1000)*0.032)*2)+(((B66/1000)*0.019)*4)+(((C66/1000)*0.032)*2)+((((C66-38)/1000)*0.032)*2)+(((C66/1000)*0.038)*4),IF(AND(ISERROR(FIND("drawer front",A66))=FALSE,LEFT(WardrobeDoorStyle,14)="In-frame panel"),((((B66-76)/1000)*((C66-38)/1000))*2)+((MID(WardrobeDoorMaterial,FIND("(",WardrobeDoorMaterial)+1,2)/1000)*((((B66-76)+(C66-38))/1000)*2))+((((B66-236)/1000)+((C66-198)/1000)*2)*0.013)+(((B66/1000)*0.032)*2)+((((B66-76)/1000)*0.032)*2)+(((B66/1000)*0.019)*4)+(((C66/1000)*0.032)*2)+((((C66-38)/1000)*0.032)*2)+(((C66/1000)*0.038)*4),IF(ISERROR(FIND("drawer box",A66))=FALSE,((((B66/1000)*(D66/1000))+((B66/1000)*(C66/1000)))*4)+((((D66/1000)+(C66/1000))*0.016)*4)+(((C66/1000)*(D66/1000))*2),IF(OR(ISERROR(FIND("shelf",A66))=FALSE,ISERROR(FIND("Filler panel",A66))=FALSE),(((C66/1000)*(D66/1000))*2)+((((C66+D66)*2)/1000)*0.022),IF(ISERROR(FIND("Fireplace",A66))=FALSE,((B66/1000)*(C66/1000)),IF(ISERROR(FIND("Worktop",A66))=FALSE,(B66/1000)*(C66/1000),IF(ISERROR(FIND("table",A66))=FALSE,(B66/1000)*0.6,IF(ISERROR(FIND("arcass",A66))=FALSE,(((C66/1000)*(D66/1000))*2)+(((B66/1000)*(D66/1000))*2)+((B66/1000)*(C66/1000))+((((B66/1000)*0.025)+((C66/1000)*0.025))*2),IF(AND(ISERROR(FIND("door",A66))=FALSE,WardrobeDoorStyle="Flat"),(((B66/1000)*(C66/1000))*2)+(MID(WardrobeDoorMaterial,FIND("(",WardrobeDoorMaterial)+1,2)/1000)*(((B66+C66)/1000)*2),IF(AND(ISERROR(FIND("door",A66))=FALSE,LEFT(WardrobeDoorStyle,5)="Panel"),(((B66/1000)*(C66/1000))*2)+((MID(WardrobeDoorMaterial,FIND("(",WardrobeDoorMaterial)+1,2)/1000)*(((B66+C66)/1000)*2))+(((((B66-160)+(C66-160))*2)/1000)*(0.013)),IF(AND(ISERROR(FIND("door",A66))=FALSE,WardrobeDoorStyle="In-frame flat"),((((B66-76)/1000)*((C66-38)/1000))*2)+(MID(WardrobeDoorMaterial,FIND("(",WardrobeDoorMaterial)+1,2)/1000)*((((B66-76)+(C66-38))/1000)*2)+(((B66/1000)*0.032)*2)+((((B66-76)/1000)*0.032)*2)+(((B66/1000)*0.019)*4)+(((C66/1000)*0.032)*2)+((((C66-38)/1000)*0.032)*2)+(((C66/1000)*0.038)*4),IF(AND(ISERROR(FIND("door",A66))=FALSE,LEFT(WardrobeDoorStyle,14)="In-frame panel"),((((B66-76)/1000)*((C66-38)/1000))*2)+((MID(WardrobeDoorMaterial,FIND("(",WardrobeDoorMaterial)+1,2)/1000)*((((B66-76)+(C66-38))/1000)*2))+((((B66-236)/1000)+((C66-198)/1000)*2)*0.013)+(((B66/1000)*0.032)*2)+((((B66-76)/1000)*0.032)*2)+(((B66/1000)*0.019)*4)+(((C66/1000)*0.032)*2)+((((C66-38)/1000)*0.032)*2)+(((C66/1000)*0.038)*4),IF(ISERROR(FIND("Plinth",A66))=FALSE,((B66/1000)*(C66/1000))+(((C66/1000)*0.018)*2)+(((B66/1000)*0.018)*2),IF(ISERROR(FIND("Cornice",A66))=FALSE,(((C66/1000)*0.1)*2)+(((C66/1000)*0.044)*2)+(((B66/1000)*0.08)*2),IF(ISERROR(FIND("Office pod",A66))=FALSE,((2400/1000)*(1200/1000))*6,IF(ISERROR(FIND("panel",A66))=FALSE,((B66/1000)*(C66/1000))+(0.022*((B66/1000)+((C66/1000)*2)))+((B66/1000)*0.05),IF(ISERROR(FIND("Fillers",A66))=FALSE,((C66/1000)*0.06)+((C66/1000)*0.069)+((0.06*0.018)*2)+((0.06*0.009)*2)+((C66/1000)*0.009)+((C66/1000)*0.018),IF(ISERROR(FIND("Pelmet",A66))=FALSE,((C66/1000)*0.05)+((C66/1000)*0.068)+((0.05*0.018)*4)+(((C66/1000)*0.018))*2)))))))))))))))))))))</f>
        <v/>
      </c>
      <c r="N66" s="152" t="str">
        <f>IF(M66="","",IF(AND(ISERROR(FIND("carcass",A66))=TRUE,ISERROR(FIND("unit",A66))=TRUE,ISERROR(FIND("insert",A66))=TRUE,ISERROR(FIND("rack",A66))=TRUE,ISERROR(FIND("box",A66))=TRUE,ISERROR(FIND("shelf",A66))=TRUE),VLOOKUP(WardrobeDoorFinish,Finishing!$A$2:$K$10,9,0)*M66,IF(ISERROR(FIND("table",A66))=FALSE,VLOOKUP("Sayerlack AF0072 Interior Clear Self-Sealer",FinishingData,9,FALSE)*M66,VLOOKUP(WardrobeCarcassFinish,Finishing!$A$2:$K$40,9,0)*M66)))</f>
        <v/>
      </c>
      <c r="O66" s="159"/>
      <c r="P66" s="159"/>
      <c r="Q66" s="152" t="str">
        <f>IF(OR(O66="",P66=""),"",((O66*X66)*(VLOOKUP("Workshop",Labour!$A$3:$E$20,4,0)/8))+((P66*AE66)*(VLOOKUP("Finishing",Labour!$A$3:$E$20,4,0)/8)))</f>
        <v/>
      </c>
      <c r="R66" s="152" t="str">
        <f t="shared" si="4"/>
        <v/>
      </c>
      <c r="S66" s="156" t="str">
        <f>IF(OR(O66="",P66=""),"",IF(OR(ISERROR(FIND("carcass",$A66))=FALSE,ISERROR(FIND("unit",$A66))=FALSE),VLOOKUP(WardrobeCarcassMaterial,FixedListsCarcassMaterial,2,0),0))</f>
        <v/>
      </c>
      <c r="T66" s="156" t="str">
        <f>IF(OR(O66="",P66=""),"",IF(ISERROR(FIND("door",$A66))=FALSE,VLOOKUP(WardrobeDoorStyle,FixedListsDoorStyle,2,0),0))</f>
        <v/>
      </c>
      <c r="U66" s="156" t="str">
        <f>IF(OR(O66="",P66=""),"",IF(ISERROR(FIND("door",$A66))=FALSE,VLOOKUP(WardrobeDoorMaterial,FixedListsDoorMaterial,2,0),0))</f>
        <v/>
      </c>
      <c r="V66" s="156" t="str">
        <f>IF(OR(O66="",P66=""),"",IF(ISERROR(FIND("drawer",$A66))=FALSE,VLOOKUP(WardrobeDrawerType,FixedListsDrawerType,2,0),0))</f>
        <v/>
      </c>
      <c r="W66" s="156" t="str">
        <f>IF(OR(O66="",P66=""),"",IF(S66&gt;0,VLOOKUP(WardrobeHandleType,FixedListsHandleType,2,FALSE),0))</f>
        <v/>
      </c>
      <c r="X66" s="156" t="str">
        <f t="shared" si="5"/>
        <v/>
      </c>
      <c r="Y66" s="156" t="str">
        <f>IF(OR(O66="",P66=""),"",IF(OR(ISERROR(FIND("carcass",$A66))=FALSE,ISERROR(FIND("unit",$A66))=FALSE),VLOOKUP(WardrobeCarcassMaterial,FixedListsCarcassMaterial,3,0),0))</f>
        <v/>
      </c>
      <c r="Z66" s="156" t="str">
        <f>IF(OR(O66="",P66=""),"",IF(ISERROR(FIND("door",$A66))=FALSE,VLOOKUP(WardrobeDoorStyle,FixedListsDoorStyle,3,0),0))</f>
        <v/>
      </c>
      <c r="AA66" s="156" t="str">
        <f>IF(OR(O66="",P66=""),"",IF(ISERROR(FIND("door",$A66))=FALSE,VLOOKUP(WardrobeDoorMaterial,FixedListsDoorMaterial,3,0),0))</f>
        <v/>
      </c>
      <c r="AB66" s="156" t="str">
        <f>IF(OR(O66="",P66=""),"",IF(ISERROR(FIND("drawer",$A66))=FALSE,VLOOKUP(WardrobeDrawerType,FixedListsDrawerType,3,0),0))</f>
        <v/>
      </c>
      <c r="AC66" s="156" t="str">
        <f>IF(OR(O66="",P66=""),"",IF(S66&gt;0,VLOOKUP(WardrobeHandleType,FixedListsHandleType,3,FALSE),0))</f>
        <v/>
      </c>
      <c r="AD66" s="156" t="str">
        <f>IF(OR(O66="",P66=""),"",IF(OR(ISERROR(FIND("carcass",$A66))=FALSE,ISERROR(FIND("unit",$A66))=FALSE),VLOOKUP(WardrobeCarcassFinish,FixedListsFinishes,3,0),IF(OR(ISERROR(FIND("door",$A66))=FALSE,ISERROR(FIND("Plinth",$A66))=FALSE,ISERROR(FIND("Cornice",$A66))=FALSE,ISERROR(FIND("Fillers",$A66))=FALSE,ISERROR(FIND("Pelmet",$A66))=FALSE,ISERROR(FIND("panel",$A66))=FALSE,ISERROR(FIND("post",$A66))=FALSE),VLOOKUP(WardrobeDoorFinish,FixedListsFinishes,3,0),IF(OR(ISERROR(FIND("drawer",$A66))=FALSE,ISERROR(FIND("insert",$A66))=FALSE,ISERROR(FIND("rck",$A66))=FALSE),VLOOKUP(WardrobeCarcassFinish,FixedListsFinishes,3,0),0))))</f>
        <v/>
      </c>
      <c r="AE66" s="156" t="str">
        <f t="shared" si="6"/>
        <v/>
      </c>
      <c r="AF66" s="157" t="str">
        <f>IF(AND(WardrobeHandleType="Channel",OR(ISERROR(FIND("arcass",$A66))=FALSE,ISERROR(FIND("unit",$A66))=FALSE)),IF(ISERROR(FIND("Tower",$A66))=TRUE,IF(WardrobeHandleFinish="Match carcass",IF(ISERROR(FIND("Walnut",WardrobeCarcassMaterial))=FALSE,(0.035*0.075*($C66/1000))*VLOOKUP("Walnut (solid m3)",SolidData,4,FALSE),IF(ISERROR(FIND("Oak",WardrobeCarcassMaterial))=FALSE,(0.035*0.075*($C66/1000))*VLOOKUP("Oak (solid m3)",SolidData,4,FALSE),IF(ISERROR(FIND("ply",WardrobeCarcassMaterial))=FALSE,(0.1*($C66/1000))*VLOOKUP("Birch ply (24mm)",SheetsData,7,FALSE),IF(ISERROR(FIND("H/F",WardrobeCarcassMaterial))=FALSE,(0.1*($C66/1000))*VLOOKUP("H/F (22mm)",SheetsData,7,FALSE),"Carcass - not tower - new material")))),IF(WardrobeHandleFinish="Match door",IF(ISERROR(FIND("Walnut",WardrobeDoorMaterial))=FALSE,(0.035*0.075*($C66/1000))*VLOOKUP("Walnut (solid m3)",SolidData,4,FALSE),IF(ISERROR(FIND("Oak",WardrobeDoorMaterial))=FALSE,(0.035*0.075*($C66/1000))*VLOOKUP("Oak (solid m3)",SolidData,4,FALSE),IF(ISERROR(FIND("ply",WardrobeDoorMaterial))=FALSE,(0.1*($C66/1000))*VLOOKUP("Birch ply (24mm)",SheetsData,7,FALSE),IF(ISERROR(FIND("H/F",WardrobeCarcassMaterial))=FALSE,(0.1*($C66/1000))*VLOOKUP("H/F (22mm)",SheetsData,7,FALSE),"Door - not tower - new material")))),"Channel - not tower - handle set to other")),IF(ISERROR(FIND("Tower",$A66))=FALSE,IF(WardrobeHandleFinish="Match carcass",IF(ISERROR(FIND("Walnut",WardrobeCarcassMaterial))=FALSE,(0.035*0.075*($B66/1000))*VLOOKUP("Walnut (solid m3)",SolidData,4,FALSE),IF(ISERROR(FIND("Oak",WardrobeCarcassMaterial))=FALSE,(0.035*0.075*($B66/1000))*VLOOKUP("Oak (solid m3)",SolidData,4,FALSE),IF(ISERROR(FIND("ply",WardrobeCarcassMaterial))=FALSE,(0.1*($B66/1000))*VLOOKUP("Birch ply (24mm)",SheetsData,7,FALSE),IF(ISERROR(FIND("H/F",WardrobeCarcassMaterial))=FALSE,(0.1*($C66/1000))*VLOOKUP("H/F (22mm)",SheetsData,7,FALSE),"Carcass - tower - new material")))),IF(WardrobeHandleFinish="Match door",IF(ISERROR(FIND("Walnut",WardrobeDoorMaterial))=FALSE,(0.035*0.075*($B66/1000))*VLOOKUP("Walnut (solid m3)",SolidData,4,FALSE),IF(ISERROR(FIND("Oak",WardrobeDoorMaterial))=FALSE,(0.035*0.075*($B66/1000))*VLOOKUP("Oak (solid m3)",SolidData,4,FALSE),IF(ISERROR(FIND("ply",WardrobeDoorMaterial))=FALSE,(0.1*($B66/1000))*VLOOKUP("Birch ply (24mm)",SheetData,7,FALSE),IF(ISERROR(FIND("H/F",WardrobeCarcassMaterial))=FALSE,(0.1*($C66/1000))*VLOOKUP("H/F (22mm)",SheetsData,7,FALSE),"Door - tower - new material")))),"Channel - tower - handle set to other")))),"")</f>
        <v/>
      </c>
    </row>
    <row r="67">
      <c r="A67" s="158"/>
      <c r="B67" s="160" t="str">
        <f t="shared" si="1"/>
        <v/>
      </c>
      <c r="C67" s="160" t="str">
        <f>IFERROR(__xludf.DUMMYFUNCTION("IF(A67="""","""",IF(ISERROR(FIND(""arcass"",A67))=FALSE,MID(A67,FIND(""*"",A67)+1,FIND(""*"",A67,FIND(""*"",A67)+1)-FIND(""*"",A67)-1),IF(ISERROR(FIND(""End panel"",A67))=FALSE,RIGHT(A67,3),IF(OR(ISERROR(FIND(""drawer"",A67))=FALSE,ISERROR(FIND(""door"",A"&amp;"67))=FALSE,ISERROR(FIND(""shelf"",A67))=FALSE,ISERROR(FIND(""panel"",A67))=FALSE,ISERROR(FIND(""Plinth"",A67))=FALSE,ISERROR(FIND(""Cornice"",A67))=FALSE,ISERROR(FIND(""Fillers"",A67))=FALSE,ISERROR(FIND(""Pelmet"",A67))=FALSE,ISERROR(FIND(""Fireplace up "&amp;"to 1600"",A67))=FALSE),RIGHT(A67,LEN(A67)-LEN(regexextract(A67,"".* ""))),IF(ISERROR(FIND(""table"",A67))=FALSE,""560"",IF(ISERROR(FIND(""Office pod"",A67))=FALSE,""1600"",IF(ISERROR(FIND(""Fireplace over 1600"",A67))=FALSE,""2400"",IF(ISERROR(FIND(""Work"&amp;"top"",A67))=FALSE,""650"",""Whoops""))))))))"),"")</f>
        <v/>
      </c>
      <c r="D67" s="161" t="str">
        <f t="shared" si="2"/>
        <v/>
      </c>
      <c r="E67" s="152" t="str">
        <f>IF(OR(A67="",AND(ISERROR(FIND("drawer",A67))=FALSE,WardrobeDrawerType="")),"",IF(ISERROR(FIND("door",A67))=FALSE,IF(WardrobeDoorStyle="Flat",((B67/1000)*(C67/1000))*VLOOKUP(WardrobeDoorMaterial,SheetsData,8,0),IF(LEFT(WardrobeDoorStyle,5)="Panel",(((((B67/1000)*2)*0.08)+((((C67/1000)-0.16)*2)*0.08))*VLOOKUP("H/F (22mm)",SheetsData,8,0))+(((B67/1000)-0.14)*((C67/1000)-0.14)*VLOOKUP("H/F (9mm)",SheetsData,8,0)),IF(WardrobeDoorStyle="In-frame flat",((((((B67/1000)*0.019)*0.038)+((((C67-38)/1000)*0.038)*0.038))*2)*VLOOKUP("Tulip (solid m3)",SolidData,4,0))+(((B67-76)/1000)*((C67-38)/1000))*VLOOKUP("H/F (22mm)",SheetsData,8,0),IF(LEFT(WardrobeDoorStyle,14)="In-frame panel",(((((((B67/1000)*0.019)*0.038)+((((C67-38)/1000)*0.038)*0.038))*2)*VLOOKUP("Tulip (solid m3)",SolidData,4,0))+(((((((B67-76)/1000)*2)*0.08)+(((((C67-198)/1000)*2)*0.08)))*VLOOKUP("H/F (22mm)",SheetsData,8,0))+(((B67-216)/1000)*((C67-178)/1000)*VLOOKUP("H/F (9mm)",SheetsData,8,0)))))))),IF(AND(ISERROR(FIND("arcass",A67))=FALSE,ISERROR(FIND("ost corner",A67))=TRUE),IF(AND(VALUE(B67)&lt;1211,VALUE(C67)&lt;1211,VALUE(D67)&lt;606),1*VLOOKUP(WardrobeCarcassMaterial,SheetsData,5,FALSE),IF(AND(VALUE(B67)&lt;2421,VALUE(C67)&lt;2421,VALUE(D67)&lt;606),2*VLOOKUP(WardrobeCarcassMaterial,SheetsData,5,FALSE),IF(AND(VALUE(B67)&lt;2421,VALUE(C67)&lt;1211,VALUE(D67)&lt;1211),3*VLOOKUP(WardrobeCarcassMaterial,SheetsData,5,FALSE),IF(AND(VALUE(B67)&lt;2421,VALUE(C67)&lt;2421,VALUE(D67)&lt;1211),4*VLOOKUP(WardrobeCarcassMaterial,SheetsData,5,FALSE))))),IF(AND(ISERROR(FIND("arcass",A67))=FALSE,ISERROR(FIND("ost corner",A67))=FALSE),IF(AND(VALUE(B67)&lt;1211,VALUE(C67)&lt;1211,VALUE(D67)&lt;606),(1*VLOOKUP(WardrobeCarcassMaterial,SheetsData,5,FALSE))+(VLOOKUP("H/F (22mm)",SheetsData,7,FALSE)*1.44),IF(AND(VALUE(B67)&lt;2421,VALUE(C67)&lt;2421,VALUE(D67)&lt;606),(2*VLOOKUP(WardrobeCarcassMaterial,SheetsData,5,FALSE))+(VLOOKUP("H/F (22mm)",SheetsData,7,FALSE)*1.44),IF(AND(VALUE(B67)&lt;2421,VALUE(C67)&lt;1211,VALUE(D67)&lt;1211),(3*VLOOKUP(WardrobeCarcassMaterial,SheetsData,5,FALSE))+(VLOOKUP("H/F (22mm)",SheetsData,7,FALSE)*1.44),IF(AND(VALUE(B67)&lt;2421,VALUE(C67)&lt;2421,VALUE(D67)&lt;1211),(4*VLOOKUP(WardrobeCarcassMaterial,SheetsData,5,FALSE))+(VLOOKUP("H/F (22mm)",SheetsData,7,FALSE)*1.44))))),IF(ISERROR(FIND("drawer front",A67))=FALSE,((B67/1000)*(C67/1000))*VLOOKUP(WardrobeDoorMaterial,SheetsData,8,0),IF(AND(WardrobeDrawerType="Match carcass",ISERROR(FIND("drawer box",A67))=FALSE),(((((B67/1000)*(C67/1000))+((B67/1000)*(D67/1000)))*2)*VLOOKUP(WardrobeCarcassMaterial,SheetsData,8,0))+(((C67/1000)*(D67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box",A67))=FALSE),(((((B67/1000)*(C67/1000))+((B67/1000)*(D67/1000)))*2)*(16/1000)*VLOOKUP(LEFT(WardrobeCarcassMaterial,FIND(" ",WardrobeCarcassMaterial))&amp;"(solid m3)",SolidData,4,0))+(((C67/1000)*(D67/1000))*VLOOKUP(LEFT(WardrobeCarcassMaterial,FIND("(",WardrobeCarcassMaterial)-1)&amp;IF(OR(ISERROR(FIND("ply",WardrobeCarcassMaterial))=FALSE,ISERROR(FIND("H/F",WardrobeCarcassMaterial))=FALSE),"(9mm)","(10mm)"),SheetsData,8,0)),IF(ISERROR(FIND("shelf",A67))=FALSE,((C67/1000)*(D67/1000))*VLOOKUP(WardrobeCarcassMaterial,SheetsData,7,FALSE),IF(ISERROR(FIND("Office pod",A67))=FALSE,3*VLOOKUP(WardrobeCarcassMaterial,SheetsData,5,0),IF(ISERROR(FIND(" panel",A67))=FALSE,((B67/1000)*(C67/1000))*VLOOKUP(WardrobeDoorMaterial,SheetsData,8,0),IF(ISERROR(FIND("Fillers",A67))=FALSE,(((0.06*(C67/1000))*2)*VLOOKUP("H/F (18mm)",SheetsData,8,0))+(((0.06*(C67/1000))*2)*VLOOKUP("H/F (9mm)",SheetsData,8,0)),IF(ISERROR(FIND("Cornice (stacked)",A67))=FALSE,((0.08*(C67/1000))*2)*VLOOKUP("H/F (22mm)",SheetsData,8,0),IF(OR(ISERROR(FIND("Plinth",A67))=FALSE,ISERROR(FIND("Cornice (flat)",A67))=FALSE),((B67/1000)*(C67/1000))*VLOOKUP("H/F (18mm)",SheetsData,8,0),IF(ISERROR(FIND("Pelmet",A67))=FALSE,((((B67/1000)*(C67/1000))*2)*VLOOKUP("H/F (18mm)",SheetsData,8,0)),IF(ISERROR(FIND("Fireplace",A67))=FALSE,IF(ISERROR(FIND("over 1600",A67))=FALSE,2*VLOOKUP(WardrobeCarcassMaterial,SheetsData,5,FALSE),VLOOKUP(WardrobeCarcassMaterial,SheetsData,5,FALSE)),IF(ISERROR(FIND("table",A67))=FALSE,((B67/1000)*0.6)*VLOOKUP("Birch ply (24mm)",SheetsData,7,FALSE),IF(ISERROR(FIND("Worktop",A67))=FALSE,((B67/1000)*(C67/1000))*VLOOKUP(WardrobeDoorMaterial,SheetsData,7,FALSE),"Check formula")))))))))))))))))</f>
        <v/>
      </c>
      <c r="F67" s="152" t="str">
        <f>IFERROR(__xludf.DUMMYFUNCTION("IF(OR(A67="""",AND(ISERROR(FIND(""drawer box"",A67))=FALSE,WardrobeDrawerType=""Solid dovetail"")),"""",IF(ISERROR(FIND(""bins"",A67))=FALSE,VLOOKUP(""Base carcass 600"",Wardrobes_etcData,6,0),IF(OR(ISERROR(FIND(""larder"",A67))=FALSE,ISERROR(FIND(""unit"&amp;""",A67))=FALSE),VLOOKUP(LEFT(A67,FIND("" "",A67))&amp;""carcass ""&amp;RIGHT(A67,LEN(A67)-len(regexextract(A67,"".* ""))),Wardrobes_etcData,6,0),IF(ISERROR(FIND(""drawer front"",A67))=FALSE,IF(ISERROR(FIND(""veneer"",WardrobeCarcassMaterial))=TRUE,0,(((B67+C67)/1"&amp;"000)*2)*VLOOKUP(""Edge banding (per M)"",SheetsData,5,0)),IF(ISERROR(FIND(""drawer box"",A67))=FALSE,IF(ISERROR(FIND(""veneer"",WardrobeCarcassMaterial))=TRUE,0,(((C67+D67)/1000)*2)*VLOOKUP(""Edge banding (per M)"",SheetsData,5,0)),IF(ISERROR(FIND(""shelf"&amp;""",A67))=FALSE,IF(ISERROR(FIND(""veneer"",WardrobeCarcassMaterial))=TRUE,0,(C67/1000)*VLOOKUP(""Edge banding (per M)"",SheetsData,5,0)),IF(AND(OR(ISERROR(FIND(""arcass"",A67))=FALSE,ISERROR(FIND(""Fireplace"",A67))=FALSE),ISERROR(FIND(""shelf"",A67))=TRUE"&amp;"),IF(ISERROR(FIND(""veneer"",WardrobeCarcassMaterial))=TRUE,0,((2*(B67+C67))/1000)*VLOOKUP(""Edge banding (per M)"",SheetsData,5,0)),IF(ISERROR(FIND(""door"",A67))=TRUE,"""",IF(ISERROR(FIND(""veneer"",WardrobeDoorMaterial))=TRUE,"""",((2*(B67+C67))/1000)*"&amp;"VLOOKUP(""Edge banding (per M)"",SheetsData,5,0))))))))))"),"")</f>
        <v/>
      </c>
      <c r="G67" s="153" t="str">
        <f>IF(A67="","",IF(AND(ISERROR(FIND("arcass",A67))=TRUE,ISERROR(FIND("Fireplace",A67))=TRUE),"",IF(VALUE(C67)&lt;606,4*VLOOKUP("Plinth foot (2 Parts 80mm)",FurnitureData,5,FALSE),IF(VALUE(C67)&lt;1211,6*VLOOKUP("Plinth foot (2 Parts 80mm)",FurnitureData,5,FALSE),8*VLOOKUP("Plinth foot (2 Parts 80mm)",FurnitureData,5,FALSE)))))</f>
        <v/>
      </c>
      <c r="H67" s="115" t="str">
        <f>IF(OR(A67="",ISERROR(FIND("door",A67))=TRUE),"",VLOOKUP("Hinges &amp; plates (Hettich thick door)",FurnitureData,5,0)*5)</f>
        <v/>
      </c>
      <c r="I67" s="115" t="str">
        <f>IF(ISERROR(FIND("shelf",A67))=FALSE,(VLOOKUP("Shelf pegs",FurnitureData,5,0)/100)*4,"")</f>
        <v/>
      </c>
      <c r="J67" s="152" t="str">
        <f>IF(OR(ISERROR(FIND("fridge/freezer",A67))=FALSE,ISERROR(FIND("sink",A67))=FALSE,ISERROR(FIND("larder",A67))=FALSE),VLOOKUP("Deep shelf "&amp;C67,Wardrobes_etcData,18,0),IF(OR(ISERROR(FIND("single oven",A67))=FALSE,ISERROR(FIND("Base carcass",A67))=FALSE),2*VLOOKUP("Deep shelf "&amp;C67,Wardrobes_etcData,18,0),IF(AND(ISERROR(FIND("wall carcass",A67))=FALSE,ISERROR(FIND("Boiler",A67))=TRUE),2*VLOOKUP("Shallow shelf "&amp;C67,Wardrobes_etcData,18,0),IF(ISERROR(FIND("double oven",A67))=FALSE,3*VLOOKUP("Deep shelf "&amp;C67,Wardrobes_etcData,18,0),IF(ISERROR(FIND("Tower carcass",A67))=FALSE,6*VLOOKUP("Deep shelf "&amp;C67,Wardrobes_etcData,18,0),"")))))</f>
        <v/>
      </c>
      <c r="K67" s="152" t="str">
        <f>IF(ISERROR(FIND("sink",A67))=FALSE,VLOOKUP("Sink liner - Aluminium "&amp;RIGHT(A67,LEN(A67)-22)&amp;"mm",ExceptionalData,5,0),IF(ISERROR(FIND("bins",A67))=FALSE,VLOOKUP("Drawer runners and clip set for bin unit (500) Dynapro",FurnitureData,5,0)+(2*VLOOKUP("Bin (42L Anthracite)",FurnitureData,5,0)),IF(ISERROR(FIND("larder",A67))=FALSE,VLOOKUP("Pull out larder unit 600mm",FurnitureData,5,0),IF(AND(ISERROR(FIND("drawer box",A67))=FALSE,ISERROR(FIND("internal",A67))=TRUE),VLOOKUP("Drawer runners and clip set (550) Dynapro",FurnitureData,5,0),IF(ISERROR(FIND("internal drawer box",A67))=FALSE,VLOOKUP("Drawer runners and clip set (450) Dynapro",FurnitureData,5,0),IF(ISERROR(FIND("table",A67))=FALSE,VLOOKUP("Hairpin Leg (12mm Black "&amp;MID(A67,FIND("(",A67)+1,LEN(A67)-(FIND("(",A67))-1)&amp;"mm)",ExceptionalData,4,FALSE),""))))))</f>
        <v/>
      </c>
      <c r="L67" s="152" t="str">
        <f t="shared" si="3"/>
        <v/>
      </c>
      <c r="M67" s="154" t="str">
        <f>IF(A67="","",IF(AND(ISERROR(FIND("drawer front",A67))=FALSE,WardrobeDoorStyle="Flat"),(((B67/1000)*(C67/1000))*2)+((((B67+C67)/1000)*2)*0.022),IF(AND(ISERROR(FIND("drawer front",A67))=FALSE,LEFT(WardrobeDoorStyle,5)="Panel"),(((B67/1000)*(C67/1000))*2)+((((B67+C67)/1000)*2)*0.022)+((((C67/1000)-0.16)*0.013)*2)+((((D67/1000)-0.16)*0.013)*2),IF(AND(ISERROR(FIND("drawer front",A67))=FALSE,WardrobeDoorStyle="In-frame flat"),((((B67-76)/1000)*((C67-38)/1000))*2)+(MID(WardrobeDoorMaterial,FIND("(",WardrobeDoorMaterial)+1,2)/1000)*((((B67-76)+(C67-38))/1000)*2)+(((B67/1000)*0.032)*2)+((((B67-76)/1000)*0.032)*2)+(((B67/1000)*0.019)*4)+(((C67/1000)*0.032)*2)+((((C67-38)/1000)*0.032)*2)+(((C67/1000)*0.038)*4),IF(AND(ISERROR(FIND("drawer front",A67))=FALSE,LEFT(WardrobeDoorStyle,14)="In-frame panel"),((((B67-76)/1000)*((C67-38)/1000))*2)+((MID(WardrobeDoorMaterial,FIND("(",WardrobeDoorMaterial)+1,2)/1000)*((((B67-76)+(C67-38))/1000)*2))+((((B67-236)/1000)+((C67-198)/1000)*2)*0.013)+(((B67/1000)*0.032)*2)+((((B67-76)/1000)*0.032)*2)+(((B67/1000)*0.019)*4)+(((C67/1000)*0.032)*2)+((((C67-38)/1000)*0.032)*2)+(((C67/1000)*0.038)*4),IF(ISERROR(FIND("drawer box",A67))=FALSE,((((B67/1000)*(D67/1000))+((B67/1000)*(C67/1000)))*4)+((((D67/1000)+(C67/1000))*0.016)*4)+(((C67/1000)*(D67/1000))*2),IF(OR(ISERROR(FIND("shelf",A67))=FALSE,ISERROR(FIND("Filler panel",A67))=FALSE),(((C67/1000)*(D67/1000))*2)+((((C67+D67)*2)/1000)*0.022),IF(ISERROR(FIND("Fireplace",A67))=FALSE,((B67/1000)*(C67/1000)),IF(ISERROR(FIND("Worktop",A67))=FALSE,(B67/1000)*(C67/1000),IF(ISERROR(FIND("table",A67))=FALSE,(B67/1000)*0.6,IF(ISERROR(FIND("arcass",A67))=FALSE,(((C67/1000)*(D67/1000))*2)+(((B67/1000)*(D67/1000))*2)+((B67/1000)*(C67/1000))+((((B67/1000)*0.025)+((C67/1000)*0.025))*2),IF(AND(ISERROR(FIND("door",A67))=FALSE,WardrobeDoorStyle="Flat"),(((B67/1000)*(C67/1000))*2)+(MID(WardrobeDoorMaterial,FIND("(",WardrobeDoorMaterial)+1,2)/1000)*(((B67+C67)/1000)*2),IF(AND(ISERROR(FIND("door",A67))=FALSE,LEFT(WardrobeDoorStyle,5)="Panel"),(((B67/1000)*(C67/1000))*2)+((MID(WardrobeDoorMaterial,FIND("(",WardrobeDoorMaterial)+1,2)/1000)*(((B67+C67)/1000)*2))+(((((B67-160)+(C67-160))*2)/1000)*(0.013)),IF(AND(ISERROR(FIND("door",A67))=FALSE,WardrobeDoorStyle="In-frame flat"),((((B67-76)/1000)*((C67-38)/1000))*2)+(MID(WardrobeDoorMaterial,FIND("(",WardrobeDoorMaterial)+1,2)/1000)*((((B67-76)+(C67-38))/1000)*2)+(((B67/1000)*0.032)*2)+((((B67-76)/1000)*0.032)*2)+(((B67/1000)*0.019)*4)+(((C67/1000)*0.032)*2)+((((C67-38)/1000)*0.032)*2)+(((C67/1000)*0.038)*4),IF(AND(ISERROR(FIND("door",A67))=FALSE,LEFT(WardrobeDoorStyle,14)="In-frame panel"),((((B67-76)/1000)*((C67-38)/1000))*2)+((MID(WardrobeDoorMaterial,FIND("(",WardrobeDoorMaterial)+1,2)/1000)*((((B67-76)+(C67-38))/1000)*2))+((((B67-236)/1000)+((C67-198)/1000)*2)*0.013)+(((B67/1000)*0.032)*2)+((((B67-76)/1000)*0.032)*2)+(((B67/1000)*0.019)*4)+(((C67/1000)*0.032)*2)+((((C67-38)/1000)*0.032)*2)+(((C67/1000)*0.038)*4),IF(ISERROR(FIND("Plinth",A67))=FALSE,((B67/1000)*(C67/1000))+(((C67/1000)*0.018)*2)+(((B67/1000)*0.018)*2),IF(ISERROR(FIND("Cornice",A67))=FALSE,(((C67/1000)*0.1)*2)+(((C67/1000)*0.044)*2)+(((B67/1000)*0.08)*2),IF(ISERROR(FIND("Office pod",A67))=FALSE,((2400/1000)*(1200/1000))*6,IF(ISERROR(FIND("panel",A67))=FALSE,((B67/1000)*(C67/1000))+(0.022*((B67/1000)+((C67/1000)*2)))+((B67/1000)*0.05),IF(ISERROR(FIND("Fillers",A67))=FALSE,((C67/1000)*0.06)+((C67/1000)*0.069)+((0.06*0.018)*2)+((0.06*0.009)*2)+((C67/1000)*0.009)+((C67/1000)*0.018),IF(ISERROR(FIND("Pelmet",A67))=FALSE,((C67/1000)*0.05)+((C67/1000)*0.068)+((0.05*0.018)*4)+(((C67/1000)*0.018))*2)))))))))))))))))))))</f>
        <v/>
      </c>
      <c r="N67" s="152" t="str">
        <f>IF(M67="","",IF(AND(ISERROR(FIND("carcass",A67))=TRUE,ISERROR(FIND("unit",A67))=TRUE,ISERROR(FIND("insert",A67))=TRUE,ISERROR(FIND("rack",A67))=TRUE,ISERROR(FIND("box",A67))=TRUE,ISERROR(FIND("shelf",A67))=TRUE),VLOOKUP(WardrobeDoorFinish,Finishing!$A$2:$K$10,9,0)*M67,IF(ISERROR(FIND("table",A67))=FALSE,VLOOKUP("Sayerlack AF0072 Interior Clear Self-Sealer",FinishingData,9,FALSE)*M67,VLOOKUP(WardrobeCarcassFinish,Finishing!$A$2:$K$40,9,0)*M67)))</f>
        <v/>
      </c>
      <c r="O67" s="159"/>
      <c r="P67" s="159"/>
      <c r="Q67" s="152" t="str">
        <f>IF(OR(O67="",P67=""),"",((O67*X67)*(VLOOKUP("Workshop",Labour!$A$3:$E$20,4,0)/8))+((P67*AE67)*(VLOOKUP("Finishing",Labour!$A$3:$E$20,4,0)/8)))</f>
        <v/>
      </c>
      <c r="R67" s="152" t="str">
        <f t="shared" si="4"/>
        <v/>
      </c>
      <c r="S67" s="156" t="str">
        <f>IF(OR(O67="",P67=""),"",IF(OR(ISERROR(FIND("carcass",$A67))=FALSE,ISERROR(FIND("unit",$A67))=FALSE),VLOOKUP(WardrobeCarcassMaterial,FixedListsCarcassMaterial,2,0),0))</f>
        <v/>
      </c>
      <c r="T67" s="156" t="str">
        <f>IF(OR(O67="",P67=""),"",IF(ISERROR(FIND("door",$A67))=FALSE,VLOOKUP(WardrobeDoorStyle,FixedListsDoorStyle,2,0),0))</f>
        <v/>
      </c>
      <c r="U67" s="156" t="str">
        <f>IF(OR(O67="",P67=""),"",IF(ISERROR(FIND("door",$A67))=FALSE,VLOOKUP(WardrobeDoorMaterial,FixedListsDoorMaterial,2,0),0))</f>
        <v/>
      </c>
      <c r="V67" s="156" t="str">
        <f>IF(OR(O67="",P67=""),"",IF(ISERROR(FIND("drawer",$A67))=FALSE,VLOOKUP(WardrobeDrawerType,FixedListsDrawerType,2,0),0))</f>
        <v/>
      </c>
      <c r="W67" s="156" t="str">
        <f>IF(OR(O67="",P67=""),"",IF(S67&gt;0,VLOOKUP(WardrobeHandleType,FixedListsHandleType,2,FALSE),0))</f>
        <v/>
      </c>
      <c r="X67" s="156" t="str">
        <f t="shared" si="5"/>
        <v/>
      </c>
      <c r="Y67" s="156" t="str">
        <f>IF(OR(O67="",P67=""),"",IF(OR(ISERROR(FIND("carcass",$A67))=FALSE,ISERROR(FIND("unit",$A67))=FALSE),VLOOKUP(WardrobeCarcassMaterial,FixedListsCarcassMaterial,3,0),0))</f>
        <v/>
      </c>
      <c r="Z67" s="156" t="str">
        <f>IF(OR(O67="",P67=""),"",IF(ISERROR(FIND("door",$A67))=FALSE,VLOOKUP(WardrobeDoorStyle,FixedListsDoorStyle,3,0),0))</f>
        <v/>
      </c>
      <c r="AA67" s="156" t="str">
        <f>IF(OR(O67="",P67=""),"",IF(ISERROR(FIND("door",$A67))=FALSE,VLOOKUP(WardrobeDoorMaterial,FixedListsDoorMaterial,3,0),0))</f>
        <v/>
      </c>
      <c r="AB67" s="156" t="str">
        <f>IF(OR(O67="",P67=""),"",IF(ISERROR(FIND("drawer",$A67))=FALSE,VLOOKUP(WardrobeDrawerType,FixedListsDrawerType,3,0),0))</f>
        <v/>
      </c>
      <c r="AC67" s="156" t="str">
        <f>IF(OR(O67="",P67=""),"",IF(S67&gt;0,VLOOKUP(WardrobeHandleType,FixedListsHandleType,3,FALSE),0))</f>
        <v/>
      </c>
      <c r="AD67" s="156" t="str">
        <f>IF(OR(O67="",P67=""),"",IF(OR(ISERROR(FIND("carcass",$A67))=FALSE,ISERROR(FIND("unit",$A67))=FALSE),VLOOKUP(WardrobeCarcassFinish,FixedListsFinishes,3,0),IF(OR(ISERROR(FIND("door",$A67))=FALSE,ISERROR(FIND("Plinth",$A67))=FALSE,ISERROR(FIND("Cornice",$A67))=FALSE,ISERROR(FIND("Fillers",$A67))=FALSE,ISERROR(FIND("Pelmet",$A67))=FALSE,ISERROR(FIND("panel",$A67))=FALSE,ISERROR(FIND("post",$A67))=FALSE),VLOOKUP(WardrobeDoorFinish,FixedListsFinishes,3,0),IF(OR(ISERROR(FIND("drawer",$A67))=FALSE,ISERROR(FIND("insert",$A67))=FALSE,ISERROR(FIND("rck",$A67))=FALSE),VLOOKUP(WardrobeCarcassFinish,FixedListsFinishes,3,0),0))))</f>
        <v/>
      </c>
      <c r="AE67" s="156" t="str">
        <f t="shared" si="6"/>
        <v/>
      </c>
      <c r="AF67" s="157" t="str">
        <f>IF(AND(WardrobeHandleType="Channel",OR(ISERROR(FIND("arcass",$A67))=FALSE,ISERROR(FIND("unit",$A67))=FALSE)),IF(ISERROR(FIND("Tower",$A67))=TRUE,IF(WardrobeHandleFinish="Match carcass",IF(ISERROR(FIND("Walnut",WardrobeCarcassMaterial))=FALSE,(0.035*0.075*($C67/1000))*VLOOKUP("Walnut (solid m3)",SolidData,4,FALSE),IF(ISERROR(FIND("Oak",WardrobeCarcassMaterial))=FALSE,(0.035*0.075*($C67/1000))*VLOOKUP("Oak (solid m3)",SolidData,4,FALSE),IF(ISERROR(FIND("ply",WardrobeCarcassMaterial))=FALSE,(0.1*($C67/1000))*VLOOKUP("Birch ply (24mm)",SheetsData,7,FALSE),IF(ISERROR(FIND("H/F",WardrobeCarcassMaterial))=FALSE,(0.1*($C67/1000))*VLOOKUP("H/F (22mm)",SheetsData,7,FALSE),"Carcass - not tower - new material")))),IF(WardrobeHandleFinish="Match door",IF(ISERROR(FIND("Walnut",WardrobeDoorMaterial))=FALSE,(0.035*0.075*($C67/1000))*VLOOKUP("Walnut (solid m3)",SolidData,4,FALSE),IF(ISERROR(FIND("Oak",WardrobeDoorMaterial))=FALSE,(0.035*0.075*($C67/1000))*VLOOKUP("Oak (solid m3)",SolidData,4,FALSE),IF(ISERROR(FIND("ply",WardrobeDoorMaterial))=FALSE,(0.1*($C67/1000))*VLOOKUP("Birch ply (24mm)",SheetsData,7,FALSE),IF(ISERROR(FIND("H/F",WardrobeCarcassMaterial))=FALSE,(0.1*($C67/1000))*VLOOKUP("H/F (22mm)",SheetsData,7,FALSE),"Door - not tower - new material")))),"Channel - not tower - handle set to other")),IF(ISERROR(FIND("Tower",$A67))=FALSE,IF(WardrobeHandleFinish="Match carcass",IF(ISERROR(FIND("Walnut",WardrobeCarcassMaterial))=FALSE,(0.035*0.075*($B67/1000))*VLOOKUP("Walnut (solid m3)",SolidData,4,FALSE),IF(ISERROR(FIND("Oak",WardrobeCarcassMaterial))=FALSE,(0.035*0.075*($B67/1000))*VLOOKUP("Oak (solid m3)",SolidData,4,FALSE),IF(ISERROR(FIND("ply",WardrobeCarcassMaterial))=FALSE,(0.1*($B67/1000))*VLOOKUP("Birch ply (24mm)",SheetsData,7,FALSE),IF(ISERROR(FIND("H/F",WardrobeCarcassMaterial))=FALSE,(0.1*($C67/1000))*VLOOKUP("H/F (22mm)",SheetsData,7,FALSE),"Carcass - tower - new material")))),IF(WardrobeHandleFinish="Match door",IF(ISERROR(FIND("Walnut",WardrobeDoorMaterial))=FALSE,(0.035*0.075*($B67/1000))*VLOOKUP("Walnut (solid m3)",SolidData,4,FALSE),IF(ISERROR(FIND("Oak",WardrobeDoorMaterial))=FALSE,(0.035*0.075*($B67/1000))*VLOOKUP("Oak (solid m3)",SolidData,4,FALSE),IF(ISERROR(FIND("ply",WardrobeDoorMaterial))=FALSE,(0.1*($B67/1000))*VLOOKUP("Birch ply (24mm)",SheetData,7,FALSE),IF(ISERROR(FIND("H/F",WardrobeCarcassMaterial))=FALSE,(0.1*($C67/1000))*VLOOKUP("H/F (22mm)",SheetsData,7,FALSE),"Door - tower - new material")))),"Channel - tower - handle set to other")))),"")</f>
        <v/>
      </c>
    </row>
    <row r="68">
      <c r="A68" s="150"/>
      <c r="B68" s="160" t="str">
        <f t="shared" si="1"/>
        <v/>
      </c>
      <c r="C68" s="160" t="str">
        <f>IFERROR(__xludf.DUMMYFUNCTION("IF(A68="""","""",IF(ISERROR(FIND(""arcass"",A68))=FALSE,MID(A68,FIND(""*"",A68)+1,FIND(""*"",A68,FIND(""*"",A68)+1)-FIND(""*"",A68)-1),IF(ISERROR(FIND(""End panel"",A68))=FALSE,RIGHT(A68,3),IF(OR(ISERROR(FIND(""drawer"",A68))=FALSE,ISERROR(FIND(""door"",A"&amp;"68))=FALSE,ISERROR(FIND(""shelf"",A68))=FALSE,ISERROR(FIND(""panel"",A68))=FALSE,ISERROR(FIND(""Plinth"",A68))=FALSE,ISERROR(FIND(""Cornice"",A68))=FALSE,ISERROR(FIND(""Fillers"",A68))=FALSE,ISERROR(FIND(""Pelmet"",A68))=FALSE,ISERROR(FIND(""Fireplace up "&amp;"to 1600"",A68))=FALSE),RIGHT(A68,LEN(A68)-LEN(regexextract(A68,"".* ""))),IF(ISERROR(FIND(""table"",A68))=FALSE,""560"",IF(ISERROR(FIND(""Office pod"",A68))=FALSE,""1600"",IF(ISERROR(FIND(""Fireplace over 1600"",A68))=FALSE,""2400"",IF(ISERROR(FIND(""Work"&amp;"top"",A68))=FALSE,""650"",""Whoops""))))))))"),"")</f>
        <v/>
      </c>
      <c r="D68" s="161" t="str">
        <f t="shared" si="2"/>
        <v/>
      </c>
      <c r="E68" s="152" t="str">
        <f>IF(OR(A68="",AND(ISERROR(FIND("drawer",A68))=FALSE,WardrobeDrawerType="")),"",IF(ISERROR(FIND("door",A68))=FALSE,IF(WardrobeDoorStyle="Flat",((B68/1000)*(C68/1000))*VLOOKUP(WardrobeDoorMaterial,SheetsData,8,0),IF(LEFT(WardrobeDoorStyle,5)="Panel",(((((B68/1000)*2)*0.08)+((((C68/1000)-0.16)*2)*0.08))*VLOOKUP("H/F (22mm)",SheetsData,8,0))+(((B68/1000)-0.14)*((C68/1000)-0.14)*VLOOKUP("H/F (9mm)",SheetsData,8,0)),IF(WardrobeDoorStyle="In-frame flat",((((((B68/1000)*0.019)*0.038)+((((C68-38)/1000)*0.038)*0.038))*2)*VLOOKUP("Tulip (solid m3)",SolidData,4,0))+(((B68-76)/1000)*((C68-38)/1000))*VLOOKUP("H/F (22mm)",SheetsData,8,0),IF(LEFT(WardrobeDoorStyle,14)="In-frame panel",(((((((B68/1000)*0.019)*0.038)+((((C68-38)/1000)*0.038)*0.038))*2)*VLOOKUP("Tulip (solid m3)",SolidData,4,0))+(((((((B68-76)/1000)*2)*0.08)+(((((C68-198)/1000)*2)*0.08)))*VLOOKUP("H/F (22mm)",SheetsData,8,0))+(((B68-216)/1000)*((C68-178)/1000)*VLOOKUP("H/F (9mm)",SheetsData,8,0)))))))),IF(AND(ISERROR(FIND("arcass",A68))=FALSE,ISERROR(FIND("ost corner",A68))=TRUE),IF(AND(VALUE(B68)&lt;1211,VALUE(C68)&lt;1211,VALUE(D68)&lt;606),1*VLOOKUP(WardrobeCarcassMaterial,SheetsData,5,FALSE),IF(AND(VALUE(B68)&lt;2421,VALUE(C68)&lt;2421,VALUE(D68)&lt;606),2*VLOOKUP(WardrobeCarcassMaterial,SheetsData,5,FALSE),IF(AND(VALUE(B68)&lt;2421,VALUE(C68)&lt;1211,VALUE(D68)&lt;1211),3*VLOOKUP(WardrobeCarcassMaterial,SheetsData,5,FALSE),IF(AND(VALUE(B68)&lt;2421,VALUE(C68)&lt;2421,VALUE(D68)&lt;1211),4*VLOOKUP(WardrobeCarcassMaterial,SheetsData,5,FALSE))))),IF(AND(ISERROR(FIND("arcass",A68))=FALSE,ISERROR(FIND("ost corner",A68))=FALSE),IF(AND(VALUE(B68)&lt;1211,VALUE(C68)&lt;1211,VALUE(D68)&lt;606),(1*VLOOKUP(WardrobeCarcassMaterial,SheetsData,5,FALSE))+(VLOOKUP("H/F (22mm)",SheetsData,7,FALSE)*1.44),IF(AND(VALUE(B68)&lt;2421,VALUE(C68)&lt;2421,VALUE(D68)&lt;606),(2*VLOOKUP(WardrobeCarcassMaterial,SheetsData,5,FALSE))+(VLOOKUP("H/F (22mm)",SheetsData,7,FALSE)*1.44),IF(AND(VALUE(B68)&lt;2421,VALUE(C68)&lt;1211,VALUE(D68)&lt;1211),(3*VLOOKUP(WardrobeCarcassMaterial,SheetsData,5,FALSE))+(VLOOKUP("H/F (22mm)",SheetsData,7,FALSE)*1.44),IF(AND(VALUE(B68)&lt;2421,VALUE(C68)&lt;2421,VALUE(D68)&lt;1211),(4*VLOOKUP(WardrobeCarcassMaterial,SheetsData,5,FALSE))+(VLOOKUP("H/F (22mm)",SheetsData,7,FALSE)*1.44))))),IF(ISERROR(FIND("drawer front",A68))=FALSE,((B68/1000)*(C68/1000))*VLOOKUP(WardrobeDoorMaterial,SheetsData,8,0),IF(AND(WardrobeDrawerType="Match carcass",ISERROR(FIND("drawer box",A68))=FALSE),(((((B68/1000)*(C68/1000))+((B68/1000)*(D68/1000)))*2)*VLOOKUP(WardrobeCarcassMaterial,SheetsData,8,0))+(((C68/1000)*(D68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box",A68))=FALSE),(((((B68/1000)*(C68/1000))+((B68/1000)*(D68/1000)))*2)*(16/1000)*VLOOKUP(LEFT(WardrobeCarcassMaterial,FIND(" ",WardrobeCarcassMaterial))&amp;"(solid m3)",SolidData,4,0))+(((C68/1000)*(D68/1000))*VLOOKUP(LEFT(WardrobeCarcassMaterial,FIND("(",WardrobeCarcassMaterial)-1)&amp;IF(OR(ISERROR(FIND("ply",WardrobeCarcassMaterial))=FALSE,ISERROR(FIND("H/F",WardrobeCarcassMaterial))=FALSE),"(9mm)","(10mm)"),SheetsData,8,0)),IF(ISERROR(FIND("shelf",A68))=FALSE,((C68/1000)*(D68/1000))*VLOOKUP(WardrobeCarcassMaterial,SheetsData,7,FALSE),IF(ISERROR(FIND("Office pod",A68))=FALSE,3*VLOOKUP(WardrobeCarcassMaterial,SheetsData,5,0),IF(ISERROR(FIND(" panel",A68))=FALSE,((B68/1000)*(C68/1000))*VLOOKUP(WardrobeDoorMaterial,SheetsData,8,0),IF(ISERROR(FIND("Fillers",A68))=FALSE,(((0.06*(C68/1000))*2)*VLOOKUP("H/F (18mm)",SheetsData,8,0))+(((0.06*(C68/1000))*2)*VLOOKUP("H/F (9mm)",SheetsData,8,0)),IF(ISERROR(FIND("Cornice (stacked)",A68))=FALSE,((0.08*(C68/1000))*2)*VLOOKUP("H/F (22mm)",SheetsData,8,0),IF(OR(ISERROR(FIND("Plinth",A68))=FALSE,ISERROR(FIND("Cornice (flat)",A68))=FALSE),((B68/1000)*(C68/1000))*VLOOKUP("H/F (18mm)",SheetsData,8,0),IF(ISERROR(FIND("Pelmet",A68))=FALSE,((((B68/1000)*(C68/1000))*2)*VLOOKUP("H/F (18mm)",SheetsData,8,0)),IF(ISERROR(FIND("Fireplace",A68))=FALSE,IF(ISERROR(FIND("over 1600",A68))=FALSE,2*VLOOKUP(WardrobeCarcassMaterial,SheetsData,5,FALSE),VLOOKUP(WardrobeCarcassMaterial,SheetsData,5,FALSE)),IF(ISERROR(FIND("table",A68))=FALSE,((B68/1000)*0.6)*VLOOKUP("Birch ply (24mm)",SheetsData,7,FALSE),IF(ISERROR(FIND("Worktop",A68))=FALSE,((B68/1000)*(C68/1000))*VLOOKUP(WardrobeDoorMaterial,SheetsData,7,FALSE),"Check formula")))))))))))))))))</f>
        <v/>
      </c>
      <c r="F68" s="152" t="str">
        <f>IFERROR(__xludf.DUMMYFUNCTION("IF(OR(A68="""",AND(ISERROR(FIND(""drawer box"",A68))=FALSE,WardrobeDrawerType=""Solid dovetail"")),"""",IF(ISERROR(FIND(""bins"",A68))=FALSE,VLOOKUP(""Base carcass 600"",Wardrobes_etcData,6,0),IF(OR(ISERROR(FIND(""larder"",A68))=FALSE,ISERROR(FIND(""unit"&amp;""",A68))=FALSE),VLOOKUP(LEFT(A68,FIND("" "",A68))&amp;""carcass ""&amp;RIGHT(A68,LEN(A68)-len(regexextract(A68,"".* ""))),Wardrobes_etcData,6,0),IF(ISERROR(FIND(""drawer front"",A68))=FALSE,IF(ISERROR(FIND(""veneer"",WardrobeCarcassMaterial))=TRUE,0,(((B68+C68)/1"&amp;"000)*2)*VLOOKUP(""Edge banding (per M)"",SheetsData,5,0)),IF(ISERROR(FIND(""drawer box"",A68))=FALSE,IF(ISERROR(FIND(""veneer"",WardrobeCarcassMaterial))=TRUE,0,(((C68+D68)/1000)*2)*VLOOKUP(""Edge banding (per M)"",SheetsData,5,0)),IF(ISERROR(FIND(""shelf"&amp;""",A68))=FALSE,IF(ISERROR(FIND(""veneer"",WardrobeCarcassMaterial))=TRUE,0,(C68/1000)*VLOOKUP(""Edge banding (per M)"",SheetsData,5,0)),IF(AND(OR(ISERROR(FIND(""arcass"",A68))=FALSE,ISERROR(FIND(""Fireplace"",A68))=FALSE),ISERROR(FIND(""shelf"",A68))=TRUE"&amp;"),IF(ISERROR(FIND(""veneer"",WardrobeCarcassMaterial))=TRUE,0,((2*(B68+C68))/1000)*VLOOKUP(""Edge banding (per M)"",SheetsData,5,0)),IF(ISERROR(FIND(""door"",A68))=TRUE,"""",IF(ISERROR(FIND(""veneer"",WardrobeDoorMaterial))=TRUE,"""",((2*(B68+C68))/1000)*"&amp;"VLOOKUP(""Edge banding (per M)"",SheetsData,5,0))))))))))"),"")</f>
        <v/>
      </c>
      <c r="G68" s="153" t="str">
        <f>IF(A68="","",IF(AND(ISERROR(FIND("arcass",A68))=TRUE,ISERROR(FIND("Fireplace",A68))=TRUE),"",IF(VALUE(C68)&lt;606,4*VLOOKUP("Plinth foot (2 Parts 80mm)",FurnitureData,5,FALSE),IF(VALUE(C68)&lt;1211,6*VLOOKUP("Plinth foot (2 Parts 80mm)",FurnitureData,5,FALSE),8*VLOOKUP("Plinth foot (2 Parts 80mm)",FurnitureData,5,FALSE)))))</f>
        <v/>
      </c>
      <c r="H68" s="115" t="str">
        <f>IF(OR(A68="",ISERROR(FIND("door",A68))=TRUE),"",VLOOKUP("Hinges &amp; plates (Hettich thick door)",FurnitureData,5,0)*5)</f>
        <v/>
      </c>
      <c r="I68" s="115" t="str">
        <f>IF(ISERROR(FIND("shelf",A68))=FALSE,(VLOOKUP("Shelf pegs",FurnitureData,5,0)/100)*4,"")</f>
        <v/>
      </c>
      <c r="J68" s="152" t="str">
        <f>IF(OR(ISERROR(FIND("fridge/freezer",A68))=FALSE,ISERROR(FIND("sink",A68))=FALSE,ISERROR(FIND("larder",A68))=FALSE),VLOOKUP("Deep shelf "&amp;C68,Wardrobes_etcData,18,0),IF(OR(ISERROR(FIND("single oven",A68))=FALSE,ISERROR(FIND("Base carcass",A68))=FALSE),2*VLOOKUP("Deep shelf "&amp;C68,Wardrobes_etcData,18,0),IF(AND(ISERROR(FIND("wall carcass",A68))=FALSE,ISERROR(FIND("Boiler",A68))=TRUE),2*VLOOKUP("Shallow shelf "&amp;C68,Wardrobes_etcData,18,0),IF(ISERROR(FIND("double oven",A68))=FALSE,3*VLOOKUP("Deep shelf "&amp;C68,Wardrobes_etcData,18,0),IF(ISERROR(FIND("Tower carcass",A68))=FALSE,6*VLOOKUP("Deep shelf "&amp;C68,Wardrobes_etcData,18,0),"")))))</f>
        <v/>
      </c>
      <c r="K68" s="152" t="str">
        <f>IF(ISERROR(FIND("sink",A68))=FALSE,VLOOKUP("Sink liner - Aluminium "&amp;RIGHT(A68,LEN(A68)-22)&amp;"mm",ExceptionalData,5,0),IF(ISERROR(FIND("bins",A68))=FALSE,VLOOKUP("Drawer runners and clip set for bin unit (500) Dynapro",FurnitureData,5,0)+(2*VLOOKUP("Bin (42L Anthracite)",FurnitureData,5,0)),IF(ISERROR(FIND("larder",A68))=FALSE,VLOOKUP("Pull out larder unit 600mm",FurnitureData,5,0),IF(AND(ISERROR(FIND("drawer box",A68))=FALSE,ISERROR(FIND("internal",A68))=TRUE),VLOOKUP("Drawer runners and clip set (550) Dynapro",FurnitureData,5,0),IF(ISERROR(FIND("internal drawer box",A68))=FALSE,VLOOKUP("Drawer runners and clip set (450) Dynapro",FurnitureData,5,0),IF(ISERROR(FIND("table",A68))=FALSE,VLOOKUP("Hairpin Leg (12mm Black "&amp;MID(A68,FIND("(",A68)+1,LEN(A68)-(FIND("(",A68))-1)&amp;"mm)",ExceptionalData,4,FALSE),""))))))</f>
        <v/>
      </c>
      <c r="L68" s="152" t="str">
        <f t="shared" si="3"/>
        <v/>
      </c>
      <c r="M68" s="154" t="str">
        <f>IF(A68="","",IF(AND(ISERROR(FIND("drawer front",A68))=FALSE,WardrobeDoorStyle="Flat"),(((B68/1000)*(C68/1000))*2)+((((B68+C68)/1000)*2)*0.022),IF(AND(ISERROR(FIND("drawer front",A68))=FALSE,LEFT(WardrobeDoorStyle,5)="Panel"),(((B68/1000)*(C68/1000))*2)+((((B68+C68)/1000)*2)*0.022)+((((C68/1000)-0.16)*0.013)*2)+((((D68/1000)-0.16)*0.013)*2),IF(AND(ISERROR(FIND("drawer front",A68))=FALSE,WardrobeDoorStyle="In-frame flat"),((((B68-76)/1000)*((C68-38)/1000))*2)+(MID(WardrobeDoorMaterial,FIND("(",WardrobeDoorMaterial)+1,2)/1000)*((((B68-76)+(C68-38))/1000)*2)+(((B68/1000)*0.032)*2)+((((B68-76)/1000)*0.032)*2)+(((B68/1000)*0.019)*4)+(((C68/1000)*0.032)*2)+((((C68-38)/1000)*0.032)*2)+(((C68/1000)*0.038)*4),IF(AND(ISERROR(FIND("drawer front",A68))=FALSE,LEFT(WardrobeDoorStyle,14)="In-frame panel"),((((B68-76)/1000)*((C68-38)/1000))*2)+((MID(WardrobeDoorMaterial,FIND("(",WardrobeDoorMaterial)+1,2)/1000)*((((B68-76)+(C68-38))/1000)*2))+((((B68-236)/1000)+((C68-198)/1000)*2)*0.013)+(((B68/1000)*0.032)*2)+((((B68-76)/1000)*0.032)*2)+(((B68/1000)*0.019)*4)+(((C68/1000)*0.032)*2)+((((C68-38)/1000)*0.032)*2)+(((C68/1000)*0.038)*4),IF(ISERROR(FIND("drawer box",A68))=FALSE,((((B68/1000)*(D68/1000))+((B68/1000)*(C68/1000)))*4)+((((D68/1000)+(C68/1000))*0.016)*4)+(((C68/1000)*(D68/1000))*2),IF(OR(ISERROR(FIND("shelf",A68))=FALSE,ISERROR(FIND("Filler panel",A68))=FALSE),(((C68/1000)*(D68/1000))*2)+((((C68+D68)*2)/1000)*0.022),IF(ISERROR(FIND("Fireplace",A68))=FALSE,((B68/1000)*(C68/1000)),IF(ISERROR(FIND("Worktop",A68))=FALSE,(B68/1000)*(C68/1000),IF(ISERROR(FIND("table",A68))=FALSE,(B68/1000)*0.6,IF(ISERROR(FIND("arcass",A68))=FALSE,(((C68/1000)*(D68/1000))*2)+(((B68/1000)*(D68/1000))*2)+((B68/1000)*(C68/1000))+((((B68/1000)*0.025)+((C68/1000)*0.025))*2),IF(AND(ISERROR(FIND("door",A68))=FALSE,WardrobeDoorStyle="Flat"),(((B68/1000)*(C68/1000))*2)+(MID(WardrobeDoorMaterial,FIND("(",WardrobeDoorMaterial)+1,2)/1000)*(((B68+C68)/1000)*2),IF(AND(ISERROR(FIND("door",A68))=FALSE,LEFT(WardrobeDoorStyle,5)="Panel"),(((B68/1000)*(C68/1000))*2)+((MID(WardrobeDoorMaterial,FIND("(",WardrobeDoorMaterial)+1,2)/1000)*(((B68+C68)/1000)*2))+(((((B68-160)+(C68-160))*2)/1000)*(0.013)),IF(AND(ISERROR(FIND("door",A68))=FALSE,WardrobeDoorStyle="In-frame flat"),((((B68-76)/1000)*((C68-38)/1000))*2)+(MID(WardrobeDoorMaterial,FIND("(",WardrobeDoorMaterial)+1,2)/1000)*((((B68-76)+(C68-38))/1000)*2)+(((B68/1000)*0.032)*2)+((((B68-76)/1000)*0.032)*2)+(((B68/1000)*0.019)*4)+(((C68/1000)*0.032)*2)+((((C68-38)/1000)*0.032)*2)+(((C68/1000)*0.038)*4),IF(AND(ISERROR(FIND("door",A68))=FALSE,LEFT(WardrobeDoorStyle,14)="In-frame panel"),((((B68-76)/1000)*((C68-38)/1000))*2)+((MID(WardrobeDoorMaterial,FIND("(",WardrobeDoorMaterial)+1,2)/1000)*((((B68-76)+(C68-38))/1000)*2))+((((B68-236)/1000)+((C68-198)/1000)*2)*0.013)+(((B68/1000)*0.032)*2)+((((B68-76)/1000)*0.032)*2)+(((B68/1000)*0.019)*4)+(((C68/1000)*0.032)*2)+((((C68-38)/1000)*0.032)*2)+(((C68/1000)*0.038)*4),IF(ISERROR(FIND("Plinth",A68))=FALSE,((B68/1000)*(C68/1000))+(((C68/1000)*0.018)*2)+(((B68/1000)*0.018)*2),IF(ISERROR(FIND("Cornice",A68))=FALSE,(((C68/1000)*0.1)*2)+(((C68/1000)*0.044)*2)+(((B68/1000)*0.08)*2),IF(ISERROR(FIND("Office pod",A68))=FALSE,((2400/1000)*(1200/1000))*6,IF(ISERROR(FIND("panel",A68))=FALSE,((B68/1000)*(C68/1000))+(0.022*((B68/1000)+((C68/1000)*2)))+((B68/1000)*0.05),IF(ISERROR(FIND("Fillers",A68))=FALSE,((C68/1000)*0.06)+((C68/1000)*0.069)+((0.06*0.018)*2)+((0.06*0.009)*2)+((C68/1000)*0.009)+((C68/1000)*0.018),IF(ISERROR(FIND("Pelmet",A68))=FALSE,((C68/1000)*0.05)+((C68/1000)*0.068)+((0.05*0.018)*4)+(((C68/1000)*0.018))*2)))))))))))))))))))))</f>
        <v/>
      </c>
      <c r="N68" s="152" t="str">
        <f>IF(M68="","",IF(AND(ISERROR(FIND("carcass",A68))=TRUE,ISERROR(FIND("unit",A68))=TRUE,ISERROR(FIND("insert",A68))=TRUE,ISERROR(FIND("rack",A68))=TRUE,ISERROR(FIND("box",A68))=TRUE,ISERROR(FIND("shelf",A68))=TRUE),VLOOKUP(WardrobeDoorFinish,Finishing!$A$2:$K$10,9,0)*M68,IF(ISERROR(FIND("table",A68))=FALSE,VLOOKUP("Sayerlack AF0072 Interior Clear Self-Sealer",FinishingData,9,FALSE)*M68,VLOOKUP(WardrobeCarcassFinish,Finishing!$A$2:$K$40,9,0)*M68)))</f>
        <v/>
      </c>
      <c r="O68" s="159"/>
      <c r="P68" s="159"/>
      <c r="Q68" s="152" t="str">
        <f>IF(OR(O68="",P68=""),"",((O68*X68)*(VLOOKUP("Workshop",Labour!$A$3:$E$20,4,0)/8))+((P68*AE68)*(VLOOKUP("Finishing",Labour!$A$3:$E$20,4,0)/8)))</f>
        <v/>
      </c>
      <c r="R68" s="152" t="str">
        <f t="shared" si="4"/>
        <v/>
      </c>
      <c r="S68" s="156" t="str">
        <f>IF(OR(O68="",P68=""),"",IF(OR(ISERROR(FIND("carcass",$A68))=FALSE,ISERROR(FIND("unit",$A68))=FALSE),VLOOKUP(WardrobeCarcassMaterial,FixedListsCarcassMaterial,2,0),0))</f>
        <v/>
      </c>
      <c r="T68" s="156" t="str">
        <f>IF(OR(O68="",P68=""),"",IF(ISERROR(FIND("door",$A68))=FALSE,VLOOKUP(WardrobeDoorStyle,FixedListsDoorStyle,2,0),0))</f>
        <v/>
      </c>
      <c r="U68" s="156" t="str">
        <f>IF(OR(O68="",P68=""),"",IF(ISERROR(FIND("door",$A68))=FALSE,VLOOKUP(WardrobeDoorMaterial,FixedListsDoorMaterial,2,0),0))</f>
        <v/>
      </c>
      <c r="V68" s="156" t="str">
        <f>IF(OR(O68="",P68=""),"",IF(ISERROR(FIND("drawer",$A68))=FALSE,VLOOKUP(WardrobeDrawerType,FixedListsDrawerType,2,0),0))</f>
        <v/>
      </c>
      <c r="W68" s="156" t="str">
        <f>IF(OR(O68="",P68=""),"",IF(S68&gt;0,VLOOKUP(WardrobeHandleType,FixedListsHandleType,2,FALSE),0))</f>
        <v/>
      </c>
      <c r="X68" s="156" t="str">
        <f t="shared" si="5"/>
        <v/>
      </c>
      <c r="Y68" s="156" t="str">
        <f>IF(OR(O68="",P68=""),"",IF(OR(ISERROR(FIND("carcass",$A68))=FALSE,ISERROR(FIND("unit",$A68))=FALSE),VLOOKUP(WardrobeCarcassMaterial,FixedListsCarcassMaterial,3,0),0))</f>
        <v/>
      </c>
      <c r="Z68" s="156" t="str">
        <f>IF(OR(O68="",P68=""),"",IF(ISERROR(FIND("door",$A68))=FALSE,VLOOKUP(WardrobeDoorStyle,FixedListsDoorStyle,3,0),0))</f>
        <v/>
      </c>
      <c r="AA68" s="156" t="str">
        <f>IF(OR(O68="",P68=""),"",IF(ISERROR(FIND("door",$A68))=FALSE,VLOOKUP(WardrobeDoorMaterial,FixedListsDoorMaterial,3,0),0))</f>
        <v/>
      </c>
      <c r="AB68" s="156" t="str">
        <f>IF(OR(O68="",P68=""),"",IF(ISERROR(FIND("drawer",$A68))=FALSE,VLOOKUP(WardrobeDrawerType,FixedListsDrawerType,3,0),0))</f>
        <v/>
      </c>
      <c r="AC68" s="156" t="str">
        <f>IF(OR(O68="",P68=""),"",IF(S68&gt;0,VLOOKUP(WardrobeHandleType,FixedListsHandleType,3,FALSE),0))</f>
        <v/>
      </c>
      <c r="AD68" s="156" t="str">
        <f>IF(OR(O68="",P68=""),"",IF(OR(ISERROR(FIND("carcass",$A68))=FALSE,ISERROR(FIND("unit",$A68))=FALSE),VLOOKUP(WardrobeCarcassFinish,FixedListsFinishes,3,0),IF(OR(ISERROR(FIND("door",$A68))=FALSE,ISERROR(FIND("Plinth",$A68))=FALSE,ISERROR(FIND("Cornice",$A68))=FALSE,ISERROR(FIND("Fillers",$A68))=FALSE,ISERROR(FIND("Pelmet",$A68))=FALSE,ISERROR(FIND("panel",$A68))=FALSE,ISERROR(FIND("post",$A68))=FALSE),VLOOKUP(WardrobeDoorFinish,FixedListsFinishes,3,0),IF(OR(ISERROR(FIND("drawer",$A68))=FALSE,ISERROR(FIND("insert",$A68))=FALSE,ISERROR(FIND("rck",$A68))=FALSE),VLOOKUP(WardrobeCarcassFinish,FixedListsFinishes,3,0),0))))</f>
        <v/>
      </c>
      <c r="AE68" s="156" t="str">
        <f t="shared" si="6"/>
        <v/>
      </c>
      <c r="AF68" s="157" t="str">
        <f>IF(AND(WardrobeHandleType="Channel",OR(ISERROR(FIND("arcass",$A68))=FALSE,ISERROR(FIND("unit",$A68))=FALSE)),IF(ISERROR(FIND("Tower",$A68))=TRUE,IF(WardrobeHandleFinish="Match carcass",IF(ISERROR(FIND("Walnut",WardrobeCarcassMaterial))=FALSE,(0.035*0.075*($C68/1000))*VLOOKUP("Walnut (solid m3)",SolidData,4,FALSE),IF(ISERROR(FIND("Oak",WardrobeCarcassMaterial))=FALSE,(0.035*0.075*($C68/1000))*VLOOKUP("Oak (solid m3)",SolidData,4,FALSE),IF(ISERROR(FIND("ply",WardrobeCarcassMaterial))=FALSE,(0.1*($C68/1000))*VLOOKUP("Birch ply (24mm)",SheetsData,7,FALSE),IF(ISERROR(FIND("H/F",WardrobeCarcassMaterial))=FALSE,(0.1*($C68/1000))*VLOOKUP("H/F (22mm)",SheetsData,7,FALSE),"Carcass - not tower - new material")))),IF(WardrobeHandleFinish="Match door",IF(ISERROR(FIND("Walnut",WardrobeDoorMaterial))=FALSE,(0.035*0.075*($C68/1000))*VLOOKUP("Walnut (solid m3)",SolidData,4,FALSE),IF(ISERROR(FIND("Oak",WardrobeDoorMaterial))=FALSE,(0.035*0.075*($C68/1000))*VLOOKUP("Oak (solid m3)",SolidData,4,FALSE),IF(ISERROR(FIND("ply",WardrobeDoorMaterial))=FALSE,(0.1*($C68/1000))*VLOOKUP("Birch ply (24mm)",SheetsData,7,FALSE),IF(ISERROR(FIND("H/F",WardrobeCarcassMaterial))=FALSE,(0.1*($C68/1000))*VLOOKUP("H/F (22mm)",SheetsData,7,FALSE),"Door - not tower - new material")))),"Channel - not tower - handle set to other")),IF(ISERROR(FIND("Tower",$A68))=FALSE,IF(WardrobeHandleFinish="Match carcass",IF(ISERROR(FIND("Walnut",WardrobeCarcassMaterial))=FALSE,(0.035*0.075*($B68/1000))*VLOOKUP("Walnut (solid m3)",SolidData,4,FALSE),IF(ISERROR(FIND("Oak",WardrobeCarcassMaterial))=FALSE,(0.035*0.075*($B68/1000))*VLOOKUP("Oak (solid m3)",SolidData,4,FALSE),IF(ISERROR(FIND("ply",WardrobeCarcassMaterial))=FALSE,(0.1*($B68/1000))*VLOOKUP("Birch ply (24mm)",SheetsData,7,FALSE),IF(ISERROR(FIND("H/F",WardrobeCarcassMaterial))=FALSE,(0.1*($C68/1000))*VLOOKUP("H/F (22mm)",SheetsData,7,FALSE),"Carcass - tower - new material")))),IF(WardrobeHandleFinish="Match door",IF(ISERROR(FIND("Walnut",WardrobeDoorMaterial))=FALSE,(0.035*0.075*($B68/1000))*VLOOKUP("Walnut (solid m3)",SolidData,4,FALSE),IF(ISERROR(FIND("Oak",WardrobeDoorMaterial))=FALSE,(0.035*0.075*($B68/1000))*VLOOKUP("Oak (solid m3)",SolidData,4,FALSE),IF(ISERROR(FIND("ply",WardrobeDoorMaterial))=FALSE,(0.1*($B68/1000))*VLOOKUP("Birch ply (24mm)",SheetData,7,FALSE),IF(ISERROR(FIND("H/F",WardrobeCarcassMaterial))=FALSE,(0.1*($C68/1000))*VLOOKUP("H/F (22mm)",SheetsData,7,FALSE),"Door - tower - new material")))),"Channel - tower - handle set to other")))),"")</f>
        <v/>
      </c>
    </row>
    <row r="69">
      <c r="A69" s="158"/>
      <c r="B69" s="160" t="str">
        <f t="shared" si="1"/>
        <v/>
      </c>
      <c r="C69" s="160" t="str">
        <f>IFERROR(__xludf.DUMMYFUNCTION("IF(A69="""","""",IF(ISERROR(FIND(""arcass"",A69))=FALSE,MID(A69,FIND(""*"",A69)+1,FIND(""*"",A69,FIND(""*"",A69)+1)-FIND(""*"",A69)-1),IF(ISERROR(FIND(""End panel"",A69))=FALSE,RIGHT(A69,3),IF(OR(ISERROR(FIND(""drawer"",A69))=FALSE,ISERROR(FIND(""door"",A"&amp;"69))=FALSE,ISERROR(FIND(""shelf"",A69))=FALSE,ISERROR(FIND(""panel"",A69))=FALSE,ISERROR(FIND(""Plinth"",A69))=FALSE,ISERROR(FIND(""Cornice"",A69))=FALSE,ISERROR(FIND(""Fillers"",A69))=FALSE,ISERROR(FIND(""Pelmet"",A69))=FALSE,ISERROR(FIND(""Fireplace up "&amp;"to 1600"",A69))=FALSE),RIGHT(A69,LEN(A69)-LEN(regexextract(A69,"".* ""))),IF(ISERROR(FIND(""table"",A69))=FALSE,""560"",IF(ISERROR(FIND(""Office pod"",A69))=FALSE,""1600"",IF(ISERROR(FIND(""Fireplace over 1600"",A69))=FALSE,""2400"",IF(ISERROR(FIND(""Work"&amp;"top"",A69))=FALSE,""650"",""Whoops""))))))))"),"")</f>
        <v/>
      </c>
      <c r="D69" s="161" t="str">
        <f t="shared" si="2"/>
        <v/>
      </c>
      <c r="E69" s="152" t="str">
        <f>IF(OR(A69="",AND(ISERROR(FIND("drawer",A69))=FALSE,WardrobeDrawerType="")),"",IF(ISERROR(FIND("door",A69))=FALSE,IF(WardrobeDoorStyle="Flat",((B69/1000)*(C69/1000))*VLOOKUP(WardrobeDoorMaterial,SheetsData,8,0),IF(LEFT(WardrobeDoorStyle,5)="Panel",(((((B69/1000)*2)*0.08)+((((C69/1000)-0.16)*2)*0.08))*VLOOKUP("H/F (22mm)",SheetsData,8,0))+(((B69/1000)-0.14)*((C69/1000)-0.14)*VLOOKUP("H/F (9mm)",SheetsData,8,0)),IF(WardrobeDoorStyle="In-frame flat",((((((B69/1000)*0.019)*0.038)+((((C69-38)/1000)*0.038)*0.038))*2)*VLOOKUP("Tulip (solid m3)",SolidData,4,0))+(((B69-76)/1000)*((C69-38)/1000))*VLOOKUP("H/F (22mm)",SheetsData,8,0),IF(LEFT(WardrobeDoorStyle,14)="In-frame panel",(((((((B69/1000)*0.019)*0.038)+((((C69-38)/1000)*0.038)*0.038))*2)*VLOOKUP("Tulip (solid m3)",SolidData,4,0))+(((((((B69-76)/1000)*2)*0.08)+(((((C69-198)/1000)*2)*0.08)))*VLOOKUP("H/F (22mm)",SheetsData,8,0))+(((B69-216)/1000)*((C69-178)/1000)*VLOOKUP("H/F (9mm)",SheetsData,8,0)))))))),IF(AND(ISERROR(FIND("arcass",A69))=FALSE,ISERROR(FIND("ost corner",A69))=TRUE),IF(AND(VALUE(B69)&lt;1211,VALUE(C69)&lt;1211,VALUE(D69)&lt;606),1*VLOOKUP(WardrobeCarcassMaterial,SheetsData,5,FALSE),IF(AND(VALUE(B69)&lt;2421,VALUE(C69)&lt;2421,VALUE(D69)&lt;606),2*VLOOKUP(WardrobeCarcassMaterial,SheetsData,5,FALSE),IF(AND(VALUE(B69)&lt;2421,VALUE(C69)&lt;1211,VALUE(D69)&lt;1211),3*VLOOKUP(WardrobeCarcassMaterial,SheetsData,5,FALSE),IF(AND(VALUE(B69)&lt;2421,VALUE(C69)&lt;2421,VALUE(D69)&lt;1211),4*VLOOKUP(WardrobeCarcassMaterial,SheetsData,5,FALSE))))),IF(AND(ISERROR(FIND("arcass",A69))=FALSE,ISERROR(FIND("ost corner",A69))=FALSE),IF(AND(VALUE(B69)&lt;1211,VALUE(C69)&lt;1211,VALUE(D69)&lt;606),(1*VLOOKUP(WardrobeCarcassMaterial,SheetsData,5,FALSE))+(VLOOKUP("H/F (22mm)",SheetsData,7,FALSE)*1.44),IF(AND(VALUE(B69)&lt;2421,VALUE(C69)&lt;2421,VALUE(D69)&lt;606),(2*VLOOKUP(WardrobeCarcassMaterial,SheetsData,5,FALSE))+(VLOOKUP("H/F (22mm)",SheetsData,7,FALSE)*1.44),IF(AND(VALUE(B69)&lt;2421,VALUE(C69)&lt;1211,VALUE(D69)&lt;1211),(3*VLOOKUP(WardrobeCarcassMaterial,SheetsData,5,FALSE))+(VLOOKUP("H/F (22mm)",SheetsData,7,FALSE)*1.44),IF(AND(VALUE(B69)&lt;2421,VALUE(C69)&lt;2421,VALUE(D69)&lt;1211),(4*VLOOKUP(WardrobeCarcassMaterial,SheetsData,5,FALSE))+(VLOOKUP("H/F (22mm)",SheetsData,7,FALSE)*1.44))))),IF(ISERROR(FIND("drawer front",A69))=FALSE,((B69/1000)*(C69/1000))*VLOOKUP(WardrobeDoorMaterial,SheetsData,8,0),IF(AND(WardrobeDrawerType="Match carcass",ISERROR(FIND("drawer box",A69))=FALSE),(((((B69/1000)*(C69/1000))+((B69/1000)*(D69/1000)))*2)*VLOOKUP(WardrobeCarcassMaterial,SheetsData,8,0))+(((C69/1000)*(D69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box",A69))=FALSE),(((((B69/1000)*(C69/1000))+((B69/1000)*(D69/1000)))*2)*(16/1000)*VLOOKUP(LEFT(WardrobeCarcassMaterial,FIND(" ",WardrobeCarcassMaterial))&amp;"(solid m3)",SolidData,4,0))+(((C69/1000)*(D69/1000))*VLOOKUP(LEFT(WardrobeCarcassMaterial,FIND("(",WardrobeCarcassMaterial)-1)&amp;IF(OR(ISERROR(FIND("ply",WardrobeCarcassMaterial))=FALSE,ISERROR(FIND("H/F",WardrobeCarcassMaterial))=FALSE),"(9mm)","(10mm)"),SheetsData,8,0)),IF(ISERROR(FIND("shelf",A69))=FALSE,((C69/1000)*(D69/1000))*VLOOKUP(WardrobeCarcassMaterial,SheetsData,7,FALSE),IF(ISERROR(FIND("Office pod",A69))=FALSE,3*VLOOKUP(WardrobeCarcassMaterial,SheetsData,5,0),IF(ISERROR(FIND(" panel",A69))=FALSE,((B69/1000)*(C69/1000))*VLOOKUP(WardrobeDoorMaterial,SheetsData,8,0),IF(ISERROR(FIND("Fillers",A69))=FALSE,(((0.06*(C69/1000))*2)*VLOOKUP("H/F (18mm)",SheetsData,8,0))+(((0.06*(C69/1000))*2)*VLOOKUP("H/F (9mm)",SheetsData,8,0)),IF(ISERROR(FIND("Cornice (stacked)",A69))=FALSE,((0.08*(C69/1000))*2)*VLOOKUP("H/F (22mm)",SheetsData,8,0),IF(OR(ISERROR(FIND("Plinth",A69))=FALSE,ISERROR(FIND("Cornice (flat)",A69))=FALSE),((B69/1000)*(C69/1000))*VLOOKUP("H/F (18mm)",SheetsData,8,0),IF(ISERROR(FIND("Pelmet",A69))=FALSE,((((B69/1000)*(C69/1000))*2)*VLOOKUP("H/F (18mm)",SheetsData,8,0)),IF(ISERROR(FIND("Fireplace",A69))=FALSE,IF(ISERROR(FIND("over 1600",A69))=FALSE,2*VLOOKUP(WardrobeCarcassMaterial,SheetsData,5,FALSE),VLOOKUP(WardrobeCarcassMaterial,SheetsData,5,FALSE)),IF(ISERROR(FIND("table",A69))=FALSE,((B69/1000)*0.6)*VLOOKUP("Birch ply (24mm)",SheetsData,7,FALSE),IF(ISERROR(FIND("Worktop",A69))=FALSE,((B69/1000)*(C69/1000))*VLOOKUP(WardrobeDoorMaterial,SheetsData,7,FALSE),"Check formula")))))))))))))))))</f>
        <v/>
      </c>
      <c r="F69" s="152" t="str">
        <f>IFERROR(__xludf.DUMMYFUNCTION("IF(OR(A69="""",AND(ISERROR(FIND(""drawer box"",A69))=FALSE,WardrobeDrawerType=""Solid dovetail"")),"""",IF(ISERROR(FIND(""bins"",A69))=FALSE,VLOOKUP(""Base carcass 600"",Wardrobes_etcData,6,0),IF(OR(ISERROR(FIND(""larder"",A69))=FALSE,ISERROR(FIND(""unit"&amp;""",A69))=FALSE),VLOOKUP(LEFT(A69,FIND("" "",A69))&amp;""carcass ""&amp;RIGHT(A69,LEN(A69)-len(regexextract(A69,"".* ""))),Wardrobes_etcData,6,0),IF(ISERROR(FIND(""drawer front"",A69))=FALSE,IF(ISERROR(FIND(""veneer"",WardrobeCarcassMaterial))=TRUE,0,(((B69+C69)/1"&amp;"000)*2)*VLOOKUP(""Edge banding (per M)"",SheetsData,5,0)),IF(ISERROR(FIND(""drawer box"",A69))=FALSE,IF(ISERROR(FIND(""veneer"",WardrobeCarcassMaterial))=TRUE,0,(((C69+D69)/1000)*2)*VLOOKUP(""Edge banding (per M)"",SheetsData,5,0)),IF(ISERROR(FIND(""shelf"&amp;""",A69))=FALSE,IF(ISERROR(FIND(""veneer"",WardrobeCarcassMaterial))=TRUE,0,(C69/1000)*VLOOKUP(""Edge banding (per M)"",SheetsData,5,0)),IF(AND(OR(ISERROR(FIND(""arcass"",A69))=FALSE,ISERROR(FIND(""Fireplace"",A69))=FALSE),ISERROR(FIND(""shelf"",A69))=TRUE"&amp;"),IF(ISERROR(FIND(""veneer"",WardrobeCarcassMaterial))=TRUE,0,((2*(B69+C69))/1000)*VLOOKUP(""Edge banding (per M)"",SheetsData,5,0)),IF(ISERROR(FIND(""door"",A69))=TRUE,"""",IF(ISERROR(FIND(""veneer"",WardrobeDoorMaterial))=TRUE,"""",((2*(B69+C69))/1000)*"&amp;"VLOOKUP(""Edge banding (per M)"",SheetsData,5,0))))))))))"),"")</f>
        <v/>
      </c>
      <c r="G69" s="153" t="str">
        <f>IF(A69="","",IF(AND(ISERROR(FIND("arcass",A69))=TRUE,ISERROR(FIND("Fireplace",A69))=TRUE),"",IF(VALUE(C69)&lt;606,4*VLOOKUP("Plinth foot (2 Parts 80mm)",FurnitureData,5,FALSE),IF(VALUE(C69)&lt;1211,6*VLOOKUP("Plinth foot (2 Parts 80mm)",FurnitureData,5,FALSE),8*VLOOKUP("Plinth foot (2 Parts 80mm)",FurnitureData,5,FALSE)))))</f>
        <v/>
      </c>
      <c r="H69" s="115" t="str">
        <f>IF(OR(A69="",ISERROR(FIND("door",A69))=TRUE),"",VLOOKUP("Hinges &amp; plates (Hettich thick door)",FurnitureData,5,0)*5)</f>
        <v/>
      </c>
      <c r="I69" s="115" t="str">
        <f>IF(ISERROR(FIND("shelf",A69))=FALSE,(VLOOKUP("Shelf pegs",FurnitureData,5,0)/100)*4,"")</f>
        <v/>
      </c>
      <c r="J69" s="152" t="str">
        <f>IF(OR(ISERROR(FIND("fridge/freezer",A69))=FALSE,ISERROR(FIND("sink",A69))=FALSE,ISERROR(FIND("larder",A69))=FALSE),VLOOKUP("Deep shelf "&amp;C69,Wardrobes_etcData,18,0),IF(OR(ISERROR(FIND("single oven",A69))=FALSE,ISERROR(FIND("Base carcass",A69))=FALSE),2*VLOOKUP("Deep shelf "&amp;C69,Wardrobes_etcData,18,0),IF(AND(ISERROR(FIND("wall carcass",A69))=FALSE,ISERROR(FIND("Boiler",A69))=TRUE),2*VLOOKUP("Shallow shelf "&amp;C69,Wardrobes_etcData,18,0),IF(ISERROR(FIND("double oven",A69))=FALSE,3*VLOOKUP("Deep shelf "&amp;C69,Wardrobes_etcData,18,0),IF(ISERROR(FIND("Tower carcass",A69))=FALSE,6*VLOOKUP("Deep shelf "&amp;C69,Wardrobes_etcData,18,0),"")))))</f>
        <v/>
      </c>
      <c r="K69" s="152" t="str">
        <f>IF(ISERROR(FIND("sink",A69))=FALSE,VLOOKUP("Sink liner - Aluminium "&amp;RIGHT(A69,LEN(A69)-22)&amp;"mm",ExceptionalData,5,0),IF(ISERROR(FIND("bins",A69))=FALSE,VLOOKUP("Drawer runners and clip set for bin unit (500) Dynapro",FurnitureData,5,0)+(2*VLOOKUP("Bin (42L Anthracite)",FurnitureData,5,0)),IF(ISERROR(FIND("larder",A69))=FALSE,VLOOKUP("Pull out larder unit 600mm",FurnitureData,5,0),IF(AND(ISERROR(FIND("drawer box",A69))=FALSE,ISERROR(FIND("internal",A69))=TRUE),VLOOKUP("Drawer runners and clip set (550) Dynapro",FurnitureData,5,0),IF(ISERROR(FIND("internal drawer box",A69))=FALSE,VLOOKUP("Drawer runners and clip set (450) Dynapro",FurnitureData,5,0),IF(ISERROR(FIND("table",A69))=FALSE,VLOOKUP("Hairpin Leg (12mm Black "&amp;MID(A69,FIND("(",A69)+1,LEN(A69)-(FIND("(",A69))-1)&amp;"mm)",ExceptionalData,4,FALSE),""))))))</f>
        <v/>
      </c>
      <c r="L69" s="152" t="str">
        <f t="shared" si="3"/>
        <v/>
      </c>
      <c r="M69" s="154" t="str">
        <f>IF(A69="","",IF(AND(ISERROR(FIND("drawer front",A69))=FALSE,WardrobeDoorStyle="Flat"),(((B69/1000)*(C69/1000))*2)+((((B69+C69)/1000)*2)*0.022),IF(AND(ISERROR(FIND("drawer front",A69))=FALSE,LEFT(WardrobeDoorStyle,5)="Panel"),(((B69/1000)*(C69/1000))*2)+((((B69+C69)/1000)*2)*0.022)+((((C69/1000)-0.16)*0.013)*2)+((((D69/1000)-0.16)*0.013)*2),IF(AND(ISERROR(FIND("drawer front",A69))=FALSE,WardrobeDoorStyle="In-frame flat"),((((B69-76)/1000)*((C69-38)/1000))*2)+(MID(WardrobeDoorMaterial,FIND("(",WardrobeDoorMaterial)+1,2)/1000)*((((B69-76)+(C69-38))/1000)*2)+(((B69/1000)*0.032)*2)+((((B69-76)/1000)*0.032)*2)+(((B69/1000)*0.019)*4)+(((C69/1000)*0.032)*2)+((((C69-38)/1000)*0.032)*2)+(((C69/1000)*0.038)*4),IF(AND(ISERROR(FIND("drawer front",A69))=FALSE,LEFT(WardrobeDoorStyle,14)="In-frame panel"),((((B69-76)/1000)*((C69-38)/1000))*2)+((MID(WardrobeDoorMaterial,FIND("(",WardrobeDoorMaterial)+1,2)/1000)*((((B69-76)+(C69-38))/1000)*2))+((((B69-236)/1000)+((C69-198)/1000)*2)*0.013)+(((B69/1000)*0.032)*2)+((((B69-76)/1000)*0.032)*2)+(((B69/1000)*0.019)*4)+(((C69/1000)*0.032)*2)+((((C69-38)/1000)*0.032)*2)+(((C69/1000)*0.038)*4),IF(ISERROR(FIND("drawer box",A69))=FALSE,((((B69/1000)*(D69/1000))+((B69/1000)*(C69/1000)))*4)+((((D69/1000)+(C69/1000))*0.016)*4)+(((C69/1000)*(D69/1000))*2),IF(OR(ISERROR(FIND("shelf",A69))=FALSE,ISERROR(FIND("Filler panel",A69))=FALSE),(((C69/1000)*(D69/1000))*2)+((((C69+D69)*2)/1000)*0.022),IF(ISERROR(FIND("Fireplace",A69))=FALSE,((B69/1000)*(C69/1000)),IF(ISERROR(FIND("Worktop",A69))=FALSE,(B69/1000)*(C69/1000),IF(ISERROR(FIND("table",A69))=FALSE,(B69/1000)*0.6,IF(ISERROR(FIND("arcass",A69))=FALSE,(((C69/1000)*(D69/1000))*2)+(((B69/1000)*(D69/1000))*2)+((B69/1000)*(C69/1000))+((((B69/1000)*0.025)+((C69/1000)*0.025))*2),IF(AND(ISERROR(FIND("door",A69))=FALSE,WardrobeDoorStyle="Flat"),(((B69/1000)*(C69/1000))*2)+(MID(WardrobeDoorMaterial,FIND("(",WardrobeDoorMaterial)+1,2)/1000)*(((B69+C69)/1000)*2),IF(AND(ISERROR(FIND("door",A69))=FALSE,LEFT(WardrobeDoorStyle,5)="Panel"),(((B69/1000)*(C69/1000))*2)+((MID(WardrobeDoorMaterial,FIND("(",WardrobeDoorMaterial)+1,2)/1000)*(((B69+C69)/1000)*2))+(((((B69-160)+(C69-160))*2)/1000)*(0.013)),IF(AND(ISERROR(FIND("door",A69))=FALSE,WardrobeDoorStyle="In-frame flat"),((((B69-76)/1000)*((C69-38)/1000))*2)+(MID(WardrobeDoorMaterial,FIND("(",WardrobeDoorMaterial)+1,2)/1000)*((((B69-76)+(C69-38))/1000)*2)+(((B69/1000)*0.032)*2)+((((B69-76)/1000)*0.032)*2)+(((B69/1000)*0.019)*4)+(((C69/1000)*0.032)*2)+((((C69-38)/1000)*0.032)*2)+(((C69/1000)*0.038)*4),IF(AND(ISERROR(FIND("door",A69))=FALSE,LEFT(WardrobeDoorStyle,14)="In-frame panel"),((((B69-76)/1000)*((C69-38)/1000))*2)+((MID(WardrobeDoorMaterial,FIND("(",WardrobeDoorMaterial)+1,2)/1000)*((((B69-76)+(C69-38))/1000)*2))+((((B69-236)/1000)+((C69-198)/1000)*2)*0.013)+(((B69/1000)*0.032)*2)+((((B69-76)/1000)*0.032)*2)+(((B69/1000)*0.019)*4)+(((C69/1000)*0.032)*2)+((((C69-38)/1000)*0.032)*2)+(((C69/1000)*0.038)*4),IF(ISERROR(FIND("Plinth",A69))=FALSE,((B69/1000)*(C69/1000))+(((C69/1000)*0.018)*2)+(((B69/1000)*0.018)*2),IF(ISERROR(FIND("Cornice",A69))=FALSE,(((C69/1000)*0.1)*2)+(((C69/1000)*0.044)*2)+(((B69/1000)*0.08)*2),IF(ISERROR(FIND("Office pod",A69))=FALSE,((2400/1000)*(1200/1000))*6,IF(ISERROR(FIND("panel",A69))=FALSE,((B69/1000)*(C69/1000))+(0.022*((B69/1000)+((C69/1000)*2)))+((B69/1000)*0.05),IF(ISERROR(FIND("Fillers",A69))=FALSE,((C69/1000)*0.06)+((C69/1000)*0.069)+((0.06*0.018)*2)+((0.06*0.009)*2)+((C69/1000)*0.009)+((C69/1000)*0.018),IF(ISERROR(FIND("Pelmet",A69))=FALSE,((C69/1000)*0.05)+((C69/1000)*0.068)+((0.05*0.018)*4)+(((C69/1000)*0.018))*2)))))))))))))))))))))</f>
        <v/>
      </c>
      <c r="N69" s="152" t="str">
        <f>IF(M69="","",IF(AND(ISERROR(FIND("carcass",A69))=TRUE,ISERROR(FIND("unit",A69))=TRUE,ISERROR(FIND("insert",A69))=TRUE,ISERROR(FIND("rack",A69))=TRUE,ISERROR(FIND("box",A69))=TRUE,ISERROR(FIND("shelf",A69))=TRUE),VLOOKUP(WardrobeDoorFinish,Finishing!$A$2:$K$10,9,0)*M69,IF(ISERROR(FIND("table",A69))=FALSE,VLOOKUP("Sayerlack AF0072 Interior Clear Self-Sealer",FinishingData,9,FALSE)*M69,VLOOKUP(WardrobeCarcassFinish,Finishing!$A$2:$K$40,9,0)*M69)))</f>
        <v/>
      </c>
      <c r="O69" s="159"/>
      <c r="P69" s="159"/>
      <c r="Q69" s="152" t="str">
        <f>IF(OR(O69="",P69=""),"",((O69*X69)*(VLOOKUP("Workshop",Labour!$A$3:$E$20,4,0)/8))+((P69*AE69)*(VLOOKUP("Finishing",Labour!$A$3:$E$20,4,0)/8)))</f>
        <v/>
      </c>
      <c r="R69" s="152" t="str">
        <f t="shared" si="4"/>
        <v/>
      </c>
      <c r="S69" s="156" t="str">
        <f>IF(OR(O69="",P69=""),"",IF(OR(ISERROR(FIND("carcass",$A69))=FALSE,ISERROR(FIND("unit",$A69))=FALSE),VLOOKUP(WardrobeCarcassMaterial,FixedListsCarcassMaterial,2,0),0))</f>
        <v/>
      </c>
      <c r="T69" s="156" t="str">
        <f>IF(OR(O69="",P69=""),"",IF(ISERROR(FIND("door",$A69))=FALSE,VLOOKUP(WardrobeDoorStyle,FixedListsDoorStyle,2,0),0))</f>
        <v/>
      </c>
      <c r="U69" s="156" t="str">
        <f>IF(OR(O69="",P69=""),"",IF(ISERROR(FIND("door",$A69))=FALSE,VLOOKUP(WardrobeDoorMaterial,FixedListsDoorMaterial,2,0),0))</f>
        <v/>
      </c>
      <c r="V69" s="156" t="str">
        <f>IF(OR(O69="",P69=""),"",IF(ISERROR(FIND("drawer",$A69))=FALSE,VLOOKUP(WardrobeDrawerType,FixedListsDrawerType,2,0),0))</f>
        <v/>
      </c>
      <c r="W69" s="156" t="str">
        <f>IF(OR(O69="",P69=""),"",IF(S69&gt;0,VLOOKUP(WardrobeHandleType,FixedListsHandleType,2,FALSE),0))</f>
        <v/>
      </c>
      <c r="X69" s="156" t="str">
        <f t="shared" si="5"/>
        <v/>
      </c>
      <c r="Y69" s="156" t="str">
        <f>IF(OR(O69="",P69=""),"",IF(OR(ISERROR(FIND("carcass",$A69))=FALSE,ISERROR(FIND("unit",$A69))=FALSE),VLOOKUP(WardrobeCarcassMaterial,FixedListsCarcassMaterial,3,0),0))</f>
        <v/>
      </c>
      <c r="Z69" s="156" t="str">
        <f>IF(OR(O69="",P69=""),"",IF(ISERROR(FIND("door",$A69))=FALSE,VLOOKUP(WardrobeDoorStyle,FixedListsDoorStyle,3,0),0))</f>
        <v/>
      </c>
      <c r="AA69" s="156" t="str">
        <f>IF(OR(O69="",P69=""),"",IF(ISERROR(FIND("door",$A69))=FALSE,VLOOKUP(WardrobeDoorMaterial,FixedListsDoorMaterial,3,0),0))</f>
        <v/>
      </c>
      <c r="AB69" s="156" t="str">
        <f>IF(OR(O69="",P69=""),"",IF(ISERROR(FIND("drawer",$A69))=FALSE,VLOOKUP(WardrobeDrawerType,FixedListsDrawerType,3,0),0))</f>
        <v/>
      </c>
      <c r="AC69" s="156" t="str">
        <f>IF(OR(O69="",P69=""),"",IF(S69&gt;0,VLOOKUP(WardrobeHandleType,FixedListsHandleType,3,FALSE),0))</f>
        <v/>
      </c>
      <c r="AD69" s="156" t="str">
        <f>IF(OR(O69="",P69=""),"",IF(OR(ISERROR(FIND("carcass",$A69))=FALSE,ISERROR(FIND("unit",$A69))=FALSE),VLOOKUP(WardrobeCarcassFinish,FixedListsFinishes,3,0),IF(OR(ISERROR(FIND("door",$A69))=FALSE,ISERROR(FIND("Plinth",$A69))=FALSE,ISERROR(FIND("Cornice",$A69))=FALSE,ISERROR(FIND("Fillers",$A69))=FALSE,ISERROR(FIND("Pelmet",$A69))=FALSE,ISERROR(FIND("panel",$A69))=FALSE,ISERROR(FIND("post",$A69))=FALSE),VLOOKUP(WardrobeDoorFinish,FixedListsFinishes,3,0),IF(OR(ISERROR(FIND("drawer",$A69))=FALSE,ISERROR(FIND("insert",$A69))=FALSE,ISERROR(FIND("rck",$A69))=FALSE),VLOOKUP(WardrobeCarcassFinish,FixedListsFinishes,3,0),0))))</f>
        <v/>
      </c>
      <c r="AE69" s="156" t="str">
        <f t="shared" si="6"/>
        <v/>
      </c>
      <c r="AF69" s="157" t="str">
        <f>IF(AND(WardrobeHandleType="Channel",OR(ISERROR(FIND("arcass",$A69))=FALSE,ISERROR(FIND("unit",$A69))=FALSE)),IF(ISERROR(FIND("Tower",$A69))=TRUE,IF(WardrobeHandleFinish="Match carcass",IF(ISERROR(FIND("Walnut",WardrobeCarcassMaterial))=FALSE,(0.035*0.075*($C69/1000))*VLOOKUP("Walnut (solid m3)",SolidData,4,FALSE),IF(ISERROR(FIND("Oak",WardrobeCarcassMaterial))=FALSE,(0.035*0.075*($C69/1000))*VLOOKUP("Oak (solid m3)",SolidData,4,FALSE),IF(ISERROR(FIND("ply",WardrobeCarcassMaterial))=FALSE,(0.1*($C69/1000))*VLOOKUP("Birch ply (24mm)",SheetsData,7,FALSE),IF(ISERROR(FIND("H/F",WardrobeCarcassMaterial))=FALSE,(0.1*($C69/1000))*VLOOKUP("H/F (22mm)",SheetsData,7,FALSE),"Carcass - not tower - new material")))),IF(WardrobeHandleFinish="Match door",IF(ISERROR(FIND("Walnut",WardrobeDoorMaterial))=FALSE,(0.035*0.075*($C69/1000))*VLOOKUP("Walnut (solid m3)",SolidData,4,FALSE),IF(ISERROR(FIND("Oak",WardrobeDoorMaterial))=FALSE,(0.035*0.075*($C69/1000))*VLOOKUP("Oak (solid m3)",SolidData,4,FALSE),IF(ISERROR(FIND("ply",WardrobeDoorMaterial))=FALSE,(0.1*($C69/1000))*VLOOKUP("Birch ply (24mm)",SheetsData,7,FALSE),IF(ISERROR(FIND("H/F",WardrobeCarcassMaterial))=FALSE,(0.1*($C69/1000))*VLOOKUP("H/F (22mm)",SheetsData,7,FALSE),"Door - not tower - new material")))),"Channel - not tower - handle set to other")),IF(ISERROR(FIND("Tower",$A69))=FALSE,IF(WardrobeHandleFinish="Match carcass",IF(ISERROR(FIND("Walnut",WardrobeCarcassMaterial))=FALSE,(0.035*0.075*($B69/1000))*VLOOKUP("Walnut (solid m3)",SolidData,4,FALSE),IF(ISERROR(FIND("Oak",WardrobeCarcassMaterial))=FALSE,(0.035*0.075*($B69/1000))*VLOOKUP("Oak (solid m3)",SolidData,4,FALSE),IF(ISERROR(FIND("ply",WardrobeCarcassMaterial))=FALSE,(0.1*($B69/1000))*VLOOKUP("Birch ply (24mm)",SheetsData,7,FALSE),IF(ISERROR(FIND("H/F",WardrobeCarcassMaterial))=FALSE,(0.1*($C69/1000))*VLOOKUP("H/F (22mm)",SheetsData,7,FALSE),"Carcass - tower - new material")))),IF(WardrobeHandleFinish="Match door",IF(ISERROR(FIND("Walnut",WardrobeDoorMaterial))=FALSE,(0.035*0.075*($B69/1000))*VLOOKUP("Walnut (solid m3)",SolidData,4,FALSE),IF(ISERROR(FIND("Oak",WardrobeDoorMaterial))=FALSE,(0.035*0.075*($B69/1000))*VLOOKUP("Oak (solid m3)",SolidData,4,FALSE),IF(ISERROR(FIND("ply",WardrobeDoorMaterial))=FALSE,(0.1*($B69/1000))*VLOOKUP("Birch ply (24mm)",SheetData,7,FALSE),IF(ISERROR(FIND("H/F",WardrobeCarcassMaterial))=FALSE,(0.1*($C69/1000))*VLOOKUP("H/F (22mm)",SheetsData,7,FALSE),"Door - tower - new material")))),"Channel - tower - handle set to other")))),"")</f>
        <v/>
      </c>
    </row>
    <row r="70">
      <c r="A70" s="150"/>
      <c r="B70" s="160" t="str">
        <f t="shared" si="1"/>
        <v/>
      </c>
      <c r="C70" s="160" t="str">
        <f>IFERROR(__xludf.DUMMYFUNCTION("IF(A70="""","""",IF(ISERROR(FIND(""arcass"",A70))=FALSE,MID(A70,FIND(""*"",A70)+1,FIND(""*"",A70,FIND(""*"",A70)+1)-FIND(""*"",A70)-1),IF(ISERROR(FIND(""End panel"",A70))=FALSE,RIGHT(A70,3),IF(OR(ISERROR(FIND(""drawer"",A70))=FALSE,ISERROR(FIND(""door"",A"&amp;"70))=FALSE,ISERROR(FIND(""shelf"",A70))=FALSE,ISERROR(FIND(""panel"",A70))=FALSE,ISERROR(FIND(""Plinth"",A70))=FALSE,ISERROR(FIND(""Cornice"",A70))=FALSE,ISERROR(FIND(""Fillers"",A70))=FALSE,ISERROR(FIND(""Pelmet"",A70))=FALSE,ISERROR(FIND(""Fireplace up "&amp;"to 1600"",A70))=FALSE),RIGHT(A70,LEN(A70)-LEN(regexextract(A70,"".* ""))),IF(ISERROR(FIND(""table"",A70))=FALSE,""560"",IF(ISERROR(FIND(""Office pod"",A70))=FALSE,""1600"",IF(ISERROR(FIND(""Fireplace over 1600"",A70))=FALSE,""2400"",IF(ISERROR(FIND(""Work"&amp;"top"",A70))=FALSE,""650"",""Whoops""))))))))"),"")</f>
        <v/>
      </c>
      <c r="D70" s="161" t="str">
        <f t="shared" si="2"/>
        <v/>
      </c>
      <c r="E70" s="152" t="str">
        <f>IF(OR(A70="",AND(ISERROR(FIND("drawer",A70))=FALSE,WardrobeDrawerType="")),"",IF(ISERROR(FIND("door",A70))=FALSE,IF(WardrobeDoorStyle="Flat",((B70/1000)*(C70/1000))*VLOOKUP(WardrobeDoorMaterial,SheetsData,8,0),IF(LEFT(WardrobeDoorStyle,5)="Panel",(((((B70/1000)*2)*0.08)+((((C70/1000)-0.16)*2)*0.08))*VLOOKUP("H/F (22mm)",SheetsData,8,0))+(((B70/1000)-0.14)*((C70/1000)-0.14)*VLOOKUP("H/F (9mm)",SheetsData,8,0)),IF(WardrobeDoorStyle="In-frame flat",((((((B70/1000)*0.019)*0.038)+((((C70-38)/1000)*0.038)*0.038))*2)*VLOOKUP("Tulip (solid m3)",SolidData,4,0))+(((B70-76)/1000)*((C70-38)/1000))*VLOOKUP("H/F (22mm)",SheetsData,8,0),IF(LEFT(WardrobeDoorStyle,14)="In-frame panel",(((((((B70/1000)*0.019)*0.038)+((((C70-38)/1000)*0.038)*0.038))*2)*VLOOKUP("Tulip (solid m3)",SolidData,4,0))+(((((((B70-76)/1000)*2)*0.08)+(((((C70-198)/1000)*2)*0.08)))*VLOOKUP("H/F (22mm)",SheetsData,8,0))+(((B70-216)/1000)*((C70-178)/1000)*VLOOKUP("H/F (9mm)",SheetsData,8,0)))))))),IF(AND(ISERROR(FIND("arcass",A70))=FALSE,ISERROR(FIND("ost corner",A70))=TRUE),IF(AND(VALUE(B70)&lt;1211,VALUE(C70)&lt;1211,VALUE(D70)&lt;606),1*VLOOKUP(WardrobeCarcassMaterial,SheetsData,5,FALSE),IF(AND(VALUE(B70)&lt;2421,VALUE(C70)&lt;2421,VALUE(D70)&lt;606),2*VLOOKUP(WardrobeCarcassMaterial,SheetsData,5,FALSE),IF(AND(VALUE(B70)&lt;2421,VALUE(C70)&lt;1211,VALUE(D70)&lt;1211),3*VLOOKUP(WardrobeCarcassMaterial,SheetsData,5,FALSE),IF(AND(VALUE(B70)&lt;2421,VALUE(C70)&lt;2421,VALUE(D70)&lt;1211),4*VLOOKUP(WardrobeCarcassMaterial,SheetsData,5,FALSE))))),IF(AND(ISERROR(FIND("arcass",A70))=FALSE,ISERROR(FIND("ost corner",A70))=FALSE),IF(AND(VALUE(B70)&lt;1211,VALUE(C70)&lt;1211,VALUE(D70)&lt;606),(1*VLOOKUP(WardrobeCarcassMaterial,SheetsData,5,FALSE))+(VLOOKUP("H/F (22mm)",SheetsData,7,FALSE)*1.44),IF(AND(VALUE(B70)&lt;2421,VALUE(C70)&lt;2421,VALUE(D70)&lt;606),(2*VLOOKUP(WardrobeCarcassMaterial,SheetsData,5,FALSE))+(VLOOKUP("H/F (22mm)",SheetsData,7,FALSE)*1.44),IF(AND(VALUE(B70)&lt;2421,VALUE(C70)&lt;1211,VALUE(D70)&lt;1211),(3*VLOOKUP(WardrobeCarcassMaterial,SheetsData,5,FALSE))+(VLOOKUP("H/F (22mm)",SheetsData,7,FALSE)*1.44),IF(AND(VALUE(B70)&lt;2421,VALUE(C70)&lt;2421,VALUE(D70)&lt;1211),(4*VLOOKUP(WardrobeCarcassMaterial,SheetsData,5,FALSE))+(VLOOKUP("H/F (22mm)",SheetsData,7,FALSE)*1.44))))),IF(ISERROR(FIND("drawer front",A70))=FALSE,((B70/1000)*(C70/1000))*VLOOKUP(WardrobeDoorMaterial,SheetsData,8,0),IF(AND(WardrobeDrawerType="Match carcass",ISERROR(FIND("drawer box",A70))=FALSE),(((((B70/1000)*(C70/1000))+((B70/1000)*(D70/1000)))*2)*VLOOKUP(WardrobeCarcassMaterial,SheetsData,8,0))+(((C70/1000)*(D70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box",A70))=FALSE),(((((B70/1000)*(C70/1000))+((B70/1000)*(D70/1000)))*2)*(16/1000)*VLOOKUP(LEFT(WardrobeCarcassMaterial,FIND(" ",WardrobeCarcassMaterial))&amp;"(solid m3)",SolidData,4,0))+(((C70/1000)*(D70/1000))*VLOOKUP(LEFT(WardrobeCarcassMaterial,FIND("(",WardrobeCarcassMaterial)-1)&amp;IF(OR(ISERROR(FIND("ply",WardrobeCarcassMaterial))=FALSE,ISERROR(FIND("H/F",WardrobeCarcassMaterial))=FALSE),"(9mm)","(10mm)"),SheetsData,8,0)),IF(ISERROR(FIND("shelf",A70))=FALSE,((C70/1000)*(D70/1000))*VLOOKUP(WardrobeCarcassMaterial,SheetsData,7,FALSE),IF(ISERROR(FIND("Office pod",A70))=FALSE,3*VLOOKUP(WardrobeCarcassMaterial,SheetsData,5,0),IF(ISERROR(FIND(" panel",A70))=FALSE,((B70/1000)*(C70/1000))*VLOOKUP(WardrobeDoorMaterial,SheetsData,8,0),IF(ISERROR(FIND("Fillers",A70))=FALSE,(((0.06*(C70/1000))*2)*VLOOKUP("H/F (18mm)",SheetsData,8,0))+(((0.06*(C70/1000))*2)*VLOOKUP("H/F (9mm)",SheetsData,8,0)),IF(ISERROR(FIND("Cornice (stacked)",A70))=FALSE,((0.08*(C70/1000))*2)*VLOOKUP("H/F (22mm)",SheetsData,8,0),IF(OR(ISERROR(FIND("Plinth",A70))=FALSE,ISERROR(FIND("Cornice (flat)",A70))=FALSE),((B70/1000)*(C70/1000))*VLOOKUP("H/F (18mm)",SheetsData,8,0),IF(ISERROR(FIND("Pelmet",A70))=FALSE,((((B70/1000)*(C70/1000))*2)*VLOOKUP("H/F (18mm)",SheetsData,8,0)),IF(ISERROR(FIND("Fireplace",A70))=FALSE,IF(ISERROR(FIND("over 1600",A70))=FALSE,2*VLOOKUP(WardrobeCarcassMaterial,SheetsData,5,FALSE),VLOOKUP(WardrobeCarcassMaterial,SheetsData,5,FALSE)),IF(ISERROR(FIND("table",A70))=FALSE,((B70/1000)*0.6)*VLOOKUP("Birch ply (24mm)",SheetsData,7,FALSE),IF(ISERROR(FIND("Worktop",A70))=FALSE,((B70/1000)*(C70/1000))*VLOOKUP(WardrobeDoorMaterial,SheetsData,7,FALSE),"Check formula")))))))))))))))))</f>
        <v/>
      </c>
      <c r="F70" s="152" t="str">
        <f>IFERROR(__xludf.DUMMYFUNCTION("IF(OR(A70="""",AND(ISERROR(FIND(""drawer box"",A70))=FALSE,WardrobeDrawerType=""Solid dovetail"")),"""",IF(ISERROR(FIND(""bins"",A70))=FALSE,VLOOKUP(""Base carcass 600"",Wardrobes_etcData,6,0),IF(OR(ISERROR(FIND(""larder"",A70))=FALSE,ISERROR(FIND(""unit"&amp;""",A70))=FALSE),VLOOKUP(LEFT(A70,FIND("" "",A70))&amp;""carcass ""&amp;RIGHT(A70,LEN(A70)-len(regexextract(A70,"".* ""))),Wardrobes_etcData,6,0),IF(ISERROR(FIND(""drawer front"",A70))=FALSE,IF(ISERROR(FIND(""veneer"",WardrobeCarcassMaterial))=TRUE,0,(((B70+C70)/1"&amp;"000)*2)*VLOOKUP(""Edge banding (per M)"",SheetsData,5,0)),IF(ISERROR(FIND(""drawer box"",A70))=FALSE,IF(ISERROR(FIND(""veneer"",WardrobeCarcassMaterial))=TRUE,0,(((C70+D70)/1000)*2)*VLOOKUP(""Edge banding (per M)"",SheetsData,5,0)),IF(ISERROR(FIND(""shelf"&amp;""",A70))=FALSE,IF(ISERROR(FIND(""veneer"",WardrobeCarcassMaterial))=TRUE,0,(C70/1000)*VLOOKUP(""Edge banding (per M)"",SheetsData,5,0)),IF(AND(OR(ISERROR(FIND(""arcass"",A70))=FALSE,ISERROR(FIND(""Fireplace"",A70))=FALSE),ISERROR(FIND(""shelf"",A70))=TRUE"&amp;"),IF(ISERROR(FIND(""veneer"",WardrobeCarcassMaterial))=TRUE,0,((2*(B70+C70))/1000)*VLOOKUP(""Edge banding (per M)"",SheetsData,5,0)),IF(ISERROR(FIND(""door"",A70))=TRUE,"""",IF(ISERROR(FIND(""veneer"",WardrobeDoorMaterial))=TRUE,"""",((2*(B70+C70))/1000)*"&amp;"VLOOKUP(""Edge banding (per M)"",SheetsData,5,0))))))))))"),"")</f>
        <v/>
      </c>
      <c r="G70" s="153" t="str">
        <f>IF(A70="","",IF(AND(ISERROR(FIND("arcass",A70))=TRUE,ISERROR(FIND("Fireplace",A70))=TRUE),"",IF(VALUE(C70)&lt;606,4*VLOOKUP("Plinth foot (2 Parts 80mm)",FurnitureData,5,FALSE),IF(VALUE(C70)&lt;1211,6*VLOOKUP("Plinth foot (2 Parts 80mm)",FurnitureData,5,FALSE),8*VLOOKUP("Plinth foot (2 Parts 80mm)",FurnitureData,5,FALSE)))))</f>
        <v/>
      </c>
      <c r="H70" s="115" t="str">
        <f>IF(OR(A70="",ISERROR(FIND("door",A70))=TRUE),"",VLOOKUP("Hinges &amp; plates (Hettich thick door)",FurnitureData,5,0)*5)</f>
        <v/>
      </c>
      <c r="I70" s="115" t="str">
        <f>IF(ISERROR(FIND("shelf",A70))=FALSE,(VLOOKUP("Shelf pegs",FurnitureData,5,0)/100)*4,"")</f>
        <v/>
      </c>
      <c r="J70" s="152" t="str">
        <f>IF(OR(ISERROR(FIND("fridge/freezer",A70))=FALSE,ISERROR(FIND("sink",A70))=FALSE,ISERROR(FIND("larder",A70))=FALSE),VLOOKUP("Deep shelf "&amp;C70,Wardrobes_etcData,18,0),IF(OR(ISERROR(FIND("single oven",A70))=FALSE,ISERROR(FIND("Base carcass",A70))=FALSE),2*VLOOKUP("Deep shelf "&amp;C70,Wardrobes_etcData,18,0),IF(AND(ISERROR(FIND("wall carcass",A70))=FALSE,ISERROR(FIND("Boiler",A70))=TRUE),2*VLOOKUP("Shallow shelf "&amp;C70,Wardrobes_etcData,18,0),IF(ISERROR(FIND("double oven",A70))=FALSE,3*VLOOKUP("Deep shelf "&amp;C70,Wardrobes_etcData,18,0),IF(ISERROR(FIND("Tower carcass",A70))=FALSE,6*VLOOKUP("Deep shelf "&amp;C70,Wardrobes_etcData,18,0),"")))))</f>
        <v/>
      </c>
      <c r="K70" s="152" t="str">
        <f>IF(ISERROR(FIND("sink",A70))=FALSE,VLOOKUP("Sink liner - Aluminium "&amp;RIGHT(A70,LEN(A70)-22)&amp;"mm",ExceptionalData,5,0),IF(ISERROR(FIND("bins",A70))=FALSE,VLOOKUP("Drawer runners and clip set for bin unit (500) Dynapro",FurnitureData,5,0)+(2*VLOOKUP("Bin (42L Anthracite)",FurnitureData,5,0)),IF(ISERROR(FIND("larder",A70))=FALSE,VLOOKUP("Pull out larder unit 600mm",FurnitureData,5,0),IF(AND(ISERROR(FIND("drawer box",A70))=FALSE,ISERROR(FIND("internal",A70))=TRUE),VLOOKUP("Drawer runners and clip set (550) Dynapro",FurnitureData,5,0),IF(ISERROR(FIND("internal drawer box",A70))=FALSE,VLOOKUP("Drawer runners and clip set (450) Dynapro",FurnitureData,5,0),IF(ISERROR(FIND("table",A70))=FALSE,VLOOKUP("Hairpin Leg (12mm Black "&amp;MID(A70,FIND("(",A70)+1,LEN(A70)-(FIND("(",A70))-1)&amp;"mm)",ExceptionalData,4,FALSE),""))))))</f>
        <v/>
      </c>
      <c r="L70" s="152" t="str">
        <f t="shared" si="3"/>
        <v/>
      </c>
      <c r="M70" s="154" t="str">
        <f>IF(A70="","",IF(AND(ISERROR(FIND("drawer front",A70))=FALSE,WardrobeDoorStyle="Flat"),(((B70/1000)*(C70/1000))*2)+((((B70+C70)/1000)*2)*0.022),IF(AND(ISERROR(FIND("drawer front",A70))=FALSE,LEFT(WardrobeDoorStyle,5)="Panel"),(((B70/1000)*(C70/1000))*2)+((((B70+C70)/1000)*2)*0.022)+((((C70/1000)-0.16)*0.013)*2)+((((D70/1000)-0.16)*0.013)*2),IF(AND(ISERROR(FIND("drawer front",A70))=FALSE,WardrobeDoorStyle="In-frame flat"),((((B70-76)/1000)*((C70-38)/1000))*2)+(MID(WardrobeDoorMaterial,FIND("(",WardrobeDoorMaterial)+1,2)/1000)*((((B70-76)+(C70-38))/1000)*2)+(((B70/1000)*0.032)*2)+((((B70-76)/1000)*0.032)*2)+(((B70/1000)*0.019)*4)+(((C70/1000)*0.032)*2)+((((C70-38)/1000)*0.032)*2)+(((C70/1000)*0.038)*4),IF(AND(ISERROR(FIND("drawer front",A70))=FALSE,LEFT(WardrobeDoorStyle,14)="In-frame panel"),((((B70-76)/1000)*((C70-38)/1000))*2)+((MID(WardrobeDoorMaterial,FIND("(",WardrobeDoorMaterial)+1,2)/1000)*((((B70-76)+(C70-38))/1000)*2))+((((B70-236)/1000)+((C70-198)/1000)*2)*0.013)+(((B70/1000)*0.032)*2)+((((B70-76)/1000)*0.032)*2)+(((B70/1000)*0.019)*4)+(((C70/1000)*0.032)*2)+((((C70-38)/1000)*0.032)*2)+(((C70/1000)*0.038)*4),IF(ISERROR(FIND("drawer box",A70))=FALSE,((((B70/1000)*(D70/1000))+((B70/1000)*(C70/1000)))*4)+((((D70/1000)+(C70/1000))*0.016)*4)+(((C70/1000)*(D70/1000))*2),IF(OR(ISERROR(FIND("shelf",A70))=FALSE,ISERROR(FIND("Filler panel",A70))=FALSE),(((C70/1000)*(D70/1000))*2)+((((C70+D70)*2)/1000)*0.022),IF(ISERROR(FIND("Fireplace",A70))=FALSE,((B70/1000)*(C70/1000)),IF(ISERROR(FIND("Worktop",A70))=FALSE,(B70/1000)*(C70/1000),IF(ISERROR(FIND("table",A70))=FALSE,(B70/1000)*0.6,IF(ISERROR(FIND("arcass",A70))=FALSE,(((C70/1000)*(D70/1000))*2)+(((B70/1000)*(D70/1000))*2)+((B70/1000)*(C70/1000))+((((B70/1000)*0.025)+((C70/1000)*0.025))*2),IF(AND(ISERROR(FIND("door",A70))=FALSE,WardrobeDoorStyle="Flat"),(((B70/1000)*(C70/1000))*2)+(MID(WardrobeDoorMaterial,FIND("(",WardrobeDoorMaterial)+1,2)/1000)*(((B70+C70)/1000)*2),IF(AND(ISERROR(FIND("door",A70))=FALSE,LEFT(WardrobeDoorStyle,5)="Panel"),(((B70/1000)*(C70/1000))*2)+((MID(WardrobeDoorMaterial,FIND("(",WardrobeDoorMaterial)+1,2)/1000)*(((B70+C70)/1000)*2))+(((((B70-160)+(C70-160))*2)/1000)*(0.013)),IF(AND(ISERROR(FIND("door",A70))=FALSE,WardrobeDoorStyle="In-frame flat"),((((B70-76)/1000)*((C70-38)/1000))*2)+(MID(WardrobeDoorMaterial,FIND("(",WardrobeDoorMaterial)+1,2)/1000)*((((B70-76)+(C70-38))/1000)*2)+(((B70/1000)*0.032)*2)+((((B70-76)/1000)*0.032)*2)+(((B70/1000)*0.019)*4)+(((C70/1000)*0.032)*2)+((((C70-38)/1000)*0.032)*2)+(((C70/1000)*0.038)*4),IF(AND(ISERROR(FIND("door",A70))=FALSE,LEFT(WardrobeDoorStyle,14)="In-frame panel"),((((B70-76)/1000)*((C70-38)/1000))*2)+((MID(WardrobeDoorMaterial,FIND("(",WardrobeDoorMaterial)+1,2)/1000)*((((B70-76)+(C70-38))/1000)*2))+((((B70-236)/1000)+((C70-198)/1000)*2)*0.013)+(((B70/1000)*0.032)*2)+((((B70-76)/1000)*0.032)*2)+(((B70/1000)*0.019)*4)+(((C70/1000)*0.032)*2)+((((C70-38)/1000)*0.032)*2)+(((C70/1000)*0.038)*4),IF(ISERROR(FIND("Plinth",A70))=FALSE,((B70/1000)*(C70/1000))+(((C70/1000)*0.018)*2)+(((B70/1000)*0.018)*2),IF(ISERROR(FIND("Cornice",A70))=FALSE,(((C70/1000)*0.1)*2)+(((C70/1000)*0.044)*2)+(((B70/1000)*0.08)*2),IF(ISERROR(FIND("Office pod",A70))=FALSE,((2400/1000)*(1200/1000))*6,IF(ISERROR(FIND("panel",A70))=FALSE,((B70/1000)*(C70/1000))+(0.022*((B70/1000)+((C70/1000)*2)))+((B70/1000)*0.05),IF(ISERROR(FIND("Fillers",A70))=FALSE,((C70/1000)*0.06)+((C70/1000)*0.069)+((0.06*0.018)*2)+((0.06*0.009)*2)+((C70/1000)*0.009)+((C70/1000)*0.018),IF(ISERROR(FIND("Pelmet",A70))=FALSE,((C70/1000)*0.05)+((C70/1000)*0.068)+((0.05*0.018)*4)+(((C70/1000)*0.018))*2)))))))))))))))))))))</f>
        <v/>
      </c>
      <c r="N70" s="152" t="str">
        <f>IF(M70="","",IF(AND(ISERROR(FIND("carcass",A70))=TRUE,ISERROR(FIND("unit",A70))=TRUE,ISERROR(FIND("insert",A70))=TRUE,ISERROR(FIND("rack",A70))=TRUE,ISERROR(FIND("box",A70))=TRUE,ISERROR(FIND("shelf",A70))=TRUE),VLOOKUP(WardrobeDoorFinish,Finishing!$A$2:$K$10,9,0)*M70,IF(ISERROR(FIND("table",A70))=FALSE,VLOOKUP("Sayerlack AF0072 Interior Clear Self-Sealer",FinishingData,9,FALSE)*M70,VLOOKUP(WardrobeCarcassFinish,Finishing!$A$2:$K$40,9,0)*M70)))</f>
        <v/>
      </c>
      <c r="O70" s="159"/>
      <c r="P70" s="159"/>
      <c r="Q70" s="152" t="str">
        <f>IF(OR(O70="",P70=""),"",((O70*X70)*(VLOOKUP("Workshop",Labour!$A$3:$E$20,4,0)/8))+((P70*AE70)*(VLOOKUP("Finishing",Labour!$A$3:$E$20,4,0)/8)))</f>
        <v/>
      </c>
      <c r="R70" s="152" t="str">
        <f t="shared" si="4"/>
        <v/>
      </c>
      <c r="S70" s="156" t="str">
        <f>IF(OR(O70="",P70=""),"",IF(OR(ISERROR(FIND("carcass",$A70))=FALSE,ISERROR(FIND("unit",$A70))=FALSE),VLOOKUP(WardrobeCarcassMaterial,FixedListsCarcassMaterial,2,0),0))</f>
        <v/>
      </c>
      <c r="T70" s="156" t="str">
        <f>IF(OR(O70="",P70=""),"",IF(ISERROR(FIND("door",$A70))=FALSE,VLOOKUP(WardrobeDoorStyle,FixedListsDoorStyle,2,0),0))</f>
        <v/>
      </c>
      <c r="U70" s="156" t="str">
        <f>IF(OR(O70="",P70=""),"",IF(ISERROR(FIND("door",$A70))=FALSE,VLOOKUP(WardrobeDoorMaterial,FixedListsDoorMaterial,2,0),0))</f>
        <v/>
      </c>
      <c r="V70" s="156" t="str">
        <f>IF(OR(O70="",P70=""),"",IF(ISERROR(FIND("drawer",$A70))=FALSE,VLOOKUP(WardrobeDrawerType,FixedListsDrawerType,2,0),0))</f>
        <v/>
      </c>
      <c r="W70" s="156" t="str">
        <f>IF(OR(O70="",P70=""),"",IF(S70&gt;0,VLOOKUP(WardrobeHandleType,FixedListsHandleType,2,FALSE),0))</f>
        <v/>
      </c>
      <c r="X70" s="156" t="str">
        <f t="shared" si="5"/>
        <v/>
      </c>
      <c r="Y70" s="156" t="str">
        <f>IF(OR(O70="",P70=""),"",IF(OR(ISERROR(FIND("carcass",$A70))=FALSE,ISERROR(FIND("unit",$A70))=FALSE),VLOOKUP(WardrobeCarcassMaterial,FixedListsCarcassMaterial,3,0),0))</f>
        <v/>
      </c>
      <c r="Z70" s="156" t="str">
        <f>IF(OR(O70="",P70=""),"",IF(ISERROR(FIND("door",$A70))=FALSE,VLOOKUP(WardrobeDoorStyle,FixedListsDoorStyle,3,0),0))</f>
        <v/>
      </c>
      <c r="AA70" s="156" t="str">
        <f>IF(OR(O70="",P70=""),"",IF(ISERROR(FIND("door",$A70))=FALSE,VLOOKUP(WardrobeDoorMaterial,FixedListsDoorMaterial,3,0),0))</f>
        <v/>
      </c>
      <c r="AB70" s="156" t="str">
        <f>IF(OR(O70="",P70=""),"",IF(ISERROR(FIND("drawer",$A70))=FALSE,VLOOKUP(WardrobeDrawerType,FixedListsDrawerType,3,0),0))</f>
        <v/>
      </c>
      <c r="AC70" s="156" t="str">
        <f>IF(OR(O70="",P70=""),"",IF(S70&gt;0,VLOOKUP(WardrobeHandleType,FixedListsHandleType,3,FALSE),0))</f>
        <v/>
      </c>
      <c r="AD70" s="156" t="str">
        <f>IF(OR(O70="",P70=""),"",IF(OR(ISERROR(FIND("carcass",$A70))=FALSE,ISERROR(FIND("unit",$A70))=FALSE),VLOOKUP(WardrobeCarcassFinish,FixedListsFinishes,3,0),IF(OR(ISERROR(FIND("door",$A70))=FALSE,ISERROR(FIND("Plinth",$A70))=FALSE,ISERROR(FIND("Cornice",$A70))=FALSE,ISERROR(FIND("Fillers",$A70))=FALSE,ISERROR(FIND("Pelmet",$A70))=FALSE,ISERROR(FIND("panel",$A70))=FALSE,ISERROR(FIND("post",$A70))=FALSE),VLOOKUP(WardrobeDoorFinish,FixedListsFinishes,3,0),IF(OR(ISERROR(FIND("drawer",$A70))=FALSE,ISERROR(FIND("insert",$A70))=FALSE,ISERROR(FIND("rck",$A70))=FALSE),VLOOKUP(WardrobeCarcassFinish,FixedListsFinishes,3,0),0))))</f>
        <v/>
      </c>
      <c r="AE70" s="156" t="str">
        <f t="shared" si="6"/>
        <v/>
      </c>
      <c r="AF70" s="157" t="str">
        <f>IF(AND(WardrobeHandleType="Channel",OR(ISERROR(FIND("arcass",$A70))=FALSE,ISERROR(FIND("unit",$A70))=FALSE)),IF(ISERROR(FIND("Tower",$A70))=TRUE,IF(WardrobeHandleFinish="Match carcass",IF(ISERROR(FIND("Walnut",WardrobeCarcassMaterial))=FALSE,(0.035*0.075*($C70/1000))*VLOOKUP("Walnut (solid m3)",SolidData,4,FALSE),IF(ISERROR(FIND("Oak",WardrobeCarcassMaterial))=FALSE,(0.035*0.075*($C70/1000))*VLOOKUP("Oak (solid m3)",SolidData,4,FALSE),IF(ISERROR(FIND("ply",WardrobeCarcassMaterial))=FALSE,(0.1*($C70/1000))*VLOOKUP("Birch ply (24mm)",SheetsData,7,FALSE),IF(ISERROR(FIND("H/F",WardrobeCarcassMaterial))=FALSE,(0.1*($C70/1000))*VLOOKUP("H/F (22mm)",SheetsData,7,FALSE),"Carcass - not tower - new material")))),IF(WardrobeHandleFinish="Match door",IF(ISERROR(FIND("Walnut",WardrobeDoorMaterial))=FALSE,(0.035*0.075*($C70/1000))*VLOOKUP("Walnut (solid m3)",SolidData,4,FALSE),IF(ISERROR(FIND("Oak",WardrobeDoorMaterial))=FALSE,(0.035*0.075*($C70/1000))*VLOOKUP("Oak (solid m3)",SolidData,4,FALSE),IF(ISERROR(FIND("ply",WardrobeDoorMaterial))=FALSE,(0.1*($C70/1000))*VLOOKUP("Birch ply (24mm)",SheetsData,7,FALSE),IF(ISERROR(FIND("H/F",WardrobeCarcassMaterial))=FALSE,(0.1*($C70/1000))*VLOOKUP("H/F (22mm)",SheetsData,7,FALSE),"Door - not tower - new material")))),"Channel - not tower - handle set to other")),IF(ISERROR(FIND("Tower",$A70))=FALSE,IF(WardrobeHandleFinish="Match carcass",IF(ISERROR(FIND("Walnut",WardrobeCarcassMaterial))=FALSE,(0.035*0.075*($B70/1000))*VLOOKUP("Walnut (solid m3)",SolidData,4,FALSE),IF(ISERROR(FIND("Oak",WardrobeCarcassMaterial))=FALSE,(0.035*0.075*($B70/1000))*VLOOKUP("Oak (solid m3)",SolidData,4,FALSE),IF(ISERROR(FIND("ply",WardrobeCarcassMaterial))=FALSE,(0.1*($B70/1000))*VLOOKUP("Birch ply (24mm)",SheetsData,7,FALSE),IF(ISERROR(FIND("H/F",WardrobeCarcassMaterial))=FALSE,(0.1*($C70/1000))*VLOOKUP("H/F (22mm)",SheetsData,7,FALSE),"Carcass - tower - new material")))),IF(WardrobeHandleFinish="Match door",IF(ISERROR(FIND("Walnut",WardrobeDoorMaterial))=FALSE,(0.035*0.075*($B70/1000))*VLOOKUP("Walnut (solid m3)",SolidData,4,FALSE),IF(ISERROR(FIND("Oak",WardrobeDoorMaterial))=FALSE,(0.035*0.075*($B70/1000))*VLOOKUP("Oak (solid m3)",SolidData,4,FALSE),IF(ISERROR(FIND("ply",WardrobeDoorMaterial))=FALSE,(0.1*($B70/1000))*VLOOKUP("Birch ply (24mm)",SheetData,7,FALSE),IF(ISERROR(FIND("H/F",WardrobeCarcassMaterial))=FALSE,(0.1*($C70/1000))*VLOOKUP("H/F (22mm)",SheetsData,7,FALSE),"Door - tower - new material")))),"Channel - tower - handle set to other")))),"")</f>
        <v/>
      </c>
    </row>
    <row r="71">
      <c r="A71" s="158"/>
      <c r="B71" s="160" t="str">
        <f t="shared" si="1"/>
        <v/>
      </c>
      <c r="C71" s="160" t="str">
        <f>IFERROR(__xludf.DUMMYFUNCTION("IF(A71="""","""",IF(ISERROR(FIND(""arcass"",A71))=FALSE,MID(A71,FIND(""*"",A71)+1,FIND(""*"",A71,FIND(""*"",A71)+1)-FIND(""*"",A71)-1),IF(ISERROR(FIND(""End panel"",A71))=FALSE,RIGHT(A71,3),IF(OR(ISERROR(FIND(""drawer"",A71))=FALSE,ISERROR(FIND(""door"",A"&amp;"71))=FALSE,ISERROR(FIND(""shelf"",A71))=FALSE,ISERROR(FIND(""panel"",A71))=FALSE,ISERROR(FIND(""Plinth"",A71))=FALSE,ISERROR(FIND(""Cornice"",A71))=FALSE,ISERROR(FIND(""Fillers"",A71))=FALSE,ISERROR(FIND(""Pelmet"",A71))=FALSE,ISERROR(FIND(""Fireplace up "&amp;"to 1600"",A71))=FALSE),RIGHT(A71,LEN(A71)-LEN(regexextract(A71,"".* ""))),IF(ISERROR(FIND(""table"",A71))=FALSE,""560"",IF(ISERROR(FIND(""Office pod"",A71))=FALSE,""1600"",IF(ISERROR(FIND(""Fireplace over 1600"",A71))=FALSE,""2400"",IF(ISERROR(FIND(""Work"&amp;"top"",A71))=FALSE,""650"",""Whoops""))))))))"),"")</f>
        <v/>
      </c>
      <c r="D71" s="161" t="str">
        <f t="shared" si="2"/>
        <v/>
      </c>
      <c r="E71" s="152" t="str">
        <f>IF(OR(A71="",AND(ISERROR(FIND("drawer",A71))=FALSE,WardrobeDrawerType="")),"",IF(ISERROR(FIND("door",A71))=FALSE,IF(WardrobeDoorStyle="Flat",((B71/1000)*(C71/1000))*VLOOKUP(WardrobeDoorMaterial,SheetsData,8,0),IF(LEFT(WardrobeDoorStyle,5)="Panel",(((((B71/1000)*2)*0.08)+((((C71/1000)-0.16)*2)*0.08))*VLOOKUP("H/F (22mm)",SheetsData,8,0))+(((B71/1000)-0.14)*((C71/1000)-0.14)*VLOOKUP("H/F (9mm)",SheetsData,8,0)),IF(WardrobeDoorStyle="In-frame flat",((((((B71/1000)*0.019)*0.038)+((((C71-38)/1000)*0.038)*0.038))*2)*VLOOKUP("Tulip (solid m3)",SolidData,4,0))+(((B71-76)/1000)*((C71-38)/1000))*VLOOKUP("H/F (22mm)",SheetsData,8,0),IF(LEFT(WardrobeDoorStyle,14)="In-frame panel",(((((((B71/1000)*0.019)*0.038)+((((C71-38)/1000)*0.038)*0.038))*2)*VLOOKUP("Tulip (solid m3)",SolidData,4,0))+(((((((B71-76)/1000)*2)*0.08)+(((((C71-198)/1000)*2)*0.08)))*VLOOKUP("H/F (22mm)",SheetsData,8,0))+(((B71-216)/1000)*((C71-178)/1000)*VLOOKUP("H/F (9mm)",SheetsData,8,0)))))))),IF(AND(ISERROR(FIND("arcass",A71))=FALSE,ISERROR(FIND("ost corner",A71))=TRUE),IF(AND(VALUE(B71)&lt;1211,VALUE(C71)&lt;1211,VALUE(D71)&lt;606),1*VLOOKUP(WardrobeCarcassMaterial,SheetsData,5,FALSE),IF(AND(VALUE(B71)&lt;2421,VALUE(C71)&lt;2421,VALUE(D71)&lt;606),2*VLOOKUP(WardrobeCarcassMaterial,SheetsData,5,FALSE),IF(AND(VALUE(B71)&lt;2421,VALUE(C71)&lt;1211,VALUE(D71)&lt;1211),3*VLOOKUP(WardrobeCarcassMaterial,SheetsData,5,FALSE),IF(AND(VALUE(B71)&lt;2421,VALUE(C71)&lt;2421,VALUE(D71)&lt;1211),4*VLOOKUP(WardrobeCarcassMaterial,SheetsData,5,FALSE))))),IF(AND(ISERROR(FIND("arcass",A71))=FALSE,ISERROR(FIND("ost corner",A71))=FALSE),IF(AND(VALUE(B71)&lt;1211,VALUE(C71)&lt;1211,VALUE(D71)&lt;606),(1*VLOOKUP(WardrobeCarcassMaterial,SheetsData,5,FALSE))+(VLOOKUP("H/F (22mm)",SheetsData,7,FALSE)*1.44),IF(AND(VALUE(B71)&lt;2421,VALUE(C71)&lt;2421,VALUE(D71)&lt;606),(2*VLOOKUP(WardrobeCarcassMaterial,SheetsData,5,FALSE))+(VLOOKUP("H/F (22mm)",SheetsData,7,FALSE)*1.44),IF(AND(VALUE(B71)&lt;2421,VALUE(C71)&lt;1211,VALUE(D71)&lt;1211),(3*VLOOKUP(WardrobeCarcassMaterial,SheetsData,5,FALSE))+(VLOOKUP("H/F (22mm)",SheetsData,7,FALSE)*1.44),IF(AND(VALUE(B71)&lt;2421,VALUE(C71)&lt;2421,VALUE(D71)&lt;1211),(4*VLOOKUP(WardrobeCarcassMaterial,SheetsData,5,FALSE))+(VLOOKUP("H/F (22mm)",SheetsData,7,FALSE)*1.44))))),IF(ISERROR(FIND("drawer front",A71))=FALSE,((B71/1000)*(C71/1000))*VLOOKUP(WardrobeDoorMaterial,SheetsData,8,0),IF(AND(WardrobeDrawerType="Match carcass",ISERROR(FIND("drawer box",A71))=FALSE),(((((B71/1000)*(C71/1000))+((B71/1000)*(D71/1000)))*2)*VLOOKUP(WardrobeCarcassMaterial,SheetsData,8,0))+(((C71/1000)*(D71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box",A71))=FALSE),(((((B71/1000)*(C71/1000))+((B71/1000)*(D71/1000)))*2)*(16/1000)*VLOOKUP(LEFT(WardrobeCarcassMaterial,FIND(" ",WardrobeCarcassMaterial))&amp;"(solid m3)",SolidData,4,0))+(((C71/1000)*(D71/1000))*VLOOKUP(LEFT(WardrobeCarcassMaterial,FIND("(",WardrobeCarcassMaterial)-1)&amp;IF(OR(ISERROR(FIND("ply",WardrobeCarcassMaterial))=FALSE,ISERROR(FIND("H/F",WardrobeCarcassMaterial))=FALSE),"(9mm)","(10mm)"),SheetsData,8,0)),IF(ISERROR(FIND("shelf",A71))=FALSE,((C71/1000)*(D71/1000))*VLOOKUP(WardrobeCarcassMaterial,SheetsData,7,FALSE),IF(ISERROR(FIND("Office pod",A71))=FALSE,3*VLOOKUP(WardrobeCarcassMaterial,SheetsData,5,0),IF(ISERROR(FIND(" panel",A71))=FALSE,((B71/1000)*(C71/1000))*VLOOKUP(WardrobeDoorMaterial,SheetsData,8,0),IF(ISERROR(FIND("Fillers",A71))=FALSE,(((0.06*(C71/1000))*2)*VLOOKUP("H/F (18mm)",SheetsData,8,0))+(((0.06*(C71/1000))*2)*VLOOKUP("H/F (9mm)",SheetsData,8,0)),IF(ISERROR(FIND("Cornice (stacked)",A71))=FALSE,((0.08*(C71/1000))*2)*VLOOKUP("H/F (22mm)",SheetsData,8,0),IF(OR(ISERROR(FIND("Plinth",A71))=FALSE,ISERROR(FIND("Cornice (flat)",A71))=FALSE),((B71/1000)*(C71/1000))*VLOOKUP("H/F (18mm)",SheetsData,8,0),IF(ISERROR(FIND("Pelmet",A71))=FALSE,((((B71/1000)*(C71/1000))*2)*VLOOKUP("H/F (18mm)",SheetsData,8,0)),IF(ISERROR(FIND("Fireplace",A71))=FALSE,IF(ISERROR(FIND("over 1600",A71))=FALSE,2*VLOOKUP(WardrobeCarcassMaterial,SheetsData,5,FALSE),VLOOKUP(WardrobeCarcassMaterial,SheetsData,5,FALSE)),IF(ISERROR(FIND("table",A71))=FALSE,((B71/1000)*0.6)*VLOOKUP("Birch ply (24mm)",SheetsData,7,FALSE),IF(ISERROR(FIND("Worktop",A71))=FALSE,((B71/1000)*(C71/1000))*VLOOKUP(WardrobeDoorMaterial,SheetsData,7,FALSE),"Check formula")))))))))))))))))</f>
        <v/>
      </c>
      <c r="F71" s="152" t="str">
        <f>IFERROR(__xludf.DUMMYFUNCTION("IF(OR(A71="""",AND(ISERROR(FIND(""drawer box"",A71))=FALSE,WardrobeDrawerType=""Solid dovetail"")),"""",IF(ISERROR(FIND(""bins"",A71))=FALSE,VLOOKUP(""Base carcass 600"",Wardrobes_etcData,6,0),IF(OR(ISERROR(FIND(""larder"",A71))=FALSE,ISERROR(FIND(""unit"&amp;""",A71))=FALSE),VLOOKUP(LEFT(A71,FIND("" "",A71))&amp;""carcass ""&amp;RIGHT(A71,LEN(A71)-len(regexextract(A71,"".* ""))),Wardrobes_etcData,6,0),IF(ISERROR(FIND(""drawer front"",A71))=FALSE,IF(ISERROR(FIND(""veneer"",WardrobeCarcassMaterial))=TRUE,0,(((B71+C71)/1"&amp;"000)*2)*VLOOKUP(""Edge banding (per M)"",SheetsData,5,0)),IF(ISERROR(FIND(""drawer box"",A71))=FALSE,IF(ISERROR(FIND(""veneer"",WardrobeCarcassMaterial))=TRUE,0,(((C71+D71)/1000)*2)*VLOOKUP(""Edge banding (per M)"",SheetsData,5,0)),IF(ISERROR(FIND(""shelf"&amp;""",A71))=FALSE,IF(ISERROR(FIND(""veneer"",WardrobeCarcassMaterial))=TRUE,0,(C71/1000)*VLOOKUP(""Edge banding (per M)"",SheetsData,5,0)),IF(AND(OR(ISERROR(FIND(""arcass"",A71))=FALSE,ISERROR(FIND(""Fireplace"",A71))=FALSE),ISERROR(FIND(""shelf"",A71))=TRUE"&amp;"),IF(ISERROR(FIND(""veneer"",WardrobeCarcassMaterial))=TRUE,0,((2*(B71+C71))/1000)*VLOOKUP(""Edge banding (per M)"",SheetsData,5,0)),IF(ISERROR(FIND(""door"",A71))=TRUE,"""",IF(ISERROR(FIND(""veneer"",WardrobeDoorMaterial))=TRUE,"""",((2*(B71+C71))/1000)*"&amp;"VLOOKUP(""Edge banding (per M)"",SheetsData,5,0))))))))))"),"")</f>
        <v/>
      </c>
      <c r="G71" s="153" t="str">
        <f>IF(A71="","",IF(AND(ISERROR(FIND("arcass",A71))=TRUE,ISERROR(FIND("Fireplace",A71))=TRUE),"",IF(VALUE(C71)&lt;606,4*VLOOKUP("Plinth foot (2 Parts 80mm)",FurnitureData,5,FALSE),IF(VALUE(C71)&lt;1211,6*VLOOKUP("Plinth foot (2 Parts 80mm)",FurnitureData,5,FALSE),8*VLOOKUP("Plinth foot (2 Parts 80mm)",FurnitureData,5,FALSE)))))</f>
        <v/>
      </c>
      <c r="H71" s="115" t="str">
        <f>IF(OR(A71="",ISERROR(FIND("door",A71))=TRUE),"",VLOOKUP("Hinges &amp; plates (Hettich thick door)",FurnitureData,5,0)*5)</f>
        <v/>
      </c>
      <c r="I71" s="115" t="str">
        <f>IF(ISERROR(FIND("shelf",A71))=FALSE,(VLOOKUP("Shelf pegs",FurnitureData,5,0)/100)*4,"")</f>
        <v/>
      </c>
      <c r="J71" s="152" t="str">
        <f>IF(OR(ISERROR(FIND("fridge/freezer",A71))=FALSE,ISERROR(FIND("sink",A71))=FALSE,ISERROR(FIND("larder",A71))=FALSE),VLOOKUP("Deep shelf "&amp;C71,Wardrobes_etcData,18,0),IF(OR(ISERROR(FIND("single oven",A71))=FALSE,ISERROR(FIND("Base carcass",A71))=FALSE),2*VLOOKUP("Deep shelf "&amp;C71,Wardrobes_etcData,18,0),IF(AND(ISERROR(FIND("wall carcass",A71))=FALSE,ISERROR(FIND("Boiler",A71))=TRUE),2*VLOOKUP("Shallow shelf "&amp;C71,Wardrobes_etcData,18,0),IF(ISERROR(FIND("double oven",A71))=FALSE,3*VLOOKUP("Deep shelf "&amp;C71,Wardrobes_etcData,18,0),IF(ISERROR(FIND("Tower carcass",A71))=FALSE,6*VLOOKUP("Deep shelf "&amp;C71,Wardrobes_etcData,18,0),"")))))</f>
        <v/>
      </c>
      <c r="K71" s="152" t="str">
        <f>IF(ISERROR(FIND("sink",A71))=FALSE,VLOOKUP("Sink liner - Aluminium "&amp;RIGHT(A71,LEN(A71)-22)&amp;"mm",ExceptionalData,5,0),IF(ISERROR(FIND("bins",A71))=FALSE,VLOOKUP("Drawer runners and clip set for bin unit (500) Dynapro",FurnitureData,5,0)+(2*VLOOKUP("Bin (42L Anthracite)",FurnitureData,5,0)),IF(ISERROR(FIND("larder",A71))=FALSE,VLOOKUP("Pull out larder unit 600mm",FurnitureData,5,0),IF(AND(ISERROR(FIND("drawer box",A71))=FALSE,ISERROR(FIND("internal",A71))=TRUE),VLOOKUP("Drawer runners and clip set (550) Dynapro",FurnitureData,5,0),IF(ISERROR(FIND("internal drawer box",A71))=FALSE,VLOOKUP("Drawer runners and clip set (450) Dynapro",FurnitureData,5,0),IF(ISERROR(FIND("table",A71))=FALSE,VLOOKUP("Hairpin Leg (12mm Black "&amp;MID(A71,FIND("(",A71)+1,LEN(A71)-(FIND("(",A71))-1)&amp;"mm)",ExceptionalData,4,FALSE),""))))))</f>
        <v/>
      </c>
      <c r="L71" s="152" t="str">
        <f t="shared" si="3"/>
        <v/>
      </c>
      <c r="M71" s="154" t="str">
        <f>IF(A71="","",IF(AND(ISERROR(FIND("drawer front",A71))=FALSE,WardrobeDoorStyle="Flat"),(((B71/1000)*(C71/1000))*2)+((((B71+C71)/1000)*2)*0.022),IF(AND(ISERROR(FIND("drawer front",A71))=FALSE,LEFT(WardrobeDoorStyle,5)="Panel"),(((B71/1000)*(C71/1000))*2)+((((B71+C71)/1000)*2)*0.022)+((((C71/1000)-0.16)*0.013)*2)+((((D71/1000)-0.16)*0.013)*2),IF(AND(ISERROR(FIND("drawer front",A71))=FALSE,WardrobeDoorStyle="In-frame flat"),((((B71-76)/1000)*((C71-38)/1000))*2)+(MID(WardrobeDoorMaterial,FIND("(",WardrobeDoorMaterial)+1,2)/1000)*((((B71-76)+(C71-38))/1000)*2)+(((B71/1000)*0.032)*2)+((((B71-76)/1000)*0.032)*2)+(((B71/1000)*0.019)*4)+(((C71/1000)*0.032)*2)+((((C71-38)/1000)*0.032)*2)+(((C71/1000)*0.038)*4),IF(AND(ISERROR(FIND("drawer front",A71))=FALSE,LEFT(WardrobeDoorStyle,14)="In-frame panel"),((((B71-76)/1000)*((C71-38)/1000))*2)+((MID(WardrobeDoorMaterial,FIND("(",WardrobeDoorMaterial)+1,2)/1000)*((((B71-76)+(C71-38))/1000)*2))+((((B71-236)/1000)+((C71-198)/1000)*2)*0.013)+(((B71/1000)*0.032)*2)+((((B71-76)/1000)*0.032)*2)+(((B71/1000)*0.019)*4)+(((C71/1000)*0.032)*2)+((((C71-38)/1000)*0.032)*2)+(((C71/1000)*0.038)*4),IF(ISERROR(FIND("drawer box",A71))=FALSE,((((B71/1000)*(D71/1000))+((B71/1000)*(C71/1000)))*4)+((((D71/1000)+(C71/1000))*0.016)*4)+(((C71/1000)*(D71/1000))*2),IF(OR(ISERROR(FIND("shelf",A71))=FALSE,ISERROR(FIND("Filler panel",A71))=FALSE),(((C71/1000)*(D71/1000))*2)+((((C71+D71)*2)/1000)*0.022),IF(ISERROR(FIND("Fireplace",A71))=FALSE,((B71/1000)*(C71/1000)),IF(ISERROR(FIND("Worktop",A71))=FALSE,(B71/1000)*(C71/1000),IF(ISERROR(FIND("table",A71))=FALSE,(B71/1000)*0.6,IF(ISERROR(FIND("arcass",A71))=FALSE,(((C71/1000)*(D71/1000))*2)+(((B71/1000)*(D71/1000))*2)+((B71/1000)*(C71/1000))+((((B71/1000)*0.025)+((C71/1000)*0.025))*2),IF(AND(ISERROR(FIND("door",A71))=FALSE,WardrobeDoorStyle="Flat"),(((B71/1000)*(C71/1000))*2)+(MID(WardrobeDoorMaterial,FIND("(",WardrobeDoorMaterial)+1,2)/1000)*(((B71+C71)/1000)*2),IF(AND(ISERROR(FIND("door",A71))=FALSE,LEFT(WardrobeDoorStyle,5)="Panel"),(((B71/1000)*(C71/1000))*2)+((MID(WardrobeDoorMaterial,FIND("(",WardrobeDoorMaterial)+1,2)/1000)*(((B71+C71)/1000)*2))+(((((B71-160)+(C71-160))*2)/1000)*(0.013)),IF(AND(ISERROR(FIND("door",A71))=FALSE,WardrobeDoorStyle="In-frame flat"),((((B71-76)/1000)*((C71-38)/1000))*2)+(MID(WardrobeDoorMaterial,FIND("(",WardrobeDoorMaterial)+1,2)/1000)*((((B71-76)+(C71-38))/1000)*2)+(((B71/1000)*0.032)*2)+((((B71-76)/1000)*0.032)*2)+(((B71/1000)*0.019)*4)+(((C71/1000)*0.032)*2)+((((C71-38)/1000)*0.032)*2)+(((C71/1000)*0.038)*4),IF(AND(ISERROR(FIND("door",A71))=FALSE,LEFT(WardrobeDoorStyle,14)="In-frame panel"),((((B71-76)/1000)*((C71-38)/1000))*2)+((MID(WardrobeDoorMaterial,FIND("(",WardrobeDoorMaterial)+1,2)/1000)*((((B71-76)+(C71-38))/1000)*2))+((((B71-236)/1000)+((C71-198)/1000)*2)*0.013)+(((B71/1000)*0.032)*2)+((((B71-76)/1000)*0.032)*2)+(((B71/1000)*0.019)*4)+(((C71/1000)*0.032)*2)+((((C71-38)/1000)*0.032)*2)+(((C71/1000)*0.038)*4),IF(ISERROR(FIND("Plinth",A71))=FALSE,((B71/1000)*(C71/1000))+(((C71/1000)*0.018)*2)+(((B71/1000)*0.018)*2),IF(ISERROR(FIND("Cornice",A71))=FALSE,(((C71/1000)*0.1)*2)+(((C71/1000)*0.044)*2)+(((B71/1000)*0.08)*2),IF(ISERROR(FIND("Office pod",A71))=FALSE,((2400/1000)*(1200/1000))*6,IF(ISERROR(FIND("panel",A71))=FALSE,((B71/1000)*(C71/1000))+(0.022*((B71/1000)+((C71/1000)*2)))+((B71/1000)*0.05),IF(ISERROR(FIND("Fillers",A71))=FALSE,((C71/1000)*0.06)+((C71/1000)*0.069)+((0.06*0.018)*2)+((0.06*0.009)*2)+((C71/1000)*0.009)+((C71/1000)*0.018),IF(ISERROR(FIND("Pelmet",A71))=FALSE,((C71/1000)*0.05)+((C71/1000)*0.068)+((0.05*0.018)*4)+(((C71/1000)*0.018))*2)))))))))))))))))))))</f>
        <v/>
      </c>
      <c r="N71" s="152" t="str">
        <f>IF(M71="","",IF(AND(ISERROR(FIND("carcass",A71))=TRUE,ISERROR(FIND("unit",A71))=TRUE,ISERROR(FIND("insert",A71))=TRUE,ISERROR(FIND("rack",A71))=TRUE,ISERROR(FIND("box",A71))=TRUE,ISERROR(FIND("shelf",A71))=TRUE),VLOOKUP(WardrobeDoorFinish,Finishing!$A$2:$K$10,9,0)*M71,IF(ISERROR(FIND("table",A71))=FALSE,VLOOKUP("Sayerlack AF0072 Interior Clear Self-Sealer",FinishingData,9,FALSE)*M71,VLOOKUP(WardrobeCarcassFinish,Finishing!$A$2:$K$40,9,0)*M71)))</f>
        <v/>
      </c>
      <c r="O71" s="159"/>
      <c r="P71" s="159"/>
      <c r="Q71" s="152" t="str">
        <f>IF(OR(O71="",P71=""),"",((O71*X71)*(VLOOKUP("Workshop",Labour!$A$3:$E$20,4,0)/8))+((P71*AE71)*(VLOOKUP("Finishing",Labour!$A$3:$E$20,4,0)/8)))</f>
        <v/>
      </c>
      <c r="R71" s="152" t="str">
        <f t="shared" si="4"/>
        <v/>
      </c>
      <c r="S71" s="156" t="str">
        <f>IF(OR(O71="",P71=""),"",IF(OR(ISERROR(FIND("carcass",$A71))=FALSE,ISERROR(FIND("unit",$A71))=FALSE),VLOOKUP(WardrobeCarcassMaterial,FixedListsCarcassMaterial,2,0),0))</f>
        <v/>
      </c>
      <c r="T71" s="156" t="str">
        <f>IF(OR(O71="",P71=""),"",IF(ISERROR(FIND("door",$A71))=FALSE,VLOOKUP(WardrobeDoorStyle,FixedListsDoorStyle,2,0),0))</f>
        <v/>
      </c>
      <c r="U71" s="156" t="str">
        <f>IF(OR(O71="",P71=""),"",IF(ISERROR(FIND("door",$A71))=FALSE,VLOOKUP(WardrobeDoorMaterial,FixedListsDoorMaterial,2,0),0))</f>
        <v/>
      </c>
      <c r="V71" s="156" t="str">
        <f>IF(OR(O71="",P71=""),"",IF(ISERROR(FIND("drawer",$A71))=FALSE,VLOOKUP(WardrobeDrawerType,FixedListsDrawerType,2,0),0))</f>
        <v/>
      </c>
      <c r="W71" s="156" t="str">
        <f>IF(OR(O71="",P71=""),"",IF(S71&gt;0,VLOOKUP(WardrobeHandleType,FixedListsHandleType,2,FALSE),0))</f>
        <v/>
      </c>
      <c r="X71" s="156" t="str">
        <f t="shared" si="5"/>
        <v/>
      </c>
      <c r="Y71" s="156" t="str">
        <f>IF(OR(O71="",P71=""),"",IF(OR(ISERROR(FIND("carcass",$A71))=FALSE,ISERROR(FIND("unit",$A71))=FALSE),VLOOKUP(WardrobeCarcassMaterial,FixedListsCarcassMaterial,3,0),0))</f>
        <v/>
      </c>
      <c r="Z71" s="156" t="str">
        <f>IF(OR(O71="",P71=""),"",IF(ISERROR(FIND("door",$A71))=FALSE,VLOOKUP(WardrobeDoorStyle,FixedListsDoorStyle,3,0),0))</f>
        <v/>
      </c>
      <c r="AA71" s="156" t="str">
        <f>IF(OR(O71="",P71=""),"",IF(ISERROR(FIND("door",$A71))=FALSE,VLOOKUP(WardrobeDoorMaterial,FixedListsDoorMaterial,3,0),0))</f>
        <v/>
      </c>
      <c r="AB71" s="156" t="str">
        <f>IF(OR(O71="",P71=""),"",IF(ISERROR(FIND("drawer",$A71))=FALSE,VLOOKUP(WardrobeDrawerType,FixedListsDrawerType,3,0),0))</f>
        <v/>
      </c>
      <c r="AC71" s="156" t="str">
        <f>IF(OR(O71="",P71=""),"",IF(S71&gt;0,VLOOKUP(WardrobeHandleType,FixedListsHandleType,3,FALSE),0))</f>
        <v/>
      </c>
      <c r="AD71" s="156" t="str">
        <f>IF(OR(O71="",P71=""),"",IF(OR(ISERROR(FIND("carcass",$A71))=FALSE,ISERROR(FIND("unit",$A71))=FALSE),VLOOKUP(WardrobeCarcassFinish,FixedListsFinishes,3,0),IF(OR(ISERROR(FIND("door",$A71))=FALSE,ISERROR(FIND("Plinth",$A71))=FALSE,ISERROR(FIND("Cornice",$A71))=FALSE,ISERROR(FIND("Fillers",$A71))=FALSE,ISERROR(FIND("Pelmet",$A71))=FALSE,ISERROR(FIND("panel",$A71))=FALSE,ISERROR(FIND("post",$A71))=FALSE),VLOOKUP(WardrobeDoorFinish,FixedListsFinishes,3,0),IF(OR(ISERROR(FIND("drawer",$A71))=FALSE,ISERROR(FIND("insert",$A71))=FALSE,ISERROR(FIND("rck",$A71))=FALSE),VLOOKUP(WardrobeCarcassFinish,FixedListsFinishes,3,0),0))))</f>
        <v/>
      </c>
      <c r="AE71" s="156" t="str">
        <f t="shared" si="6"/>
        <v/>
      </c>
      <c r="AF71" s="157" t="str">
        <f>IF(AND(WardrobeHandleType="Channel",OR(ISERROR(FIND("arcass",$A71))=FALSE,ISERROR(FIND("unit",$A71))=FALSE)),IF(ISERROR(FIND("Tower",$A71))=TRUE,IF(WardrobeHandleFinish="Match carcass",IF(ISERROR(FIND("Walnut",WardrobeCarcassMaterial))=FALSE,(0.035*0.075*($C71/1000))*VLOOKUP("Walnut (solid m3)",SolidData,4,FALSE),IF(ISERROR(FIND("Oak",WardrobeCarcassMaterial))=FALSE,(0.035*0.075*($C71/1000))*VLOOKUP("Oak (solid m3)",SolidData,4,FALSE),IF(ISERROR(FIND("ply",WardrobeCarcassMaterial))=FALSE,(0.1*($C71/1000))*VLOOKUP("Birch ply (24mm)",SheetsData,7,FALSE),IF(ISERROR(FIND("H/F",WardrobeCarcassMaterial))=FALSE,(0.1*($C71/1000))*VLOOKUP("H/F (22mm)",SheetsData,7,FALSE),"Carcass - not tower - new material")))),IF(WardrobeHandleFinish="Match door",IF(ISERROR(FIND("Walnut",WardrobeDoorMaterial))=FALSE,(0.035*0.075*($C71/1000))*VLOOKUP("Walnut (solid m3)",SolidData,4,FALSE),IF(ISERROR(FIND("Oak",WardrobeDoorMaterial))=FALSE,(0.035*0.075*($C71/1000))*VLOOKUP("Oak (solid m3)",SolidData,4,FALSE),IF(ISERROR(FIND("ply",WardrobeDoorMaterial))=FALSE,(0.1*($C71/1000))*VLOOKUP("Birch ply (24mm)",SheetsData,7,FALSE),IF(ISERROR(FIND("H/F",WardrobeCarcassMaterial))=FALSE,(0.1*($C71/1000))*VLOOKUP("H/F (22mm)",SheetsData,7,FALSE),"Door - not tower - new material")))),"Channel - not tower - handle set to other")),IF(ISERROR(FIND("Tower",$A71))=FALSE,IF(WardrobeHandleFinish="Match carcass",IF(ISERROR(FIND("Walnut",WardrobeCarcassMaterial))=FALSE,(0.035*0.075*($B71/1000))*VLOOKUP("Walnut (solid m3)",SolidData,4,FALSE),IF(ISERROR(FIND("Oak",WardrobeCarcassMaterial))=FALSE,(0.035*0.075*($B71/1000))*VLOOKUP("Oak (solid m3)",SolidData,4,FALSE),IF(ISERROR(FIND("ply",WardrobeCarcassMaterial))=FALSE,(0.1*($B71/1000))*VLOOKUP("Birch ply (24mm)",SheetsData,7,FALSE),IF(ISERROR(FIND("H/F",WardrobeCarcassMaterial))=FALSE,(0.1*($C71/1000))*VLOOKUP("H/F (22mm)",SheetsData,7,FALSE),"Carcass - tower - new material")))),IF(WardrobeHandleFinish="Match door",IF(ISERROR(FIND("Walnut",WardrobeDoorMaterial))=FALSE,(0.035*0.075*($B71/1000))*VLOOKUP("Walnut (solid m3)",SolidData,4,FALSE),IF(ISERROR(FIND("Oak",WardrobeDoorMaterial))=FALSE,(0.035*0.075*($B71/1000))*VLOOKUP("Oak (solid m3)",SolidData,4,FALSE),IF(ISERROR(FIND("ply",WardrobeDoorMaterial))=FALSE,(0.1*($B71/1000))*VLOOKUP("Birch ply (24mm)",SheetData,7,FALSE),IF(ISERROR(FIND("H/F",WardrobeCarcassMaterial))=FALSE,(0.1*($C71/1000))*VLOOKUP("H/F (22mm)",SheetsData,7,FALSE),"Door - tower - new material")))),"Channel - tower - handle set to other")))),"")</f>
        <v/>
      </c>
    </row>
    <row r="72">
      <c r="A72" s="150"/>
      <c r="B72" s="160" t="str">
        <f t="shared" si="1"/>
        <v/>
      </c>
      <c r="C72" s="160" t="str">
        <f>IFERROR(__xludf.DUMMYFUNCTION("IF(A72="""","""",IF(ISERROR(FIND(""arcass"",A72))=FALSE,MID(A72,FIND(""*"",A72)+1,FIND(""*"",A72,FIND(""*"",A72)+1)-FIND(""*"",A72)-1),IF(ISERROR(FIND(""End panel"",A72))=FALSE,RIGHT(A72,3),IF(OR(ISERROR(FIND(""drawer"",A72))=FALSE,ISERROR(FIND(""door"",A"&amp;"72))=FALSE,ISERROR(FIND(""shelf"",A72))=FALSE,ISERROR(FIND(""panel"",A72))=FALSE,ISERROR(FIND(""Plinth"",A72))=FALSE,ISERROR(FIND(""Cornice"",A72))=FALSE,ISERROR(FIND(""Fillers"",A72))=FALSE,ISERROR(FIND(""Pelmet"",A72))=FALSE,ISERROR(FIND(""Fireplace up "&amp;"to 1600"",A72))=FALSE),RIGHT(A72,LEN(A72)-LEN(regexextract(A72,"".* ""))),IF(ISERROR(FIND(""table"",A72))=FALSE,""560"",IF(ISERROR(FIND(""Office pod"",A72))=FALSE,""1600"",IF(ISERROR(FIND(""Fireplace over 1600"",A72))=FALSE,""2400"",IF(ISERROR(FIND(""Work"&amp;"top"",A72))=FALSE,""650"",""Whoops""))))))))"),"")</f>
        <v/>
      </c>
      <c r="D72" s="161" t="str">
        <f t="shared" si="2"/>
        <v/>
      </c>
      <c r="E72" s="152" t="str">
        <f>IF(OR(A72="",AND(ISERROR(FIND("drawer",A72))=FALSE,WardrobeDrawerType="")),"",IF(ISERROR(FIND("door",A72))=FALSE,IF(WardrobeDoorStyle="Flat",((B72/1000)*(C72/1000))*VLOOKUP(WardrobeDoorMaterial,SheetsData,8,0),IF(LEFT(WardrobeDoorStyle,5)="Panel",(((((B72/1000)*2)*0.08)+((((C72/1000)-0.16)*2)*0.08))*VLOOKUP("H/F (22mm)",SheetsData,8,0))+(((B72/1000)-0.14)*((C72/1000)-0.14)*VLOOKUP("H/F (9mm)",SheetsData,8,0)),IF(WardrobeDoorStyle="In-frame flat",((((((B72/1000)*0.019)*0.038)+((((C72-38)/1000)*0.038)*0.038))*2)*VLOOKUP("Tulip (solid m3)",SolidData,4,0))+(((B72-76)/1000)*((C72-38)/1000))*VLOOKUP("H/F (22mm)",SheetsData,8,0),IF(LEFT(WardrobeDoorStyle,14)="In-frame panel",(((((((B72/1000)*0.019)*0.038)+((((C72-38)/1000)*0.038)*0.038))*2)*VLOOKUP("Tulip (solid m3)",SolidData,4,0))+(((((((B72-76)/1000)*2)*0.08)+(((((C72-198)/1000)*2)*0.08)))*VLOOKUP("H/F (22mm)",SheetsData,8,0))+(((B72-216)/1000)*((C72-178)/1000)*VLOOKUP("H/F (9mm)",SheetsData,8,0)))))))),IF(AND(ISERROR(FIND("arcass",A72))=FALSE,ISERROR(FIND("ost corner",A72))=TRUE),IF(AND(VALUE(B72)&lt;1211,VALUE(C72)&lt;1211,VALUE(D72)&lt;606),1*VLOOKUP(WardrobeCarcassMaterial,SheetsData,5,FALSE),IF(AND(VALUE(B72)&lt;2421,VALUE(C72)&lt;2421,VALUE(D72)&lt;606),2*VLOOKUP(WardrobeCarcassMaterial,SheetsData,5,FALSE),IF(AND(VALUE(B72)&lt;2421,VALUE(C72)&lt;1211,VALUE(D72)&lt;1211),3*VLOOKUP(WardrobeCarcassMaterial,SheetsData,5,FALSE),IF(AND(VALUE(B72)&lt;2421,VALUE(C72)&lt;2421,VALUE(D72)&lt;1211),4*VLOOKUP(WardrobeCarcassMaterial,SheetsData,5,FALSE))))),IF(AND(ISERROR(FIND("arcass",A72))=FALSE,ISERROR(FIND("ost corner",A72))=FALSE),IF(AND(VALUE(B72)&lt;1211,VALUE(C72)&lt;1211,VALUE(D72)&lt;606),(1*VLOOKUP(WardrobeCarcassMaterial,SheetsData,5,FALSE))+(VLOOKUP("H/F (22mm)",SheetsData,7,FALSE)*1.44),IF(AND(VALUE(B72)&lt;2421,VALUE(C72)&lt;2421,VALUE(D72)&lt;606),(2*VLOOKUP(WardrobeCarcassMaterial,SheetsData,5,FALSE))+(VLOOKUP("H/F (22mm)",SheetsData,7,FALSE)*1.44),IF(AND(VALUE(B72)&lt;2421,VALUE(C72)&lt;1211,VALUE(D72)&lt;1211),(3*VLOOKUP(WardrobeCarcassMaterial,SheetsData,5,FALSE))+(VLOOKUP("H/F (22mm)",SheetsData,7,FALSE)*1.44),IF(AND(VALUE(B72)&lt;2421,VALUE(C72)&lt;2421,VALUE(D72)&lt;1211),(4*VLOOKUP(WardrobeCarcassMaterial,SheetsData,5,FALSE))+(VLOOKUP("H/F (22mm)",SheetsData,7,FALSE)*1.44))))),IF(ISERROR(FIND("drawer front",A72))=FALSE,((B72/1000)*(C72/1000))*VLOOKUP(WardrobeDoorMaterial,SheetsData,8,0),IF(AND(WardrobeDrawerType="Match carcass",ISERROR(FIND("drawer box",A72))=FALSE),(((((B72/1000)*(C72/1000))+((B72/1000)*(D72/1000)))*2)*VLOOKUP(WardrobeCarcassMaterial,SheetsData,8,0))+(((C72/1000)*(D72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box",A72))=FALSE),(((((B72/1000)*(C72/1000))+((B72/1000)*(D72/1000)))*2)*(16/1000)*VLOOKUP(LEFT(WardrobeCarcassMaterial,FIND(" ",WardrobeCarcassMaterial))&amp;"(solid m3)",SolidData,4,0))+(((C72/1000)*(D72/1000))*VLOOKUP(LEFT(WardrobeCarcassMaterial,FIND("(",WardrobeCarcassMaterial)-1)&amp;IF(OR(ISERROR(FIND("ply",WardrobeCarcassMaterial))=FALSE,ISERROR(FIND("H/F",WardrobeCarcassMaterial))=FALSE),"(9mm)","(10mm)"),SheetsData,8,0)),IF(ISERROR(FIND("shelf",A72))=FALSE,((C72/1000)*(D72/1000))*VLOOKUP(WardrobeCarcassMaterial,SheetsData,7,FALSE),IF(ISERROR(FIND("Office pod",A72))=FALSE,3*VLOOKUP(WardrobeCarcassMaterial,SheetsData,5,0),IF(ISERROR(FIND(" panel",A72))=FALSE,((B72/1000)*(C72/1000))*VLOOKUP(WardrobeDoorMaterial,SheetsData,8,0),IF(ISERROR(FIND("Fillers",A72))=FALSE,(((0.06*(C72/1000))*2)*VLOOKUP("H/F (18mm)",SheetsData,8,0))+(((0.06*(C72/1000))*2)*VLOOKUP("H/F (9mm)",SheetsData,8,0)),IF(ISERROR(FIND("Cornice (stacked)",A72))=FALSE,((0.08*(C72/1000))*2)*VLOOKUP("H/F (22mm)",SheetsData,8,0),IF(OR(ISERROR(FIND("Plinth",A72))=FALSE,ISERROR(FIND("Cornice (flat)",A72))=FALSE),((B72/1000)*(C72/1000))*VLOOKUP("H/F (18mm)",SheetsData,8,0),IF(ISERROR(FIND("Pelmet",A72))=FALSE,((((B72/1000)*(C72/1000))*2)*VLOOKUP("H/F (18mm)",SheetsData,8,0)),IF(ISERROR(FIND("Fireplace",A72))=FALSE,IF(ISERROR(FIND("over 1600",A72))=FALSE,2*VLOOKUP(WardrobeCarcassMaterial,SheetsData,5,FALSE),VLOOKUP(WardrobeCarcassMaterial,SheetsData,5,FALSE)),IF(ISERROR(FIND("table",A72))=FALSE,((B72/1000)*0.6)*VLOOKUP("Birch ply (24mm)",SheetsData,7,FALSE),IF(ISERROR(FIND("Worktop",A72))=FALSE,((B72/1000)*(C72/1000))*VLOOKUP(WardrobeDoorMaterial,SheetsData,7,FALSE),"Check formula")))))))))))))))))</f>
        <v/>
      </c>
      <c r="F72" s="152" t="str">
        <f>IFERROR(__xludf.DUMMYFUNCTION("IF(OR(A72="""",AND(ISERROR(FIND(""drawer box"",A72))=FALSE,WardrobeDrawerType=""Solid dovetail"")),"""",IF(ISERROR(FIND(""bins"",A72))=FALSE,VLOOKUP(""Base carcass 600"",Wardrobes_etcData,6,0),IF(OR(ISERROR(FIND(""larder"",A72))=FALSE,ISERROR(FIND(""unit"&amp;""",A72))=FALSE),VLOOKUP(LEFT(A72,FIND("" "",A72))&amp;""carcass ""&amp;RIGHT(A72,LEN(A72)-len(regexextract(A72,"".* ""))),Wardrobes_etcData,6,0),IF(ISERROR(FIND(""drawer front"",A72))=FALSE,IF(ISERROR(FIND(""veneer"",WardrobeCarcassMaterial))=TRUE,0,(((B72+C72)/1"&amp;"000)*2)*VLOOKUP(""Edge banding (per M)"",SheetsData,5,0)),IF(ISERROR(FIND(""drawer box"",A72))=FALSE,IF(ISERROR(FIND(""veneer"",WardrobeCarcassMaterial))=TRUE,0,(((C72+D72)/1000)*2)*VLOOKUP(""Edge banding (per M)"",SheetsData,5,0)),IF(ISERROR(FIND(""shelf"&amp;""",A72))=FALSE,IF(ISERROR(FIND(""veneer"",WardrobeCarcassMaterial))=TRUE,0,(C72/1000)*VLOOKUP(""Edge banding (per M)"",SheetsData,5,0)),IF(AND(OR(ISERROR(FIND(""arcass"",A72))=FALSE,ISERROR(FIND(""Fireplace"",A72))=FALSE),ISERROR(FIND(""shelf"",A72))=TRUE"&amp;"),IF(ISERROR(FIND(""veneer"",WardrobeCarcassMaterial))=TRUE,0,((2*(B72+C72))/1000)*VLOOKUP(""Edge banding (per M)"",SheetsData,5,0)),IF(ISERROR(FIND(""door"",A72))=TRUE,"""",IF(ISERROR(FIND(""veneer"",WardrobeDoorMaterial))=TRUE,"""",((2*(B72+C72))/1000)*"&amp;"VLOOKUP(""Edge banding (per M)"",SheetsData,5,0))))))))))"),"")</f>
        <v/>
      </c>
      <c r="G72" s="153" t="str">
        <f>IF(A72="","",IF(AND(ISERROR(FIND("arcass",A72))=TRUE,ISERROR(FIND("Fireplace",A72))=TRUE),"",IF(VALUE(C72)&lt;606,4*VLOOKUP("Plinth foot (2 Parts 80mm)",FurnitureData,5,FALSE),IF(VALUE(C72)&lt;1211,6*VLOOKUP("Plinth foot (2 Parts 80mm)",FurnitureData,5,FALSE),8*VLOOKUP("Plinth foot (2 Parts 80mm)",FurnitureData,5,FALSE)))))</f>
        <v/>
      </c>
      <c r="H72" s="115" t="str">
        <f>IF(OR(A72="",ISERROR(FIND("door",A72))=TRUE),"",VLOOKUP("Hinges &amp; plates (Hettich thick door)",FurnitureData,5,0)*5)</f>
        <v/>
      </c>
      <c r="I72" s="115" t="str">
        <f>IF(ISERROR(FIND("shelf",A72))=FALSE,(VLOOKUP("Shelf pegs",FurnitureData,5,0)/100)*4,"")</f>
        <v/>
      </c>
      <c r="J72" s="152" t="str">
        <f>IF(OR(ISERROR(FIND("fridge/freezer",A72))=FALSE,ISERROR(FIND("sink",A72))=FALSE,ISERROR(FIND("larder",A72))=FALSE),VLOOKUP("Deep shelf "&amp;C72,Wardrobes_etcData,18,0),IF(OR(ISERROR(FIND("single oven",A72))=FALSE,ISERROR(FIND("Base carcass",A72))=FALSE),2*VLOOKUP("Deep shelf "&amp;C72,Wardrobes_etcData,18,0),IF(AND(ISERROR(FIND("wall carcass",A72))=FALSE,ISERROR(FIND("Boiler",A72))=TRUE),2*VLOOKUP("Shallow shelf "&amp;C72,Wardrobes_etcData,18,0),IF(ISERROR(FIND("double oven",A72))=FALSE,3*VLOOKUP("Deep shelf "&amp;C72,Wardrobes_etcData,18,0),IF(ISERROR(FIND("Tower carcass",A72))=FALSE,6*VLOOKUP("Deep shelf "&amp;C72,Wardrobes_etcData,18,0),"")))))</f>
        <v/>
      </c>
      <c r="K72" s="152" t="str">
        <f>IF(ISERROR(FIND("sink",A72))=FALSE,VLOOKUP("Sink liner - Aluminium "&amp;RIGHT(A72,LEN(A72)-22)&amp;"mm",ExceptionalData,5,0),IF(ISERROR(FIND("bins",A72))=FALSE,VLOOKUP("Drawer runners and clip set for bin unit (500) Dynapro",FurnitureData,5,0)+(2*VLOOKUP("Bin (42L Anthracite)",FurnitureData,5,0)),IF(ISERROR(FIND("larder",A72))=FALSE,VLOOKUP("Pull out larder unit 600mm",FurnitureData,5,0),IF(AND(ISERROR(FIND("drawer box",A72))=FALSE,ISERROR(FIND("internal",A72))=TRUE),VLOOKUP("Drawer runners and clip set (550) Dynapro",FurnitureData,5,0),IF(ISERROR(FIND("internal drawer box",A72))=FALSE,VLOOKUP("Drawer runners and clip set (450) Dynapro",FurnitureData,5,0),IF(ISERROR(FIND("table",A72))=FALSE,VLOOKUP("Hairpin Leg (12mm Black "&amp;MID(A72,FIND("(",A72)+1,LEN(A72)-(FIND("(",A72))-1)&amp;"mm)",ExceptionalData,4,FALSE),""))))))</f>
        <v/>
      </c>
      <c r="L72" s="152" t="str">
        <f t="shared" si="3"/>
        <v/>
      </c>
      <c r="M72" s="154" t="str">
        <f>IF(A72="","",IF(AND(ISERROR(FIND("drawer front",A72))=FALSE,WardrobeDoorStyle="Flat"),(((B72/1000)*(C72/1000))*2)+((((B72+C72)/1000)*2)*0.022),IF(AND(ISERROR(FIND("drawer front",A72))=FALSE,LEFT(WardrobeDoorStyle,5)="Panel"),(((B72/1000)*(C72/1000))*2)+((((B72+C72)/1000)*2)*0.022)+((((C72/1000)-0.16)*0.013)*2)+((((D72/1000)-0.16)*0.013)*2),IF(AND(ISERROR(FIND("drawer front",A72))=FALSE,WardrobeDoorStyle="In-frame flat"),((((B72-76)/1000)*((C72-38)/1000))*2)+(MID(WardrobeDoorMaterial,FIND("(",WardrobeDoorMaterial)+1,2)/1000)*((((B72-76)+(C72-38))/1000)*2)+(((B72/1000)*0.032)*2)+((((B72-76)/1000)*0.032)*2)+(((B72/1000)*0.019)*4)+(((C72/1000)*0.032)*2)+((((C72-38)/1000)*0.032)*2)+(((C72/1000)*0.038)*4),IF(AND(ISERROR(FIND("drawer front",A72))=FALSE,LEFT(WardrobeDoorStyle,14)="In-frame panel"),((((B72-76)/1000)*((C72-38)/1000))*2)+((MID(WardrobeDoorMaterial,FIND("(",WardrobeDoorMaterial)+1,2)/1000)*((((B72-76)+(C72-38))/1000)*2))+((((B72-236)/1000)+((C72-198)/1000)*2)*0.013)+(((B72/1000)*0.032)*2)+((((B72-76)/1000)*0.032)*2)+(((B72/1000)*0.019)*4)+(((C72/1000)*0.032)*2)+((((C72-38)/1000)*0.032)*2)+(((C72/1000)*0.038)*4),IF(ISERROR(FIND("drawer box",A72))=FALSE,((((B72/1000)*(D72/1000))+((B72/1000)*(C72/1000)))*4)+((((D72/1000)+(C72/1000))*0.016)*4)+(((C72/1000)*(D72/1000))*2),IF(OR(ISERROR(FIND("shelf",A72))=FALSE,ISERROR(FIND("Filler panel",A72))=FALSE),(((C72/1000)*(D72/1000))*2)+((((C72+D72)*2)/1000)*0.022),IF(ISERROR(FIND("Fireplace",A72))=FALSE,((B72/1000)*(C72/1000)),IF(ISERROR(FIND("Worktop",A72))=FALSE,(B72/1000)*(C72/1000),IF(ISERROR(FIND("table",A72))=FALSE,(B72/1000)*0.6,IF(ISERROR(FIND("arcass",A72))=FALSE,(((C72/1000)*(D72/1000))*2)+(((B72/1000)*(D72/1000))*2)+((B72/1000)*(C72/1000))+((((B72/1000)*0.025)+((C72/1000)*0.025))*2),IF(AND(ISERROR(FIND("door",A72))=FALSE,WardrobeDoorStyle="Flat"),(((B72/1000)*(C72/1000))*2)+(MID(WardrobeDoorMaterial,FIND("(",WardrobeDoorMaterial)+1,2)/1000)*(((B72+C72)/1000)*2),IF(AND(ISERROR(FIND("door",A72))=FALSE,LEFT(WardrobeDoorStyle,5)="Panel"),(((B72/1000)*(C72/1000))*2)+((MID(WardrobeDoorMaterial,FIND("(",WardrobeDoorMaterial)+1,2)/1000)*(((B72+C72)/1000)*2))+(((((B72-160)+(C72-160))*2)/1000)*(0.013)),IF(AND(ISERROR(FIND("door",A72))=FALSE,WardrobeDoorStyle="In-frame flat"),((((B72-76)/1000)*((C72-38)/1000))*2)+(MID(WardrobeDoorMaterial,FIND("(",WardrobeDoorMaterial)+1,2)/1000)*((((B72-76)+(C72-38))/1000)*2)+(((B72/1000)*0.032)*2)+((((B72-76)/1000)*0.032)*2)+(((B72/1000)*0.019)*4)+(((C72/1000)*0.032)*2)+((((C72-38)/1000)*0.032)*2)+(((C72/1000)*0.038)*4),IF(AND(ISERROR(FIND("door",A72))=FALSE,LEFT(WardrobeDoorStyle,14)="In-frame panel"),((((B72-76)/1000)*((C72-38)/1000))*2)+((MID(WardrobeDoorMaterial,FIND("(",WardrobeDoorMaterial)+1,2)/1000)*((((B72-76)+(C72-38))/1000)*2))+((((B72-236)/1000)+((C72-198)/1000)*2)*0.013)+(((B72/1000)*0.032)*2)+((((B72-76)/1000)*0.032)*2)+(((B72/1000)*0.019)*4)+(((C72/1000)*0.032)*2)+((((C72-38)/1000)*0.032)*2)+(((C72/1000)*0.038)*4),IF(ISERROR(FIND("Plinth",A72))=FALSE,((B72/1000)*(C72/1000))+(((C72/1000)*0.018)*2)+(((B72/1000)*0.018)*2),IF(ISERROR(FIND("Cornice",A72))=FALSE,(((C72/1000)*0.1)*2)+(((C72/1000)*0.044)*2)+(((B72/1000)*0.08)*2),IF(ISERROR(FIND("Office pod",A72))=FALSE,((2400/1000)*(1200/1000))*6,IF(ISERROR(FIND("panel",A72))=FALSE,((B72/1000)*(C72/1000))+(0.022*((B72/1000)+((C72/1000)*2)))+((B72/1000)*0.05),IF(ISERROR(FIND("Fillers",A72))=FALSE,((C72/1000)*0.06)+((C72/1000)*0.069)+((0.06*0.018)*2)+((0.06*0.009)*2)+((C72/1000)*0.009)+((C72/1000)*0.018),IF(ISERROR(FIND("Pelmet",A72))=FALSE,((C72/1000)*0.05)+((C72/1000)*0.068)+((0.05*0.018)*4)+(((C72/1000)*0.018))*2)))))))))))))))))))))</f>
        <v/>
      </c>
      <c r="N72" s="152" t="str">
        <f>IF(M72="","",IF(AND(ISERROR(FIND("carcass",A72))=TRUE,ISERROR(FIND("unit",A72))=TRUE,ISERROR(FIND("insert",A72))=TRUE,ISERROR(FIND("rack",A72))=TRUE,ISERROR(FIND("box",A72))=TRUE,ISERROR(FIND("shelf",A72))=TRUE),VLOOKUP(WardrobeDoorFinish,Finishing!$A$2:$K$10,9,0)*M72,IF(ISERROR(FIND("table",A72))=FALSE,VLOOKUP("Sayerlack AF0072 Interior Clear Self-Sealer",FinishingData,9,FALSE)*M72,VLOOKUP(WardrobeCarcassFinish,Finishing!$A$2:$K$40,9,0)*M72)))</f>
        <v/>
      </c>
      <c r="O72" s="159"/>
      <c r="P72" s="159"/>
      <c r="Q72" s="152" t="str">
        <f>IF(OR(O72="",P72=""),"",((O72*X72)*(VLOOKUP("Workshop",Labour!$A$3:$E$20,4,0)/8))+((P72*AE72)*(VLOOKUP("Finishing",Labour!$A$3:$E$20,4,0)/8)))</f>
        <v/>
      </c>
      <c r="R72" s="152" t="str">
        <f t="shared" si="4"/>
        <v/>
      </c>
      <c r="S72" s="156" t="str">
        <f>IF(OR(O72="",P72=""),"",IF(OR(ISERROR(FIND("carcass",$A72))=FALSE,ISERROR(FIND("unit",$A72))=FALSE),VLOOKUP(WardrobeCarcassMaterial,FixedListsCarcassMaterial,2,0),0))</f>
        <v/>
      </c>
      <c r="T72" s="156" t="str">
        <f>IF(OR(O72="",P72=""),"",IF(ISERROR(FIND("door",$A72))=FALSE,VLOOKUP(WardrobeDoorStyle,FixedListsDoorStyle,2,0),0))</f>
        <v/>
      </c>
      <c r="U72" s="156" t="str">
        <f>IF(OR(O72="",P72=""),"",IF(ISERROR(FIND("door",$A72))=FALSE,VLOOKUP(WardrobeDoorMaterial,FixedListsDoorMaterial,2,0),0))</f>
        <v/>
      </c>
      <c r="V72" s="156" t="str">
        <f>IF(OR(O72="",P72=""),"",IF(ISERROR(FIND("drawer",$A72))=FALSE,VLOOKUP(WardrobeDrawerType,FixedListsDrawerType,2,0),0))</f>
        <v/>
      </c>
      <c r="W72" s="156" t="str">
        <f>IF(OR(O72="",P72=""),"",IF(S72&gt;0,VLOOKUP(WardrobeHandleType,FixedListsHandleType,2,FALSE),0))</f>
        <v/>
      </c>
      <c r="X72" s="156" t="str">
        <f t="shared" si="5"/>
        <v/>
      </c>
      <c r="Y72" s="156" t="str">
        <f>IF(OR(O72="",P72=""),"",IF(OR(ISERROR(FIND("carcass",$A72))=FALSE,ISERROR(FIND("unit",$A72))=FALSE),VLOOKUP(WardrobeCarcassMaterial,FixedListsCarcassMaterial,3,0),0))</f>
        <v/>
      </c>
      <c r="Z72" s="156" t="str">
        <f>IF(OR(O72="",P72=""),"",IF(ISERROR(FIND("door",$A72))=FALSE,VLOOKUP(WardrobeDoorStyle,FixedListsDoorStyle,3,0),0))</f>
        <v/>
      </c>
      <c r="AA72" s="156" t="str">
        <f>IF(OR(O72="",P72=""),"",IF(ISERROR(FIND("door",$A72))=FALSE,VLOOKUP(WardrobeDoorMaterial,FixedListsDoorMaterial,3,0),0))</f>
        <v/>
      </c>
      <c r="AB72" s="156" t="str">
        <f>IF(OR(O72="",P72=""),"",IF(ISERROR(FIND("drawer",$A72))=FALSE,VLOOKUP(WardrobeDrawerType,FixedListsDrawerType,3,0),0))</f>
        <v/>
      </c>
      <c r="AC72" s="156" t="str">
        <f>IF(OR(O72="",P72=""),"",IF(S72&gt;0,VLOOKUP(WardrobeHandleType,FixedListsHandleType,3,FALSE),0))</f>
        <v/>
      </c>
      <c r="AD72" s="156" t="str">
        <f>IF(OR(O72="",P72=""),"",IF(OR(ISERROR(FIND("carcass",$A72))=FALSE,ISERROR(FIND("unit",$A72))=FALSE),VLOOKUP(WardrobeCarcassFinish,FixedListsFinishes,3,0),IF(OR(ISERROR(FIND("door",$A72))=FALSE,ISERROR(FIND("Plinth",$A72))=FALSE,ISERROR(FIND("Cornice",$A72))=FALSE,ISERROR(FIND("Fillers",$A72))=FALSE,ISERROR(FIND("Pelmet",$A72))=FALSE,ISERROR(FIND("panel",$A72))=FALSE,ISERROR(FIND("post",$A72))=FALSE),VLOOKUP(WardrobeDoorFinish,FixedListsFinishes,3,0),IF(OR(ISERROR(FIND("drawer",$A72))=FALSE,ISERROR(FIND("insert",$A72))=FALSE,ISERROR(FIND("rck",$A72))=FALSE),VLOOKUP(WardrobeCarcassFinish,FixedListsFinishes,3,0),0))))</f>
        <v/>
      </c>
      <c r="AE72" s="156" t="str">
        <f t="shared" si="6"/>
        <v/>
      </c>
      <c r="AF72" s="157" t="str">
        <f>IF(AND(WardrobeHandleType="Channel",OR(ISERROR(FIND("arcass",$A72))=FALSE,ISERROR(FIND("unit",$A72))=FALSE)),IF(ISERROR(FIND("Tower",$A72))=TRUE,IF(WardrobeHandleFinish="Match carcass",IF(ISERROR(FIND("Walnut",WardrobeCarcassMaterial))=FALSE,(0.035*0.075*($C72/1000))*VLOOKUP("Walnut (solid m3)",SolidData,4,FALSE),IF(ISERROR(FIND("Oak",WardrobeCarcassMaterial))=FALSE,(0.035*0.075*($C72/1000))*VLOOKUP("Oak (solid m3)",SolidData,4,FALSE),IF(ISERROR(FIND("ply",WardrobeCarcassMaterial))=FALSE,(0.1*($C72/1000))*VLOOKUP("Birch ply (24mm)",SheetsData,7,FALSE),IF(ISERROR(FIND("H/F",WardrobeCarcassMaterial))=FALSE,(0.1*($C72/1000))*VLOOKUP("H/F (22mm)",SheetsData,7,FALSE),"Carcass - not tower - new material")))),IF(WardrobeHandleFinish="Match door",IF(ISERROR(FIND("Walnut",WardrobeDoorMaterial))=FALSE,(0.035*0.075*($C72/1000))*VLOOKUP("Walnut (solid m3)",SolidData,4,FALSE),IF(ISERROR(FIND("Oak",WardrobeDoorMaterial))=FALSE,(0.035*0.075*($C72/1000))*VLOOKUP("Oak (solid m3)",SolidData,4,FALSE),IF(ISERROR(FIND("ply",WardrobeDoorMaterial))=FALSE,(0.1*($C72/1000))*VLOOKUP("Birch ply (24mm)",SheetsData,7,FALSE),IF(ISERROR(FIND("H/F",WardrobeCarcassMaterial))=FALSE,(0.1*($C72/1000))*VLOOKUP("H/F (22mm)",SheetsData,7,FALSE),"Door - not tower - new material")))),"Channel - not tower - handle set to other")),IF(ISERROR(FIND("Tower",$A72))=FALSE,IF(WardrobeHandleFinish="Match carcass",IF(ISERROR(FIND("Walnut",WardrobeCarcassMaterial))=FALSE,(0.035*0.075*($B72/1000))*VLOOKUP("Walnut (solid m3)",SolidData,4,FALSE),IF(ISERROR(FIND("Oak",WardrobeCarcassMaterial))=FALSE,(0.035*0.075*($B72/1000))*VLOOKUP("Oak (solid m3)",SolidData,4,FALSE),IF(ISERROR(FIND("ply",WardrobeCarcassMaterial))=FALSE,(0.1*($B72/1000))*VLOOKUP("Birch ply (24mm)",SheetsData,7,FALSE),IF(ISERROR(FIND("H/F",WardrobeCarcassMaterial))=FALSE,(0.1*($C72/1000))*VLOOKUP("H/F (22mm)",SheetsData,7,FALSE),"Carcass - tower - new material")))),IF(WardrobeHandleFinish="Match door",IF(ISERROR(FIND("Walnut",WardrobeDoorMaterial))=FALSE,(0.035*0.075*($B72/1000))*VLOOKUP("Walnut (solid m3)",SolidData,4,FALSE),IF(ISERROR(FIND("Oak",WardrobeDoorMaterial))=FALSE,(0.035*0.075*($B72/1000))*VLOOKUP("Oak (solid m3)",SolidData,4,FALSE),IF(ISERROR(FIND("ply",WardrobeDoorMaterial))=FALSE,(0.1*($B72/1000))*VLOOKUP("Birch ply (24mm)",SheetData,7,FALSE),IF(ISERROR(FIND("H/F",WardrobeCarcassMaterial))=FALSE,(0.1*($C72/1000))*VLOOKUP("H/F (22mm)",SheetsData,7,FALSE),"Door - tower - new material")))),"Channel - tower - handle set to other")))),"")</f>
        <v/>
      </c>
    </row>
    <row r="73">
      <c r="A73" s="150"/>
      <c r="B73" s="160" t="str">
        <f t="shared" si="1"/>
        <v/>
      </c>
      <c r="C73" s="160" t="str">
        <f>IFERROR(__xludf.DUMMYFUNCTION("IF(A73="""","""",IF(ISERROR(FIND(""arcass"",A73))=FALSE,MID(A73,FIND(""*"",A73)+1,FIND(""*"",A73,FIND(""*"",A73)+1)-FIND(""*"",A73)-1),IF(ISERROR(FIND(""End panel"",A73))=FALSE,RIGHT(A73,3),IF(OR(ISERROR(FIND(""drawer"",A73))=FALSE,ISERROR(FIND(""door"",A"&amp;"73))=FALSE,ISERROR(FIND(""shelf"",A73))=FALSE,ISERROR(FIND(""panel"",A73))=FALSE,ISERROR(FIND(""Plinth"",A73))=FALSE,ISERROR(FIND(""Cornice"",A73))=FALSE,ISERROR(FIND(""Fillers"",A73))=FALSE,ISERROR(FIND(""Pelmet"",A73))=FALSE,ISERROR(FIND(""Fireplace up "&amp;"to 1600"",A73))=FALSE),RIGHT(A73,LEN(A73)-LEN(regexextract(A73,"".* ""))),IF(ISERROR(FIND(""table"",A73))=FALSE,""560"",IF(ISERROR(FIND(""Office pod"",A73))=FALSE,""1600"",IF(ISERROR(FIND(""Fireplace over 1600"",A73))=FALSE,""2400"",IF(ISERROR(FIND(""Work"&amp;"top"",A73))=FALSE,""650"",""Whoops""))))))))"),"")</f>
        <v/>
      </c>
      <c r="D73" s="161" t="str">
        <f t="shared" si="2"/>
        <v/>
      </c>
      <c r="E73" s="152" t="str">
        <f>IF(OR(A73="",AND(ISERROR(FIND("drawer",A73))=FALSE,WardrobeDrawerType="")),"",IF(ISERROR(FIND("door",A73))=FALSE,IF(WardrobeDoorStyle="Flat",((B73/1000)*(C73/1000))*VLOOKUP(WardrobeDoorMaterial,SheetsData,8,0),IF(LEFT(WardrobeDoorStyle,5)="Panel",(((((B73/1000)*2)*0.08)+((((C73/1000)-0.16)*2)*0.08))*VLOOKUP("H/F (22mm)",SheetsData,8,0))+(((B73/1000)-0.14)*((C73/1000)-0.14)*VLOOKUP("H/F (9mm)",SheetsData,8,0)),IF(WardrobeDoorStyle="In-frame flat",((((((B73/1000)*0.019)*0.038)+((((C73-38)/1000)*0.038)*0.038))*2)*VLOOKUP("Tulip (solid m3)",SolidData,4,0))+(((B73-76)/1000)*((C73-38)/1000))*VLOOKUP("H/F (22mm)",SheetsData,8,0),IF(LEFT(WardrobeDoorStyle,14)="In-frame panel",(((((((B73/1000)*0.019)*0.038)+((((C73-38)/1000)*0.038)*0.038))*2)*VLOOKUP("Tulip (solid m3)",SolidData,4,0))+(((((((B73-76)/1000)*2)*0.08)+(((((C73-198)/1000)*2)*0.08)))*VLOOKUP("H/F (22mm)",SheetsData,8,0))+(((B73-216)/1000)*((C73-178)/1000)*VLOOKUP("H/F (9mm)",SheetsData,8,0)))))))),IF(AND(ISERROR(FIND("arcass",A73))=FALSE,ISERROR(FIND("ost corner",A73))=TRUE),IF(AND(VALUE(B73)&lt;1211,VALUE(C73)&lt;1211,VALUE(D73)&lt;606),1*VLOOKUP(WardrobeCarcassMaterial,SheetsData,5,FALSE),IF(AND(VALUE(B73)&lt;2421,VALUE(C73)&lt;2421,VALUE(D73)&lt;606),2*VLOOKUP(WardrobeCarcassMaterial,SheetsData,5,FALSE),IF(AND(VALUE(B73)&lt;2421,VALUE(C73)&lt;1211,VALUE(D73)&lt;1211),3*VLOOKUP(WardrobeCarcassMaterial,SheetsData,5,FALSE),IF(AND(VALUE(B73)&lt;2421,VALUE(C73)&lt;2421,VALUE(D73)&lt;1211),4*VLOOKUP(WardrobeCarcassMaterial,SheetsData,5,FALSE))))),IF(AND(ISERROR(FIND("arcass",A73))=FALSE,ISERROR(FIND("ost corner",A73))=FALSE),IF(AND(VALUE(B73)&lt;1211,VALUE(C73)&lt;1211,VALUE(D73)&lt;606),(1*VLOOKUP(WardrobeCarcassMaterial,SheetsData,5,FALSE))+(VLOOKUP("H/F (22mm)",SheetsData,7,FALSE)*1.44),IF(AND(VALUE(B73)&lt;2421,VALUE(C73)&lt;2421,VALUE(D73)&lt;606),(2*VLOOKUP(WardrobeCarcassMaterial,SheetsData,5,FALSE))+(VLOOKUP("H/F (22mm)",SheetsData,7,FALSE)*1.44),IF(AND(VALUE(B73)&lt;2421,VALUE(C73)&lt;1211,VALUE(D73)&lt;1211),(3*VLOOKUP(WardrobeCarcassMaterial,SheetsData,5,FALSE))+(VLOOKUP("H/F (22mm)",SheetsData,7,FALSE)*1.44),IF(AND(VALUE(B73)&lt;2421,VALUE(C73)&lt;2421,VALUE(D73)&lt;1211),(4*VLOOKUP(WardrobeCarcassMaterial,SheetsData,5,FALSE))+(VLOOKUP("H/F (22mm)",SheetsData,7,FALSE)*1.44))))),IF(ISERROR(FIND("drawer front",A73))=FALSE,((B73/1000)*(C73/1000))*VLOOKUP(WardrobeDoorMaterial,SheetsData,8,0),IF(AND(WardrobeDrawerType="Match carcass",ISERROR(FIND("drawer box",A73))=FALSE),(((((B73/1000)*(C73/1000))+((B73/1000)*(D73/1000)))*2)*VLOOKUP(WardrobeCarcassMaterial,SheetsData,8,0))+(((C73/1000)*(D73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box",A73))=FALSE),(((((B73/1000)*(C73/1000))+((B73/1000)*(D73/1000)))*2)*(16/1000)*VLOOKUP(LEFT(WardrobeCarcassMaterial,FIND(" ",WardrobeCarcassMaterial))&amp;"(solid m3)",SolidData,4,0))+(((C73/1000)*(D73/1000))*VLOOKUP(LEFT(WardrobeCarcassMaterial,FIND("(",WardrobeCarcassMaterial)-1)&amp;IF(OR(ISERROR(FIND("ply",WardrobeCarcassMaterial))=FALSE,ISERROR(FIND("H/F",WardrobeCarcassMaterial))=FALSE),"(9mm)","(10mm)"),SheetsData,8,0)),IF(ISERROR(FIND("shelf",A73))=FALSE,((C73/1000)*(D73/1000))*VLOOKUP(WardrobeCarcassMaterial,SheetsData,7,FALSE),IF(ISERROR(FIND("Office pod",A73))=FALSE,3*VLOOKUP(WardrobeCarcassMaterial,SheetsData,5,0),IF(ISERROR(FIND(" panel",A73))=FALSE,((B73/1000)*(C73/1000))*VLOOKUP(WardrobeDoorMaterial,SheetsData,8,0),IF(ISERROR(FIND("Fillers",A73))=FALSE,(((0.06*(C73/1000))*2)*VLOOKUP("H/F (18mm)",SheetsData,8,0))+(((0.06*(C73/1000))*2)*VLOOKUP("H/F (9mm)",SheetsData,8,0)),IF(ISERROR(FIND("Cornice (stacked)",A73))=FALSE,((0.08*(C73/1000))*2)*VLOOKUP("H/F (22mm)",SheetsData,8,0),IF(OR(ISERROR(FIND("Plinth",A73))=FALSE,ISERROR(FIND("Cornice (flat)",A73))=FALSE),((B73/1000)*(C73/1000))*VLOOKUP("H/F (18mm)",SheetsData,8,0),IF(ISERROR(FIND("Pelmet",A73))=FALSE,((((B73/1000)*(C73/1000))*2)*VLOOKUP("H/F (18mm)",SheetsData,8,0)),IF(ISERROR(FIND("Fireplace",A73))=FALSE,IF(ISERROR(FIND("over 1600",A73))=FALSE,2*VLOOKUP(WardrobeCarcassMaterial,SheetsData,5,FALSE),VLOOKUP(WardrobeCarcassMaterial,SheetsData,5,FALSE)),IF(ISERROR(FIND("table",A73))=FALSE,((B73/1000)*0.6)*VLOOKUP("Birch ply (24mm)",SheetsData,7,FALSE),IF(ISERROR(FIND("Worktop",A73))=FALSE,((B73/1000)*(C73/1000))*VLOOKUP(WardrobeDoorMaterial,SheetsData,7,FALSE),"Check formula")))))))))))))))))</f>
        <v/>
      </c>
      <c r="F73" s="152" t="str">
        <f>IFERROR(__xludf.DUMMYFUNCTION("IF(OR(A73="""",AND(ISERROR(FIND(""drawer box"",A73))=FALSE,WardrobeDrawerType=""Solid dovetail"")),"""",IF(ISERROR(FIND(""bins"",A73))=FALSE,VLOOKUP(""Base carcass 600"",Wardrobes_etcData,6,0),IF(OR(ISERROR(FIND(""larder"",A73))=FALSE,ISERROR(FIND(""unit"&amp;""",A73))=FALSE),VLOOKUP(LEFT(A73,FIND("" "",A73))&amp;""carcass ""&amp;RIGHT(A73,LEN(A73)-len(regexextract(A73,"".* ""))),Wardrobes_etcData,6,0),IF(ISERROR(FIND(""drawer front"",A73))=FALSE,IF(ISERROR(FIND(""veneer"",WardrobeCarcassMaterial))=TRUE,0,(((B73+C73)/1"&amp;"000)*2)*VLOOKUP(""Edge banding (per M)"",SheetsData,5,0)),IF(ISERROR(FIND(""drawer box"",A73))=FALSE,IF(ISERROR(FIND(""veneer"",WardrobeCarcassMaterial))=TRUE,0,(((C73+D73)/1000)*2)*VLOOKUP(""Edge banding (per M)"",SheetsData,5,0)),IF(ISERROR(FIND(""shelf"&amp;""",A73))=FALSE,IF(ISERROR(FIND(""veneer"",WardrobeCarcassMaterial))=TRUE,0,(C73/1000)*VLOOKUP(""Edge banding (per M)"",SheetsData,5,0)),IF(AND(OR(ISERROR(FIND(""arcass"",A73))=FALSE,ISERROR(FIND(""Fireplace"",A73))=FALSE),ISERROR(FIND(""shelf"",A73))=TRUE"&amp;"),IF(ISERROR(FIND(""veneer"",WardrobeCarcassMaterial))=TRUE,0,((2*(B73+C73))/1000)*VLOOKUP(""Edge banding (per M)"",SheetsData,5,0)),IF(ISERROR(FIND(""door"",A73))=TRUE,"""",IF(ISERROR(FIND(""veneer"",WardrobeDoorMaterial))=TRUE,"""",((2*(B73+C73))/1000)*"&amp;"VLOOKUP(""Edge banding (per M)"",SheetsData,5,0))))))))))"),"")</f>
        <v/>
      </c>
      <c r="G73" s="153" t="str">
        <f>IF(A73="","",IF(AND(ISERROR(FIND("arcass",A73))=TRUE,ISERROR(FIND("Fireplace",A73))=TRUE),"",IF(VALUE(C73)&lt;606,4*VLOOKUP("Plinth foot (2 Parts 80mm)",FurnitureData,5,FALSE),IF(VALUE(C73)&lt;1211,6*VLOOKUP("Plinth foot (2 Parts 80mm)",FurnitureData,5,FALSE),8*VLOOKUP("Plinth foot (2 Parts 80mm)",FurnitureData,5,FALSE)))))</f>
        <v/>
      </c>
      <c r="H73" s="115" t="str">
        <f>IF(OR(A73="",ISERROR(FIND("door",A73))=TRUE),"",VLOOKUP("Hinges &amp; plates (Hettich thick door)",FurnitureData,5,0)*5)</f>
        <v/>
      </c>
      <c r="I73" s="115" t="str">
        <f>IF(ISERROR(FIND("shelf",A73))=FALSE,(VLOOKUP("Shelf pegs",FurnitureData,5,0)/100)*4,"")</f>
        <v/>
      </c>
      <c r="J73" s="152" t="str">
        <f>IF(OR(ISERROR(FIND("fridge/freezer",A73))=FALSE,ISERROR(FIND("sink",A73))=FALSE,ISERROR(FIND("larder",A73))=FALSE),VLOOKUP("Deep shelf "&amp;C73,Wardrobes_etcData,18,0),IF(OR(ISERROR(FIND("single oven",A73))=FALSE,ISERROR(FIND("Base carcass",A73))=FALSE),2*VLOOKUP("Deep shelf "&amp;C73,Wardrobes_etcData,18,0),IF(AND(ISERROR(FIND("wall carcass",A73))=FALSE,ISERROR(FIND("Boiler",A73))=TRUE),2*VLOOKUP("Shallow shelf "&amp;C73,Wardrobes_etcData,18,0),IF(ISERROR(FIND("double oven",A73))=FALSE,3*VLOOKUP("Deep shelf "&amp;C73,Wardrobes_etcData,18,0),IF(ISERROR(FIND("Tower carcass",A73))=FALSE,6*VLOOKUP("Deep shelf "&amp;C73,Wardrobes_etcData,18,0),"")))))</f>
        <v/>
      </c>
      <c r="K73" s="152" t="str">
        <f>IF(ISERROR(FIND("sink",A73))=FALSE,VLOOKUP("Sink liner - Aluminium "&amp;RIGHT(A73,LEN(A73)-22)&amp;"mm",ExceptionalData,5,0),IF(ISERROR(FIND("bins",A73))=FALSE,VLOOKUP("Drawer runners and clip set for bin unit (500) Dynapro",FurnitureData,5,0)+(2*VLOOKUP("Bin (42L Anthracite)",FurnitureData,5,0)),IF(ISERROR(FIND("larder",A73))=FALSE,VLOOKUP("Pull out larder unit 600mm",FurnitureData,5,0),IF(AND(ISERROR(FIND("drawer box",A73))=FALSE,ISERROR(FIND("internal",A73))=TRUE),VLOOKUP("Drawer runners and clip set (550) Dynapro",FurnitureData,5,0),IF(ISERROR(FIND("internal drawer box",A73))=FALSE,VLOOKUP("Drawer runners and clip set (450) Dynapro",FurnitureData,5,0),IF(ISERROR(FIND("table",A73))=FALSE,VLOOKUP("Hairpin Leg (12mm Black "&amp;MID(A73,FIND("(",A73)+1,LEN(A73)-(FIND("(",A73))-1)&amp;"mm)",ExceptionalData,4,FALSE),""))))))</f>
        <v/>
      </c>
      <c r="L73" s="152" t="str">
        <f t="shared" si="3"/>
        <v/>
      </c>
      <c r="M73" s="154" t="str">
        <f>IF(A73="","",IF(AND(ISERROR(FIND("drawer front",A73))=FALSE,WardrobeDoorStyle="Flat"),(((B73/1000)*(C73/1000))*2)+((((B73+C73)/1000)*2)*0.022),IF(AND(ISERROR(FIND("drawer front",A73))=FALSE,LEFT(WardrobeDoorStyle,5)="Panel"),(((B73/1000)*(C73/1000))*2)+((((B73+C73)/1000)*2)*0.022)+((((C73/1000)-0.16)*0.013)*2)+((((D73/1000)-0.16)*0.013)*2),IF(AND(ISERROR(FIND("drawer front",A73))=FALSE,WardrobeDoorStyle="In-frame flat"),((((B73-76)/1000)*((C73-38)/1000))*2)+(MID(WardrobeDoorMaterial,FIND("(",WardrobeDoorMaterial)+1,2)/1000)*((((B73-76)+(C73-38))/1000)*2)+(((B73/1000)*0.032)*2)+((((B73-76)/1000)*0.032)*2)+(((B73/1000)*0.019)*4)+(((C73/1000)*0.032)*2)+((((C73-38)/1000)*0.032)*2)+(((C73/1000)*0.038)*4),IF(AND(ISERROR(FIND("drawer front",A73))=FALSE,LEFT(WardrobeDoorStyle,14)="In-frame panel"),((((B73-76)/1000)*((C73-38)/1000))*2)+((MID(WardrobeDoorMaterial,FIND("(",WardrobeDoorMaterial)+1,2)/1000)*((((B73-76)+(C73-38))/1000)*2))+((((B73-236)/1000)+((C73-198)/1000)*2)*0.013)+(((B73/1000)*0.032)*2)+((((B73-76)/1000)*0.032)*2)+(((B73/1000)*0.019)*4)+(((C73/1000)*0.032)*2)+((((C73-38)/1000)*0.032)*2)+(((C73/1000)*0.038)*4),IF(ISERROR(FIND("drawer box",A73))=FALSE,((((B73/1000)*(D73/1000))+((B73/1000)*(C73/1000)))*4)+((((D73/1000)+(C73/1000))*0.016)*4)+(((C73/1000)*(D73/1000))*2),IF(OR(ISERROR(FIND("shelf",A73))=FALSE,ISERROR(FIND("Filler panel",A73))=FALSE),(((C73/1000)*(D73/1000))*2)+((((C73+D73)*2)/1000)*0.022),IF(ISERROR(FIND("Fireplace",A73))=FALSE,((B73/1000)*(C73/1000)),IF(ISERROR(FIND("Worktop",A73))=FALSE,(B73/1000)*(C73/1000),IF(ISERROR(FIND("table",A73))=FALSE,(B73/1000)*0.6,IF(ISERROR(FIND("arcass",A73))=FALSE,(((C73/1000)*(D73/1000))*2)+(((B73/1000)*(D73/1000))*2)+((B73/1000)*(C73/1000))+((((B73/1000)*0.025)+((C73/1000)*0.025))*2),IF(AND(ISERROR(FIND("door",A73))=FALSE,WardrobeDoorStyle="Flat"),(((B73/1000)*(C73/1000))*2)+(MID(WardrobeDoorMaterial,FIND("(",WardrobeDoorMaterial)+1,2)/1000)*(((B73+C73)/1000)*2),IF(AND(ISERROR(FIND("door",A73))=FALSE,LEFT(WardrobeDoorStyle,5)="Panel"),(((B73/1000)*(C73/1000))*2)+((MID(WardrobeDoorMaterial,FIND("(",WardrobeDoorMaterial)+1,2)/1000)*(((B73+C73)/1000)*2))+(((((B73-160)+(C73-160))*2)/1000)*(0.013)),IF(AND(ISERROR(FIND("door",A73))=FALSE,WardrobeDoorStyle="In-frame flat"),((((B73-76)/1000)*((C73-38)/1000))*2)+(MID(WardrobeDoorMaterial,FIND("(",WardrobeDoorMaterial)+1,2)/1000)*((((B73-76)+(C73-38))/1000)*2)+(((B73/1000)*0.032)*2)+((((B73-76)/1000)*0.032)*2)+(((B73/1000)*0.019)*4)+(((C73/1000)*0.032)*2)+((((C73-38)/1000)*0.032)*2)+(((C73/1000)*0.038)*4),IF(AND(ISERROR(FIND("door",A73))=FALSE,LEFT(WardrobeDoorStyle,14)="In-frame panel"),((((B73-76)/1000)*((C73-38)/1000))*2)+((MID(WardrobeDoorMaterial,FIND("(",WardrobeDoorMaterial)+1,2)/1000)*((((B73-76)+(C73-38))/1000)*2))+((((B73-236)/1000)+((C73-198)/1000)*2)*0.013)+(((B73/1000)*0.032)*2)+((((B73-76)/1000)*0.032)*2)+(((B73/1000)*0.019)*4)+(((C73/1000)*0.032)*2)+((((C73-38)/1000)*0.032)*2)+(((C73/1000)*0.038)*4),IF(ISERROR(FIND("Plinth",A73))=FALSE,((B73/1000)*(C73/1000))+(((C73/1000)*0.018)*2)+(((B73/1000)*0.018)*2),IF(ISERROR(FIND("Cornice",A73))=FALSE,(((C73/1000)*0.1)*2)+(((C73/1000)*0.044)*2)+(((B73/1000)*0.08)*2),IF(ISERROR(FIND("Office pod",A73))=FALSE,((2400/1000)*(1200/1000))*6,IF(ISERROR(FIND("panel",A73))=FALSE,((B73/1000)*(C73/1000))+(0.022*((B73/1000)+((C73/1000)*2)))+((B73/1000)*0.05),IF(ISERROR(FIND("Fillers",A73))=FALSE,((C73/1000)*0.06)+((C73/1000)*0.069)+((0.06*0.018)*2)+((0.06*0.009)*2)+((C73/1000)*0.009)+((C73/1000)*0.018),IF(ISERROR(FIND("Pelmet",A73))=FALSE,((C73/1000)*0.05)+((C73/1000)*0.068)+((0.05*0.018)*4)+(((C73/1000)*0.018))*2)))))))))))))))))))))</f>
        <v/>
      </c>
      <c r="N73" s="152" t="str">
        <f>IF(M73="","",IF(AND(ISERROR(FIND("carcass",A73))=TRUE,ISERROR(FIND("unit",A73))=TRUE,ISERROR(FIND("insert",A73))=TRUE,ISERROR(FIND("rack",A73))=TRUE,ISERROR(FIND("box",A73))=TRUE,ISERROR(FIND("shelf",A73))=TRUE),VLOOKUP(WardrobeDoorFinish,Finishing!$A$2:$K$10,9,0)*M73,IF(ISERROR(FIND("table",A73))=FALSE,VLOOKUP("Sayerlack AF0072 Interior Clear Self-Sealer",FinishingData,9,FALSE)*M73,VLOOKUP(WardrobeCarcassFinish,Finishing!$A$2:$K$40,9,0)*M73)))</f>
        <v/>
      </c>
      <c r="O73" s="159"/>
      <c r="P73" s="159"/>
      <c r="Q73" s="152" t="str">
        <f>IF(OR(O73="",P73=""),"",((O73*X73)*(VLOOKUP("Workshop",Labour!$A$3:$E$20,4,0)/8))+((P73*AE73)*(VLOOKUP("Finishing",Labour!$A$3:$E$20,4,0)/8)))</f>
        <v/>
      </c>
      <c r="R73" s="152" t="str">
        <f t="shared" si="4"/>
        <v/>
      </c>
      <c r="S73" s="156" t="str">
        <f>IF(OR(O73="",P73=""),"",IF(OR(ISERROR(FIND("carcass",$A73))=FALSE,ISERROR(FIND("unit",$A73))=FALSE),VLOOKUP(WardrobeCarcassMaterial,FixedListsCarcassMaterial,2,0),0))</f>
        <v/>
      </c>
      <c r="T73" s="156" t="str">
        <f>IF(OR(O73="",P73=""),"",IF(ISERROR(FIND("door",$A73))=FALSE,VLOOKUP(WardrobeDoorStyle,FixedListsDoorStyle,2,0),0))</f>
        <v/>
      </c>
      <c r="U73" s="156" t="str">
        <f>IF(OR(O73="",P73=""),"",IF(ISERROR(FIND("door",$A73))=FALSE,VLOOKUP(WardrobeDoorMaterial,FixedListsDoorMaterial,2,0),0))</f>
        <v/>
      </c>
      <c r="V73" s="156" t="str">
        <f>IF(OR(O73="",P73=""),"",IF(ISERROR(FIND("drawer",$A73))=FALSE,VLOOKUP(WardrobeDrawerType,FixedListsDrawerType,2,0),0))</f>
        <v/>
      </c>
      <c r="W73" s="156" t="str">
        <f>IF(OR(O73="",P73=""),"",IF(S73&gt;0,VLOOKUP(WardrobeHandleType,FixedListsHandleType,2,FALSE),0))</f>
        <v/>
      </c>
      <c r="X73" s="156" t="str">
        <f t="shared" si="5"/>
        <v/>
      </c>
      <c r="Y73" s="156" t="str">
        <f>IF(OR(O73="",P73=""),"",IF(OR(ISERROR(FIND("carcass",$A73))=FALSE,ISERROR(FIND("unit",$A73))=FALSE),VLOOKUP(WardrobeCarcassMaterial,FixedListsCarcassMaterial,3,0),0))</f>
        <v/>
      </c>
      <c r="Z73" s="156" t="str">
        <f>IF(OR(O73="",P73=""),"",IF(ISERROR(FIND("door",$A73))=FALSE,VLOOKUP(WardrobeDoorStyle,FixedListsDoorStyle,3,0),0))</f>
        <v/>
      </c>
      <c r="AA73" s="156" t="str">
        <f>IF(OR(O73="",P73=""),"",IF(ISERROR(FIND("door",$A73))=FALSE,VLOOKUP(WardrobeDoorMaterial,FixedListsDoorMaterial,3,0),0))</f>
        <v/>
      </c>
      <c r="AB73" s="156" t="str">
        <f>IF(OR(O73="",P73=""),"",IF(ISERROR(FIND("drawer",$A73))=FALSE,VLOOKUP(WardrobeDrawerType,FixedListsDrawerType,3,0),0))</f>
        <v/>
      </c>
      <c r="AC73" s="156" t="str">
        <f>IF(OR(O73="",P73=""),"",IF(S73&gt;0,VLOOKUP(WardrobeHandleType,FixedListsHandleType,3,FALSE),0))</f>
        <v/>
      </c>
      <c r="AD73" s="156" t="str">
        <f>IF(OR(O73="",P73=""),"",IF(OR(ISERROR(FIND("carcass",$A73))=FALSE,ISERROR(FIND("unit",$A73))=FALSE),VLOOKUP(WardrobeCarcassFinish,FixedListsFinishes,3,0),IF(OR(ISERROR(FIND("door",$A73))=FALSE,ISERROR(FIND("Plinth",$A73))=FALSE,ISERROR(FIND("Cornice",$A73))=FALSE,ISERROR(FIND("Fillers",$A73))=FALSE,ISERROR(FIND("Pelmet",$A73))=FALSE,ISERROR(FIND("panel",$A73))=FALSE,ISERROR(FIND("post",$A73))=FALSE),VLOOKUP(WardrobeDoorFinish,FixedListsFinishes,3,0),IF(OR(ISERROR(FIND("drawer",$A73))=FALSE,ISERROR(FIND("insert",$A73))=FALSE,ISERROR(FIND("rck",$A73))=FALSE),VLOOKUP(WardrobeCarcassFinish,FixedListsFinishes,3,0),0))))</f>
        <v/>
      </c>
      <c r="AE73" s="156" t="str">
        <f t="shared" si="6"/>
        <v/>
      </c>
      <c r="AF73" s="157" t="str">
        <f>IF(AND(WardrobeHandleType="Channel",OR(ISERROR(FIND("arcass",$A73))=FALSE,ISERROR(FIND("unit",$A73))=FALSE)),IF(ISERROR(FIND("Tower",$A73))=TRUE,IF(WardrobeHandleFinish="Match carcass",IF(ISERROR(FIND("Walnut",WardrobeCarcassMaterial))=FALSE,(0.035*0.075*($C73/1000))*VLOOKUP("Walnut (solid m3)",SolidData,4,FALSE),IF(ISERROR(FIND("Oak",WardrobeCarcassMaterial))=FALSE,(0.035*0.075*($C73/1000))*VLOOKUP("Oak (solid m3)",SolidData,4,FALSE),IF(ISERROR(FIND("ply",WardrobeCarcassMaterial))=FALSE,(0.1*($C73/1000))*VLOOKUP("Birch ply (24mm)",SheetsData,7,FALSE),IF(ISERROR(FIND("H/F",WardrobeCarcassMaterial))=FALSE,(0.1*($C73/1000))*VLOOKUP("H/F (22mm)",SheetsData,7,FALSE),"Carcass - not tower - new material")))),IF(WardrobeHandleFinish="Match door",IF(ISERROR(FIND("Walnut",WardrobeDoorMaterial))=FALSE,(0.035*0.075*($C73/1000))*VLOOKUP("Walnut (solid m3)",SolidData,4,FALSE),IF(ISERROR(FIND("Oak",WardrobeDoorMaterial))=FALSE,(0.035*0.075*($C73/1000))*VLOOKUP("Oak (solid m3)",SolidData,4,FALSE),IF(ISERROR(FIND("ply",WardrobeDoorMaterial))=FALSE,(0.1*($C73/1000))*VLOOKUP("Birch ply (24mm)",SheetsData,7,FALSE),IF(ISERROR(FIND("H/F",WardrobeCarcassMaterial))=FALSE,(0.1*($C73/1000))*VLOOKUP("H/F (22mm)",SheetsData,7,FALSE),"Door - not tower - new material")))),"Channel - not tower - handle set to other")),IF(ISERROR(FIND("Tower",$A73))=FALSE,IF(WardrobeHandleFinish="Match carcass",IF(ISERROR(FIND("Walnut",WardrobeCarcassMaterial))=FALSE,(0.035*0.075*($B73/1000))*VLOOKUP("Walnut (solid m3)",SolidData,4,FALSE),IF(ISERROR(FIND("Oak",WardrobeCarcassMaterial))=FALSE,(0.035*0.075*($B73/1000))*VLOOKUP("Oak (solid m3)",SolidData,4,FALSE),IF(ISERROR(FIND("ply",WardrobeCarcassMaterial))=FALSE,(0.1*($B73/1000))*VLOOKUP("Birch ply (24mm)",SheetsData,7,FALSE),IF(ISERROR(FIND("H/F",WardrobeCarcassMaterial))=FALSE,(0.1*($C73/1000))*VLOOKUP("H/F (22mm)",SheetsData,7,FALSE),"Carcass - tower - new material")))),IF(WardrobeHandleFinish="Match door",IF(ISERROR(FIND("Walnut",WardrobeDoorMaterial))=FALSE,(0.035*0.075*($B73/1000))*VLOOKUP("Walnut (solid m3)",SolidData,4,FALSE),IF(ISERROR(FIND("Oak",WardrobeDoorMaterial))=FALSE,(0.035*0.075*($B73/1000))*VLOOKUP("Oak (solid m3)",SolidData,4,FALSE),IF(ISERROR(FIND("ply",WardrobeDoorMaterial))=FALSE,(0.1*($B73/1000))*VLOOKUP("Birch ply (24mm)",SheetData,7,FALSE),IF(ISERROR(FIND("H/F",WardrobeCarcassMaterial))=FALSE,(0.1*($C73/1000))*VLOOKUP("H/F (22mm)",SheetsData,7,FALSE),"Door - tower - new material")))),"Channel - tower - handle set to other")))),"")</f>
        <v/>
      </c>
    </row>
    <row r="74">
      <c r="A74" s="150"/>
      <c r="B74" s="160" t="str">
        <f t="shared" si="1"/>
        <v/>
      </c>
      <c r="C74" s="160" t="str">
        <f>IFERROR(__xludf.DUMMYFUNCTION("IF(A74="""","""",IF(ISERROR(FIND(""arcass"",A74))=FALSE,MID(A74,FIND(""*"",A74)+1,FIND(""*"",A74,FIND(""*"",A74)+1)-FIND(""*"",A74)-1),IF(ISERROR(FIND(""End panel"",A74))=FALSE,RIGHT(A74,3),IF(OR(ISERROR(FIND(""drawer"",A74))=FALSE,ISERROR(FIND(""door"",A"&amp;"74))=FALSE,ISERROR(FIND(""shelf"",A74))=FALSE,ISERROR(FIND(""panel"",A74))=FALSE,ISERROR(FIND(""Plinth"",A74))=FALSE,ISERROR(FIND(""Cornice"",A74))=FALSE,ISERROR(FIND(""Fillers"",A74))=FALSE,ISERROR(FIND(""Pelmet"",A74))=FALSE,ISERROR(FIND(""Fireplace up "&amp;"to 1600"",A74))=FALSE),RIGHT(A74,LEN(A74)-LEN(regexextract(A74,"".* ""))),IF(ISERROR(FIND(""table"",A74))=FALSE,""560"",IF(ISERROR(FIND(""Office pod"",A74))=FALSE,""1600"",IF(ISERROR(FIND(""Fireplace over 1600"",A74))=FALSE,""2400"",IF(ISERROR(FIND(""Work"&amp;"top"",A74))=FALSE,""650"",""Whoops""))))))))"),"")</f>
        <v/>
      </c>
      <c r="D74" s="161" t="str">
        <f t="shared" si="2"/>
        <v/>
      </c>
      <c r="E74" s="152" t="str">
        <f>IF(OR(A74="",AND(ISERROR(FIND("drawer",A74))=FALSE,WardrobeDrawerType="")),"",IF(ISERROR(FIND("door",A74))=FALSE,IF(WardrobeDoorStyle="Flat",((B74/1000)*(C74/1000))*VLOOKUP(WardrobeDoorMaterial,SheetsData,8,0),IF(LEFT(WardrobeDoorStyle,5)="Panel",(((((B74/1000)*2)*0.08)+((((C74/1000)-0.16)*2)*0.08))*VLOOKUP("H/F (22mm)",SheetsData,8,0))+(((B74/1000)-0.14)*((C74/1000)-0.14)*VLOOKUP("H/F (9mm)",SheetsData,8,0)),IF(WardrobeDoorStyle="In-frame flat",((((((B74/1000)*0.019)*0.038)+((((C74-38)/1000)*0.038)*0.038))*2)*VLOOKUP("Tulip (solid m3)",SolidData,4,0))+(((B74-76)/1000)*((C74-38)/1000))*VLOOKUP("H/F (22mm)",SheetsData,8,0),IF(LEFT(WardrobeDoorStyle,14)="In-frame panel",(((((((B74/1000)*0.019)*0.038)+((((C74-38)/1000)*0.038)*0.038))*2)*VLOOKUP("Tulip (solid m3)",SolidData,4,0))+(((((((B74-76)/1000)*2)*0.08)+(((((C74-198)/1000)*2)*0.08)))*VLOOKUP("H/F (22mm)",SheetsData,8,0))+(((B74-216)/1000)*((C74-178)/1000)*VLOOKUP("H/F (9mm)",SheetsData,8,0)))))))),IF(AND(ISERROR(FIND("arcass",A74))=FALSE,ISERROR(FIND("ost corner",A74))=TRUE),IF(AND(VALUE(B74)&lt;1211,VALUE(C74)&lt;1211,VALUE(D74)&lt;606),1*VLOOKUP(WardrobeCarcassMaterial,SheetsData,5,FALSE),IF(AND(VALUE(B74)&lt;2421,VALUE(C74)&lt;2421,VALUE(D74)&lt;606),2*VLOOKUP(WardrobeCarcassMaterial,SheetsData,5,FALSE),IF(AND(VALUE(B74)&lt;2421,VALUE(C74)&lt;1211,VALUE(D74)&lt;1211),3*VLOOKUP(WardrobeCarcassMaterial,SheetsData,5,FALSE),IF(AND(VALUE(B74)&lt;2421,VALUE(C74)&lt;2421,VALUE(D74)&lt;1211),4*VLOOKUP(WardrobeCarcassMaterial,SheetsData,5,FALSE))))),IF(AND(ISERROR(FIND("arcass",A74))=FALSE,ISERROR(FIND("ost corner",A74))=FALSE),IF(AND(VALUE(B74)&lt;1211,VALUE(C74)&lt;1211,VALUE(D74)&lt;606),(1*VLOOKUP(WardrobeCarcassMaterial,SheetsData,5,FALSE))+(VLOOKUP("H/F (22mm)",SheetsData,7,FALSE)*1.44),IF(AND(VALUE(B74)&lt;2421,VALUE(C74)&lt;2421,VALUE(D74)&lt;606),(2*VLOOKUP(WardrobeCarcassMaterial,SheetsData,5,FALSE))+(VLOOKUP("H/F (22mm)",SheetsData,7,FALSE)*1.44),IF(AND(VALUE(B74)&lt;2421,VALUE(C74)&lt;1211,VALUE(D74)&lt;1211),(3*VLOOKUP(WardrobeCarcassMaterial,SheetsData,5,FALSE))+(VLOOKUP("H/F (22mm)",SheetsData,7,FALSE)*1.44),IF(AND(VALUE(B74)&lt;2421,VALUE(C74)&lt;2421,VALUE(D74)&lt;1211),(4*VLOOKUP(WardrobeCarcassMaterial,SheetsData,5,FALSE))+(VLOOKUP("H/F (22mm)",SheetsData,7,FALSE)*1.44))))),IF(ISERROR(FIND("drawer front",A74))=FALSE,((B74/1000)*(C74/1000))*VLOOKUP(WardrobeDoorMaterial,SheetsData,8,0),IF(AND(WardrobeDrawerType="Match carcass",ISERROR(FIND("drawer box",A74))=FALSE),(((((B74/1000)*(C74/1000))+((B74/1000)*(D74/1000)))*2)*VLOOKUP(WardrobeCarcassMaterial,SheetsData,8,0))+(((C74/1000)*(D74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box",A74))=FALSE),(((((B74/1000)*(C74/1000))+((B74/1000)*(D74/1000)))*2)*(16/1000)*VLOOKUP(LEFT(WardrobeCarcassMaterial,FIND(" ",WardrobeCarcassMaterial))&amp;"(solid m3)",SolidData,4,0))+(((C74/1000)*(D74/1000))*VLOOKUP(LEFT(WardrobeCarcassMaterial,FIND("(",WardrobeCarcassMaterial)-1)&amp;IF(OR(ISERROR(FIND("ply",WardrobeCarcassMaterial))=FALSE,ISERROR(FIND("H/F",WardrobeCarcassMaterial))=FALSE),"(9mm)","(10mm)"),SheetsData,8,0)),IF(ISERROR(FIND("shelf",A74))=FALSE,((C74/1000)*(D74/1000))*VLOOKUP(WardrobeCarcassMaterial,SheetsData,7,FALSE),IF(ISERROR(FIND("Office pod",A74))=FALSE,3*VLOOKUP(WardrobeCarcassMaterial,SheetsData,5,0),IF(ISERROR(FIND(" panel",A74))=FALSE,((B74/1000)*(C74/1000))*VLOOKUP(WardrobeDoorMaterial,SheetsData,8,0),IF(ISERROR(FIND("Fillers",A74))=FALSE,(((0.06*(C74/1000))*2)*VLOOKUP("H/F (18mm)",SheetsData,8,0))+(((0.06*(C74/1000))*2)*VLOOKUP("H/F (9mm)",SheetsData,8,0)),IF(ISERROR(FIND("Cornice (stacked)",A74))=FALSE,((0.08*(C74/1000))*2)*VLOOKUP("H/F (22mm)",SheetsData,8,0),IF(OR(ISERROR(FIND("Plinth",A74))=FALSE,ISERROR(FIND("Cornice (flat)",A74))=FALSE),((B74/1000)*(C74/1000))*VLOOKUP("H/F (18mm)",SheetsData,8,0),IF(ISERROR(FIND("Pelmet",A74))=FALSE,((((B74/1000)*(C74/1000))*2)*VLOOKUP("H/F (18mm)",SheetsData,8,0)),IF(ISERROR(FIND("Fireplace",A74))=FALSE,IF(ISERROR(FIND("over 1600",A74))=FALSE,2*VLOOKUP(WardrobeCarcassMaterial,SheetsData,5,FALSE),VLOOKUP(WardrobeCarcassMaterial,SheetsData,5,FALSE)),IF(ISERROR(FIND("table",A74))=FALSE,((B74/1000)*0.6)*VLOOKUP("Birch ply (24mm)",SheetsData,7,FALSE),IF(ISERROR(FIND("Worktop",A74))=FALSE,((B74/1000)*(C74/1000))*VLOOKUP(WardrobeDoorMaterial,SheetsData,7,FALSE),"Check formula")))))))))))))))))</f>
        <v/>
      </c>
      <c r="F74" s="152" t="str">
        <f>IFERROR(__xludf.DUMMYFUNCTION("IF(OR(A74="""",AND(ISERROR(FIND(""drawer box"",A74))=FALSE,WardrobeDrawerType=""Solid dovetail"")),"""",IF(ISERROR(FIND(""bins"",A74))=FALSE,VLOOKUP(""Base carcass 600"",Wardrobes_etcData,6,0),IF(OR(ISERROR(FIND(""larder"",A74))=FALSE,ISERROR(FIND(""unit"&amp;""",A74))=FALSE),VLOOKUP(LEFT(A74,FIND("" "",A74))&amp;""carcass ""&amp;RIGHT(A74,LEN(A74)-len(regexextract(A74,"".* ""))),Wardrobes_etcData,6,0),IF(ISERROR(FIND(""drawer front"",A74))=FALSE,IF(ISERROR(FIND(""veneer"",WardrobeCarcassMaterial))=TRUE,0,(((B74+C74)/1"&amp;"000)*2)*VLOOKUP(""Edge banding (per M)"",SheetsData,5,0)),IF(ISERROR(FIND(""drawer box"",A74))=FALSE,IF(ISERROR(FIND(""veneer"",WardrobeCarcassMaterial))=TRUE,0,(((C74+D74)/1000)*2)*VLOOKUP(""Edge banding (per M)"",SheetsData,5,0)),IF(ISERROR(FIND(""shelf"&amp;""",A74))=FALSE,IF(ISERROR(FIND(""veneer"",WardrobeCarcassMaterial))=TRUE,0,(C74/1000)*VLOOKUP(""Edge banding (per M)"",SheetsData,5,0)),IF(AND(OR(ISERROR(FIND(""arcass"",A74))=FALSE,ISERROR(FIND(""Fireplace"",A74))=FALSE),ISERROR(FIND(""shelf"",A74))=TRUE"&amp;"),IF(ISERROR(FIND(""veneer"",WardrobeCarcassMaterial))=TRUE,0,((2*(B74+C74))/1000)*VLOOKUP(""Edge banding (per M)"",SheetsData,5,0)),IF(ISERROR(FIND(""door"",A74))=TRUE,"""",IF(ISERROR(FIND(""veneer"",WardrobeDoorMaterial))=TRUE,"""",((2*(B74+C74))/1000)*"&amp;"VLOOKUP(""Edge banding (per M)"",SheetsData,5,0))))))))))"),"")</f>
        <v/>
      </c>
      <c r="G74" s="153" t="str">
        <f>IF(A74="","",IF(AND(ISERROR(FIND("arcass",A74))=TRUE,ISERROR(FIND("Fireplace",A74))=TRUE),"",IF(VALUE(C74)&lt;606,4*VLOOKUP("Plinth foot (2 Parts 80mm)",FurnitureData,5,FALSE),IF(VALUE(C74)&lt;1211,6*VLOOKUP("Plinth foot (2 Parts 80mm)",FurnitureData,5,FALSE),8*VLOOKUP("Plinth foot (2 Parts 80mm)",FurnitureData,5,FALSE)))))</f>
        <v/>
      </c>
      <c r="H74" s="115" t="str">
        <f>IF(OR(A74="",ISERROR(FIND("door",A74))=TRUE),"",VLOOKUP("Hinges &amp; plates (Hettich thick door)",FurnitureData,5,0)*5)</f>
        <v/>
      </c>
      <c r="I74" s="115" t="str">
        <f>IF(ISERROR(FIND("shelf",A74))=FALSE,(VLOOKUP("Shelf pegs",FurnitureData,5,0)/100)*4,"")</f>
        <v/>
      </c>
      <c r="J74" s="152" t="str">
        <f>IF(OR(ISERROR(FIND("fridge/freezer",A74))=FALSE,ISERROR(FIND("sink",A74))=FALSE,ISERROR(FIND("larder",A74))=FALSE),VLOOKUP("Deep shelf "&amp;C74,Wardrobes_etcData,18,0),IF(OR(ISERROR(FIND("single oven",A74))=FALSE,ISERROR(FIND("Base carcass",A74))=FALSE),2*VLOOKUP("Deep shelf "&amp;C74,Wardrobes_etcData,18,0),IF(AND(ISERROR(FIND("wall carcass",A74))=FALSE,ISERROR(FIND("Boiler",A74))=TRUE),2*VLOOKUP("Shallow shelf "&amp;C74,Wardrobes_etcData,18,0),IF(ISERROR(FIND("double oven",A74))=FALSE,3*VLOOKUP("Deep shelf "&amp;C74,Wardrobes_etcData,18,0),IF(ISERROR(FIND("Tower carcass",A74))=FALSE,6*VLOOKUP("Deep shelf "&amp;C74,Wardrobes_etcData,18,0),"")))))</f>
        <v/>
      </c>
      <c r="K74" s="152" t="str">
        <f>IF(ISERROR(FIND("sink",A74))=FALSE,VLOOKUP("Sink liner - Aluminium "&amp;RIGHT(A74,LEN(A74)-22)&amp;"mm",ExceptionalData,5,0),IF(ISERROR(FIND("bins",A74))=FALSE,VLOOKUP("Drawer runners and clip set for bin unit (500) Dynapro",FurnitureData,5,0)+(2*VLOOKUP("Bin (42L Anthracite)",FurnitureData,5,0)),IF(ISERROR(FIND("larder",A74))=FALSE,VLOOKUP("Pull out larder unit 600mm",FurnitureData,5,0),IF(AND(ISERROR(FIND("drawer box",A74))=FALSE,ISERROR(FIND("internal",A74))=TRUE),VLOOKUP("Drawer runners and clip set (550) Dynapro",FurnitureData,5,0),IF(ISERROR(FIND("internal drawer box",A74))=FALSE,VLOOKUP("Drawer runners and clip set (450) Dynapro",FurnitureData,5,0),IF(ISERROR(FIND("table",A74))=FALSE,VLOOKUP("Hairpin Leg (12mm Black "&amp;MID(A74,FIND("(",A74)+1,LEN(A74)-(FIND("(",A74))-1)&amp;"mm)",ExceptionalData,4,FALSE),""))))))</f>
        <v/>
      </c>
      <c r="L74" s="152" t="str">
        <f t="shared" si="3"/>
        <v/>
      </c>
      <c r="M74" s="154" t="str">
        <f>IF(A74="","",IF(AND(ISERROR(FIND("drawer front",A74))=FALSE,WardrobeDoorStyle="Flat"),(((B74/1000)*(C74/1000))*2)+((((B74+C74)/1000)*2)*0.022),IF(AND(ISERROR(FIND("drawer front",A74))=FALSE,LEFT(WardrobeDoorStyle,5)="Panel"),(((B74/1000)*(C74/1000))*2)+((((B74+C74)/1000)*2)*0.022)+((((C74/1000)-0.16)*0.013)*2)+((((D74/1000)-0.16)*0.013)*2),IF(AND(ISERROR(FIND("drawer front",A74))=FALSE,WardrobeDoorStyle="In-frame flat"),((((B74-76)/1000)*((C74-38)/1000))*2)+(MID(WardrobeDoorMaterial,FIND("(",WardrobeDoorMaterial)+1,2)/1000)*((((B74-76)+(C74-38))/1000)*2)+(((B74/1000)*0.032)*2)+((((B74-76)/1000)*0.032)*2)+(((B74/1000)*0.019)*4)+(((C74/1000)*0.032)*2)+((((C74-38)/1000)*0.032)*2)+(((C74/1000)*0.038)*4),IF(AND(ISERROR(FIND("drawer front",A74))=FALSE,LEFT(WardrobeDoorStyle,14)="In-frame panel"),((((B74-76)/1000)*((C74-38)/1000))*2)+((MID(WardrobeDoorMaterial,FIND("(",WardrobeDoorMaterial)+1,2)/1000)*((((B74-76)+(C74-38))/1000)*2))+((((B74-236)/1000)+((C74-198)/1000)*2)*0.013)+(((B74/1000)*0.032)*2)+((((B74-76)/1000)*0.032)*2)+(((B74/1000)*0.019)*4)+(((C74/1000)*0.032)*2)+((((C74-38)/1000)*0.032)*2)+(((C74/1000)*0.038)*4),IF(ISERROR(FIND("drawer box",A74))=FALSE,((((B74/1000)*(D74/1000))+((B74/1000)*(C74/1000)))*4)+((((D74/1000)+(C74/1000))*0.016)*4)+(((C74/1000)*(D74/1000))*2),IF(OR(ISERROR(FIND("shelf",A74))=FALSE,ISERROR(FIND("Filler panel",A74))=FALSE),(((C74/1000)*(D74/1000))*2)+((((C74+D74)*2)/1000)*0.022),IF(ISERROR(FIND("Fireplace",A74))=FALSE,((B74/1000)*(C74/1000)),IF(ISERROR(FIND("Worktop",A74))=FALSE,(B74/1000)*(C74/1000),IF(ISERROR(FIND("table",A74))=FALSE,(B74/1000)*0.6,IF(ISERROR(FIND("arcass",A74))=FALSE,(((C74/1000)*(D74/1000))*2)+(((B74/1000)*(D74/1000))*2)+((B74/1000)*(C74/1000))+((((B74/1000)*0.025)+((C74/1000)*0.025))*2),IF(AND(ISERROR(FIND("door",A74))=FALSE,WardrobeDoorStyle="Flat"),(((B74/1000)*(C74/1000))*2)+(MID(WardrobeDoorMaterial,FIND("(",WardrobeDoorMaterial)+1,2)/1000)*(((B74+C74)/1000)*2),IF(AND(ISERROR(FIND("door",A74))=FALSE,LEFT(WardrobeDoorStyle,5)="Panel"),(((B74/1000)*(C74/1000))*2)+((MID(WardrobeDoorMaterial,FIND("(",WardrobeDoorMaterial)+1,2)/1000)*(((B74+C74)/1000)*2))+(((((B74-160)+(C74-160))*2)/1000)*(0.013)),IF(AND(ISERROR(FIND("door",A74))=FALSE,WardrobeDoorStyle="In-frame flat"),((((B74-76)/1000)*((C74-38)/1000))*2)+(MID(WardrobeDoorMaterial,FIND("(",WardrobeDoorMaterial)+1,2)/1000)*((((B74-76)+(C74-38))/1000)*2)+(((B74/1000)*0.032)*2)+((((B74-76)/1000)*0.032)*2)+(((B74/1000)*0.019)*4)+(((C74/1000)*0.032)*2)+((((C74-38)/1000)*0.032)*2)+(((C74/1000)*0.038)*4),IF(AND(ISERROR(FIND("door",A74))=FALSE,LEFT(WardrobeDoorStyle,14)="In-frame panel"),((((B74-76)/1000)*((C74-38)/1000))*2)+((MID(WardrobeDoorMaterial,FIND("(",WardrobeDoorMaterial)+1,2)/1000)*((((B74-76)+(C74-38))/1000)*2))+((((B74-236)/1000)+((C74-198)/1000)*2)*0.013)+(((B74/1000)*0.032)*2)+((((B74-76)/1000)*0.032)*2)+(((B74/1000)*0.019)*4)+(((C74/1000)*0.032)*2)+((((C74-38)/1000)*0.032)*2)+(((C74/1000)*0.038)*4),IF(ISERROR(FIND("Plinth",A74))=FALSE,((B74/1000)*(C74/1000))+(((C74/1000)*0.018)*2)+(((B74/1000)*0.018)*2),IF(ISERROR(FIND("Cornice",A74))=FALSE,(((C74/1000)*0.1)*2)+(((C74/1000)*0.044)*2)+(((B74/1000)*0.08)*2),IF(ISERROR(FIND("Office pod",A74))=FALSE,((2400/1000)*(1200/1000))*6,IF(ISERROR(FIND("panel",A74))=FALSE,((B74/1000)*(C74/1000))+(0.022*((B74/1000)+((C74/1000)*2)))+((B74/1000)*0.05),IF(ISERROR(FIND("Fillers",A74))=FALSE,((C74/1000)*0.06)+((C74/1000)*0.069)+((0.06*0.018)*2)+((0.06*0.009)*2)+((C74/1000)*0.009)+((C74/1000)*0.018),IF(ISERROR(FIND("Pelmet",A74))=FALSE,((C74/1000)*0.05)+((C74/1000)*0.068)+((0.05*0.018)*4)+(((C74/1000)*0.018))*2)))))))))))))))))))))</f>
        <v/>
      </c>
      <c r="N74" s="152" t="str">
        <f>IF(M74="","",IF(AND(ISERROR(FIND("carcass",A74))=TRUE,ISERROR(FIND("unit",A74))=TRUE,ISERROR(FIND("insert",A74))=TRUE,ISERROR(FIND("rack",A74))=TRUE,ISERROR(FIND("box",A74))=TRUE,ISERROR(FIND("shelf",A74))=TRUE),VLOOKUP(WardrobeDoorFinish,Finishing!$A$2:$K$10,9,0)*M74,IF(ISERROR(FIND("table",A74))=FALSE,VLOOKUP("Sayerlack AF0072 Interior Clear Self-Sealer",FinishingData,9,FALSE)*M74,VLOOKUP(WardrobeCarcassFinish,Finishing!$A$2:$K$40,9,0)*M74)))</f>
        <v/>
      </c>
      <c r="O74" s="159"/>
      <c r="P74" s="159"/>
      <c r="Q74" s="152" t="str">
        <f>IF(OR(O74="",P74=""),"",((O74*X74)*(VLOOKUP("Workshop",Labour!$A$3:$E$20,4,0)/8))+((P74*AE74)*(VLOOKUP("Finishing",Labour!$A$3:$E$20,4,0)/8)))</f>
        <v/>
      </c>
      <c r="R74" s="152" t="str">
        <f t="shared" si="4"/>
        <v/>
      </c>
      <c r="S74" s="156" t="str">
        <f>IF(OR(O74="",P74=""),"",IF(OR(ISERROR(FIND("carcass",$A74))=FALSE,ISERROR(FIND("unit",$A74))=FALSE),VLOOKUP(WardrobeCarcassMaterial,FixedListsCarcassMaterial,2,0),0))</f>
        <v/>
      </c>
      <c r="T74" s="156" t="str">
        <f>IF(OR(O74="",P74=""),"",IF(ISERROR(FIND("door",$A74))=FALSE,VLOOKUP(WardrobeDoorStyle,FixedListsDoorStyle,2,0),0))</f>
        <v/>
      </c>
      <c r="U74" s="156" t="str">
        <f>IF(OR(O74="",P74=""),"",IF(ISERROR(FIND("door",$A74))=FALSE,VLOOKUP(WardrobeDoorMaterial,FixedListsDoorMaterial,2,0),0))</f>
        <v/>
      </c>
      <c r="V74" s="156" t="str">
        <f>IF(OR(O74="",P74=""),"",IF(ISERROR(FIND("drawer",$A74))=FALSE,VLOOKUP(WardrobeDrawerType,FixedListsDrawerType,2,0),0))</f>
        <v/>
      </c>
      <c r="W74" s="156" t="str">
        <f>IF(OR(O74="",P74=""),"",IF(S74&gt;0,VLOOKUP(WardrobeHandleType,FixedListsHandleType,2,FALSE),0))</f>
        <v/>
      </c>
      <c r="X74" s="156" t="str">
        <f t="shared" si="5"/>
        <v/>
      </c>
      <c r="Y74" s="156" t="str">
        <f>IF(OR(O74="",P74=""),"",IF(OR(ISERROR(FIND("carcass",$A74))=FALSE,ISERROR(FIND("unit",$A74))=FALSE),VLOOKUP(WardrobeCarcassMaterial,FixedListsCarcassMaterial,3,0),0))</f>
        <v/>
      </c>
      <c r="Z74" s="156" t="str">
        <f>IF(OR(O74="",P74=""),"",IF(ISERROR(FIND("door",$A74))=FALSE,VLOOKUP(WardrobeDoorStyle,FixedListsDoorStyle,3,0),0))</f>
        <v/>
      </c>
      <c r="AA74" s="156" t="str">
        <f>IF(OR(O74="",P74=""),"",IF(ISERROR(FIND("door",$A74))=FALSE,VLOOKUP(WardrobeDoorMaterial,FixedListsDoorMaterial,3,0),0))</f>
        <v/>
      </c>
      <c r="AB74" s="156" t="str">
        <f>IF(OR(O74="",P74=""),"",IF(ISERROR(FIND("drawer",$A74))=FALSE,VLOOKUP(WardrobeDrawerType,FixedListsDrawerType,3,0),0))</f>
        <v/>
      </c>
      <c r="AC74" s="156" t="str">
        <f>IF(OR(O74="",P74=""),"",IF(S74&gt;0,VLOOKUP(WardrobeHandleType,FixedListsHandleType,3,FALSE),0))</f>
        <v/>
      </c>
      <c r="AD74" s="156" t="str">
        <f>IF(OR(O74="",P74=""),"",IF(OR(ISERROR(FIND("carcass",$A74))=FALSE,ISERROR(FIND("unit",$A74))=FALSE),VLOOKUP(WardrobeCarcassFinish,FixedListsFinishes,3,0),IF(OR(ISERROR(FIND("door",$A74))=FALSE,ISERROR(FIND("Plinth",$A74))=FALSE,ISERROR(FIND("Cornice",$A74))=FALSE,ISERROR(FIND("Fillers",$A74))=FALSE,ISERROR(FIND("Pelmet",$A74))=FALSE,ISERROR(FIND("panel",$A74))=FALSE,ISERROR(FIND("post",$A74))=FALSE),VLOOKUP(WardrobeDoorFinish,FixedListsFinishes,3,0),IF(OR(ISERROR(FIND("drawer",$A74))=FALSE,ISERROR(FIND("insert",$A74))=FALSE,ISERROR(FIND("rck",$A74))=FALSE),VLOOKUP(WardrobeCarcassFinish,FixedListsFinishes,3,0),0))))</f>
        <v/>
      </c>
      <c r="AE74" s="156" t="str">
        <f t="shared" si="6"/>
        <v/>
      </c>
      <c r="AF74" s="157" t="str">
        <f>IF(AND(WardrobeHandleType="Channel",OR(ISERROR(FIND("arcass",$A74))=FALSE,ISERROR(FIND("unit",$A74))=FALSE)),IF(ISERROR(FIND("Tower",$A74))=TRUE,IF(WardrobeHandleFinish="Match carcass",IF(ISERROR(FIND("Walnut",WardrobeCarcassMaterial))=FALSE,(0.035*0.075*($C74/1000))*VLOOKUP("Walnut (solid m3)",SolidData,4,FALSE),IF(ISERROR(FIND("Oak",WardrobeCarcassMaterial))=FALSE,(0.035*0.075*($C74/1000))*VLOOKUP("Oak (solid m3)",SolidData,4,FALSE),IF(ISERROR(FIND("ply",WardrobeCarcassMaterial))=FALSE,(0.1*($C74/1000))*VLOOKUP("Birch ply (24mm)",SheetsData,7,FALSE),IF(ISERROR(FIND("H/F",WardrobeCarcassMaterial))=FALSE,(0.1*($C74/1000))*VLOOKUP("H/F (22mm)",SheetsData,7,FALSE),"Carcass - not tower - new material")))),IF(WardrobeHandleFinish="Match door",IF(ISERROR(FIND("Walnut",WardrobeDoorMaterial))=FALSE,(0.035*0.075*($C74/1000))*VLOOKUP("Walnut (solid m3)",SolidData,4,FALSE),IF(ISERROR(FIND("Oak",WardrobeDoorMaterial))=FALSE,(0.035*0.075*($C74/1000))*VLOOKUP("Oak (solid m3)",SolidData,4,FALSE),IF(ISERROR(FIND("ply",WardrobeDoorMaterial))=FALSE,(0.1*($C74/1000))*VLOOKUP("Birch ply (24mm)",SheetsData,7,FALSE),IF(ISERROR(FIND("H/F",WardrobeCarcassMaterial))=FALSE,(0.1*($C74/1000))*VLOOKUP("H/F (22mm)",SheetsData,7,FALSE),"Door - not tower - new material")))),"Channel - not tower - handle set to other")),IF(ISERROR(FIND("Tower",$A74))=FALSE,IF(WardrobeHandleFinish="Match carcass",IF(ISERROR(FIND("Walnut",WardrobeCarcassMaterial))=FALSE,(0.035*0.075*($B74/1000))*VLOOKUP("Walnut (solid m3)",SolidData,4,FALSE),IF(ISERROR(FIND("Oak",WardrobeCarcassMaterial))=FALSE,(0.035*0.075*($B74/1000))*VLOOKUP("Oak (solid m3)",SolidData,4,FALSE),IF(ISERROR(FIND("ply",WardrobeCarcassMaterial))=FALSE,(0.1*($B74/1000))*VLOOKUP("Birch ply (24mm)",SheetsData,7,FALSE),IF(ISERROR(FIND("H/F",WardrobeCarcassMaterial))=FALSE,(0.1*($C74/1000))*VLOOKUP("H/F (22mm)",SheetsData,7,FALSE),"Carcass - tower - new material")))),IF(WardrobeHandleFinish="Match door",IF(ISERROR(FIND("Walnut",WardrobeDoorMaterial))=FALSE,(0.035*0.075*($B74/1000))*VLOOKUP("Walnut (solid m3)",SolidData,4,FALSE),IF(ISERROR(FIND("Oak",WardrobeDoorMaterial))=FALSE,(0.035*0.075*($B74/1000))*VLOOKUP("Oak (solid m3)",SolidData,4,FALSE),IF(ISERROR(FIND("ply",WardrobeDoorMaterial))=FALSE,(0.1*($B74/1000))*VLOOKUP("Birch ply (24mm)",SheetData,7,FALSE),IF(ISERROR(FIND("H/F",WardrobeCarcassMaterial))=FALSE,(0.1*($C74/1000))*VLOOKUP("H/F (22mm)",SheetsData,7,FALSE),"Door - tower - new material")))),"Channel - tower - handle set to other")))),"")</f>
        <v/>
      </c>
    </row>
    <row r="75">
      <c r="A75" s="150"/>
      <c r="B75" s="160" t="str">
        <f t="shared" si="1"/>
        <v/>
      </c>
      <c r="C75" s="160" t="str">
        <f>IFERROR(__xludf.DUMMYFUNCTION("IF(A75="""","""",IF(ISERROR(FIND(""arcass"",A75))=FALSE,MID(A75,FIND(""*"",A75)+1,FIND(""*"",A75,FIND(""*"",A75)+1)-FIND(""*"",A75)-1),IF(ISERROR(FIND(""End panel"",A75))=FALSE,RIGHT(A75,3),IF(OR(ISERROR(FIND(""drawer"",A75))=FALSE,ISERROR(FIND(""door"",A"&amp;"75))=FALSE,ISERROR(FIND(""shelf"",A75))=FALSE,ISERROR(FIND(""panel"",A75))=FALSE,ISERROR(FIND(""Plinth"",A75))=FALSE,ISERROR(FIND(""Cornice"",A75))=FALSE,ISERROR(FIND(""Fillers"",A75))=FALSE,ISERROR(FIND(""Pelmet"",A75))=FALSE,ISERROR(FIND(""Fireplace up "&amp;"to 1600"",A75))=FALSE),RIGHT(A75,LEN(A75)-LEN(regexextract(A75,"".* ""))),IF(ISERROR(FIND(""table"",A75))=FALSE,""560"",IF(ISERROR(FIND(""Office pod"",A75))=FALSE,""1600"",IF(ISERROR(FIND(""Fireplace over 1600"",A75))=FALSE,""2400"",IF(ISERROR(FIND(""Work"&amp;"top"",A75))=FALSE,""650"",""Whoops""))))))))"),"")</f>
        <v/>
      </c>
      <c r="D75" s="161" t="str">
        <f t="shared" si="2"/>
        <v/>
      </c>
      <c r="E75" s="152" t="str">
        <f>IF(OR(A75="",AND(ISERROR(FIND("drawer",A75))=FALSE,WardrobeDrawerType="")),"",IF(ISERROR(FIND("door",A75))=FALSE,IF(WardrobeDoorStyle="Flat",((B75/1000)*(C75/1000))*VLOOKUP(WardrobeDoorMaterial,SheetsData,8,0),IF(LEFT(WardrobeDoorStyle,5)="Panel",(((((B75/1000)*2)*0.08)+((((C75/1000)-0.16)*2)*0.08))*VLOOKUP("H/F (22mm)",SheetsData,8,0))+(((B75/1000)-0.14)*((C75/1000)-0.14)*VLOOKUP("H/F (9mm)",SheetsData,8,0)),IF(WardrobeDoorStyle="In-frame flat",((((((B75/1000)*0.019)*0.038)+((((C75-38)/1000)*0.038)*0.038))*2)*VLOOKUP("Tulip (solid m3)",SolidData,4,0))+(((B75-76)/1000)*((C75-38)/1000))*VLOOKUP("H/F (22mm)",SheetsData,8,0),IF(LEFT(WardrobeDoorStyle,14)="In-frame panel",(((((((B75/1000)*0.019)*0.038)+((((C75-38)/1000)*0.038)*0.038))*2)*VLOOKUP("Tulip (solid m3)",SolidData,4,0))+(((((((B75-76)/1000)*2)*0.08)+(((((C75-198)/1000)*2)*0.08)))*VLOOKUP("H/F (22mm)",SheetsData,8,0))+(((B75-216)/1000)*((C75-178)/1000)*VLOOKUP("H/F (9mm)",SheetsData,8,0)))))))),IF(AND(ISERROR(FIND("arcass",A75))=FALSE,ISERROR(FIND("ost corner",A75))=TRUE),IF(AND(VALUE(B75)&lt;1211,VALUE(C75)&lt;1211,VALUE(D75)&lt;606),1*VLOOKUP(WardrobeCarcassMaterial,SheetsData,5,FALSE),IF(AND(VALUE(B75)&lt;2421,VALUE(C75)&lt;2421,VALUE(D75)&lt;606),2*VLOOKUP(WardrobeCarcassMaterial,SheetsData,5,FALSE),IF(AND(VALUE(B75)&lt;2421,VALUE(C75)&lt;1211,VALUE(D75)&lt;1211),3*VLOOKUP(WardrobeCarcassMaterial,SheetsData,5,FALSE),IF(AND(VALUE(B75)&lt;2421,VALUE(C75)&lt;2421,VALUE(D75)&lt;1211),4*VLOOKUP(WardrobeCarcassMaterial,SheetsData,5,FALSE))))),IF(AND(ISERROR(FIND("arcass",A75))=FALSE,ISERROR(FIND("ost corner",A75))=FALSE),IF(AND(VALUE(B75)&lt;1211,VALUE(C75)&lt;1211,VALUE(D75)&lt;606),(1*VLOOKUP(WardrobeCarcassMaterial,SheetsData,5,FALSE))+(VLOOKUP("H/F (22mm)",SheetsData,7,FALSE)*1.44),IF(AND(VALUE(B75)&lt;2421,VALUE(C75)&lt;2421,VALUE(D75)&lt;606),(2*VLOOKUP(WardrobeCarcassMaterial,SheetsData,5,FALSE))+(VLOOKUP("H/F (22mm)",SheetsData,7,FALSE)*1.44),IF(AND(VALUE(B75)&lt;2421,VALUE(C75)&lt;1211,VALUE(D75)&lt;1211),(3*VLOOKUP(WardrobeCarcassMaterial,SheetsData,5,FALSE))+(VLOOKUP("H/F (22mm)",SheetsData,7,FALSE)*1.44),IF(AND(VALUE(B75)&lt;2421,VALUE(C75)&lt;2421,VALUE(D75)&lt;1211),(4*VLOOKUP(WardrobeCarcassMaterial,SheetsData,5,FALSE))+(VLOOKUP("H/F (22mm)",SheetsData,7,FALSE)*1.44))))),IF(ISERROR(FIND("drawer front",A75))=FALSE,((B75/1000)*(C75/1000))*VLOOKUP(WardrobeDoorMaterial,SheetsData,8,0),IF(AND(WardrobeDrawerType="Match carcass",ISERROR(FIND("drawer box",A75))=FALSE),(((((B75/1000)*(C75/1000))+((B75/1000)*(D75/1000)))*2)*VLOOKUP(WardrobeCarcassMaterial,SheetsData,8,0))+(((C75/1000)*(D75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box",A75))=FALSE),(((((B75/1000)*(C75/1000))+((B75/1000)*(D75/1000)))*2)*(16/1000)*VLOOKUP(LEFT(WardrobeCarcassMaterial,FIND(" ",WardrobeCarcassMaterial))&amp;"(solid m3)",SolidData,4,0))+(((C75/1000)*(D75/1000))*VLOOKUP(LEFT(WardrobeCarcassMaterial,FIND("(",WardrobeCarcassMaterial)-1)&amp;IF(OR(ISERROR(FIND("ply",WardrobeCarcassMaterial))=FALSE,ISERROR(FIND("H/F",WardrobeCarcassMaterial))=FALSE),"(9mm)","(10mm)"),SheetsData,8,0)),IF(ISERROR(FIND("shelf",A75))=FALSE,((C75/1000)*(D75/1000))*VLOOKUP(WardrobeCarcassMaterial,SheetsData,7,FALSE),IF(ISERROR(FIND("Office pod",A75))=FALSE,3*VLOOKUP(WardrobeCarcassMaterial,SheetsData,5,0),IF(ISERROR(FIND(" panel",A75))=FALSE,((B75/1000)*(C75/1000))*VLOOKUP(WardrobeDoorMaterial,SheetsData,8,0),IF(ISERROR(FIND("Fillers",A75))=FALSE,(((0.06*(C75/1000))*2)*VLOOKUP("H/F (18mm)",SheetsData,8,0))+(((0.06*(C75/1000))*2)*VLOOKUP("H/F (9mm)",SheetsData,8,0)),IF(ISERROR(FIND("Cornice (stacked)",A75))=FALSE,((0.08*(C75/1000))*2)*VLOOKUP("H/F (22mm)",SheetsData,8,0),IF(OR(ISERROR(FIND("Plinth",A75))=FALSE,ISERROR(FIND("Cornice (flat)",A75))=FALSE),((B75/1000)*(C75/1000))*VLOOKUP("H/F (18mm)",SheetsData,8,0),IF(ISERROR(FIND("Pelmet",A75))=FALSE,((((B75/1000)*(C75/1000))*2)*VLOOKUP("H/F (18mm)",SheetsData,8,0)),IF(ISERROR(FIND("Fireplace",A75))=FALSE,IF(ISERROR(FIND("over 1600",A75))=FALSE,2*VLOOKUP(WardrobeCarcassMaterial,SheetsData,5,FALSE),VLOOKUP(WardrobeCarcassMaterial,SheetsData,5,FALSE)),IF(ISERROR(FIND("table",A75))=FALSE,((B75/1000)*0.6)*VLOOKUP("Birch ply (24mm)",SheetsData,7,FALSE),IF(ISERROR(FIND("Worktop",A75))=FALSE,((B75/1000)*(C75/1000))*VLOOKUP(WardrobeDoorMaterial,SheetsData,7,FALSE),"Check formula")))))))))))))))))</f>
        <v/>
      </c>
      <c r="F75" s="152" t="str">
        <f>IFERROR(__xludf.DUMMYFUNCTION("IF(OR(A75="""",AND(ISERROR(FIND(""drawer box"",A75))=FALSE,WardrobeDrawerType=""Solid dovetail"")),"""",IF(ISERROR(FIND(""bins"",A75))=FALSE,VLOOKUP(""Base carcass 600"",Wardrobes_etcData,6,0),IF(OR(ISERROR(FIND(""larder"",A75))=FALSE,ISERROR(FIND(""unit"&amp;""",A75))=FALSE),VLOOKUP(LEFT(A75,FIND("" "",A75))&amp;""carcass ""&amp;RIGHT(A75,LEN(A75)-len(regexextract(A75,"".* ""))),Wardrobes_etcData,6,0),IF(ISERROR(FIND(""drawer front"",A75))=FALSE,IF(ISERROR(FIND(""veneer"",WardrobeCarcassMaterial))=TRUE,0,(((B75+C75)/1"&amp;"000)*2)*VLOOKUP(""Edge banding (per M)"",SheetsData,5,0)),IF(ISERROR(FIND(""drawer box"",A75))=FALSE,IF(ISERROR(FIND(""veneer"",WardrobeCarcassMaterial))=TRUE,0,(((C75+D75)/1000)*2)*VLOOKUP(""Edge banding (per M)"",SheetsData,5,0)),IF(ISERROR(FIND(""shelf"&amp;""",A75))=FALSE,IF(ISERROR(FIND(""veneer"",WardrobeCarcassMaterial))=TRUE,0,(C75/1000)*VLOOKUP(""Edge banding (per M)"",SheetsData,5,0)),IF(AND(OR(ISERROR(FIND(""arcass"",A75))=FALSE,ISERROR(FIND(""Fireplace"",A75))=FALSE),ISERROR(FIND(""shelf"",A75))=TRUE"&amp;"),IF(ISERROR(FIND(""veneer"",WardrobeCarcassMaterial))=TRUE,0,((2*(B75+C75))/1000)*VLOOKUP(""Edge banding (per M)"",SheetsData,5,0)),IF(ISERROR(FIND(""door"",A75))=TRUE,"""",IF(ISERROR(FIND(""veneer"",WardrobeDoorMaterial))=TRUE,"""",((2*(B75+C75))/1000)*"&amp;"VLOOKUP(""Edge banding (per M)"",SheetsData,5,0))))))))))"),"")</f>
        <v/>
      </c>
      <c r="G75" s="153" t="str">
        <f>IF(A75="","",IF(AND(ISERROR(FIND("arcass",A75))=TRUE,ISERROR(FIND("Fireplace",A75))=TRUE),"",IF(VALUE(C75)&lt;606,4*VLOOKUP("Plinth foot (2 Parts 80mm)",FurnitureData,5,FALSE),IF(VALUE(C75)&lt;1211,6*VLOOKUP("Plinth foot (2 Parts 80mm)",FurnitureData,5,FALSE),8*VLOOKUP("Plinth foot (2 Parts 80mm)",FurnitureData,5,FALSE)))))</f>
        <v/>
      </c>
      <c r="H75" s="115" t="str">
        <f>IF(OR(A75="",ISERROR(FIND("door",A75))=TRUE),"",VLOOKUP("Hinges &amp; plates (Hettich thick door)",FurnitureData,5,0)*5)</f>
        <v/>
      </c>
      <c r="I75" s="115" t="str">
        <f>IF(ISERROR(FIND("shelf",A75))=FALSE,(VLOOKUP("Shelf pegs",FurnitureData,5,0)/100)*4,"")</f>
        <v/>
      </c>
      <c r="J75" s="152" t="str">
        <f>IF(OR(ISERROR(FIND("fridge/freezer",A75))=FALSE,ISERROR(FIND("sink",A75))=FALSE,ISERROR(FIND("larder",A75))=FALSE),VLOOKUP("Deep shelf "&amp;C75,Wardrobes_etcData,18,0),IF(OR(ISERROR(FIND("single oven",A75))=FALSE,ISERROR(FIND("Base carcass",A75))=FALSE),2*VLOOKUP("Deep shelf "&amp;C75,Wardrobes_etcData,18,0),IF(AND(ISERROR(FIND("wall carcass",A75))=FALSE,ISERROR(FIND("Boiler",A75))=TRUE),2*VLOOKUP("Shallow shelf "&amp;C75,Wardrobes_etcData,18,0),IF(ISERROR(FIND("double oven",A75))=FALSE,3*VLOOKUP("Deep shelf "&amp;C75,Wardrobes_etcData,18,0),IF(ISERROR(FIND("Tower carcass",A75))=FALSE,6*VLOOKUP("Deep shelf "&amp;C75,Wardrobes_etcData,18,0),"")))))</f>
        <v/>
      </c>
      <c r="K75" s="152" t="str">
        <f>IF(ISERROR(FIND("sink",A75))=FALSE,VLOOKUP("Sink liner - Aluminium "&amp;RIGHT(A75,LEN(A75)-22)&amp;"mm",ExceptionalData,5,0),IF(ISERROR(FIND("bins",A75))=FALSE,VLOOKUP("Drawer runners and clip set for bin unit (500) Dynapro",FurnitureData,5,0)+(2*VLOOKUP("Bin (42L Anthracite)",FurnitureData,5,0)),IF(ISERROR(FIND("larder",A75))=FALSE,VLOOKUP("Pull out larder unit 600mm",FurnitureData,5,0),IF(AND(ISERROR(FIND("drawer box",A75))=FALSE,ISERROR(FIND("internal",A75))=TRUE),VLOOKUP("Drawer runners and clip set (550) Dynapro",FurnitureData,5,0),IF(ISERROR(FIND("internal drawer box",A75))=FALSE,VLOOKUP("Drawer runners and clip set (450) Dynapro",FurnitureData,5,0),IF(ISERROR(FIND("table",A75))=FALSE,VLOOKUP("Hairpin Leg (12mm Black "&amp;MID(A75,FIND("(",A75)+1,LEN(A75)-(FIND("(",A75))-1)&amp;"mm)",ExceptionalData,4,FALSE),""))))))</f>
        <v/>
      </c>
      <c r="L75" s="152" t="str">
        <f t="shared" si="3"/>
        <v/>
      </c>
      <c r="M75" s="154" t="str">
        <f>IF(A75="","",IF(AND(ISERROR(FIND("drawer front",A75))=FALSE,WardrobeDoorStyle="Flat"),(((B75/1000)*(C75/1000))*2)+((((B75+C75)/1000)*2)*0.022),IF(AND(ISERROR(FIND("drawer front",A75))=FALSE,LEFT(WardrobeDoorStyle,5)="Panel"),(((B75/1000)*(C75/1000))*2)+((((B75+C75)/1000)*2)*0.022)+((((C75/1000)-0.16)*0.013)*2)+((((D75/1000)-0.16)*0.013)*2),IF(AND(ISERROR(FIND("drawer front",A75))=FALSE,WardrobeDoorStyle="In-frame flat"),((((B75-76)/1000)*((C75-38)/1000))*2)+(MID(WardrobeDoorMaterial,FIND("(",WardrobeDoorMaterial)+1,2)/1000)*((((B75-76)+(C75-38))/1000)*2)+(((B75/1000)*0.032)*2)+((((B75-76)/1000)*0.032)*2)+(((B75/1000)*0.019)*4)+(((C75/1000)*0.032)*2)+((((C75-38)/1000)*0.032)*2)+(((C75/1000)*0.038)*4),IF(AND(ISERROR(FIND("drawer front",A75))=FALSE,LEFT(WardrobeDoorStyle,14)="In-frame panel"),((((B75-76)/1000)*((C75-38)/1000))*2)+((MID(WardrobeDoorMaterial,FIND("(",WardrobeDoorMaterial)+1,2)/1000)*((((B75-76)+(C75-38))/1000)*2))+((((B75-236)/1000)+((C75-198)/1000)*2)*0.013)+(((B75/1000)*0.032)*2)+((((B75-76)/1000)*0.032)*2)+(((B75/1000)*0.019)*4)+(((C75/1000)*0.032)*2)+((((C75-38)/1000)*0.032)*2)+(((C75/1000)*0.038)*4),IF(ISERROR(FIND("drawer box",A75))=FALSE,((((B75/1000)*(D75/1000))+((B75/1000)*(C75/1000)))*4)+((((D75/1000)+(C75/1000))*0.016)*4)+(((C75/1000)*(D75/1000))*2),IF(OR(ISERROR(FIND("shelf",A75))=FALSE,ISERROR(FIND("Filler panel",A75))=FALSE),(((C75/1000)*(D75/1000))*2)+((((C75+D75)*2)/1000)*0.022),IF(ISERROR(FIND("Fireplace",A75))=FALSE,((B75/1000)*(C75/1000)),IF(ISERROR(FIND("Worktop",A75))=FALSE,(B75/1000)*(C75/1000),IF(ISERROR(FIND("table",A75))=FALSE,(B75/1000)*0.6,IF(ISERROR(FIND("arcass",A75))=FALSE,(((C75/1000)*(D75/1000))*2)+(((B75/1000)*(D75/1000))*2)+((B75/1000)*(C75/1000))+((((B75/1000)*0.025)+((C75/1000)*0.025))*2),IF(AND(ISERROR(FIND("door",A75))=FALSE,WardrobeDoorStyle="Flat"),(((B75/1000)*(C75/1000))*2)+(MID(WardrobeDoorMaterial,FIND("(",WardrobeDoorMaterial)+1,2)/1000)*(((B75+C75)/1000)*2),IF(AND(ISERROR(FIND("door",A75))=FALSE,LEFT(WardrobeDoorStyle,5)="Panel"),(((B75/1000)*(C75/1000))*2)+((MID(WardrobeDoorMaterial,FIND("(",WardrobeDoorMaterial)+1,2)/1000)*(((B75+C75)/1000)*2))+(((((B75-160)+(C75-160))*2)/1000)*(0.013)),IF(AND(ISERROR(FIND("door",A75))=FALSE,WardrobeDoorStyle="In-frame flat"),((((B75-76)/1000)*((C75-38)/1000))*2)+(MID(WardrobeDoorMaterial,FIND("(",WardrobeDoorMaterial)+1,2)/1000)*((((B75-76)+(C75-38))/1000)*2)+(((B75/1000)*0.032)*2)+((((B75-76)/1000)*0.032)*2)+(((B75/1000)*0.019)*4)+(((C75/1000)*0.032)*2)+((((C75-38)/1000)*0.032)*2)+(((C75/1000)*0.038)*4),IF(AND(ISERROR(FIND("door",A75))=FALSE,LEFT(WardrobeDoorStyle,14)="In-frame panel"),((((B75-76)/1000)*((C75-38)/1000))*2)+((MID(WardrobeDoorMaterial,FIND("(",WardrobeDoorMaterial)+1,2)/1000)*((((B75-76)+(C75-38))/1000)*2))+((((B75-236)/1000)+((C75-198)/1000)*2)*0.013)+(((B75/1000)*0.032)*2)+((((B75-76)/1000)*0.032)*2)+(((B75/1000)*0.019)*4)+(((C75/1000)*0.032)*2)+((((C75-38)/1000)*0.032)*2)+(((C75/1000)*0.038)*4),IF(ISERROR(FIND("Plinth",A75))=FALSE,((B75/1000)*(C75/1000))+(((C75/1000)*0.018)*2)+(((B75/1000)*0.018)*2),IF(ISERROR(FIND("Cornice",A75))=FALSE,(((C75/1000)*0.1)*2)+(((C75/1000)*0.044)*2)+(((B75/1000)*0.08)*2),IF(ISERROR(FIND("Office pod",A75))=FALSE,((2400/1000)*(1200/1000))*6,IF(ISERROR(FIND("panel",A75))=FALSE,((B75/1000)*(C75/1000))+(0.022*((B75/1000)+((C75/1000)*2)))+((B75/1000)*0.05),IF(ISERROR(FIND("Fillers",A75))=FALSE,((C75/1000)*0.06)+((C75/1000)*0.069)+((0.06*0.018)*2)+((0.06*0.009)*2)+((C75/1000)*0.009)+((C75/1000)*0.018),IF(ISERROR(FIND("Pelmet",A75))=FALSE,((C75/1000)*0.05)+((C75/1000)*0.068)+((0.05*0.018)*4)+(((C75/1000)*0.018))*2)))))))))))))))))))))</f>
        <v/>
      </c>
      <c r="N75" s="152" t="str">
        <f>IF(M75="","",IF(AND(ISERROR(FIND("carcass",A75))=TRUE,ISERROR(FIND("unit",A75))=TRUE,ISERROR(FIND("insert",A75))=TRUE,ISERROR(FIND("rack",A75))=TRUE,ISERROR(FIND("box",A75))=TRUE,ISERROR(FIND("shelf",A75))=TRUE),VLOOKUP(WardrobeDoorFinish,Finishing!$A$2:$K$10,9,0)*M75,IF(ISERROR(FIND("table",A75))=FALSE,VLOOKUP("Sayerlack AF0072 Interior Clear Self-Sealer",FinishingData,9,FALSE)*M75,VLOOKUP(WardrobeCarcassFinish,Finishing!$A$2:$K$40,9,0)*M75)))</f>
        <v/>
      </c>
      <c r="O75" s="159"/>
      <c r="P75" s="159"/>
      <c r="Q75" s="152" t="str">
        <f>IF(OR(O75="",P75=""),"",((O75*X75)*(VLOOKUP("Workshop",Labour!$A$3:$E$20,4,0)/8))+((P75*AE75)*(VLOOKUP("Finishing",Labour!$A$3:$E$20,4,0)/8)))</f>
        <v/>
      </c>
      <c r="R75" s="152" t="str">
        <f t="shared" si="4"/>
        <v/>
      </c>
      <c r="S75" s="156" t="str">
        <f>IF(OR(O75="",P75=""),"",IF(OR(ISERROR(FIND("carcass",$A75))=FALSE,ISERROR(FIND("unit",$A75))=FALSE),VLOOKUP(WardrobeCarcassMaterial,FixedListsCarcassMaterial,2,0),0))</f>
        <v/>
      </c>
      <c r="T75" s="156" t="str">
        <f>IF(OR(O75="",P75=""),"",IF(ISERROR(FIND("door",$A75))=FALSE,VLOOKUP(WardrobeDoorStyle,FixedListsDoorStyle,2,0),0))</f>
        <v/>
      </c>
      <c r="U75" s="156" t="str">
        <f>IF(OR(O75="",P75=""),"",IF(ISERROR(FIND("door",$A75))=FALSE,VLOOKUP(WardrobeDoorMaterial,FixedListsDoorMaterial,2,0),0))</f>
        <v/>
      </c>
      <c r="V75" s="156" t="str">
        <f>IF(OR(O75="",P75=""),"",IF(ISERROR(FIND("drawer",$A75))=FALSE,VLOOKUP(WardrobeDrawerType,FixedListsDrawerType,2,0),0))</f>
        <v/>
      </c>
      <c r="W75" s="156" t="str">
        <f>IF(OR(O75="",P75=""),"",IF(S75&gt;0,VLOOKUP(WardrobeHandleType,FixedListsHandleType,2,FALSE),0))</f>
        <v/>
      </c>
      <c r="X75" s="156" t="str">
        <f t="shared" si="5"/>
        <v/>
      </c>
      <c r="Y75" s="156" t="str">
        <f>IF(OR(O75="",P75=""),"",IF(OR(ISERROR(FIND("carcass",$A75))=FALSE,ISERROR(FIND("unit",$A75))=FALSE),VLOOKUP(WardrobeCarcassMaterial,FixedListsCarcassMaterial,3,0),0))</f>
        <v/>
      </c>
      <c r="Z75" s="156" t="str">
        <f>IF(OR(O75="",P75=""),"",IF(ISERROR(FIND("door",$A75))=FALSE,VLOOKUP(WardrobeDoorStyle,FixedListsDoorStyle,3,0),0))</f>
        <v/>
      </c>
      <c r="AA75" s="156" t="str">
        <f>IF(OR(O75="",P75=""),"",IF(ISERROR(FIND("door",$A75))=FALSE,VLOOKUP(WardrobeDoorMaterial,FixedListsDoorMaterial,3,0),0))</f>
        <v/>
      </c>
      <c r="AB75" s="156" t="str">
        <f>IF(OR(O75="",P75=""),"",IF(ISERROR(FIND("drawer",$A75))=FALSE,VLOOKUP(WardrobeDrawerType,FixedListsDrawerType,3,0),0))</f>
        <v/>
      </c>
      <c r="AC75" s="156" t="str">
        <f>IF(OR(O75="",P75=""),"",IF(S75&gt;0,VLOOKUP(WardrobeHandleType,FixedListsHandleType,3,FALSE),0))</f>
        <v/>
      </c>
      <c r="AD75" s="156" t="str">
        <f>IF(OR(O75="",P75=""),"",IF(OR(ISERROR(FIND("carcass",$A75))=FALSE,ISERROR(FIND("unit",$A75))=FALSE),VLOOKUP(WardrobeCarcassFinish,FixedListsFinishes,3,0),IF(OR(ISERROR(FIND("door",$A75))=FALSE,ISERROR(FIND("Plinth",$A75))=FALSE,ISERROR(FIND("Cornice",$A75))=FALSE,ISERROR(FIND("Fillers",$A75))=FALSE,ISERROR(FIND("Pelmet",$A75))=FALSE,ISERROR(FIND("panel",$A75))=FALSE,ISERROR(FIND("post",$A75))=FALSE),VLOOKUP(WardrobeDoorFinish,FixedListsFinishes,3,0),IF(OR(ISERROR(FIND("drawer",$A75))=FALSE,ISERROR(FIND("insert",$A75))=FALSE,ISERROR(FIND("rck",$A75))=FALSE),VLOOKUP(WardrobeCarcassFinish,FixedListsFinishes,3,0),0))))</f>
        <v/>
      </c>
      <c r="AE75" s="156" t="str">
        <f t="shared" si="6"/>
        <v/>
      </c>
      <c r="AF75" s="157" t="str">
        <f>IF(AND(WardrobeHandleType="Channel",OR(ISERROR(FIND("arcass",$A75))=FALSE,ISERROR(FIND("unit",$A75))=FALSE)),IF(ISERROR(FIND("Tower",$A75))=TRUE,IF(WardrobeHandleFinish="Match carcass",IF(ISERROR(FIND("Walnut",WardrobeCarcassMaterial))=FALSE,(0.035*0.075*($C75/1000))*VLOOKUP("Walnut (solid m3)",SolidData,4,FALSE),IF(ISERROR(FIND("Oak",WardrobeCarcassMaterial))=FALSE,(0.035*0.075*($C75/1000))*VLOOKUP("Oak (solid m3)",SolidData,4,FALSE),IF(ISERROR(FIND("ply",WardrobeCarcassMaterial))=FALSE,(0.1*($C75/1000))*VLOOKUP("Birch ply (24mm)",SheetsData,7,FALSE),IF(ISERROR(FIND("H/F",WardrobeCarcassMaterial))=FALSE,(0.1*($C75/1000))*VLOOKUP("H/F (22mm)",SheetsData,7,FALSE),"Carcass - not tower - new material")))),IF(WardrobeHandleFinish="Match door",IF(ISERROR(FIND("Walnut",WardrobeDoorMaterial))=FALSE,(0.035*0.075*($C75/1000))*VLOOKUP("Walnut (solid m3)",SolidData,4,FALSE),IF(ISERROR(FIND("Oak",WardrobeDoorMaterial))=FALSE,(0.035*0.075*($C75/1000))*VLOOKUP("Oak (solid m3)",SolidData,4,FALSE),IF(ISERROR(FIND("ply",WardrobeDoorMaterial))=FALSE,(0.1*($C75/1000))*VLOOKUP("Birch ply (24mm)",SheetsData,7,FALSE),IF(ISERROR(FIND("H/F",WardrobeCarcassMaterial))=FALSE,(0.1*($C75/1000))*VLOOKUP("H/F (22mm)",SheetsData,7,FALSE),"Door - not tower - new material")))),"Channel - not tower - handle set to other")),IF(ISERROR(FIND("Tower",$A75))=FALSE,IF(WardrobeHandleFinish="Match carcass",IF(ISERROR(FIND("Walnut",WardrobeCarcassMaterial))=FALSE,(0.035*0.075*($B75/1000))*VLOOKUP("Walnut (solid m3)",SolidData,4,FALSE),IF(ISERROR(FIND("Oak",WardrobeCarcassMaterial))=FALSE,(0.035*0.075*($B75/1000))*VLOOKUP("Oak (solid m3)",SolidData,4,FALSE),IF(ISERROR(FIND("ply",WardrobeCarcassMaterial))=FALSE,(0.1*($B75/1000))*VLOOKUP("Birch ply (24mm)",SheetsData,7,FALSE),IF(ISERROR(FIND("H/F",WardrobeCarcassMaterial))=FALSE,(0.1*($C75/1000))*VLOOKUP("H/F (22mm)",SheetsData,7,FALSE),"Carcass - tower - new material")))),IF(WardrobeHandleFinish="Match door",IF(ISERROR(FIND("Walnut",WardrobeDoorMaterial))=FALSE,(0.035*0.075*($B75/1000))*VLOOKUP("Walnut (solid m3)",SolidData,4,FALSE),IF(ISERROR(FIND("Oak",WardrobeDoorMaterial))=FALSE,(0.035*0.075*($B75/1000))*VLOOKUP("Oak (solid m3)",SolidData,4,FALSE),IF(ISERROR(FIND("ply",WardrobeDoorMaterial))=FALSE,(0.1*($B75/1000))*VLOOKUP("Birch ply (24mm)",SheetData,7,FALSE),IF(ISERROR(FIND("H/F",WardrobeCarcassMaterial))=FALSE,(0.1*($C75/1000))*VLOOKUP("H/F (22mm)",SheetsData,7,FALSE),"Door - tower - new material")))),"Channel - tower - handle set to other")))),"")</f>
        <v/>
      </c>
    </row>
    <row r="76">
      <c r="A76" s="150"/>
      <c r="B76" s="160" t="str">
        <f t="shared" si="1"/>
        <v/>
      </c>
      <c r="C76" s="160" t="str">
        <f>IFERROR(__xludf.DUMMYFUNCTION("IF(A76="""","""",IF(ISERROR(FIND(""arcass"",A76))=FALSE,MID(A76,FIND(""*"",A76)+1,FIND(""*"",A76,FIND(""*"",A76)+1)-FIND(""*"",A76)-1),IF(ISERROR(FIND(""End panel"",A76))=FALSE,RIGHT(A76,3),IF(OR(ISERROR(FIND(""drawer"",A76))=FALSE,ISERROR(FIND(""door"",A"&amp;"76))=FALSE,ISERROR(FIND(""shelf"",A76))=FALSE,ISERROR(FIND(""panel"",A76))=FALSE,ISERROR(FIND(""Plinth"",A76))=FALSE,ISERROR(FIND(""Cornice"",A76))=FALSE,ISERROR(FIND(""Fillers"",A76))=FALSE,ISERROR(FIND(""Pelmet"",A76))=FALSE,ISERROR(FIND(""Fireplace up "&amp;"to 1600"",A76))=FALSE),RIGHT(A76,LEN(A76)-LEN(regexextract(A76,"".* ""))),IF(ISERROR(FIND(""table"",A76))=FALSE,""560"",IF(ISERROR(FIND(""Office pod"",A76))=FALSE,""1600"",IF(ISERROR(FIND(""Fireplace over 1600"",A76))=FALSE,""2400"",IF(ISERROR(FIND(""Work"&amp;"top"",A76))=FALSE,""650"",""Whoops""))))))))"),"")</f>
        <v/>
      </c>
      <c r="D76" s="161" t="str">
        <f t="shared" si="2"/>
        <v/>
      </c>
      <c r="E76" s="152" t="str">
        <f>IF(OR(A76="",AND(ISERROR(FIND("drawer",A76))=FALSE,WardrobeDrawerType="")),"",IF(ISERROR(FIND("door",A76))=FALSE,IF(WardrobeDoorStyle="Flat",((B76/1000)*(C76/1000))*VLOOKUP(WardrobeDoorMaterial,SheetsData,8,0),IF(LEFT(WardrobeDoorStyle,5)="Panel",(((((B76/1000)*2)*0.08)+((((C76/1000)-0.16)*2)*0.08))*VLOOKUP("H/F (22mm)",SheetsData,8,0))+(((B76/1000)-0.14)*((C76/1000)-0.14)*VLOOKUP("H/F (9mm)",SheetsData,8,0)),IF(WardrobeDoorStyle="In-frame flat",((((((B76/1000)*0.019)*0.038)+((((C76-38)/1000)*0.038)*0.038))*2)*VLOOKUP("Tulip (solid m3)",SolidData,4,0))+(((B76-76)/1000)*((C76-38)/1000))*VLOOKUP("H/F (22mm)",SheetsData,8,0),IF(LEFT(WardrobeDoorStyle,14)="In-frame panel",(((((((B76/1000)*0.019)*0.038)+((((C76-38)/1000)*0.038)*0.038))*2)*VLOOKUP("Tulip (solid m3)",SolidData,4,0))+(((((((B76-76)/1000)*2)*0.08)+(((((C76-198)/1000)*2)*0.08)))*VLOOKUP("H/F (22mm)",SheetsData,8,0))+(((B76-216)/1000)*((C76-178)/1000)*VLOOKUP("H/F (9mm)",SheetsData,8,0)))))))),IF(AND(ISERROR(FIND("arcass",A76))=FALSE,ISERROR(FIND("ost corner",A76))=TRUE),IF(AND(VALUE(B76)&lt;1211,VALUE(C76)&lt;1211,VALUE(D76)&lt;606),1*VLOOKUP(WardrobeCarcassMaterial,SheetsData,5,FALSE),IF(AND(VALUE(B76)&lt;2421,VALUE(C76)&lt;2421,VALUE(D76)&lt;606),2*VLOOKUP(WardrobeCarcassMaterial,SheetsData,5,FALSE),IF(AND(VALUE(B76)&lt;2421,VALUE(C76)&lt;1211,VALUE(D76)&lt;1211),3*VLOOKUP(WardrobeCarcassMaterial,SheetsData,5,FALSE),IF(AND(VALUE(B76)&lt;2421,VALUE(C76)&lt;2421,VALUE(D76)&lt;1211),4*VLOOKUP(WardrobeCarcassMaterial,SheetsData,5,FALSE))))),IF(AND(ISERROR(FIND("arcass",A76))=FALSE,ISERROR(FIND("ost corner",A76))=FALSE),IF(AND(VALUE(B76)&lt;1211,VALUE(C76)&lt;1211,VALUE(D76)&lt;606),(1*VLOOKUP(WardrobeCarcassMaterial,SheetsData,5,FALSE))+(VLOOKUP("H/F (22mm)",SheetsData,7,FALSE)*1.44),IF(AND(VALUE(B76)&lt;2421,VALUE(C76)&lt;2421,VALUE(D76)&lt;606),(2*VLOOKUP(WardrobeCarcassMaterial,SheetsData,5,FALSE))+(VLOOKUP("H/F (22mm)",SheetsData,7,FALSE)*1.44),IF(AND(VALUE(B76)&lt;2421,VALUE(C76)&lt;1211,VALUE(D76)&lt;1211),(3*VLOOKUP(WardrobeCarcassMaterial,SheetsData,5,FALSE))+(VLOOKUP("H/F (22mm)",SheetsData,7,FALSE)*1.44),IF(AND(VALUE(B76)&lt;2421,VALUE(C76)&lt;2421,VALUE(D76)&lt;1211),(4*VLOOKUP(WardrobeCarcassMaterial,SheetsData,5,FALSE))+(VLOOKUP("H/F (22mm)",SheetsData,7,FALSE)*1.44))))),IF(ISERROR(FIND("drawer front",A76))=FALSE,((B76/1000)*(C76/1000))*VLOOKUP(WardrobeDoorMaterial,SheetsData,8,0),IF(AND(WardrobeDrawerType="Match carcass",ISERROR(FIND("drawer box",A76))=FALSE),(((((B76/1000)*(C76/1000))+((B76/1000)*(D76/1000)))*2)*VLOOKUP(WardrobeCarcassMaterial,SheetsData,8,0))+(((C76/1000)*(D76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box",A76))=FALSE),(((((B76/1000)*(C76/1000))+((B76/1000)*(D76/1000)))*2)*(16/1000)*VLOOKUP(LEFT(WardrobeCarcassMaterial,FIND(" ",WardrobeCarcassMaterial))&amp;"(solid m3)",SolidData,4,0))+(((C76/1000)*(D76/1000))*VLOOKUP(LEFT(WardrobeCarcassMaterial,FIND("(",WardrobeCarcassMaterial)-1)&amp;IF(OR(ISERROR(FIND("ply",WardrobeCarcassMaterial))=FALSE,ISERROR(FIND("H/F",WardrobeCarcassMaterial))=FALSE),"(9mm)","(10mm)"),SheetsData,8,0)),IF(ISERROR(FIND("shelf",A76))=FALSE,((C76/1000)*(D76/1000))*VLOOKUP(WardrobeCarcassMaterial,SheetsData,7,FALSE),IF(ISERROR(FIND("Office pod",A76))=FALSE,3*VLOOKUP(WardrobeCarcassMaterial,SheetsData,5,0),IF(ISERROR(FIND(" panel",A76))=FALSE,((B76/1000)*(C76/1000))*VLOOKUP(WardrobeDoorMaterial,SheetsData,8,0),IF(ISERROR(FIND("Fillers",A76))=FALSE,(((0.06*(C76/1000))*2)*VLOOKUP("H/F (18mm)",SheetsData,8,0))+(((0.06*(C76/1000))*2)*VLOOKUP("H/F (9mm)",SheetsData,8,0)),IF(ISERROR(FIND("Cornice (stacked)",A76))=FALSE,((0.08*(C76/1000))*2)*VLOOKUP("H/F (22mm)",SheetsData,8,0),IF(OR(ISERROR(FIND("Plinth",A76))=FALSE,ISERROR(FIND("Cornice (flat)",A76))=FALSE),((B76/1000)*(C76/1000))*VLOOKUP("H/F (18mm)",SheetsData,8,0),IF(ISERROR(FIND("Pelmet",A76))=FALSE,((((B76/1000)*(C76/1000))*2)*VLOOKUP("H/F (18mm)",SheetsData,8,0)),IF(ISERROR(FIND("Fireplace",A76))=FALSE,IF(ISERROR(FIND("over 1600",A76))=FALSE,2*VLOOKUP(WardrobeCarcassMaterial,SheetsData,5,FALSE),VLOOKUP(WardrobeCarcassMaterial,SheetsData,5,FALSE)),IF(ISERROR(FIND("table",A76))=FALSE,((B76/1000)*0.6)*VLOOKUP("Birch ply (24mm)",SheetsData,7,FALSE),IF(ISERROR(FIND("Worktop",A76))=FALSE,((B76/1000)*(C76/1000))*VLOOKUP(WardrobeDoorMaterial,SheetsData,7,FALSE),"Check formula")))))))))))))))))</f>
        <v/>
      </c>
      <c r="F76" s="152" t="str">
        <f>IFERROR(__xludf.DUMMYFUNCTION("IF(OR(A76="""",AND(ISERROR(FIND(""drawer box"",A76))=FALSE,WardrobeDrawerType=""Solid dovetail"")),"""",IF(ISERROR(FIND(""bins"",A76))=FALSE,VLOOKUP(""Base carcass 600"",Wardrobes_etcData,6,0),IF(OR(ISERROR(FIND(""larder"",A76))=FALSE,ISERROR(FIND(""unit"&amp;""",A76))=FALSE),VLOOKUP(LEFT(A76,FIND("" "",A76))&amp;""carcass ""&amp;RIGHT(A76,LEN(A76)-len(regexextract(A76,"".* ""))),Wardrobes_etcData,6,0),IF(ISERROR(FIND(""drawer front"",A76))=FALSE,IF(ISERROR(FIND(""veneer"",WardrobeCarcassMaterial))=TRUE,0,(((B76+C76)/1"&amp;"000)*2)*VLOOKUP(""Edge banding (per M)"",SheetsData,5,0)),IF(ISERROR(FIND(""drawer box"",A76))=FALSE,IF(ISERROR(FIND(""veneer"",WardrobeCarcassMaterial))=TRUE,0,(((C76+D76)/1000)*2)*VLOOKUP(""Edge banding (per M)"",SheetsData,5,0)),IF(ISERROR(FIND(""shelf"&amp;""",A76))=FALSE,IF(ISERROR(FIND(""veneer"",WardrobeCarcassMaterial))=TRUE,0,(C76/1000)*VLOOKUP(""Edge banding (per M)"",SheetsData,5,0)),IF(AND(OR(ISERROR(FIND(""arcass"",A76))=FALSE,ISERROR(FIND(""Fireplace"",A76))=FALSE),ISERROR(FIND(""shelf"",A76))=TRUE"&amp;"),IF(ISERROR(FIND(""veneer"",WardrobeCarcassMaterial))=TRUE,0,((2*(B76+C76))/1000)*VLOOKUP(""Edge banding (per M)"",SheetsData,5,0)),IF(ISERROR(FIND(""door"",A76))=TRUE,"""",IF(ISERROR(FIND(""veneer"",WardrobeDoorMaterial))=TRUE,"""",((2*(B76+C76))/1000)*"&amp;"VLOOKUP(""Edge banding (per M)"",SheetsData,5,0))))))))))"),"")</f>
        <v/>
      </c>
      <c r="G76" s="153" t="str">
        <f>IF(A76="","",IF(AND(ISERROR(FIND("arcass",A76))=TRUE,ISERROR(FIND("Fireplace",A76))=TRUE),"",IF(VALUE(C76)&lt;606,4*VLOOKUP("Plinth foot (2 Parts 80mm)",FurnitureData,5,FALSE),IF(VALUE(C76)&lt;1211,6*VLOOKUP("Plinth foot (2 Parts 80mm)",FurnitureData,5,FALSE),8*VLOOKUP("Plinth foot (2 Parts 80mm)",FurnitureData,5,FALSE)))))</f>
        <v/>
      </c>
      <c r="H76" s="115" t="str">
        <f>IF(OR(A76="",ISERROR(FIND("door",A76))=TRUE),"",VLOOKUP("Hinges &amp; plates (Hettich thick door)",FurnitureData,5,0)*5)</f>
        <v/>
      </c>
      <c r="I76" s="115" t="str">
        <f>IF(ISERROR(FIND("shelf",A76))=FALSE,(VLOOKUP("Shelf pegs",FurnitureData,5,0)/100)*4,"")</f>
        <v/>
      </c>
      <c r="J76" s="152" t="str">
        <f>IF(OR(ISERROR(FIND("fridge/freezer",A76))=FALSE,ISERROR(FIND("sink",A76))=FALSE,ISERROR(FIND("larder",A76))=FALSE),VLOOKUP("Deep shelf "&amp;C76,Wardrobes_etcData,18,0),IF(OR(ISERROR(FIND("single oven",A76))=FALSE,ISERROR(FIND("Base carcass",A76))=FALSE),2*VLOOKUP("Deep shelf "&amp;C76,Wardrobes_etcData,18,0),IF(AND(ISERROR(FIND("wall carcass",A76))=FALSE,ISERROR(FIND("Boiler",A76))=TRUE),2*VLOOKUP("Shallow shelf "&amp;C76,Wardrobes_etcData,18,0),IF(ISERROR(FIND("double oven",A76))=FALSE,3*VLOOKUP("Deep shelf "&amp;C76,Wardrobes_etcData,18,0),IF(ISERROR(FIND("Tower carcass",A76))=FALSE,6*VLOOKUP("Deep shelf "&amp;C76,Wardrobes_etcData,18,0),"")))))</f>
        <v/>
      </c>
      <c r="K76" s="152" t="str">
        <f>IF(ISERROR(FIND("sink",A76))=FALSE,VLOOKUP("Sink liner - Aluminium "&amp;RIGHT(A76,LEN(A76)-22)&amp;"mm",ExceptionalData,5,0),IF(ISERROR(FIND("bins",A76))=FALSE,VLOOKUP("Drawer runners and clip set for bin unit (500) Dynapro",FurnitureData,5,0)+(2*VLOOKUP("Bin (42L Anthracite)",FurnitureData,5,0)),IF(ISERROR(FIND("larder",A76))=FALSE,VLOOKUP("Pull out larder unit 600mm",FurnitureData,5,0),IF(AND(ISERROR(FIND("drawer box",A76))=FALSE,ISERROR(FIND("internal",A76))=TRUE),VLOOKUP("Drawer runners and clip set (550) Dynapro",FurnitureData,5,0),IF(ISERROR(FIND("internal drawer box",A76))=FALSE,VLOOKUP("Drawer runners and clip set (450) Dynapro",FurnitureData,5,0),IF(ISERROR(FIND("table",A76))=FALSE,VLOOKUP("Hairpin Leg (12mm Black "&amp;MID(A76,FIND("(",A76)+1,LEN(A76)-(FIND("(",A76))-1)&amp;"mm)",ExceptionalData,4,FALSE),""))))))</f>
        <v/>
      </c>
      <c r="L76" s="152" t="str">
        <f t="shared" si="3"/>
        <v/>
      </c>
      <c r="M76" s="154" t="str">
        <f>IF(A76="","",IF(AND(ISERROR(FIND("drawer front",A76))=FALSE,WardrobeDoorStyle="Flat"),(((B76/1000)*(C76/1000))*2)+((((B76+C76)/1000)*2)*0.022),IF(AND(ISERROR(FIND("drawer front",A76))=FALSE,LEFT(WardrobeDoorStyle,5)="Panel"),(((B76/1000)*(C76/1000))*2)+((((B76+C76)/1000)*2)*0.022)+((((C76/1000)-0.16)*0.013)*2)+((((D76/1000)-0.16)*0.013)*2),IF(AND(ISERROR(FIND("drawer front",A76))=FALSE,WardrobeDoorStyle="In-frame flat"),((((B76-76)/1000)*((C76-38)/1000))*2)+(MID(WardrobeDoorMaterial,FIND("(",WardrobeDoorMaterial)+1,2)/1000)*((((B76-76)+(C76-38))/1000)*2)+(((B76/1000)*0.032)*2)+((((B76-76)/1000)*0.032)*2)+(((B76/1000)*0.019)*4)+(((C76/1000)*0.032)*2)+((((C76-38)/1000)*0.032)*2)+(((C76/1000)*0.038)*4),IF(AND(ISERROR(FIND("drawer front",A76))=FALSE,LEFT(WardrobeDoorStyle,14)="In-frame panel"),((((B76-76)/1000)*((C76-38)/1000))*2)+((MID(WardrobeDoorMaterial,FIND("(",WardrobeDoorMaterial)+1,2)/1000)*((((B76-76)+(C76-38))/1000)*2))+((((B76-236)/1000)+((C76-198)/1000)*2)*0.013)+(((B76/1000)*0.032)*2)+((((B76-76)/1000)*0.032)*2)+(((B76/1000)*0.019)*4)+(((C76/1000)*0.032)*2)+((((C76-38)/1000)*0.032)*2)+(((C76/1000)*0.038)*4),IF(ISERROR(FIND("drawer box",A76))=FALSE,((((B76/1000)*(D76/1000))+((B76/1000)*(C76/1000)))*4)+((((D76/1000)+(C76/1000))*0.016)*4)+(((C76/1000)*(D76/1000))*2),IF(OR(ISERROR(FIND("shelf",A76))=FALSE,ISERROR(FIND("Filler panel",A76))=FALSE),(((C76/1000)*(D76/1000))*2)+((((C76+D76)*2)/1000)*0.022),IF(ISERROR(FIND("Fireplace",A76))=FALSE,((B76/1000)*(C76/1000)),IF(ISERROR(FIND("Worktop",A76))=FALSE,(B76/1000)*(C76/1000),IF(ISERROR(FIND("table",A76))=FALSE,(B76/1000)*0.6,IF(ISERROR(FIND("arcass",A76))=FALSE,(((C76/1000)*(D76/1000))*2)+(((B76/1000)*(D76/1000))*2)+((B76/1000)*(C76/1000))+((((B76/1000)*0.025)+((C76/1000)*0.025))*2),IF(AND(ISERROR(FIND("door",A76))=FALSE,WardrobeDoorStyle="Flat"),(((B76/1000)*(C76/1000))*2)+(MID(WardrobeDoorMaterial,FIND("(",WardrobeDoorMaterial)+1,2)/1000)*(((B76+C76)/1000)*2),IF(AND(ISERROR(FIND("door",A76))=FALSE,LEFT(WardrobeDoorStyle,5)="Panel"),(((B76/1000)*(C76/1000))*2)+((MID(WardrobeDoorMaterial,FIND("(",WardrobeDoorMaterial)+1,2)/1000)*(((B76+C76)/1000)*2))+(((((B76-160)+(C76-160))*2)/1000)*(0.013)),IF(AND(ISERROR(FIND("door",A76))=FALSE,WardrobeDoorStyle="In-frame flat"),((((B76-76)/1000)*((C76-38)/1000))*2)+(MID(WardrobeDoorMaterial,FIND("(",WardrobeDoorMaterial)+1,2)/1000)*((((B76-76)+(C76-38))/1000)*2)+(((B76/1000)*0.032)*2)+((((B76-76)/1000)*0.032)*2)+(((B76/1000)*0.019)*4)+(((C76/1000)*0.032)*2)+((((C76-38)/1000)*0.032)*2)+(((C76/1000)*0.038)*4),IF(AND(ISERROR(FIND("door",A76))=FALSE,LEFT(WardrobeDoorStyle,14)="In-frame panel"),((((B76-76)/1000)*((C76-38)/1000))*2)+((MID(WardrobeDoorMaterial,FIND("(",WardrobeDoorMaterial)+1,2)/1000)*((((B76-76)+(C76-38))/1000)*2))+((((B76-236)/1000)+((C76-198)/1000)*2)*0.013)+(((B76/1000)*0.032)*2)+((((B76-76)/1000)*0.032)*2)+(((B76/1000)*0.019)*4)+(((C76/1000)*0.032)*2)+((((C76-38)/1000)*0.032)*2)+(((C76/1000)*0.038)*4),IF(ISERROR(FIND("Plinth",A76))=FALSE,((B76/1000)*(C76/1000))+(((C76/1000)*0.018)*2)+(((B76/1000)*0.018)*2),IF(ISERROR(FIND("Cornice",A76))=FALSE,(((C76/1000)*0.1)*2)+(((C76/1000)*0.044)*2)+(((B76/1000)*0.08)*2),IF(ISERROR(FIND("Office pod",A76))=FALSE,((2400/1000)*(1200/1000))*6,IF(ISERROR(FIND("panel",A76))=FALSE,((B76/1000)*(C76/1000))+(0.022*((B76/1000)+((C76/1000)*2)))+((B76/1000)*0.05),IF(ISERROR(FIND("Fillers",A76))=FALSE,((C76/1000)*0.06)+((C76/1000)*0.069)+((0.06*0.018)*2)+((0.06*0.009)*2)+((C76/1000)*0.009)+((C76/1000)*0.018),IF(ISERROR(FIND("Pelmet",A76))=FALSE,((C76/1000)*0.05)+((C76/1000)*0.068)+((0.05*0.018)*4)+(((C76/1000)*0.018))*2)))))))))))))))))))))</f>
        <v/>
      </c>
      <c r="N76" s="152" t="str">
        <f>IF(M76="","",IF(AND(ISERROR(FIND("carcass",A76))=TRUE,ISERROR(FIND("unit",A76))=TRUE,ISERROR(FIND("insert",A76))=TRUE,ISERROR(FIND("rack",A76))=TRUE,ISERROR(FIND("box",A76))=TRUE,ISERROR(FIND("shelf",A76))=TRUE),VLOOKUP(WardrobeDoorFinish,Finishing!$A$2:$K$10,9,0)*M76,IF(ISERROR(FIND("table",A76))=FALSE,VLOOKUP("Sayerlack AF0072 Interior Clear Self-Sealer",FinishingData,9,FALSE)*M76,VLOOKUP(WardrobeCarcassFinish,Finishing!$A$2:$K$40,9,0)*M76)))</f>
        <v/>
      </c>
      <c r="O76" s="159"/>
      <c r="P76" s="159"/>
      <c r="Q76" s="152" t="str">
        <f>IF(OR(O76="",P76=""),"",((O76*X76)*(VLOOKUP("Workshop",Labour!$A$3:$E$20,4,0)/8))+((P76*AE76)*(VLOOKUP("Finishing",Labour!$A$3:$E$20,4,0)/8)))</f>
        <v/>
      </c>
      <c r="R76" s="152" t="str">
        <f t="shared" si="4"/>
        <v/>
      </c>
      <c r="S76" s="156" t="str">
        <f>IF(OR(O76="",P76=""),"",IF(OR(ISERROR(FIND("carcass",$A76))=FALSE,ISERROR(FIND("unit",$A76))=FALSE),VLOOKUP(WardrobeCarcassMaterial,FixedListsCarcassMaterial,2,0),0))</f>
        <v/>
      </c>
      <c r="T76" s="156" t="str">
        <f>IF(OR(O76="",P76=""),"",IF(ISERROR(FIND("door",$A76))=FALSE,VLOOKUP(WardrobeDoorStyle,FixedListsDoorStyle,2,0),0))</f>
        <v/>
      </c>
      <c r="U76" s="156" t="str">
        <f>IF(OR(O76="",P76=""),"",IF(ISERROR(FIND("door",$A76))=FALSE,VLOOKUP(WardrobeDoorMaterial,FixedListsDoorMaterial,2,0),0))</f>
        <v/>
      </c>
      <c r="V76" s="156" t="str">
        <f>IF(OR(O76="",P76=""),"",IF(ISERROR(FIND("drawer",$A76))=FALSE,VLOOKUP(WardrobeDrawerType,FixedListsDrawerType,2,0),0))</f>
        <v/>
      </c>
      <c r="W76" s="156" t="str">
        <f>IF(OR(O76="",P76=""),"",IF(S76&gt;0,VLOOKUP(WardrobeHandleType,FixedListsHandleType,2,FALSE),0))</f>
        <v/>
      </c>
      <c r="X76" s="156" t="str">
        <f t="shared" si="5"/>
        <v/>
      </c>
      <c r="Y76" s="156" t="str">
        <f>IF(OR(O76="",P76=""),"",IF(OR(ISERROR(FIND("carcass",$A76))=FALSE,ISERROR(FIND("unit",$A76))=FALSE),VLOOKUP(WardrobeCarcassMaterial,FixedListsCarcassMaterial,3,0),0))</f>
        <v/>
      </c>
      <c r="Z76" s="156" t="str">
        <f>IF(OR(O76="",P76=""),"",IF(ISERROR(FIND("door",$A76))=FALSE,VLOOKUP(WardrobeDoorStyle,FixedListsDoorStyle,3,0),0))</f>
        <v/>
      </c>
      <c r="AA76" s="156" t="str">
        <f>IF(OR(O76="",P76=""),"",IF(ISERROR(FIND("door",$A76))=FALSE,VLOOKUP(WardrobeDoorMaterial,FixedListsDoorMaterial,3,0),0))</f>
        <v/>
      </c>
      <c r="AB76" s="156" t="str">
        <f>IF(OR(O76="",P76=""),"",IF(ISERROR(FIND("drawer",$A76))=FALSE,VLOOKUP(WardrobeDrawerType,FixedListsDrawerType,3,0),0))</f>
        <v/>
      </c>
      <c r="AC76" s="156" t="str">
        <f>IF(OR(O76="",P76=""),"",IF(S76&gt;0,VLOOKUP(WardrobeHandleType,FixedListsHandleType,3,FALSE),0))</f>
        <v/>
      </c>
      <c r="AD76" s="156" t="str">
        <f>IF(OR(O76="",P76=""),"",IF(OR(ISERROR(FIND("carcass",$A76))=FALSE,ISERROR(FIND("unit",$A76))=FALSE),VLOOKUP(WardrobeCarcassFinish,FixedListsFinishes,3,0),IF(OR(ISERROR(FIND("door",$A76))=FALSE,ISERROR(FIND("Plinth",$A76))=FALSE,ISERROR(FIND("Cornice",$A76))=FALSE,ISERROR(FIND("Fillers",$A76))=FALSE,ISERROR(FIND("Pelmet",$A76))=FALSE,ISERROR(FIND("panel",$A76))=FALSE,ISERROR(FIND("post",$A76))=FALSE),VLOOKUP(WardrobeDoorFinish,FixedListsFinishes,3,0),IF(OR(ISERROR(FIND("drawer",$A76))=FALSE,ISERROR(FIND("insert",$A76))=FALSE,ISERROR(FIND("rck",$A76))=FALSE),VLOOKUP(WardrobeCarcassFinish,FixedListsFinishes,3,0),0))))</f>
        <v/>
      </c>
      <c r="AE76" s="156" t="str">
        <f t="shared" si="6"/>
        <v/>
      </c>
      <c r="AF76" s="157" t="str">
        <f>IF(AND(WardrobeHandleType="Channel",OR(ISERROR(FIND("arcass",$A76))=FALSE,ISERROR(FIND("unit",$A76))=FALSE)),IF(ISERROR(FIND("Tower",$A76))=TRUE,IF(WardrobeHandleFinish="Match carcass",IF(ISERROR(FIND("Walnut",WardrobeCarcassMaterial))=FALSE,(0.035*0.075*($C76/1000))*VLOOKUP("Walnut (solid m3)",SolidData,4,FALSE),IF(ISERROR(FIND("Oak",WardrobeCarcassMaterial))=FALSE,(0.035*0.075*($C76/1000))*VLOOKUP("Oak (solid m3)",SolidData,4,FALSE),IF(ISERROR(FIND("ply",WardrobeCarcassMaterial))=FALSE,(0.1*($C76/1000))*VLOOKUP("Birch ply (24mm)",SheetsData,7,FALSE),IF(ISERROR(FIND("H/F",WardrobeCarcassMaterial))=FALSE,(0.1*($C76/1000))*VLOOKUP("H/F (22mm)",SheetsData,7,FALSE),"Carcass - not tower - new material")))),IF(WardrobeHandleFinish="Match door",IF(ISERROR(FIND("Walnut",WardrobeDoorMaterial))=FALSE,(0.035*0.075*($C76/1000))*VLOOKUP("Walnut (solid m3)",SolidData,4,FALSE),IF(ISERROR(FIND("Oak",WardrobeDoorMaterial))=FALSE,(0.035*0.075*($C76/1000))*VLOOKUP("Oak (solid m3)",SolidData,4,FALSE),IF(ISERROR(FIND("ply",WardrobeDoorMaterial))=FALSE,(0.1*($C76/1000))*VLOOKUP("Birch ply (24mm)",SheetsData,7,FALSE),IF(ISERROR(FIND("H/F",WardrobeCarcassMaterial))=FALSE,(0.1*($C76/1000))*VLOOKUP("H/F (22mm)",SheetsData,7,FALSE),"Door - not tower - new material")))),"Channel - not tower - handle set to other")),IF(ISERROR(FIND("Tower",$A76))=FALSE,IF(WardrobeHandleFinish="Match carcass",IF(ISERROR(FIND("Walnut",WardrobeCarcassMaterial))=FALSE,(0.035*0.075*($B76/1000))*VLOOKUP("Walnut (solid m3)",SolidData,4,FALSE),IF(ISERROR(FIND("Oak",WardrobeCarcassMaterial))=FALSE,(0.035*0.075*($B76/1000))*VLOOKUP("Oak (solid m3)",SolidData,4,FALSE),IF(ISERROR(FIND("ply",WardrobeCarcassMaterial))=FALSE,(0.1*($B76/1000))*VLOOKUP("Birch ply (24mm)",SheetsData,7,FALSE),IF(ISERROR(FIND("H/F",WardrobeCarcassMaterial))=FALSE,(0.1*($C76/1000))*VLOOKUP("H/F (22mm)",SheetsData,7,FALSE),"Carcass - tower - new material")))),IF(WardrobeHandleFinish="Match door",IF(ISERROR(FIND("Walnut",WardrobeDoorMaterial))=FALSE,(0.035*0.075*($B76/1000))*VLOOKUP("Walnut (solid m3)",SolidData,4,FALSE),IF(ISERROR(FIND("Oak",WardrobeDoorMaterial))=FALSE,(0.035*0.075*($B76/1000))*VLOOKUP("Oak (solid m3)",SolidData,4,FALSE),IF(ISERROR(FIND("ply",WardrobeDoorMaterial))=FALSE,(0.1*($B76/1000))*VLOOKUP("Birch ply (24mm)",SheetData,7,FALSE),IF(ISERROR(FIND("H/F",WardrobeCarcassMaterial))=FALSE,(0.1*($C76/1000))*VLOOKUP("H/F (22mm)",SheetsData,7,FALSE),"Door - tower - new material")))),"Channel - tower - handle set to other")))),"")</f>
        <v/>
      </c>
    </row>
    <row r="77">
      <c r="A77" s="150"/>
      <c r="B77" s="160" t="str">
        <f t="shared" si="1"/>
        <v/>
      </c>
      <c r="C77" s="160" t="str">
        <f>IFERROR(__xludf.DUMMYFUNCTION("IF(A77="""","""",IF(ISERROR(FIND(""arcass"",A77))=FALSE,MID(A77,FIND(""*"",A77)+1,FIND(""*"",A77,FIND(""*"",A77)+1)-FIND(""*"",A77)-1),IF(ISERROR(FIND(""End panel"",A77))=FALSE,RIGHT(A77,3),IF(OR(ISERROR(FIND(""drawer"",A77))=FALSE,ISERROR(FIND(""door"",A"&amp;"77))=FALSE,ISERROR(FIND(""shelf"",A77))=FALSE,ISERROR(FIND(""panel"",A77))=FALSE,ISERROR(FIND(""Plinth"",A77))=FALSE,ISERROR(FIND(""Cornice"",A77))=FALSE,ISERROR(FIND(""Fillers"",A77))=FALSE,ISERROR(FIND(""Pelmet"",A77))=FALSE,ISERROR(FIND(""Fireplace up "&amp;"to 1600"",A77))=FALSE),RIGHT(A77,LEN(A77)-LEN(regexextract(A77,"".* ""))),IF(ISERROR(FIND(""table"",A77))=FALSE,""560"",IF(ISERROR(FIND(""Office pod"",A77))=FALSE,""1600"",IF(ISERROR(FIND(""Fireplace over 1600"",A77))=FALSE,""2400"",IF(ISERROR(FIND(""Work"&amp;"top"",A77))=FALSE,""650"",""Whoops""))))))))"),"")</f>
        <v/>
      </c>
      <c r="D77" s="161" t="str">
        <f t="shared" si="2"/>
        <v/>
      </c>
      <c r="E77" s="152" t="str">
        <f>IF(OR(A77="",AND(ISERROR(FIND("drawer",A77))=FALSE,WardrobeDrawerType="")),"",IF(ISERROR(FIND("door",A77))=FALSE,IF(WardrobeDoorStyle="Flat",((B77/1000)*(C77/1000))*VLOOKUP(WardrobeDoorMaterial,SheetsData,8,0),IF(LEFT(WardrobeDoorStyle,5)="Panel",(((((B77/1000)*2)*0.08)+((((C77/1000)-0.16)*2)*0.08))*VLOOKUP("H/F (22mm)",SheetsData,8,0))+(((B77/1000)-0.14)*((C77/1000)-0.14)*VLOOKUP("H/F (9mm)",SheetsData,8,0)),IF(WardrobeDoorStyle="In-frame flat",((((((B77/1000)*0.019)*0.038)+((((C77-38)/1000)*0.038)*0.038))*2)*VLOOKUP("Tulip (solid m3)",SolidData,4,0))+(((B77-76)/1000)*((C77-38)/1000))*VLOOKUP("H/F (22mm)",SheetsData,8,0),IF(LEFT(WardrobeDoorStyle,14)="In-frame panel",(((((((B77/1000)*0.019)*0.038)+((((C77-38)/1000)*0.038)*0.038))*2)*VLOOKUP("Tulip (solid m3)",SolidData,4,0))+(((((((B77-76)/1000)*2)*0.08)+(((((C77-198)/1000)*2)*0.08)))*VLOOKUP("H/F (22mm)",SheetsData,8,0))+(((B77-216)/1000)*((C77-178)/1000)*VLOOKUP("H/F (9mm)",SheetsData,8,0)))))))),IF(AND(ISERROR(FIND("arcass",A77))=FALSE,ISERROR(FIND("ost corner",A77))=TRUE),IF(AND(VALUE(B77)&lt;1211,VALUE(C77)&lt;1211,VALUE(D77)&lt;606),1*VLOOKUP(WardrobeCarcassMaterial,SheetsData,5,FALSE),IF(AND(VALUE(B77)&lt;2421,VALUE(C77)&lt;2421,VALUE(D77)&lt;606),2*VLOOKUP(WardrobeCarcassMaterial,SheetsData,5,FALSE),IF(AND(VALUE(B77)&lt;2421,VALUE(C77)&lt;1211,VALUE(D77)&lt;1211),3*VLOOKUP(WardrobeCarcassMaterial,SheetsData,5,FALSE),IF(AND(VALUE(B77)&lt;2421,VALUE(C77)&lt;2421,VALUE(D77)&lt;1211),4*VLOOKUP(WardrobeCarcassMaterial,SheetsData,5,FALSE))))),IF(AND(ISERROR(FIND("arcass",A77))=FALSE,ISERROR(FIND("ost corner",A77))=FALSE),IF(AND(VALUE(B77)&lt;1211,VALUE(C77)&lt;1211,VALUE(D77)&lt;606),(1*VLOOKUP(WardrobeCarcassMaterial,SheetsData,5,FALSE))+(VLOOKUP("H/F (22mm)",SheetsData,7,FALSE)*1.44),IF(AND(VALUE(B77)&lt;2421,VALUE(C77)&lt;2421,VALUE(D77)&lt;606),(2*VLOOKUP(WardrobeCarcassMaterial,SheetsData,5,FALSE))+(VLOOKUP("H/F (22mm)",SheetsData,7,FALSE)*1.44),IF(AND(VALUE(B77)&lt;2421,VALUE(C77)&lt;1211,VALUE(D77)&lt;1211),(3*VLOOKUP(WardrobeCarcassMaterial,SheetsData,5,FALSE))+(VLOOKUP("H/F (22mm)",SheetsData,7,FALSE)*1.44),IF(AND(VALUE(B77)&lt;2421,VALUE(C77)&lt;2421,VALUE(D77)&lt;1211),(4*VLOOKUP(WardrobeCarcassMaterial,SheetsData,5,FALSE))+(VLOOKUP("H/F (22mm)",SheetsData,7,FALSE)*1.44))))),IF(ISERROR(FIND("drawer front",A77))=FALSE,((B77/1000)*(C77/1000))*VLOOKUP(WardrobeDoorMaterial,SheetsData,8,0),IF(AND(WardrobeDrawerType="Match carcass",ISERROR(FIND("drawer box",A77))=FALSE),(((((B77/1000)*(C77/1000))+((B77/1000)*(D77/1000)))*2)*VLOOKUP(WardrobeCarcassMaterial,SheetsData,8,0))+(((C77/1000)*(D77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box",A77))=FALSE),(((((B77/1000)*(C77/1000))+((B77/1000)*(D77/1000)))*2)*(16/1000)*VLOOKUP(LEFT(WardrobeCarcassMaterial,FIND(" ",WardrobeCarcassMaterial))&amp;"(solid m3)",SolidData,4,0))+(((C77/1000)*(D77/1000))*VLOOKUP(LEFT(WardrobeCarcassMaterial,FIND("(",WardrobeCarcassMaterial)-1)&amp;IF(OR(ISERROR(FIND("ply",WardrobeCarcassMaterial))=FALSE,ISERROR(FIND("H/F",WardrobeCarcassMaterial))=FALSE),"(9mm)","(10mm)"),SheetsData,8,0)),IF(ISERROR(FIND("shelf",A77))=FALSE,((C77/1000)*(D77/1000))*VLOOKUP(WardrobeCarcassMaterial,SheetsData,7,FALSE),IF(ISERROR(FIND("Office pod",A77))=FALSE,3*VLOOKUP(WardrobeCarcassMaterial,SheetsData,5,0),IF(ISERROR(FIND(" panel",A77))=FALSE,((B77/1000)*(C77/1000))*VLOOKUP(WardrobeDoorMaterial,SheetsData,8,0),IF(ISERROR(FIND("Fillers",A77))=FALSE,(((0.06*(C77/1000))*2)*VLOOKUP("H/F (18mm)",SheetsData,8,0))+(((0.06*(C77/1000))*2)*VLOOKUP("H/F (9mm)",SheetsData,8,0)),IF(ISERROR(FIND("Cornice (stacked)",A77))=FALSE,((0.08*(C77/1000))*2)*VLOOKUP("H/F (22mm)",SheetsData,8,0),IF(OR(ISERROR(FIND("Plinth",A77))=FALSE,ISERROR(FIND("Cornice (flat)",A77))=FALSE),((B77/1000)*(C77/1000))*VLOOKUP("H/F (18mm)",SheetsData,8,0),IF(ISERROR(FIND("Pelmet",A77))=FALSE,((((B77/1000)*(C77/1000))*2)*VLOOKUP("H/F (18mm)",SheetsData,8,0)),IF(ISERROR(FIND("Fireplace",A77))=FALSE,IF(ISERROR(FIND("over 1600",A77))=FALSE,2*VLOOKUP(WardrobeCarcassMaterial,SheetsData,5,FALSE),VLOOKUP(WardrobeCarcassMaterial,SheetsData,5,FALSE)),IF(ISERROR(FIND("table",A77))=FALSE,((B77/1000)*0.6)*VLOOKUP("Birch ply (24mm)",SheetsData,7,FALSE),IF(ISERROR(FIND("Worktop",A77))=FALSE,((B77/1000)*(C77/1000))*VLOOKUP(WardrobeDoorMaterial,SheetsData,7,FALSE),"Check formula")))))))))))))))))</f>
        <v/>
      </c>
      <c r="F77" s="152" t="str">
        <f>IFERROR(__xludf.DUMMYFUNCTION("IF(OR(A77="""",AND(ISERROR(FIND(""drawer box"",A77))=FALSE,WardrobeDrawerType=""Solid dovetail"")),"""",IF(ISERROR(FIND(""bins"",A77))=FALSE,VLOOKUP(""Base carcass 600"",Wardrobes_etcData,6,0),IF(OR(ISERROR(FIND(""larder"",A77))=FALSE,ISERROR(FIND(""unit"&amp;""",A77))=FALSE),VLOOKUP(LEFT(A77,FIND("" "",A77))&amp;""carcass ""&amp;RIGHT(A77,LEN(A77)-len(regexextract(A77,"".* ""))),Wardrobes_etcData,6,0),IF(ISERROR(FIND(""drawer front"",A77))=FALSE,IF(ISERROR(FIND(""veneer"",WardrobeCarcassMaterial))=TRUE,0,(((B77+C77)/1"&amp;"000)*2)*VLOOKUP(""Edge banding (per M)"",SheetsData,5,0)),IF(ISERROR(FIND(""drawer box"",A77))=FALSE,IF(ISERROR(FIND(""veneer"",WardrobeCarcassMaterial))=TRUE,0,(((C77+D77)/1000)*2)*VLOOKUP(""Edge banding (per M)"",SheetsData,5,0)),IF(ISERROR(FIND(""shelf"&amp;""",A77))=FALSE,IF(ISERROR(FIND(""veneer"",WardrobeCarcassMaterial))=TRUE,0,(C77/1000)*VLOOKUP(""Edge banding (per M)"",SheetsData,5,0)),IF(AND(OR(ISERROR(FIND(""arcass"",A77))=FALSE,ISERROR(FIND(""Fireplace"",A77))=FALSE),ISERROR(FIND(""shelf"",A77))=TRUE"&amp;"),IF(ISERROR(FIND(""veneer"",WardrobeCarcassMaterial))=TRUE,0,((2*(B77+C77))/1000)*VLOOKUP(""Edge banding (per M)"",SheetsData,5,0)),IF(ISERROR(FIND(""door"",A77))=TRUE,"""",IF(ISERROR(FIND(""veneer"",WardrobeDoorMaterial))=TRUE,"""",((2*(B77+C77))/1000)*"&amp;"VLOOKUP(""Edge banding (per M)"",SheetsData,5,0))))))))))"),"")</f>
        <v/>
      </c>
      <c r="G77" s="153" t="str">
        <f>IF(A77="","",IF(AND(ISERROR(FIND("arcass",A77))=TRUE,ISERROR(FIND("Fireplace",A77))=TRUE),"",IF(VALUE(C77)&lt;606,4*VLOOKUP("Plinth foot (2 Parts 80mm)",FurnitureData,5,FALSE),IF(VALUE(C77)&lt;1211,6*VLOOKUP("Plinth foot (2 Parts 80mm)",FurnitureData,5,FALSE),8*VLOOKUP("Plinth foot (2 Parts 80mm)",FurnitureData,5,FALSE)))))</f>
        <v/>
      </c>
      <c r="H77" s="115" t="str">
        <f>IF(OR(A77="",ISERROR(FIND("door",A77))=TRUE),"",VLOOKUP("Hinges &amp; plates (Hettich thick door)",FurnitureData,5,0)*5)</f>
        <v/>
      </c>
      <c r="I77" s="115" t="str">
        <f>IF(ISERROR(FIND("shelf",A77))=FALSE,(VLOOKUP("Shelf pegs",FurnitureData,5,0)/100)*4,"")</f>
        <v/>
      </c>
      <c r="J77" s="152" t="str">
        <f>IF(OR(ISERROR(FIND("fridge/freezer",A77))=FALSE,ISERROR(FIND("sink",A77))=FALSE,ISERROR(FIND("larder",A77))=FALSE),VLOOKUP("Deep shelf "&amp;C77,Wardrobes_etcData,18,0),IF(OR(ISERROR(FIND("single oven",A77))=FALSE,ISERROR(FIND("Base carcass",A77))=FALSE),2*VLOOKUP("Deep shelf "&amp;C77,Wardrobes_etcData,18,0),IF(AND(ISERROR(FIND("wall carcass",A77))=FALSE,ISERROR(FIND("Boiler",A77))=TRUE),2*VLOOKUP("Shallow shelf "&amp;C77,Wardrobes_etcData,18,0),IF(ISERROR(FIND("double oven",A77))=FALSE,3*VLOOKUP("Deep shelf "&amp;C77,Wardrobes_etcData,18,0),IF(ISERROR(FIND("Tower carcass",A77))=FALSE,6*VLOOKUP("Deep shelf "&amp;C77,Wardrobes_etcData,18,0),"")))))</f>
        <v/>
      </c>
      <c r="K77" s="152" t="str">
        <f>IF(ISERROR(FIND("sink",A77))=FALSE,VLOOKUP("Sink liner - Aluminium "&amp;RIGHT(A77,LEN(A77)-22)&amp;"mm",ExceptionalData,5,0),IF(ISERROR(FIND("bins",A77))=FALSE,VLOOKUP("Drawer runners and clip set for bin unit (500) Dynapro",FurnitureData,5,0)+(2*VLOOKUP("Bin (42L Anthracite)",FurnitureData,5,0)),IF(ISERROR(FIND("larder",A77))=FALSE,VLOOKUP("Pull out larder unit 600mm",FurnitureData,5,0),IF(AND(ISERROR(FIND("drawer box",A77))=FALSE,ISERROR(FIND("internal",A77))=TRUE),VLOOKUP("Drawer runners and clip set (550) Dynapro",FurnitureData,5,0),IF(ISERROR(FIND("internal drawer box",A77))=FALSE,VLOOKUP("Drawer runners and clip set (450) Dynapro",FurnitureData,5,0),IF(ISERROR(FIND("table",A77))=FALSE,VLOOKUP("Hairpin Leg (12mm Black "&amp;MID(A77,FIND("(",A77)+1,LEN(A77)-(FIND("(",A77))-1)&amp;"mm)",ExceptionalData,4,FALSE),""))))))</f>
        <v/>
      </c>
      <c r="L77" s="152" t="str">
        <f t="shared" si="3"/>
        <v/>
      </c>
      <c r="M77" s="154" t="str">
        <f>IF(A77="","",IF(AND(ISERROR(FIND("drawer front",A77))=FALSE,WardrobeDoorStyle="Flat"),(((B77/1000)*(C77/1000))*2)+((((B77+C77)/1000)*2)*0.022),IF(AND(ISERROR(FIND("drawer front",A77))=FALSE,LEFT(WardrobeDoorStyle,5)="Panel"),(((B77/1000)*(C77/1000))*2)+((((B77+C77)/1000)*2)*0.022)+((((C77/1000)-0.16)*0.013)*2)+((((D77/1000)-0.16)*0.013)*2),IF(AND(ISERROR(FIND("drawer front",A77))=FALSE,WardrobeDoorStyle="In-frame flat"),((((B77-76)/1000)*((C77-38)/1000))*2)+(MID(WardrobeDoorMaterial,FIND("(",WardrobeDoorMaterial)+1,2)/1000)*((((B77-76)+(C77-38))/1000)*2)+(((B77/1000)*0.032)*2)+((((B77-76)/1000)*0.032)*2)+(((B77/1000)*0.019)*4)+(((C77/1000)*0.032)*2)+((((C77-38)/1000)*0.032)*2)+(((C77/1000)*0.038)*4),IF(AND(ISERROR(FIND("drawer front",A77))=FALSE,LEFT(WardrobeDoorStyle,14)="In-frame panel"),((((B77-76)/1000)*((C77-38)/1000))*2)+((MID(WardrobeDoorMaterial,FIND("(",WardrobeDoorMaterial)+1,2)/1000)*((((B77-76)+(C77-38))/1000)*2))+((((B77-236)/1000)+((C77-198)/1000)*2)*0.013)+(((B77/1000)*0.032)*2)+((((B77-76)/1000)*0.032)*2)+(((B77/1000)*0.019)*4)+(((C77/1000)*0.032)*2)+((((C77-38)/1000)*0.032)*2)+(((C77/1000)*0.038)*4),IF(ISERROR(FIND("drawer box",A77))=FALSE,((((B77/1000)*(D77/1000))+((B77/1000)*(C77/1000)))*4)+((((D77/1000)+(C77/1000))*0.016)*4)+(((C77/1000)*(D77/1000))*2),IF(OR(ISERROR(FIND("shelf",A77))=FALSE,ISERROR(FIND("Filler panel",A77))=FALSE),(((C77/1000)*(D77/1000))*2)+((((C77+D77)*2)/1000)*0.022),IF(ISERROR(FIND("Fireplace",A77))=FALSE,((B77/1000)*(C77/1000)),IF(ISERROR(FIND("Worktop",A77))=FALSE,(B77/1000)*(C77/1000),IF(ISERROR(FIND("table",A77))=FALSE,(B77/1000)*0.6,IF(ISERROR(FIND("arcass",A77))=FALSE,(((C77/1000)*(D77/1000))*2)+(((B77/1000)*(D77/1000))*2)+((B77/1000)*(C77/1000))+((((B77/1000)*0.025)+((C77/1000)*0.025))*2),IF(AND(ISERROR(FIND("door",A77))=FALSE,WardrobeDoorStyle="Flat"),(((B77/1000)*(C77/1000))*2)+(MID(WardrobeDoorMaterial,FIND("(",WardrobeDoorMaterial)+1,2)/1000)*(((B77+C77)/1000)*2),IF(AND(ISERROR(FIND("door",A77))=FALSE,LEFT(WardrobeDoorStyle,5)="Panel"),(((B77/1000)*(C77/1000))*2)+((MID(WardrobeDoorMaterial,FIND("(",WardrobeDoorMaterial)+1,2)/1000)*(((B77+C77)/1000)*2))+(((((B77-160)+(C77-160))*2)/1000)*(0.013)),IF(AND(ISERROR(FIND("door",A77))=FALSE,WardrobeDoorStyle="In-frame flat"),((((B77-76)/1000)*((C77-38)/1000))*2)+(MID(WardrobeDoorMaterial,FIND("(",WardrobeDoorMaterial)+1,2)/1000)*((((B77-76)+(C77-38))/1000)*2)+(((B77/1000)*0.032)*2)+((((B77-76)/1000)*0.032)*2)+(((B77/1000)*0.019)*4)+(((C77/1000)*0.032)*2)+((((C77-38)/1000)*0.032)*2)+(((C77/1000)*0.038)*4),IF(AND(ISERROR(FIND("door",A77))=FALSE,LEFT(WardrobeDoorStyle,14)="In-frame panel"),((((B77-76)/1000)*((C77-38)/1000))*2)+((MID(WardrobeDoorMaterial,FIND("(",WardrobeDoorMaterial)+1,2)/1000)*((((B77-76)+(C77-38))/1000)*2))+((((B77-236)/1000)+((C77-198)/1000)*2)*0.013)+(((B77/1000)*0.032)*2)+((((B77-76)/1000)*0.032)*2)+(((B77/1000)*0.019)*4)+(((C77/1000)*0.032)*2)+((((C77-38)/1000)*0.032)*2)+(((C77/1000)*0.038)*4),IF(ISERROR(FIND("Plinth",A77))=FALSE,((B77/1000)*(C77/1000))+(((C77/1000)*0.018)*2)+(((B77/1000)*0.018)*2),IF(ISERROR(FIND("Cornice",A77))=FALSE,(((C77/1000)*0.1)*2)+(((C77/1000)*0.044)*2)+(((B77/1000)*0.08)*2),IF(ISERROR(FIND("Office pod",A77))=FALSE,((2400/1000)*(1200/1000))*6,IF(ISERROR(FIND("panel",A77))=FALSE,((B77/1000)*(C77/1000))+(0.022*((B77/1000)+((C77/1000)*2)))+((B77/1000)*0.05),IF(ISERROR(FIND("Fillers",A77))=FALSE,((C77/1000)*0.06)+((C77/1000)*0.069)+((0.06*0.018)*2)+((0.06*0.009)*2)+((C77/1000)*0.009)+((C77/1000)*0.018),IF(ISERROR(FIND("Pelmet",A77))=FALSE,((C77/1000)*0.05)+((C77/1000)*0.068)+((0.05*0.018)*4)+(((C77/1000)*0.018))*2)))))))))))))))))))))</f>
        <v/>
      </c>
      <c r="N77" s="152" t="str">
        <f>IF(M77="","",IF(AND(ISERROR(FIND("carcass",A77))=TRUE,ISERROR(FIND("unit",A77))=TRUE,ISERROR(FIND("insert",A77))=TRUE,ISERROR(FIND("rack",A77))=TRUE,ISERROR(FIND("box",A77))=TRUE,ISERROR(FIND("shelf",A77))=TRUE),VLOOKUP(WardrobeDoorFinish,Finishing!$A$2:$K$10,9,0)*M77,IF(ISERROR(FIND("table",A77))=FALSE,VLOOKUP("Sayerlack AF0072 Interior Clear Self-Sealer",FinishingData,9,FALSE)*M77,VLOOKUP(WardrobeCarcassFinish,Finishing!$A$2:$K$40,9,0)*M77)))</f>
        <v/>
      </c>
      <c r="O77" s="159"/>
      <c r="P77" s="159"/>
      <c r="Q77" s="152" t="str">
        <f>IF(OR(O77="",P77=""),"",((O77*X77)*(VLOOKUP("Workshop",Labour!$A$3:$E$20,4,0)/8))+((P77*AE77)*(VLOOKUP("Finishing",Labour!$A$3:$E$20,4,0)/8)))</f>
        <v/>
      </c>
      <c r="R77" s="152" t="str">
        <f t="shared" si="4"/>
        <v/>
      </c>
      <c r="S77" s="156" t="str">
        <f>IF(OR(O77="",P77=""),"",IF(OR(ISERROR(FIND("carcass",$A77))=FALSE,ISERROR(FIND("unit",$A77))=FALSE),VLOOKUP(WardrobeCarcassMaterial,FixedListsCarcassMaterial,2,0),0))</f>
        <v/>
      </c>
      <c r="T77" s="156" t="str">
        <f>IF(OR(O77="",P77=""),"",IF(ISERROR(FIND("door",$A77))=FALSE,VLOOKUP(WardrobeDoorStyle,FixedListsDoorStyle,2,0),0))</f>
        <v/>
      </c>
      <c r="U77" s="156" t="str">
        <f>IF(OR(O77="",P77=""),"",IF(ISERROR(FIND("door",$A77))=FALSE,VLOOKUP(WardrobeDoorMaterial,FixedListsDoorMaterial,2,0),0))</f>
        <v/>
      </c>
      <c r="V77" s="156" t="str">
        <f>IF(OR(O77="",P77=""),"",IF(ISERROR(FIND("drawer",$A77))=FALSE,VLOOKUP(WardrobeDrawerType,FixedListsDrawerType,2,0),0))</f>
        <v/>
      </c>
      <c r="W77" s="156" t="str">
        <f>IF(OR(O77="",P77=""),"",IF(S77&gt;0,VLOOKUP(WardrobeHandleType,FixedListsHandleType,2,FALSE),0))</f>
        <v/>
      </c>
      <c r="X77" s="156" t="str">
        <f t="shared" si="5"/>
        <v/>
      </c>
      <c r="Y77" s="156" t="str">
        <f>IF(OR(O77="",P77=""),"",IF(OR(ISERROR(FIND("carcass",$A77))=FALSE,ISERROR(FIND("unit",$A77))=FALSE),VLOOKUP(WardrobeCarcassMaterial,FixedListsCarcassMaterial,3,0),0))</f>
        <v/>
      </c>
      <c r="Z77" s="156" t="str">
        <f>IF(OR(O77="",P77=""),"",IF(ISERROR(FIND("door",$A77))=FALSE,VLOOKUP(WardrobeDoorStyle,FixedListsDoorStyle,3,0),0))</f>
        <v/>
      </c>
      <c r="AA77" s="156" t="str">
        <f>IF(OR(O77="",P77=""),"",IF(ISERROR(FIND("door",$A77))=FALSE,VLOOKUP(WardrobeDoorMaterial,FixedListsDoorMaterial,3,0),0))</f>
        <v/>
      </c>
      <c r="AB77" s="156" t="str">
        <f>IF(OR(O77="",P77=""),"",IF(ISERROR(FIND("drawer",$A77))=FALSE,VLOOKUP(WardrobeDrawerType,FixedListsDrawerType,3,0),0))</f>
        <v/>
      </c>
      <c r="AC77" s="156" t="str">
        <f>IF(OR(O77="",P77=""),"",IF(S77&gt;0,VLOOKUP(WardrobeHandleType,FixedListsHandleType,3,FALSE),0))</f>
        <v/>
      </c>
      <c r="AD77" s="156" t="str">
        <f>IF(OR(O77="",P77=""),"",IF(OR(ISERROR(FIND("carcass",$A77))=FALSE,ISERROR(FIND("unit",$A77))=FALSE),VLOOKUP(WardrobeCarcassFinish,FixedListsFinishes,3,0),IF(OR(ISERROR(FIND("door",$A77))=FALSE,ISERROR(FIND("Plinth",$A77))=FALSE,ISERROR(FIND("Cornice",$A77))=FALSE,ISERROR(FIND("Fillers",$A77))=FALSE,ISERROR(FIND("Pelmet",$A77))=FALSE,ISERROR(FIND("panel",$A77))=FALSE,ISERROR(FIND("post",$A77))=FALSE),VLOOKUP(WardrobeDoorFinish,FixedListsFinishes,3,0),IF(OR(ISERROR(FIND("drawer",$A77))=FALSE,ISERROR(FIND("insert",$A77))=FALSE,ISERROR(FIND("rck",$A77))=FALSE),VLOOKUP(WardrobeCarcassFinish,FixedListsFinishes,3,0),0))))</f>
        <v/>
      </c>
      <c r="AE77" s="156" t="str">
        <f t="shared" si="6"/>
        <v/>
      </c>
      <c r="AF77" s="157" t="str">
        <f>IF(AND(WardrobeHandleType="Channel",OR(ISERROR(FIND("arcass",$A77))=FALSE,ISERROR(FIND("unit",$A77))=FALSE)),IF(ISERROR(FIND("Tower",$A77))=TRUE,IF(WardrobeHandleFinish="Match carcass",IF(ISERROR(FIND("Walnut",WardrobeCarcassMaterial))=FALSE,(0.035*0.075*($C77/1000))*VLOOKUP("Walnut (solid m3)",SolidData,4,FALSE),IF(ISERROR(FIND("Oak",WardrobeCarcassMaterial))=FALSE,(0.035*0.075*($C77/1000))*VLOOKUP("Oak (solid m3)",SolidData,4,FALSE),IF(ISERROR(FIND("ply",WardrobeCarcassMaterial))=FALSE,(0.1*($C77/1000))*VLOOKUP("Birch ply (24mm)",SheetsData,7,FALSE),IF(ISERROR(FIND("H/F",WardrobeCarcassMaterial))=FALSE,(0.1*($C77/1000))*VLOOKUP("H/F (22mm)",SheetsData,7,FALSE),"Carcass - not tower - new material")))),IF(WardrobeHandleFinish="Match door",IF(ISERROR(FIND("Walnut",WardrobeDoorMaterial))=FALSE,(0.035*0.075*($C77/1000))*VLOOKUP("Walnut (solid m3)",SolidData,4,FALSE),IF(ISERROR(FIND("Oak",WardrobeDoorMaterial))=FALSE,(0.035*0.075*($C77/1000))*VLOOKUP("Oak (solid m3)",SolidData,4,FALSE),IF(ISERROR(FIND("ply",WardrobeDoorMaterial))=FALSE,(0.1*($C77/1000))*VLOOKUP("Birch ply (24mm)",SheetsData,7,FALSE),IF(ISERROR(FIND("H/F",WardrobeCarcassMaterial))=FALSE,(0.1*($C77/1000))*VLOOKUP("H/F (22mm)",SheetsData,7,FALSE),"Door - not tower - new material")))),"Channel - not tower - handle set to other")),IF(ISERROR(FIND("Tower",$A77))=FALSE,IF(WardrobeHandleFinish="Match carcass",IF(ISERROR(FIND("Walnut",WardrobeCarcassMaterial))=FALSE,(0.035*0.075*($B77/1000))*VLOOKUP("Walnut (solid m3)",SolidData,4,FALSE),IF(ISERROR(FIND("Oak",WardrobeCarcassMaterial))=FALSE,(0.035*0.075*($B77/1000))*VLOOKUP("Oak (solid m3)",SolidData,4,FALSE),IF(ISERROR(FIND("ply",WardrobeCarcassMaterial))=FALSE,(0.1*($B77/1000))*VLOOKUP("Birch ply (24mm)",SheetsData,7,FALSE),IF(ISERROR(FIND("H/F",WardrobeCarcassMaterial))=FALSE,(0.1*($C77/1000))*VLOOKUP("H/F (22mm)",SheetsData,7,FALSE),"Carcass - tower - new material")))),IF(WardrobeHandleFinish="Match door",IF(ISERROR(FIND("Walnut",WardrobeDoorMaterial))=FALSE,(0.035*0.075*($B77/1000))*VLOOKUP("Walnut (solid m3)",SolidData,4,FALSE),IF(ISERROR(FIND("Oak",WardrobeDoorMaterial))=FALSE,(0.035*0.075*($B77/1000))*VLOOKUP("Oak (solid m3)",SolidData,4,FALSE),IF(ISERROR(FIND("ply",WardrobeDoorMaterial))=FALSE,(0.1*($B77/1000))*VLOOKUP("Birch ply (24mm)",SheetData,7,FALSE),IF(ISERROR(FIND("H/F",WardrobeCarcassMaterial))=FALSE,(0.1*($C77/1000))*VLOOKUP("H/F (22mm)",SheetsData,7,FALSE),"Door - tower - new material")))),"Channel - tower - handle set to other")))),"")</f>
        <v/>
      </c>
    </row>
    <row r="78">
      <c r="A78" s="150"/>
      <c r="B78" s="160" t="str">
        <f t="shared" si="1"/>
        <v/>
      </c>
      <c r="C78" s="160" t="str">
        <f>IFERROR(__xludf.DUMMYFUNCTION("IF(A78="""","""",IF(ISERROR(FIND(""arcass"",A78))=FALSE,MID(A78,FIND(""*"",A78)+1,FIND(""*"",A78,FIND(""*"",A78)+1)-FIND(""*"",A78)-1),IF(ISERROR(FIND(""End panel"",A78))=FALSE,RIGHT(A78,3),IF(OR(ISERROR(FIND(""drawer"",A78))=FALSE,ISERROR(FIND(""door"",A"&amp;"78))=FALSE,ISERROR(FIND(""shelf"",A78))=FALSE,ISERROR(FIND(""panel"",A78))=FALSE,ISERROR(FIND(""Plinth"",A78))=FALSE,ISERROR(FIND(""Cornice"",A78))=FALSE,ISERROR(FIND(""Fillers"",A78))=FALSE,ISERROR(FIND(""Pelmet"",A78))=FALSE,ISERROR(FIND(""Fireplace up "&amp;"to 1600"",A78))=FALSE),RIGHT(A78,LEN(A78)-LEN(regexextract(A78,"".* ""))),IF(ISERROR(FIND(""table"",A78))=FALSE,""560"",IF(ISERROR(FIND(""Office pod"",A78))=FALSE,""1600"",IF(ISERROR(FIND(""Fireplace over 1600"",A78))=FALSE,""2400"",IF(ISERROR(FIND(""Work"&amp;"top"",A78))=FALSE,""650"",""Whoops""))))))))"),"")</f>
        <v/>
      </c>
      <c r="D78" s="161" t="str">
        <f t="shared" si="2"/>
        <v/>
      </c>
      <c r="E78" s="152" t="str">
        <f>IF(OR(A78="",AND(ISERROR(FIND("drawer",A78))=FALSE,WardrobeDrawerType="")),"",IF(ISERROR(FIND("door",A78))=FALSE,IF(WardrobeDoorStyle="Flat",((B78/1000)*(C78/1000))*VLOOKUP(WardrobeDoorMaterial,SheetsData,8,0),IF(LEFT(WardrobeDoorStyle,5)="Panel",(((((B78/1000)*2)*0.08)+((((C78/1000)-0.16)*2)*0.08))*VLOOKUP("H/F (22mm)",SheetsData,8,0))+(((B78/1000)-0.14)*((C78/1000)-0.14)*VLOOKUP("H/F (9mm)",SheetsData,8,0)),IF(WardrobeDoorStyle="In-frame flat",((((((B78/1000)*0.019)*0.038)+((((C78-38)/1000)*0.038)*0.038))*2)*VLOOKUP("Tulip (solid m3)",SolidData,4,0))+(((B78-76)/1000)*((C78-38)/1000))*VLOOKUP("H/F (22mm)",SheetsData,8,0),IF(LEFT(WardrobeDoorStyle,14)="In-frame panel",(((((((B78/1000)*0.019)*0.038)+((((C78-38)/1000)*0.038)*0.038))*2)*VLOOKUP("Tulip (solid m3)",SolidData,4,0))+(((((((B78-76)/1000)*2)*0.08)+(((((C78-198)/1000)*2)*0.08)))*VLOOKUP("H/F (22mm)",SheetsData,8,0))+(((B78-216)/1000)*((C78-178)/1000)*VLOOKUP("H/F (9mm)",SheetsData,8,0)))))))),IF(AND(ISERROR(FIND("arcass",A78))=FALSE,ISERROR(FIND("ost corner",A78))=TRUE),IF(AND(VALUE(B78)&lt;1211,VALUE(C78)&lt;1211,VALUE(D78)&lt;606),1*VLOOKUP(WardrobeCarcassMaterial,SheetsData,5,FALSE),IF(AND(VALUE(B78)&lt;2421,VALUE(C78)&lt;2421,VALUE(D78)&lt;606),2*VLOOKUP(WardrobeCarcassMaterial,SheetsData,5,FALSE),IF(AND(VALUE(B78)&lt;2421,VALUE(C78)&lt;1211,VALUE(D78)&lt;1211),3*VLOOKUP(WardrobeCarcassMaterial,SheetsData,5,FALSE),IF(AND(VALUE(B78)&lt;2421,VALUE(C78)&lt;2421,VALUE(D78)&lt;1211),4*VLOOKUP(WardrobeCarcassMaterial,SheetsData,5,FALSE))))),IF(AND(ISERROR(FIND("arcass",A78))=FALSE,ISERROR(FIND("ost corner",A78))=FALSE),IF(AND(VALUE(B78)&lt;1211,VALUE(C78)&lt;1211,VALUE(D78)&lt;606),(1*VLOOKUP(WardrobeCarcassMaterial,SheetsData,5,FALSE))+(VLOOKUP("H/F (22mm)",SheetsData,7,FALSE)*1.44),IF(AND(VALUE(B78)&lt;2421,VALUE(C78)&lt;2421,VALUE(D78)&lt;606),(2*VLOOKUP(WardrobeCarcassMaterial,SheetsData,5,FALSE))+(VLOOKUP("H/F (22mm)",SheetsData,7,FALSE)*1.44),IF(AND(VALUE(B78)&lt;2421,VALUE(C78)&lt;1211,VALUE(D78)&lt;1211),(3*VLOOKUP(WardrobeCarcassMaterial,SheetsData,5,FALSE))+(VLOOKUP("H/F (22mm)",SheetsData,7,FALSE)*1.44),IF(AND(VALUE(B78)&lt;2421,VALUE(C78)&lt;2421,VALUE(D78)&lt;1211),(4*VLOOKUP(WardrobeCarcassMaterial,SheetsData,5,FALSE))+(VLOOKUP("H/F (22mm)",SheetsData,7,FALSE)*1.44))))),IF(ISERROR(FIND("drawer front",A78))=FALSE,((B78/1000)*(C78/1000))*VLOOKUP(WardrobeDoorMaterial,SheetsData,8,0),IF(AND(WardrobeDrawerType="Match carcass",ISERROR(FIND("drawer box",A78))=FALSE),(((((B78/1000)*(C78/1000))+((B78/1000)*(D78/1000)))*2)*VLOOKUP(WardrobeCarcassMaterial,SheetsData,8,0))+(((C78/1000)*(D78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box",A78))=FALSE),(((((B78/1000)*(C78/1000))+((B78/1000)*(D78/1000)))*2)*(16/1000)*VLOOKUP(LEFT(WardrobeCarcassMaterial,FIND(" ",WardrobeCarcassMaterial))&amp;"(solid m3)",SolidData,4,0))+(((C78/1000)*(D78/1000))*VLOOKUP(LEFT(WardrobeCarcassMaterial,FIND("(",WardrobeCarcassMaterial)-1)&amp;IF(OR(ISERROR(FIND("ply",WardrobeCarcassMaterial))=FALSE,ISERROR(FIND("H/F",WardrobeCarcassMaterial))=FALSE),"(9mm)","(10mm)"),SheetsData,8,0)),IF(ISERROR(FIND("shelf",A78))=FALSE,((C78/1000)*(D78/1000))*VLOOKUP(WardrobeCarcassMaterial,SheetsData,7,FALSE),IF(ISERROR(FIND("Office pod",A78))=FALSE,3*VLOOKUP(WardrobeCarcassMaterial,SheetsData,5,0),IF(ISERROR(FIND(" panel",A78))=FALSE,((B78/1000)*(C78/1000))*VLOOKUP(WardrobeDoorMaterial,SheetsData,8,0),IF(ISERROR(FIND("Fillers",A78))=FALSE,(((0.06*(C78/1000))*2)*VLOOKUP("H/F (18mm)",SheetsData,8,0))+(((0.06*(C78/1000))*2)*VLOOKUP("H/F (9mm)",SheetsData,8,0)),IF(ISERROR(FIND("Cornice (stacked)",A78))=FALSE,((0.08*(C78/1000))*2)*VLOOKUP("H/F (22mm)",SheetsData,8,0),IF(OR(ISERROR(FIND("Plinth",A78))=FALSE,ISERROR(FIND("Cornice (flat)",A78))=FALSE),((B78/1000)*(C78/1000))*VLOOKUP("H/F (18mm)",SheetsData,8,0),IF(ISERROR(FIND("Pelmet",A78))=FALSE,((((B78/1000)*(C78/1000))*2)*VLOOKUP("H/F (18mm)",SheetsData,8,0)),IF(ISERROR(FIND("Fireplace",A78))=FALSE,IF(ISERROR(FIND("over 1600",A78))=FALSE,2*VLOOKUP(WardrobeCarcassMaterial,SheetsData,5,FALSE),VLOOKUP(WardrobeCarcassMaterial,SheetsData,5,FALSE)),IF(ISERROR(FIND("table",A78))=FALSE,((B78/1000)*0.6)*VLOOKUP("Birch ply (24mm)",SheetsData,7,FALSE),IF(ISERROR(FIND("Worktop",A78))=FALSE,((B78/1000)*(C78/1000))*VLOOKUP(WardrobeDoorMaterial,SheetsData,7,FALSE),"Check formula")))))))))))))))))</f>
        <v/>
      </c>
      <c r="F78" s="152" t="str">
        <f>IFERROR(__xludf.DUMMYFUNCTION("IF(OR(A78="""",AND(ISERROR(FIND(""drawer box"",A78))=FALSE,WardrobeDrawerType=""Solid dovetail"")),"""",IF(ISERROR(FIND(""bins"",A78))=FALSE,VLOOKUP(""Base carcass 600"",Wardrobes_etcData,6,0),IF(OR(ISERROR(FIND(""larder"",A78))=FALSE,ISERROR(FIND(""unit"&amp;""",A78))=FALSE),VLOOKUP(LEFT(A78,FIND("" "",A78))&amp;""carcass ""&amp;RIGHT(A78,LEN(A78)-len(regexextract(A78,"".* ""))),Wardrobes_etcData,6,0),IF(ISERROR(FIND(""drawer front"",A78))=FALSE,IF(ISERROR(FIND(""veneer"",WardrobeCarcassMaterial))=TRUE,0,(((B78+C78)/1"&amp;"000)*2)*VLOOKUP(""Edge banding (per M)"",SheetsData,5,0)),IF(ISERROR(FIND(""drawer box"",A78))=FALSE,IF(ISERROR(FIND(""veneer"",WardrobeCarcassMaterial))=TRUE,0,(((C78+D78)/1000)*2)*VLOOKUP(""Edge banding (per M)"",SheetsData,5,0)),IF(ISERROR(FIND(""shelf"&amp;""",A78))=FALSE,IF(ISERROR(FIND(""veneer"",WardrobeCarcassMaterial))=TRUE,0,(C78/1000)*VLOOKUP(""Edge banding (per M)"",SheetsData,5,0)),IF(AND(OR(ISERROR(FIND(""arcass"",A78))=FALSE,ISERROR(FIND(""Fireplace"",A78))=FALSE),ISERROR(FIND(""shelf"",A78))=TRUE"&amp;"),IF(ISERROR(FIND(""veneer"",WardrobeCarcassMaterial))=TRUE,0,((2*(B78+C78))/1000)*VLOOKUP(""Edge banding (per M)"",SheetsData,5,0)),IF(ISERROR(FIND(""door"",A78))=TRUE,"""",IF(ISERROR(FIND(""veneer"",WardrobeDoorMaterial))=TRUE,"""",((2*(B78+C78))/1000)*"&amp;"VLOOKUP(""Edge banding (per M)"",SheetsData,5,0))))))))))"),"")</f>
        <v/>
      </c>
      <c r="G78" s="153" t="str">
        <f>IF(A78="","",IF(AND(ISERROR(FIND("arcass",A78))=TRUE,ISERROR(FIND("Fireplace",A78))=TRUE),"",IF(VALUE(C78)&lt;606,4*VLOOKUP("Plinth foot (2 Parts 80mm)",FurnitureData,5,FALSE),IF(VALUE(C78)&lt;1211,6*VLOOKUP("Plinth foot (2 Parts 80mm)",FurnitureData,5,FALSE),8*VLOOKUP("Plinth foot (2 Parts 80mm)",FurnitureData,5,FALSE)))))</f>
        <v/>
      </c>
      <c r="H78" s="115" t="str">
        <f>IF(OR(A78="",ISERROR(FIND("door",A78))=TRUE),"",VLOOKUP("Hinges &amp; plates (Hettich thick door)",FurnitureData,5,0)*5)</f>
        <v/>
      </c>
      <c r="I78" s="115" t="str">
        <f>IF(ISERROR(FIND("shelf",A78))=FALSE,(VLOOKUP("Shelf pegs",FurnitureData,5,0)/100)*4,"")</f>
        <v/>
      </c>
      <c r="J78" s="152" t="str">
        <f>IF(OR(ISERROR(FIND("fridge/freezer",A78))=FALSE,ISERROR(FIND("sink",A78))=FALSE,ISERROR(FIND("larder",A78))=FALSE),VLOOKUP("Deep shelf "&amp;C78,Wardrobes_etcData,18,0),IF(OR(ISERROR(FIND("single oven",A78))=FALSE,ISERROR(FIND("Base carcass",A78))=FALSE),2*VLOOKUP("Deep shelf "&amp;C78,Wardrobes_etcData,18,0),IF(AND(ISERROR(FIND("wall carcass",A78))=FALSE,ISERROR(FIND("Boiler",A78))=TRUE),2*VLOOKUP("Shallow shelf "&amp;C78,Wardrobes_etcData,18,0),IF(ISERROR(FIND("double oven",A78))=FALSE,3*VLOOKUP("Deep shelf "&amp;C78,Wardrobes_etcData,18,0),IF(ISERROR(FIND("Tower carcass",A78))=FALSE,6*VLOOKUP("Deep shelf "&amp;C78,Wardrobes_etcData,18,0),"")))))</f>
        <v/>
      </c>
      <c r="K78" s="152" t="str">
        <f>IF(ISERROR(FIND("sink",A78))=FALSE,VLOOKUP("Sink liner - Aluminium "&amp;RIGHT(A78,LEN(A78)-22)&amp;"mm",ExceptionalData,5,0),IF(ISERROR(FIND("bins",A78))=FALSE,VLOOKUP("Drawer runners and clip set for bin unit (500) Dynapro",FurnitureData,5,0)+(2*VLOOKUP("Bin (42L Anthracite)",FurnitureData,5,0)),IF(ISERROR(FIND("larder",A78))=FALSE,VLOOKUP("Pull out larder unit 600mm",FurnitureData,5,0),IF(AND(ISERROR(FIND("drawer box",A78))=FALSE,ISERROR(FIND("internal",A78))=TRUE),VLOOKUP("Drawer runners and clip set (550) Dynapro",FurnitureData,5,0),IF(ISERROR(FIND("internal drawer box",A78))=FALSE,VLOOKUP("Drawer runners and clip set (450) Dynapro",FurnitureData,5,0),IF(ISERROR(FIND("table",A78))=FALSE,VLOOKUP("Hairpin Leg (12mm Black "&amp;MID(A78,FIND("(",A78)+1,LEN(A78)-(FIND("(",A78))-1)&amp;"mm)",ExceptionalData,4,FALSE),""))))))</f>
        <v/>
      </c>
      <c r="L78" s="152" t="str">
        <f t="shared" si="3"/>
        <v/>
      </c>
      <c r="M78" s="154" t="str">
        <f>IF(A78="","",IF(AND(ISERROR(FIND("drawer front",A78))=FALSE,WardrobeDoorStyle="Flat"),(((B78/1000)*(C78/1000))*2)+((((B78+C78)/1000)*2)*0.022),IF(AND(ISERROR(FIND("drawer front",A78))=FALSE,LEFT(WardrobeDoorStyle,5)="Panel"),(((B78/1000)*(C78/1000))*2)+((((B78+C78)/1000)*2)*0.022)+((((C78/1000)-0.16)*0.013)*2)+((((D78/1000)-0.16)*0.013)*2),IF(AND(ISERROR(FIND("drawer front",A78))=FALSE,WardrobeDoorStyle="In-frame flat"),((((B78-76)/1000)*((C78-38)/1000))*2)+(MID(WardrobeDoorMaterial,FIND("(",WardrobeDoorMaterial)+1,2)/1000)*((((B78-76)+(C78-38))/1000)*2)+(((B78/1000)*0.032)*2)+((((B78-76)/1000)*0.032)*2)+(((B78/1000)*0.019)*4)+(((C78/1000)*0.032)*2)+((((C78-38)/1000)*0.032)*2)+(((C78/1000)*0.038)*4),IF(AND(ISERROR(FIND("drawer front",A78))=FALSE,LEFT(WardrobeDoorStyle,14)="In-frame panel"),((((B78-76)/1000)*((C78-38)/1000))*2)+((MID(WardrobeDoorMaterial,FIND("(",WardrobeDoorMaterial)+1,2)/1000)*((((B78-76)+(C78-38))/1000)*2))+((((B78-236)/1000)+((C78-198)/1000)*2)*0.013)+(((B78/1000)*0.032)*2)+((((B78-76)/1000)*0.032)*2)+(((B78/1000)*0.019)*4)+(((C78/1000)*0.032)*2)+((((C78-38)/1000)*0.032)*2)+(((C78/1000)*0.038)*4),IF(ISERROR(FIND("drawer box",A78))=FALSE,((((B78/1000)*(D78/1000))+((B78/1000)*(C78/1000)))*4)+((((D78/1000)+(C78/1000))*0.016)*4)+(((C78/1000)*(D78/1000))*2),IF(OR(ISERROR(FIND("shelf",A78))=FALSE,ISERROR(FIND("Filler panel",A78))=FALSE),(((C78/1000)*(D78/1000))*2)+((((C78+D78)*2)/1000)*0.022),IF(ISERROR(FIND("Fireplace",A78))=FALSE,((B78/1000)*(C78/1000)),IF(ISERROR(FIND("Worktop",A78))=FALSE,(B78/1000)*(C78/1000),IF(ISERROR(FIND("table",A78))=FALSE,(B78/1000)*0.6,IF(ISERROR(FIND("arcass",A78))=FALSE,(((C78/1000)*(D78/1000))*2)+(((B78/1000)*(D78/1000))*2)+((B78/1000)*(C78/1000))+((((B78/1000)*0.025)+((C78/1000)*0.025))*2),IF(AND(ISERROR(FIND("door",A78))=FALSE,WardrobeDoorStyle="Flat"),(((B78/1000)*(C78/1000))*2)+(MID(WardrobeDoorMaterial,FIND("(",WardrobeDoorMaterial)+1,2)/1000)*(((B78+C78)/1000)*2),IF(AND(ISERROR(FIND("door",A78))=FALSE,LEFT(WardrobeDoorStyle,5)="Panel"),(((B78/1000)*(C78/1000))*2)+((MID(WardrobeDoorMaterial,FIND("(",WardrobeDoorMaterial)+1,2)/1000)*(((B78+C78)/1000)*2))+(((((B78-160)+(C78-160))*2)/1000)*(0.013)),IF(AND(ISERROR(FIND("door",A78))=FALSE,WardrobeDoorStyle="In-frame flat"),((((B78-76)/1000)*((C78-38)/1000))*2)+(MID(WardrobeDoorMaterial,FIND("(",WardrobeDoorMaterial)+1,2)/1000)*((((B78-76)+(C78-38))/1000)*2)+(((B78/1000)*0.032)*2)+((((B78-76)/1000)*0.032)*2)+(((B78/1000)*0.019)*4)+(((C78/1000)*0.032)*2)+((((C78-38)/1000)*0.032)*2)+(((C78/1000)*0.038)*4),IF(AND(ISERROR(FIND("door",A78))=FALSE,LEFT(WardrobeDoorStyle,14)="In-frame panel"),((((B78-76)/1000)*((C78-38)/1000))*2)+((MID(WardrobeDoorMaterial,FIND("(",WardrobeDoorMaterial)+1,2)/1000)*((((B78-76)+(C78-38))/1000)*2))+((((B78-236)/1000)+((C78-198)/1000)*2)*0.013)+(((B78/1000)*0.032)*2)+((((B78-76)/1000)*0.032)*2)+(((B78/1000)*0.019)*4)+(((C78/1000)*0.032)*2)+((((C78-38)/1000)*0.032)*2)+(((C78/1000)*0.038)*4),IF(ISERROR(FIND("Plinth",A78))=FALSE,((B78/1000)*(C78/1000))+(((C78/1000)*0.018)*2)+(((B78/1000)*0.018)*2),IF(ISERROR(FIND("Cornice",A78))=FALSE,(((C78/1000)*0.1)*2)+(((C78/1000)*0.044)*2)+(((B78/1000)*0.08)*2),IF(ISERROR(FIND("Office pod",A78))=FALSE,((2400/1000)*(1200/1000))*6,IF(ISERROR(FIND("panel",A78))=FALSE,((B78/1000)*(C78/1000))+(0.022*((B78/1000)+((C78/1000)*2)))+((B78/1000)*0.05),IF(ISERROR(FIND("Fillers",A78))=FALSE,((C78/1000)*0.06)+((C78/1000)*0.069)+((0.06*0.018)*2)+((0.06*0.009)*2)+((C78/1000)*0.009)+((C78/1000)*0.018),IF(ISERROR(FIND("Pelmet",A78))=FALSE,((C78/1000)*0.05)+((C78/1000)*0.068)+((0.05*0.018)*4)+(((C78/1000)*0.018))*2)))))))))))))))))))))</f>
        <v/>
      </c>
      <c r="N78" s="152" t="str">
        <f>IF(M78="","",IF(AND(ISERROR(FIND("carcass",A78))=TRUE,ISERROR(FIND("unit",A78))=TRUE,ISERROR(FIND("insert",A78))=TRUE,ISERROR(FIND("rack",A78))=TRUE,ISERROR(FIND("box",A78))=TRUE,ISERROR(FIND("shelf",A78))=TRUE),VLOOKUP(WardrobeDoorFinish,Finishing!$A$2:$K$10,9,0)*M78,IF(ISERROR(FIND("table",A78))=FALSE,VLOOKUP("Sayerlack AF0072 Interior Clear Self-Sealer",FinishingData,9,FALSE)*M78,VLOOKUP(WardrobeCarcassFinish,Finishing!$A$2:$K$40,9,0)*M78)))</f>
        <v/>
      </c>
      <c r="O78" s="159"/>
      <c r="P78" s="159"/>
      <c r="Q78" s="152" t="str">
        <f>IF(OR(O78="",P78=""),"",((O78*X78)*(VLOOKUP("Workshop",Labour!$A$3:$E$20,4,0)/8))+((P78*AE78)*(VLOOKUP("Finishing",Labour!$A$3:$E$20,4,0)/8)))</f>
        <v/>
      </c>
      <c r="R78" s="152" t="str">
        <f t="shared" si="4"/>
        <v/>
      </c>
      <c r="S78" s="156" t="str">
        <f>IF(OR(O78="",P78=""),"",IF(OR(ISERROR(FIND("carcass",$A78))=FALSE,ISERROR(FIND("unit",$A78))=FALSE),VLOOKUP(WardrobeCarcassMaterial,FixedListsCarcassMaterial,2,0),0))</f>
        <v/>
      </c>
      <c r="T78" s="156" t="str">
        <f>IF(OR(O78="",P78=""),"",IF(ISERROR(FIND("door",$A78))=FALSE,VLOOKUP(WardrobeDoorStyle,FixedListsDoorStyle,2,0),0))</f>
        <v/>
      </c>
      <c r="U78" s="156" t="str">
        <f>IF(OR(O78="",P78=""),"",IF(ISERROR(FIND("door",$A78))=FALSE,VLOOKUP(WardrobeDoorMaterial,FixedListsDoorMaterial,2,0),0))</f>
        <v/>
      </c>
      <c r="V78" s="156" t="str">
        <f>IF(OR(O78="",P78=""),"",IF(ISERROR(FIND("drawer",$A78))=FALSE,VLOOKUP(WardrobeDrawerType,FixedListsDrawerType,2,0),0))</f>
        <v/>
      </c>
      <c r="W78" s="156" t="str">
        <f>IF(OR(O78="",P78=""),"",IF(S78&gt;0,VLOOKUP(WardrobeHandleType,FixedListsHandleType,2,FALSE),0))</f>
        <v/>
      </c>
      <c r="X78" s="156" t="str">
        <f t="shared" si="5"/>
        <v/>
      </c>
      <c r="Y78" s="156" t="str">
        <f>IF(OR(O78="",P78=""),"",IF(OR(ISERROR(FIND("carcass",$A78))=FALSE,ISERROR(FIND("unit",$A78))=FALSE),VLOOKUP(WardrobeCarcassMaterial,FixedListsCarcassMaterial,3,0),0))</f>
        <v/>
      </c>
      <c r="Z78" s="156" t="str">
        <f>IF(OR(O78="",P78=""),"",IF(ISERROR(FIND("door",$A78))=FALSE,VLOOKUP(WardrobeDoorStyle,FixedListsDoorStyle,3,0),0))</f>
        <v/>
      </c>
      <c r="AA78" s="156" t="str">
        <f>IF(OR(O78="",P78=""),"",IF(ISERROR(FIND("door",$A78))=FALSE,VLOOKUP(WardrobeDoorMaterial,FixedListsDoorMaterial,3,0),0))</f>
        <v/>
      </c>
      <c r="AB78" s="156" t="str">
        <f>IF(OR(O78="",P78=""),"",IF(ISERROR(FIND("drawer",$A78))=FALSE,VLOOKUP(WardrobeDrawerType,FixedListsDrawerType,3,0),0))</f>
        <v/>
      </c>
      <c r="AC78" s="156" t="str">
        <f>IF(OR(O78="",P78=""),"",IF(S78&gt;0,VLOOKUP(WardrobeHandleType,FixedListsHandleType,3,FALSE),0))</f>
        <v/>
      </c>
      <c r="AD78" s="156" t="str">
        <f>IF(OR(O78="",P78=""),"",IF(OR(ISERROR(FIND("carcass",$A78))=FALSE,ISERROR(FIND("unit",$A78))=FALSE),VLOOKUP(WardrobeCarcassFinish,FixedListsFinishes,3,0),IF(OR(ISERROR(FIND("door",$A78))=FALSE,ISERROR(FIND("Plinth",$A78))=FALSE,ISERROR(FIND("Cornice",$A78))=FALSE,ISERROR(FIND("Fillers",$A78))=FALSE,ISERROR(FIND("Pelmet",$A78))=FALSE,ISERROR(FIND("panel",$A78))=FALSE,ISERROR(FIND("post",$A78))=FALSE),VLOOKUP(WardrobeDoorFinish,FixedListsFinishes,3,0),IF(OR(ISERROR(FIND("drawer",$A78))=FALSE,ISERROR(FIND("insert",$A78))=FALSE,ISERROR(FIND("rck",$A78))=FALSE),VLOOKUP(WardrobeCarcassFinish,FixedListsFinishes,3,0),0))))</f>
        <v/>
      </c>
      <c r="AE78" s="156" t="str">
        <f t="shared" si="6"/>
        <v/>
      </c>
      <c r="AF78" s="157" t="str">
        <f>IF(AND(WardrobeHandleType="Channel",OR(ISERROR(FIND("arcass",$A78))=FALSE,ISERROR(FIND("unit",$A78))=FALSE)),IF(ISERROR(FIND("Tower",$A78))=TRUE,IF(WardrobeHandleFinish="Match carcass",IF(ISERROR(FIND("Walnut",WardrobeCarcassMaterial))=FALSE,(0.035*0.075*($C78/1000))*VLOOKUP("Walnut (solid m3)",SolidData,4,FALSE),IF(ISERROR(FIND("Oak",WardrobeCarcassMaterial))=FALSE,(0.035*0.075*($C78/1000))*VLOOKUP("Oak (solid m3)",SolidData,4,FALSE),IF(ISERROR(FIND("ply",WardrobeCarcassMaterial))=FALSE,(0.1*($C78/1000))*VLOOKUP("Birch ply (24mm)",SheetsData,7,FALSE),IF(ISERROR(FIND("H/F",WardrobeCarcassMaterial))=FALSE,(0.1*($C78/1000))*VLOOKUP("H/F (22mm)",SheetsData,7,FALSE),"Carcass - not tower - new material")))),IF(WardrobeHandleFinish="Match door",IF(ISERROR(FIND("Walnut",WardrobeDoorMaterial))=FALSE,(0.035*0.075*($C78/1000))*VLOOKUP("Walnut (solid m3)",SolidData,4,FALSE),IF(ISERROR(FIND("Oak",WardrobeDoorMaterial))=FALSE,(0.035*0.075*($C78/1000))*VLOOKUP("Oak (solid m3)",SolidData,4,FALSE),IF(ISERROR(FIND("ply",WardrobeDoorMaterial))=FALSE,(0.1*($C78/1000))*VLOOKUP("Birch ply (24mm)",SheetsData,7,FALSE),IF(ISERROR(FIND("H/F",WardrobeCarcassMaterial))=FALSE,(0.1*($C78/1000))*VLOOKUP("H/F (22mm)",SheetsData,7,FALSE),"Door - not tower - new material")))),"Channel - not tower - handle set to other")),IF(ISERROR(FIND("Tower",$A78))=FALSE,IF(WardrobeHandleFinish="Match carcass",IF(ISERROR(FIND("Walnut",WardrobeCarcassMaterial))=FALSE,(0.035*0.075*($B78/1000))*VLOOKUP("Walnut (solid m3)",SolidData,4,FALSE),IF(ISERROR(FIND("Oak",WardrobeCarcassMaterial))=FALSE,(0.035*0.075*($B78/1000))*VLOOKUP("Oak (solid m3)",SolidData,4,FALSE),IF(ISERROR(FIND("ply",WardrobeCarcassMaterial))=FALSE,(0.1*($B78/1000))*VLOOKUP("Birch ply (24mm)",SheetsData,7,FALSE),IF(ISERROR(FIND("H/F",WardrobeCarcassMaterial))=FALSE,(0.1*($C78/1000))*VLOOKUP("H/F (22mm)",SheetsData,7,FALSE),"Carcass - tower - new material")))),IF(WardrobeHandleFinish="Match door",IF(ISERROR(FIND("Walnut",WardrobeDoorMaterial))=FALSE,(0.035*0.075*($B78/1000))*VLOOKUP("Walnut (solid m3)",SolidData,4,FALSE),IF(ISERROR(FIND("Oak",WardrobeDoorMaterial))=FALSE,(0.035*0.075*($B78/1000))*VLOOKUP("Oak (solid m3)",SolidData,4,FALSE),IF(ISERROR(FIND("ply",WardrobeDoorMaterial))=FALSE,(0.1*($B78/1000))*VLOOKUP("Birch ply (24mm)",SheetData,7,FALSE),IF(ISERROR(FIND("H/F",WardrobeCarcassMaterial))=FALSE,(0.1*($C78/1000))*VLOOKUP("H/F (22mm)",SheetsData,7,FALSE),"Door - tower - new material")))),"Channel - tower - handle set to other")))),"")</f>
        <v/>
      </c>
    </row>
    <row r="79">
      <c r="A79" s="150"/>
      <c r="B79" s="160" t="str">
        <f t="shared" si="1"/>
        <v/>
      </c>
      <c r="C79" s="160" t="str">
        <f>IFERROR(__xludf.DUMMYFUNCTION("IF(A79="""","""",IF(ISERROR(FIND(""arcass"",A79))=FALSE,MID(A79,FIND(""*"",A79)+1,FIND(""*"",A79,FIND(""*"",A79)+1)-FIND(""*"",A79)-1),IF(ISERROR(FIND(""End panel"",A79))=FALSE,RIGHT(A79,3),IF(OR(ISERROR(FIND(""drawer"",A79))=FALSE,ISERROR(FIND(""door"",A"&amp;"79))=FALSE,ISERROR(FIND(""shelf"",A79))=FALSE,ISERROR(FIND(""panel"",A79))=FALSE,ISERROR(FIND(""Plinth"",A79))=FALSE,ISERROR(FIND(""Cornice"",A79))=FALSE,ISERROR(FIND(""Fillers"",A79))=FALSE,ISERROR(FIND(""Pelmet"",A79))=FALSE,ISERROR(FIND(""Fireplace up "&amp;"to 1600"",A79))=FALSE),RIGHT(A79,LEN(A79)-LEN(regexextract(A79,"".* ""))),IF(ISERROR(FIND(""table"",A79))=FALSE,""560"",IF(ISERROR(FIND(""Office pod"",A79))=FALSE,""1600"",IF(ISERROR(FIND(""Fireplace over 1600"",A79))=FALSE,""2400"",IF(ISERROR(FIND(""Work"&amp;"top"",A79))=FALSE,""650"",""Whoops""))))))))"),"")</f>
        <v/>
      </c>
      <c r="D79" s="161" t="str">
        <f t="shared" si="2"/>
        <v/>
      </c>
      <c r="E79" s="152" t="str">
        <f>IF(OR(A79="",AND(ISERROR(FIND("drawer",A79))=FALSE,WardrobeDrawerType="")),"",IF(ISERROR(FIND("door",A79))=FALSE,IF(WardrobeDoorStyle="Flat",((B79/1000)*(C79/1000))*VLOOKUP(WardrobeDoorMaterial,SheetsData,8,0),IF(LEFT(WardrobeDoorStyle,5)="Panel",(((((B79/1000)*2)*0.08)+((((C79/1000)-0.16)*2)*0.08))*VLOOKUP("H/F (22mm)",SheetsData,8,0))+(((B79/1000)-0.14)*((C79/1000)-0.14)*VLOOKUP("H/F (9mm)",SheetsData,8,0)),IF(WardrobeDoorStyle="In-frame flat",((((((B79/1000)*0.019)*0.038)+((((C79-38)/1000)*0.038)*0.038))*2)*VLOOKUP("Tulip (solid m3)",SolidData,4,0))+(((B79-76)/1000)*((C79-38)/1000))*VLOOKUP("H/F (22mm)",SheetsData,8,0),IF(LEFT(WardrobeDoorStyle,14)="In-frame panel",(((((((B79/1000)*0.019)*0.038)+((((C79-38)/1000)*0.038)*0.038))*2)*VLOOKUP("Tulip (solid m3)",SolidData,4,0))+(((((((B79-76)/1000)*2)*0.08)+(((((C79-198)/1000)*2)*0.08)))*VLOOKUP("H/F (22mm)",SheetsData,8,0))+(((B79-216)/1000)*((C79-178)/1000)*VLOOKUP("H/F (9mm)",SheetsData,8,0)))))))),IF(AND(ISERROR(FIND("arcass",A79))=FALSE,ISERROR(FIND("ost corner",A79))=TRUE),IF(AND(VALUE(B79)&lt;1211,VALUE(C79)&lt;1211,VALUE(D79)&lt;606),1*VLOOKUP(WardrobeCarcassMaterial,SheetsData,5,FALSE),IF(AND(VALUE(B79)&lt;2421,VALUE(C79)&lt;2421,VALUE(D79)&lt;606),2*VLOOKUP(WardrobeCarcassMaterial,SheetsData,5,FALSE),IF(AND(VALUE(B79)&lt;2421,VALUE(C79)&lt;1211,VALUE(D79)&lt;1211),3*VLOOKUP(WardrobeCarcassMaterial,SheetsData,5,FALSE),IF(AND(VALUE(B79)&lt;2421,VALUE(C79)&lt;2421,VALUE(D79)&lt;1211),4*VLOOKUP(WardrobeCarcassMaterial,SheetsData,5,FALSE))))),IF(AND(ISERROR(FIND("arcass",A79))=FALSE,ISERROR(FIND("ost corner",A79))=FALSE),IF(AND(VALUE(B79)&lt;1211,VALUE(C79)&lt;1211,VALUE(D79)&lt;606),(1*VLOOKUP(WardrobeCarcassMaterial,SheetsData,5,FALSE))+(VLOOKUP("H/F (22mm)",SheetsData,7,FALSE)*1.44),IF(AND(VALUE(B79)&lt;2421,VALUE(C79)&lt;2421,VALUE(D79)&lt;606),(2*VLOOKUP(WardrobeCarcassMaterial,SheetsData,5,FALSE))+(VLOOKUP("H/F (22mm)",SheetsData,7,FALSE)*1.44),IF(AND(VALUE(B79)&lt;2421,VALUE(C79)&lt;1211,VALUE(D79)&lt;1211),(3*VLOOKUP(WardrobeCarcassMaterial,SheetsData,5,FALSE))+(VLOOKUP("H/F (22mm)",SheetsData,7,FALSE)*1.44),IF(AND(VALUE(B79)&lt;2421,VALUE(C79)&lt;2421,VALUE(D79)&lt;1211),(4*VLOOKUP(WardrobeCarcassMaterial,SheetsData,5,FALSE))+(VLOOKUP("H/F (22mm)",SheetsData,7,FALSE)*1.44))))),IF(ISERROR(FIND("drawer front",A79))=FALSE,((B79/1000)*(C79/1000))*VLOOKUP(WardrobeDoorMaterial,SheetsData,8,0),IF(AND(WardrobeDrawerType="Match carcass",ISERROR(FIND("drawer box",A79))=FALSE),(((((B79/1000)*(C79/1000))+((B79/1000)*(D79/1000)))*2)*VLOOKUP(WardrobeCarcassMaterial,SheetsData,8,0))+(((C79/1000)*(D79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box",A79))=FALSE),(((((B79/1000)*(C79/1000))+((B79/1000)*(D79/1000)))*2)*(16/1000)*VLOOKUP(LEFT(WardrobeCarcassMaterial,FIND(" ",WardrobeCarcassMaterial))&amp;"(solid m3)",SolidData,4,0))+(((C79/1000)*(D79/1000))*VLOOKUP(LEFT(WardrobeCarcassMaterial,FIND("(",WardrobeCarcassMaterial)-1)&amp;IF(OR(ISERROR(FIND("ply",WardrobeCarcassMaterial))=FALSE,ISERROR(FIND("H/F",WardrobeCarcassMaterial))=FALSE),"(9mm)","(10mm)"),SheetsData,8,0)),IF(ISERROR(FIND("shelf",A79))=FALSE,((C79/1000)*(D79/1000))*VLOOKUP(WardrobeCarcassMaterial,SheetsData,7,FALSE),IF(ISERROR(FIND("Office pod",A79))=FALSE,3*VLOOKUP(WardrobeCarcassMaterial,SheetsData,5,0),IF(ISERROR(FIND(" panel",A79))=FALSE,((B79/1000)*(C79/1000))*VLOOKUP(WardrobeDoorMaterial,SheetsData,8,0),IF(ISERROR(FIND("Fillers",A79))=FALSE,(((0.06*(C79/1000))*2)*VLOOKUP("H/F (18mm)",SheetsData,8,0))+(((0.06*(C79/1000))*2)*VLOOKUP("H/F (9mm)",SheetsData,8,0)),IF(ISERROR(FIND("Cornice (stacked)",A79))=FALSE,((0.08*(C79/1000))*2)*VLOOKUP("H/F (22mm)",SheetsData,8,0),IF(OR(ISERROR(FIND("Plinth",A79))=FALSE,ISERROR(FIND("Cornice (flat)",A79))=FALSE),((B79/1000)*(C79/1000))*VLOOKUP("H/F (18mm)",SheetsData,8,0),IF(ISERROR(FIND("Pelmet",A79))=FALSE,((((B79/1000)*(C79/1000))*2)*VLOOKUP("H/F (18mm)",SheetsData,8,0)),IF(ISERROR(FIND("Fireplace",A79))=FALSE,IF(ISERROR(FIND("over 1600",A79))=FALSE,2*VLOOKUP(WardrobeCarcassMaterial,SheetsData,5,FALSE),VLOOKUP(WardrobeCarcassMaterial,SheetsData,5,FALSE)),IF(ISERROR(FIND("table",A79))=FALSE,((B79/1000)*0.6)*VLOOKUP("Birch ply (24mm)",SheetsData,7,FALSE),IF(ISERROR(FIND("Worktop",A79))=FALSE,((B79/1000)*(C79/1000))*VLOOKUP(WardrobeDoorMaterial,SheetsData,7,FALSE),"Check formula")))))))))))))))))</f>
        <v/>
      </c>
      <c r="F79" s="152" t="str">
        <f>IFERROR(__xludf.DUMMYFUNCTION("IF(OR(A79="""",AND(ISERROR(FIND(""drawer box"",A79))=FALSE,WardrobeDrawerType=""Solid dovetail"")),"""",IF(ISERROR(FIND(""bins"",A79))=FALSE,VLOOKUP(""Base carcass 600"",Wardrobes_etcData,6,0),IF(OR(ISERROR(FIND(""larder"",A79))=FALSE,ISERROR(FIND(""unit"&amp;""",A79))=FALSE),VLOOKUP(LEFT(A79,FIND("" "",A79))&amp;""carcass ""&amp;RIGHT(A79,LEN(A79)-len(regexextract(A79,"".* ""))),Wardrobes_etcData,6,0),IF(ISERROR(FIND(""drawer front"",A79))=FALSE,IF(ISERROR(FIND(""veneer"",WardrobeCarcassMaterial))=TRUE,0,(((B79+C79)/1"&amp;"000)*2)*VLOOKUP(""Edge banding (per M)"",SheetsData,5,0)),IF(ISERROR(FIND(""drawer box"",A79))=FALSE,IF(ISERROR(FIND(""veneer"",WardrobeCarcassMaterial))=TRUE,0,(((C79+D79)/1000)*2)*VLOOKUP(""Edge banding (per M)"",SheetsData,5,0)),IF(ISERROR(FIND(""shelf"&amp;""",A79))=FALSE,IF(ISERROR(FIND(""veneer"",WardrobeCarcassMaterial))=TRUE,0,(C79/1000)*VLOOKUP(""Edge banding (per M)"",SheetsData,5,0)),IF(AND(OR(ISERROR(FIND(""arcass"",A79))=FALSE,ISERROR(FIND(""Fireplace"",A79))=FALSE),ISERROR(FIND(""shelf"",A79))=TRUE"&amp;"),IF(ISERROR(FIND(""veneer"",WardrobeCarcassMaterial))=TRUE,0,((2*(B79+C79))/1000)*VLOOKUP(""Edge banding (per M)"",SheetsData,5,0)),IF(ISERROR(FIND(""door"",A79))=TRUE,"""",IF(ISERROR(FIND(""veneer"",WardrobeDoorMaterial))=TRUE,"""",((2*(B79+C79))/1000)*"&amp;"VLOOKUP(""Edge banding (per M)"",SheetsData,5,0))))))))))"),"")</f>
        <v/>
      </c>
      <c r="G79" s="153" t="str">
        <f>IF(A79="","",IF(AND(ISERROR(FIND("arcass",A79))=TRUE,ISERROR(FIND("Fireplace",A79))=TRUE),"",IF(VALUE(C79)&lt;606,4*VLOOKUP("Plinth foot (2 Parts 80mm)",FurnitureData,5,FALSE),IF(VALUE(C79)&lt;1211,6*VLOOKUP("Plinth foot (2 Parts 80mm)",FurnitureData,5,FALSE),8*VLOOKUP("Plinth foot (2 Parts 80mm)",FurnitureData,5,FALSE)))))</f>
        <v/>
      </c>
      <c r="H79" s="115" t="str">
        <f>IF(OR(A79="",ISERROR(FIND("door",A79))=TRUE),"",VLOOKUP("Hinges &amp; plates (Hettich thick door)",FurnitureData,5,0)*5)</f>
        <v/>
      </c>
      <c r="I79" s="115" t="str">
        <f>IF(ISERROR(FIND("shelf",A79))=FALSE,(VLOOKUP("Shelf pegs",FurnitureData,5,0)/100)*4,"")</f>
        <v/>
      </c>
      <c r="J79" s="152" t="str">
        <f>IF(OR(ISERROR(FIND("fridge/freezer",A79))=FALSE,ISERROR(FIND("sink",A79))=FALSE,ISERROR(FIND("larder",A79))=FALSE),VLOOKUP("Deep shelf "&amp;C79,Wardrobes_etcData,18,0),IF(OR(ISERROR(FIND("single oven",A79))=FALSE,ISERROR(FIND("Base carcass",A79))=FALSE),2*VLOOKUP("Deep shelf "&amp;C79,Wardrobes_etcData,18,0),IF(AND(ISERROR(FIND("wall carcass",A79))=FALSE,ISERROR(FIND("Boiler",A79))=TRUE),2*VLOOKUP("Shallow shelf "&amp;C79,Wardrobes_etcData,18,0),IF(ISERROR(FIND("double oven",A79))=FALSE,3*VLOOKUP("Deep shelf "&amp;C79,Wardrobes_etcData,18,0),IF(ISERROR(FIND("Tower carcass",A79))=FALSE,6*VLOOKUP("Deep shelf "&amp;C79,Wardrobes_etcData,18,0),"")))))</f>
        <v/>
      </c>
      <c r="K79" s="152" t="str">
        <f>IF(ISERROR(FIND("sink",A79))=FALSE,VLOOKUP("Sink liner - Aluminium "&amp;RIGHT(A79,LEN(A79)-22)&amp;"mm",ExceptionalData,5,0),IF(ISERROR(FIND("bins",A79))=FALSE,VLOOKUP("Drawer runners and clip set for bin unit (500) Dynapro",FurnitureData,5,0)+(2*VLOOKUP("Bin (42L Anthracite)",FurnitureData,5,0)),IF(ISERROR(FIND("larder",A79))=FALSE,VLOOKUP("Pull out larder unit 600mm",FurnitureData,5,0),IF(AND(ISERROR(FIND("drawer box",A79))=FALSE,ISERROR(FIND("internal",A79))=TRUE),VLOOKUP("Drawer runners and clip set (550) Dynapro",FurnitureData,5,0),IF(ISERROR(FIND("internal drawer box",A79))=FALSE,VLOOKUP("Drawer runners and clip set (450) Dynapro",FurnitureData,5,0),IF(ISERROR(FIND("table",A79))=FALSE,VLOOKUP("Hairpin Leg (12mm Black "&amp;MID(A79,FIND("(",A79)+1,LEN(A79)-(FIND("(",A79))-1)&amp;"mm)",ExceptionalData,4,FALSE),""))))))</f>
        <v/>
      </c>
      <c r="L79" s="152" t="str">
        <f t="shared" si="3"/>
        <v/>
      </c>
      <c r="M79" s="154" t="str">
        <f>IF(A79="","",IF(AND(ISERROR(FIND("drawer front",A79))=FALSE,WardrobeDoorStyle="Flat"),(((B79/1000)*(C79/1000))*2)+((((B79+C79)/1000)*2)*0.022),IF(AND(ISERROR(FIND("drawer front",A79))=FALSE,LEFT(WardrobeDoorStyle,5)="Panel"),(((B79/1000)*(C79/1000))*2)+((((B79+C79)/1000)*2)*0.022)+((((C79/1000)-0.16)*0.013)*2)+((((D79/1000)-0.16)*0.013)*2),IF(AND(ISERROR(FIND("drawer front",A79))=FALSE,WardrobeDoorStyle="In-frame flat"),((((B79-76)/1000)*((C79-38)/1000))*2)+(MID(WardrobeDoorMaterial,FIND("(",WardrobeDoorMaterial)+1,2)/1000)*((((B79-76)+(C79-38))/1000)*2)+(((B79/1000)*0.032)*2)+((((B79-76)/1000)*0.032)*2)+(((B79/1000)*0.019)*4)+(((C79/1000)*0.032)*2)+((((C79-38)/1000)*0.032)*2)+(((C79/1000)*0.038)*4),IF(AND(ISERROR(FIND("drawer front",A79))=FALSE,LEFT(WardrobeDoorStyle,14)="In-frame panel"),((((B79-76)/1000)*((C79-38)/1000))*2)+((MID(WardrobeDoorMaterial,FIND("(",WardrobeDoorMaterial)+1,2)/1000)*((((B79-76)+(C79-38))/1000)*2))+((((B79-236)/1000)+((C79-198)/1000)*2)*0.013)+(((B79/1000)*0.032)*2)+((((B79-76)/1000)*0.032)*2)+(((B79/1000)*0.019)*4)+(((C79/1000)*0.032)*2)+((((C79-38)/1000)*0.032)*2)+(((C79/1000)*0.038)*4),IF(ISERROR(FIND("drawer box",A79))=FALSE,((((B79/1000)*(D79/1000))+((B79/1000)*(C79/1000)))*4)+((((D79/1000)+(C79/1000))*0.016)*4)+(((C79/1000)*(D79/1000))*2),IF(OR(ISERROR(FIND("shelf",A79))=FALSE,ISERROR(FIND("Filler panel",A79))=FALSE),(((C79/1000)*(D79/1000))*2)+((((C79+D79)*2)/1000)*0.022),IF(ISERROR(FIND("Fireplace",A79))=FALSE,((B79/1000)*(C79/1000)),IF(ISERROR(FIND("Worktop",A79))=FALSE,(B79/1000)*(C79/1000),IF(ISERROR(FIND("table",A79))=FALSE,(B79/1000)*0.6,IF(ISERROR(FIND("arcass",A79))=FALSE,(((C79/1000)*(D79/1000))*2)+(((B79/1000)*(D79/1000))*2)+((B79/1000)*(C79/1000))+((((B79/1000)*0.025)+((C79/1000)*0.025))*2),IF(AND(ISERROR(FIND("door",A79))=FALSE,WardrobeDoorStyle="Flat"),(((B79/1000)*(C79/1000))*2)+(MID(WardrobeDoorMaterial,FIND("(",WardrobeDoorMaterial)+1,2)/1000)*(((B79+C79)/1000)*2),IF(AND(ISERROR(FIND("door",A79))=FALSE,LEFT(WardrobeDoorStyle,5)="Panel"),(((B79/1000)*(C79/1000))*2)+((MID(WardrobeDoorMaterial,FIND("(",WardrobeDoorMaterial)+1,2)/1000)*(((B79+C79)/1000)*2))+(((((B79-160)+(C79-160))*2)/1000)*(0.013)),IF(AND(ISERROR(FIND("door",A79))=FALSE,WardrobeDoorStyle="In-frame flat"),((((B79-76)/1000)*((C79-38)/1000))*2)+(MID(WardrobeDoorMaterial,FIND("(",WardrobeDoorMaterial)+1,2)/1000)*((((B79-76)+(C79-38))/1000)*2)+(((B79/1000)*0.032)*2)+((((B79-76)/1000)*0.032)*2)+(((B79/1000)*0.019)*4)+(((C79/1000)*0.032)*2)+((((C79-38)/1000)*0.032)*2)+(((C79/1000)*0.038)*4),IF(AND(ISERROR(FIND("door",A79))=FALSE,LEFT(WardrobeDoorStyle,14)="In-frame panel"),((((B79-76)/1000)*((C79-38)/1000))*2)+((MID(WardrobeDoorMaterial,FIND("(",WardrobeDoorMaterial)+1,2)/1000)*((((B79-76)+(C79-38))/1000)*2))+((((B79-236)/1000)+((C79-198)/1000)*2)*0.013)+(((B79/1000)*0.032)*2)+((((B79-76)/1000)*0.032)*2)+(((B79/1000)*0.019)*4)+(((C79/1000)*0.032)*2)+((((C79-38)/1000)*0.032)*2)+(((C79/1000)*0.038)*4),IF(ISERROR(FIND("Plinth",A79))=FALSE,((B79/1000)*(C79/1000))+(((C79/1000)*0.018)*2)+(((B79/1000)*0.018)*2),IF(ISERROR(FIND("Cornice",A79))=FALSE,(((C79/1000)*0.1)*2)+(((C79/1000)*0.044)*2)+(((B79/1000)*0.08)*2),IF(ISERROR(FIND("Office pod",A79))=FALSE,((2400/1000)*(1200/1000))*6,IF(ISERROR(FIND("panel",A79))=FALSE,((B79/1000)*(C79/1000))+(0.022*((B79/1000)+((C79/1000)*2)))+((B79/1000)*0.05),IF(ISERROR(FIND("Fillers",A79))=FALSE,((C79/1000)*0.06)+((C79/1000)*0.069)+((0.06*0.018)*2)+((0.06*0.009)*2)+((C79/1000)*0.009)+((C79/1000)*0.018),IF(ISERROR(FIND("Pelmet",A79))=FALSE,((C79/1000)*0.05)+((C79/1000)*0.068)+((0.05*0.018)*4)+(((C79/1000)*0.018))*2)))))))))))))))))))))</f>
        <v/>
      </c>
      <c r="N79" s="152" t="str">
        <f>IF(M79="","",IF(AND(ISERROR(FIND("carcass",A79))=TRUE,ISERROR(FIND("unit",A79))=TRUE,ISERROR(FIND("insert",A79))=TRUE,ISERROR(FIND("rack",A79))=TRUE,ISERROR(FIND("box",A79))=TRUE,ISERROR(FIND("shelf",A79))=TRUE),VLOOKUP(WardrobeDoorFinish,Finishing!$A$2:$K$10,9,0)*M79,IF(ISERROR(FIND("table",A79))=FALSE,VLOOKUP("Sayerlack AF0072 Interior Clear Self-Sealer",FinishingData,9,FALSE)*M79,VLOOKUP(WardrobeCarcassFinish,Finishing!$A$2:$K$40,9,0)*M79)))</f>
        <v/>
      </c>
      <c r="O79" s="159"/>
      <c r="P79" s="159"/>
      <c r="Q79" s="152" t="str">
        <f>IF(OR(O79="",P79=""),"",((O79*X79)*(VLOOKUP("Workshop",Labour!$A$3:$E$20,4,0)/8))+((P79*AE79)*(VLOOKUP("Finishing",Labour!$A$3:$E$20,4,0)/8)))</f>
        <v/>
      </c>
      <c r="R79" s="152" t="str">
        <f t="shared" si="4"/>
        <v/>
      </c>
      <c r="S79" s="156" t="str">
        <f>IF(OR(O79="",P79=""),"",IF(OR(ISERROR(FIND("carcass",$A79))=FALSE,ISERROR(FIND("unit",$A79))=FALSE),VLOOKUP(WardrobeCarcassMaterial,FixedListsCarcassMaterial,2,0),0))</f>
        <v/>
      </c>
      <c r="T79" s="156" t="str">
        <f>IF(OR(O79="",P79=""),"",IF(ISERROR(FIND("door",$A79))=FALSE,VLOOKUP(WardrobeDoorStyle,FixedListsDoorStyle,2,0),0))</f>
        <v/>
      </c>
      <c r="U79" s="156" t="str">
        <f>IF(OR(O79="",P79=""),"",IF(ISERROR(FIND("door",$A79))=FALSE,VLOOKUP(WardrobeDoorMaterial,FixedListsDoorMaterial,2,0),0))</f>
        <v/>
      </c>
      <c r="V79" s="156" t="str">
        <f>IF(OR(O79="",P79=""),"",IF(ISERROR(FIND("drawer",$A79))=FALSE,VLOOKUP(WardrobeDrawerType,FixedListsDrawerType,2,0),0))</f>
        <v/>
      </c>
      <c r="W79" s="156" t="str">
        <f>IF(OR(O79="",P79=""),"",IF(S79&gt;0,VLOOKUP(WardrobeHandleType,FixedListsHandleType,2,FALSE),0))</f>
        <v/>
      </c>
      <c r="X79" s="156" t="str">
        <f t="shared" si="5"/>
        <v/>
      </c>
      <c r="Y79" s="156" t="str">
        <f>IF(OR(O79="",P79=""),"",IF(OR(ISERROR(FIND("carcass",$A79))=FALSE,ISERROR(FIND("unit",$A79))=FALSE),VLOOKUP(WardrobeCarcassMaterial,FixedListsCarcassMaterial,3,0),0))</f>
        <v/>
      </c>
      <c r="Z79" s="156" t="str">
        <f>IF(OR(O79="",P79=""),"",IF(ISERROR(FIND("door",$A79))=FALSE,VLOOKUP(WardrobeDoorStyle,FixedListsDoorStyle,3,0),0))</f>
        <v/>
      </c>
      <c r="AA79" s="156" t="str">
        <f>IF(OR(O79="",P79=""),"",IF(ISERROR(FIND("door",$A79))=FALSE,VLOOKUP(WardrobeDoorMaterial,FixedListsDoorMaterial,3,0),0))</f>
        <v/>
      </c>
      <c r="AB79" s="156" t="str">
        <f>IF(OR(O79="",P79=""),"",IF(ISERROR(FIND("drawer",$A79))=FALSE,VLOOKUP(WardrobeDrawerType,FixedListsDrawerType,3,0),0))</f>
        <v/>
      </c>
      <c r="AC79" s="156" t="str">
        <f>IF(OR(O79="",P79=""),"",IF(S79&gt;0,VLOOKUP(WardrobeHandleType,FixedListsHandleType,3,FALSE),0))</f>
        <v/>
      </c>
      <c r="AD79" s="156" t="str">
        <f>IF(OR(O79="",P79=""),"",IF(OR(ISERROR(FIND("carcass",$A79))=FALSE,ISERROR(FIND("unit",$A79))=FALSE),VLOOKUP(WardrobeCarcassFinish,FixedListsFinishes,3,0),IF(OR(ISERROR(FIND("door",$A79))=FALSE,ISERROR(FIND("Plinth",$A79))=FALSE,ISERROR(FIND("Cornice",$A79))=FALSE,ISERROR(FIND("Fillers",$A79))=FALSE,ISERROR(FIND("Pelmet",$A79))=FALSE,ISERROR(FIND("panel",$A79))=FALSE,ISERROR(FIND("post",$A79))=FALSE),VLOOKUP(WardrobeDoorFinish,FixedListsFinishes,3,0),IF(OR(ISERROR(FIND("drawer",$A79))=FALSE,ISERROR(FIND("insert",$A79))=FALSE,ISERROR(FIND("rck",$A79))=FALSE),VLOOKUP(WardrobeCarcassFinish,FixedListsFinishes,3,0),0))))</f>
        <v/>
      </c>
      <c r="AE79" s="156" t="str">
        <f t="shared" si="6"/>
        <v/>
      </c>
      <c r="AF79" s="157" t="str">
        <f>IF(AND(WardrobeHandleType="Channel",OR(ISERROR(FIND("arcass",$A79))=FALSE,ISERROR(FIND("unit",$A79))=FALSE)),IF(ISERROR(FIND("Tower",$A79))=TRUE,IF(WardrobeHandleFinish="Match carcass",IF(ISERROR(FIND("Walnut",WardrobeCarcassMaterial))=FALSE,(0.035*0.075*($C79/1000))*VLOOKUP("Walnut (solid m3)",SolidData,4,FALSE),IF(ISERROR(FIND("Oak",WardrobeCarcassMaterial))=FALSE,(0.035*0.075*($C79/1000))*VLOOKUP("Oak (solid m3)",SolidData,4,FALSE),IF(ISERROR(FIND("ply",WardrobeCarcassMaterial))=FALSE,(0.1*($C79/1000))*VLOOKUP("Birch ply (24mm)",SheetsData,7,FALSE),IF(ISERROR(FIND("H/F",WardrobeCarcassMaterial))=FALSE,(0.1*($C79/1000))*VLOOKUP("H/F (22mm)",SheetsData,7,FALSE),"Carcass - not tower - new material")))),IF(WardrobeHandleFinish="Match door",IF(ISERROR(FIND("Walnut",WardrobeDoorMaterial))=FALSE,(0.035*0.075*($C79/1000))*VLOOKUP("Walnut (solid m3)",SolidData,4,FALSE),IF(ISERROR(FIND("Oak",WardrobeDoorMaterial))=FALSE,(0.035*0.075*($C79/1000))*VLOOKUP("Oak (solid m3)",SolidData,4,FALSE),IF(ISERROR(FIND("ply",WardrobeDoorMaterial))=FALSE,(0.1*($C79/1000))*VLOOKUP("Birch ply (24mm)",SheetsData,7,FALSE),IF(ISERROR(FIND("H/F",WardrobeCarcassMaterial))=FALSE,(0.1*($C79/1000))*VLOOKUP("H/F (22mm)",SheetsData,7,FALSE),"Door - not tower - new material")))),"Channel - not tower - handle set to other")),IF(ISERROR(FIND("Tower",$A79))=FALSE,IF(WardrobeHandleFinish="Match carcass",IF(ISERROR(FIND("Walnut",WardrobeCarcassMaterial))=FALSE,(0.035*0.075*($B79/1000))*VLOOKUP("Walnut (solid m3)",SolidData,4,FALSE),IF(ISERROR(FIND("Oak",WardrobeCarcassMaterial))=FALSE,(0.035*0.075*($B79/1000))*VLOOKUP("Oak (solid m3)",SolidData,4,FALSE),IF(ISERROR(FIND("ply",WardrobeCarcassMaterial))=FALSE,(0.1*($B79/1000))*VLOOKUP("Birch ply (24mm)",SheetsData,7,FALSE),IF(ISERROR(FIND("H/F",WardrobeCarcassMaterial))=FALSE,(0.1*($C79/1000))*VLOOKUP("H/F (22mm)",SheetsData,7,FALSE),"Carcass - tower - new material")))),IF(WardrobeHandleFinish="Match door",IF(ISERROR(FIND("Walnut",WardrobeDoorMaterial))=FALSE,(0.035*0.075*($B79/1000))*VLOOKUP("Walnut (solid m3)",SolidData,4,FALSE),IF(ISERROR(FIND("Oak",WardrobeDoorMaterial))=FALSE,(0.035*0.075*($B79/1000))*VLOOKUP("Oak (solid m3)",SolidData,4,FALSE),IF(ISERROR(FIND("ply",WardrobeDoorMaterial))=FALSE,(0.1*($B79/1000))*VLOOKUP("Birch ply (24mm)",SheetData,7,FALSE),IF(ISERROR(FIND("H/F",WardrobeCarcassMaterial))=FALSE,(0.1*($C79/1000))*VLOOKUP("H/F (22mm)",SheetsData,7,FALSE),"Door - tower - new material")))),"Channel - tower - handle set to other")))),"")</f>
        <v/>
      </c>
    </row>
    <row r="80">
      <c r="A80" s="150"/>
      <c r="B80" s="160" t="str">
        <f t="shared" si="1"/>
        <v/>
      </c>
      <c r="C80" s="160" t="str">
        <f>IFERROR(__xludf.DUMMYFUNCTION("IF(A80="""","""",IF(ISERROR(FIND(""arcass"",A80))=FALSE,MID(A80,FIND(""*"",A80)+1,FIND(""*"",A80,FIND(""*"",A80)+1)-FIND(""*"",A80)-1),IF(ISERROR(FIND(""End panel"",A80))=FALSE,RIGHT(A80,3),IF(OR(ISERROR(FIND(""drawer"",A80))=FALSE,ISERROR(FIND(""door"",A"&amp;"80))=FALSE,ISERROR(FIND(""shelf"",A80))=FALSE,ISERROR(FIND(""panel"",A80))=FALSE,ISERROR(FIND(""Plinth"",A80))=FALSE,ISERROR(FIND(""Cornice"",A80))=FALSE,ISERROR(FIND(""Fillers"",A80))=FALSE,ISERROR(FIND(""Pelmet"",A80))=FALSE,ISERROR(FIND(""Fireplace up "&amp;"to 1600"",A80))=FALSE),RIGHT(A80,LEN(A80)-LEN(regexextract(A80,"".* ""))),IF(ISERROR(FIND(""table"",A80))=FALSE,""560"",IF(ISERROR(FIND(""Office pod"",A80))=FALSE,""1600"",IF(ISERROR(FIND(""Fireplace over 1600"",A80))=FALSE,""2400"",IF(ISERROR(FIND(""Work"&amp;"top"",A80))=FALSE,""650"",""Whoops""))))))))"),"")</f>
        <v/>
      </c>
      <c r="D80" s="161" t="str">
        <f t="shared" si="2"/>
        <v/>
      </c>
      <c r="E80" s="152" t="str">
        <f>IF(OR(A80="",AND(ISERROR(FIND("drawer",A80))=FALSE,WardrobeDrawerType="")),"",IF(ISERROR(FIND("door",A80))=FALSE,IF(WardrobeDoorStyle="Flat",((B80/1000)*(C80/1000))*VLOOKUP(WardrobeDoorMaterial,SheetsData,8,0),IF(LEFT(WardrobeDoorStyle,5)="Panel",(((((B80/1000)*2)*0.08)+((((C80/1000)-0.16)*2)*0.08))*VLOOKUP("H/F (22mm)",SheetsData,8,0))+(((B80/1000)-0.14)*((C80/1000)-0.14)*VLOOKUP("H/F (9mm)",SheetsData,8,0)),IF(WardrobeDoorStyle="In-frame flat",((((((B80/1000)*0.019)*0.038)+((((C80-38)/1000)*0.038)*0.038))*2)*VLOOKUP("Tulip (solid m3)",SolidData,4,0))+(((B80-76)/1000)*((C80-38)/1000))*VLOOKUP("H/F (22mm)",SheetsData,8,0),IF(LEFT(WardrobeDoorStyle,14)="In-frame panel",(((((((B80/1000)*0.019)*0.038)+((((C80-38)/1000)*0.038)*0.038))*2)*VLOOKUP("Tulip (solid m3)",SolidData,4,0))+(((((((B80-76)/1000)*2)*0.08)+(((((C80-198)/1000)*2)*0.08)))*VLOOKUP("H/F (22mm)",SheetsData,8,0))+(((B80-216)/1000)*((C80-178)/1000)*VLOOKUP("H/F (9mm)",SheetsData,8,0)))))))),IF(AND(ISERROR(FIND("arcass",A80))=FALSE,ISERROR(FIND("ost corner",A80))=TRUE),IF(AND(VALUE(B80)&lt;1211,VALUE(C80)&lt;1211,VALUE(D80)&lt;606),1*VLOOKUP(WardrobeCarcassMaterial,SheetsData,5,FALSE),IF(AND(VALUE(B80)&lt;2421,VALUE(C80)&lt;2421,VALUE(D80)&lt;606),2*VLOOKUP(WardrobeCarcassMaterial,SheetsData,5,FALSE),IF(AND(VALUE(B80)&lt;2421,VALUE(C80)&lt;1211,VALUE(D80)&lt;1211),3*VLOOKUP(WardrobeCarcassMaterial,SheetsData,5,FALSE),IF(AND(VALUE(B80)&lt;2421,VALUE(C80)&lt;2421,VALUE(D80)&lt;1211),4*VLOOKUP(WardrobeCarcassMaterial,SheetsData,5,FALSE))))),IF(AND(ISERROR(FIND("arcass",A80))=FALSE,ISERROR(FIND("ost corner",A80))=FALSE),IF(AND(VALUE(B80)&lt;1211,VALUE(C80)&lt;1211,VALUE(D80)&lt;606),(1*VLOOKUP(WardrobeCarcassMaterial,SheetsData,5,FALSE))+(VLOOKUP("H/F (22mm)",SheetsData,7,FALSE)*1.44),IF(AND(VALUE(B80)&lt;2421,VALUE(C80)&lt;2421,VALUE(D80)&lt;606),(2*VLOOKUP(WardrobeCarcassMaterial,SheetsData,5,FALSE))+(VLOOKUP("H/F (22mm)",SheetsData,7,FALSE)*1.44),IF(AND(VALUE(B80)&lt;2421,VALUE(C80)&lt;1211,VALUE(D80)&lt;1211),(3*VLOOKUP(WardrobeCarcassMaterial,SheetsData,5,FALSE))+(VLOOKUP("H/F (22mm)",SheetsData,7,FALSE)*1.44),IF(AND(VALUE(B80)&lt;2421,VALUE(C80)&lt;2421,VALUE(D80)&lt;1211),(4*VLOOKUP(WardrobeCarcassMaterial,SheetsData,5,FALSE))+(VLOOKUP("H/F (22mm)",SheetsData,7,FALSE)*1.44))))),IF(ISERROR(FIND("drawer front",A80))=FALSE,((B80/1000)*(C80/1000))*VLOOKUP(WardrobeDoorMaterial,SheetsData,8,0),IF(AND(WardrobeDrawerType="Match carcass",ISERROR(FIND("drawer box",A80))=FALSE),(((((B80/1000)*(C80/1000))+((B80/1000)*(D80/1000)))*2)*VLOOKUP(WardrobeCarcassMaterial,SheetsData,8,0))+(((C80/1000)*(D80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box",A80))=FALSE),(((((B80/1000)*(C80/1000))+((B80/1000)*(D80/1000)))*2)*(16/1000)*VLOOKUP(LEFT(WardrobeCarcassMaterial,FIND(" ",WardrobeCarcassMaterial))&amp;"(solid m3)",SolidData,4,0))+(((C80/1000)*(D80/1000))*VLOOKUP(LEFT(WardrobeCarcassMaterial,FIND("(",WardrobeCarcassMaterial)-1)&amp;IF(OR(ISERROR(FIND("ply",WardrobeCarcassMaterial))=FALSE,ISERROR(FIND("H/F",WardrobeCarcassMaterial))=FALSE),"(9mm)","(10mm)"),SheetsData,8,0)),IF(ISERROR(FIND("shelf",A80))=FALSE,((C80/1000)*(D80/1000))*VLOOKUP(WardrobeCarcassMaterial,SheetsData,7,FALSE),IF(ISERROR(FIND("Office pod",A80))=FALSE,3*VLOOKUP(WardrobeCarcassMaterial,SheetsData,5,0),IF(ISERROR(FIND(" panel",A80))=FALSE,((B80/1000)*(C80/1000))*VLOOKUP(WardrobeDoorMaterial,SheetsData,8,0),IF(ISERROR(FIND("Fillers",A80))=FALSE,(((0.06*(C80/1000))*2)*VLOOKUP("H/F (18mm)",SheetsData,8,0))+(((0.06*(C80/1000))*2)*VLOOKUP("H/F (9mm)",SheetsData,8,0)),IF(ISERROR(FIND("Cornice (stacked)",A80))=FALSE,((0.08*(C80/1000))*2)*VLOOKUP("H/F (22mm)",SheetsData,8,0),IF(OR(ISERROR(FIND("Plinth",A80))=FALSE,ISERROR(FIND("Cornice (flat)",A80))=FALSE),((B80/1000)*(C80/1000))*VLOOKUP("H/F (18mm)",SheetsData,8,0),IF(ISERROR(FIND("Pelmet",A80))=FALSE,((((B80/1000)*(C80/1000))*2)*VLOOKUP("H/F (18mm)",SheetsData,8,0)),IF(ISERROR(FIND("Fireplace",A80))=FALSE,IF(ISERROR(FIND("over 1600",A80))=FALSE,2*VLOOKUP(WardrobeCarcassMaterial,SheetsData,5,FALSE),VLOOKUP(WardrobeCarcassMaterial,SheetsData,5,FALSE)),IF(ISERROR(FIND("table",A80))=FALSE,((B80/1000)*0.6)*VLOOKUP("Birch ply (24mm)",SheetsData,7,FALSE),IF(ISERROR(FIND("Worktop",A80))=FALSE,((B80/1000)*(C80/1000))*VLOOKUP(WardrobeDoorMaterial,SheetsData,7,FALSE),"Check formula")))))))))))))))))</f>
        <v/>
      </c>
      <c r="F80" s="152" t="str">
        <f>IFERROR(__xludf.DUMMYFUNCTION("IF(OR(A80="""",AND(ISERROR(FIND(""drawer box"",A80))=FALSE,WardrobeDrawerType=""Solid dovetail"")),"""",IF(ISERROR(FIND(""bins"",A80))=FALSE,VLOOKUP(""Base carcass 600"",Wardrobes_etcData,6,0),IF(OR(ISERROR(FIND(""larder"",A80))=FALSE,ISERROR(FIND(""unit"&amp;""",A80))=FALSE),VLOOKUP(LEFT(A80,FIND("" "",A80))&amp;""carcass ""&amp;RIGHT(A80,LEN(A80)-len(regexextract(A80,"".* ""))),Wardrobes_etcData,6,0),IF(ISERROR(FIND(""drawer front"",A80))=FALSE,IF(ISERROR(FIND(""veneer"",WardrobeCarcassMaterial))=TRUE,0,(((B80+C80)/1"&amp;"000)*2)*VLOOKUP(""Edge banding (per M)"",SheetsData,5,0)),IF(ISERROR(FIND(""drawer box"",A80))=FALSE,IF(ISERROR(FIND(""veneer"",WardrobeCarcassMaterial))=TRUE,0,(((C80+D80)/1000)*2)*VLOOKUP(""Edge banding (per M)"",SheetsData,5,0)),IF(ISERROR(FIND(""shelf"&amp;""",A80))=FALSE,IF(ISERROR(FIND(""veneer"",WardrobeCarcassMaterial))=TRUE,0,(C80/1000)*VLOOKUP(""Edge banding (per M)"",SheetsData,5,0)),IF(AND(OR(ISERROR(FIND(""arcass"",A80))=FALSE,ISERROR(FIND(""Fireplace"",A80))=FALSE),ISERROR(FIND(""shelf"",A80))=TRUE"&amp;"),IF(ISERROR(FIND(""veneer"",WardrobeCarcassMaterial))=TRUE,0,((2*(B80+C80))/1000)*VLOOKUP(""Edge banding (per M)"",SheetsData,5,0)),IF(ISERROR(FIND(""door"",A80))=TRUE,"""",IF(ISERROR(FIND(""veneer"",WardrobeDoorMaterial))=TRUE,"""",((2*(B80+C80))/1000)*"&amp;"VLOOKUP(""Edge banding (per M)"",SheetsData,5,0))))))))))"),"")</f>
        <v/>
      </c>
      <c r="G80" s="153" t="str">
        <f>IF(A80="","",IF(AND(ISERROR(FIND("arcass",A80))=TRUE,ISERROR(FIND("Fireplace",A80))=TRUE),"",IF(VALUE(C80)&lt;606,4*VLOOKUP("Plinth foot (2 Parts 80mm)",FurnitureData,5,FALSE),IF(VALUE(C80)&lt;1211,6*VLOOKUP("Plinth foot (2 Parts 80mm)",FurnitureData,5,FALSE),8*VLOOKUP("Plinth foot (2 Parts 80mm)",FurnitureData,5,FALSE)))))</f>
        <v/>
      </c>
      <c r="H80" s="115" t="str">
        <f>IF(OR(A80="",ISERROR(FIND("door",A80))=TRUE),"",VLOOKUP("Hinges &amp; plates (Hettich thick door)",FurnitureData,5,0)*5)</f>
        <v/>
      </c>
      <c r="I80" s="115" t="str">
        <f>IF(ISERROR(FIND("shelf",A80))=FALSE,(VLOOKUP("Shelf pegs",FurnitureData,5,0)/100)*4,"")</f>
        <v/>
      </c>
      <c r="J80" s="152" t="str">
        <f>IF(OR(ISERROR(FIND("fridge/freezer",A80))=FALSE,ISERROR(FIND("sink",A80))=FALSE,ISERROR(FIND("larder",A80))=FALSE),VLOOKUP("Deep shelf "&amp;C80,Wardrobes_etcData,18,0),IF(OR(ISERROR(FIND("single oven",A80))=FALSE,ISERROR(FIND("Base carcass",A80))=FALSE),2*VLOOKUP("Deep shelf "&amp;C80,Wardrobes_etcData,18,0),IF(AND(ISERROR(FIND("wall carcass",A80))=FALSE,ISERROR(FIND("Boiler",A80))=TRUE),2*VLOOKUP("Shallow shelf "&amp;C80,Wardrobes_etcData,18,0),IF(ISERROR(FIND("double oven",A80))=FALSE,3*VLOOKUP("Deep shelf "&amp;C80,Wardrobes_etcData,18,0),IF(ISERROR(FIND("Tower carcass",A80))=FALSE,6*VLOOKUP("Deep shelf "&amp;C80,Wardrobes_etcData,18,0),"")))))</f>
        <v/>
      </c>
      <c r="K80" s="152" t="str">
        <f>IF(ISERROR(FIND("sink",A80))=FALSE,VLOOKUP("Sink liner - Aluminium "&amp;RIGHT(A80,LEN(A80)-22)&amp;"mm",ExceptionalData,5,0),IF(ISERROR(FIND("bins",A80))=FALSE,VLOOKUP("Drawer runners and clip set for bin unit (500) Dynapro",FurnitureData,5,0)+(2*VLOOKUP("Bin (42L Anthracite)",FurnitureData,5,0)),IF(ISERROR(FIND("larder",A80))=FALSE,VLOOKUP("Pull out larder unit 600mm",FurnitureData,5,0),IF(AND(ISERROR(FIND("drawer box",A80))=FALSE,ISERROR(FIND("internal",A80))=TRUE),VLOOKUP("Drawer runners and clip set (550) Dynapro",FurnitureData,5,0),IF(ISERROR(FIND("internal drawer box",A80))=FALSE,VLOOKUP("Drawer runners and clip set (450) Dynapro",FurnitureData,5,0),IF(ISERROR(FIND("table",A80))=FALSE,VLOOKUP("Hairpin Leg (12mm Black "&amp;MID(A80,FIND("(",A80)+1,LEN(A80)-(FIND("(",A80))-1)&amp;"mm)",ExceptionalData,4,FALSE),""))))))</f>
        <v/>
      </c>
      <c r="L80" s="152" t="str">
        <f t="shared" si="3"/>
        <v/>
      </c>
      <c r="M80" s="154" t="str">
        <f>IF(A80="","",IF(AND(ISERROR(FIND("drawer front",A80))=FALSE,WardrobeDoorStyle="Flat"),(((B80/1000)*(C80/1000))*2)+((((B80+C80)/1000)*2)*0.022),IF(AND(ISERROR(FIND("drawer front",A80))=FALSE,LEFT(WardrobeDoorStyle,5)="Panel"),(((B80/1000)*(C80/1000))*2)+((((B80+C80)/1000)*2)*0.022)+((((C80/1000)-0.16)*0.013)*2)+((((D80/1000)-0.16)*0.013)*2),IF(AND(ISERROR(FIND("drawer front",A80))=FALSE,WardrobeDoorStyle="In-frame flat"),((((B80-76)/1000)*((C80-38)/1000))*2)+(MID(WardrobeDoorMaterial,FIND("(",WardrobeDoorMaterial)+1,2)/1000)*((((B80-76)+(C80-38))/1000)*2)+(((B80/1000)*0.032)*2)+((((B80-76)/1000)*0.032)*2)+(((B80/1000)*0.019)*4)+(((C80/1000)*0.032)*2)+((((C80-38)/1000)*0.032)*2)+(((C80/1000)*0.038)*4),IF(AND(ISERROR(FIND("drawer front",A80))=FALSE,LEFT(WardrobeDoorStyle,14)="In-frame panel"),((((B80-76)/1000)*((C80-38)/1000))*2)+((MID(WardrobeDoorMaterial,FIND("(",WardrobeDoorMaterial)+1,2)/1000)*((((B80-76)+(C80-38))/1000)*2))+((((B80-236)/1000)+((C80-198)/1000)*2)*0.013)+(((B80/1000)*0.032)*2)+((((B80-76)/1000)*0.032)*2)+(((B80/1000)*0.019)*4)+(((C80/1000)*0.032)*2)+((((C80-38)/1000)*0.032)*2)+(((C80/1000)*0.038)*4),IF(ISERROR(FIND("drawer box",A80))=FALSE,((((B80/1000)*(D80/1000))+((B80/1000)*(C80/1000)))*4)+((((D80/1000)+(C80/1000))*0.016)*4)+(((C80/1000)*(D80/1000))*2),IF(OR(ISERROR(FIND("shelf",A80))=FALSE,ISERROR(FIND("Filler panel",A80))=FALSE),(((C80/1000)*(D80/1000))*2)+((((C80+D80)*2)/1000)*0.022),IF(ISERROR(FIND("Fireplace",A80))=FALSE,((B80/1000)*(C80/1000)),IF(ISERROR(FIND("Worktop",A80))=FALSE,(B80/1000)*(C80/1000),IF(ISERROR(FIND("table",A80))=FALSE,(B80/1000)*0.6,IF(ISERROR(FIND("arcass",A80))=FALSE,(((C80/1000)*(D80/1000))*2)+(((B80/1000)*(D80/1000))*2)+((B80/1000)*(C80/1000))+((((B80/1000)*0.025)+((C80/1000)*0.025))*2),IF(AND(ISERROR(FIND("door",A80))=FALSE,WardrobeDoorStyle="Flat"),(((B80/1000)*(C80/1000))*2)+(MID(WardrobeDoorMaterial,FIND("(",WardrobeDoorMaterial)+1,2)/1000)*(((B80+C80)/1000)*2),IF(AND(ISERROR(FIND("door",A80))=FALSE,LEFT(WardrobeDoorStyle,5)="Panel"),(((B80/1000)*(C80/1000))*2)+((MID(WardrobeDoorMaterial,FIND("(",WardrobeDoorMaterial)+1,2)/1000)*(((B80+C80)/1000)*2))+(((((B80-160)+(C80-160))*2)/1000)*(0.013)),IF(AND(ISERROR(FIND("door",A80))=FALSE,WardrobeDoorStyle="In-frame flat"),((((B80-76)/1000)*((C80-38)/1000))*2)+(MID(WardrobeDoorMaterial,FIND("(",WardrobeDoorMaterial)+1,2)/1000)*((((B80-76)+(C80-38))/1000)*2)+(((B80/1000)*0.032)*2)+((((B80-76)/1000)*0.032)*2)+(((B80/1000)*0.019)*4)+(((C80/1000)*0.032)*2)+((((C80-38)/1000)*0.032)*2)+(((C80/1000)*0.038)*4),IF(AND(ISERROR(FIND("door",A80))=FALSE,LEFT(WardrobeDoorStyle,14)="In-frame panel"),((((B80-76)/1000)*((C80-38)/1000))*2)+((MID(WardrobeDoorMaterial,FIND("(",WardrobeDoorMaterial)+1,2)/1000)*((((B80-76)+(C80-38))/1000)*2))+((((B80-236)/1000)+((C80-198)/1000)*2)*0.013)+(((B80/1000)*0.032)*2)+((((B80-76)/1000)*0.032)*2)+(((B80/1000)*0.019)*4)+(((C80/1000)*0.032)*2)+((((C80-38)/1000)*0.032)*2)+(((C80/1000)*0.038)*4),IF(ISERROR(FIND("Plinth",A80))=FALSE,((B80/1000)*(C80/1000))+(((C80/1000)*0.018)*2)+(((B80/1000)*0.018)*2),IF(ISERROR(FIND("Cornice",A80))=FALSE,(((C80/1000)*0.1)*2)+(((C80/1000)*0.044)*2)+(((B80/1000)*0.08)*2),IF(ISERROR(FIND("Office pod",A80))=FALSE,((2400/1000)*(1200/1000))*6,IF(ISERROR(FIND("panel",A80))=FALSE,((B80/1000)*(C80/1000))+(0.022*((B80/1000)+((C80/1000)*2)))+((B80/1000)*0.05),IF(ISERROR(FIND("Fillers",A80))=FALSE,((C80/1000)*0.06)+((C80/1000)*0.069)+((0.06*0.018)*2)+((0.06*0.009)*2)+((C80/1000)*0.009)+((C80/1000)*0.018),IF(ISERROR(FIND("Pelmet",A80))=FALSE,((C80/1000)*0.05)+((C80/1000)*0.068)+((0.05*0.018)*4)+(((C80/1000)*0.018))*2)))))))))))))))))))))</f>
        <v/>
      </c>
      <c r="N80" s="152" t="str">
        <f>IF(M80="","",IF(AND(ISERROR(FIND("carcass",A80))=TRUE,ISERROR(FIND("unit",A80))=TRUE,ISERROR(FIND("insert",A80))=TRUE,ISERROR(FIND("rack",A80))=TRUE,ISERROR(FIND("box",A80))=TRUE,ISERROR(FIND("shelf",A80))=TRUE),VLOOKUP(WardrobeDoorFinish,Finishing!$A$2:$K$10,9,0)*M80,IF(ISERROR(FIND("table",A80))=FALSE,VLOOKUP("Sayerlack AF0072 Interior Clear Self-Sealer",FinishingData,9,FALSE)*M80,VLOOKUP(WardrobeCarcassFinish,Finishing!$A$2:$K$40,9,0)*M80)))</f>
        <v/>
      </c>
      <c r="O80" s="159"/>
      <c r="P80" s="159"/>
      <c r="Q80" s="152" t="str">
        <f>IF(OR(O80="",P80=""),"",((O80*X80)*(VLOOKUP("Workshop",Labour!$A$3:$E$20,4,0)/8))+((P80*AE80)*(VLOOKUP("Finishing",Labour!$A$3:$E$20,4,0)/8)))</f>
        <v/>
      </c>
      <c r="R80" s="152" t="str">
        <f t="shared" si="4"/>
        <v/>
      </c>
      <c r="S80" s="156" t="str">
        <f>IF(OR(O80="",P80=""),"",IF(OR(ISERROR(FIND("carcass",$A80))=FALSE,ISERROR(FIND("unit",$A80))=FALSE),VLOOKUP(WardrobeCarcassMaterial,FixedListsCarcassMaterial,2,0),0))</f>
        <v/>
      </c>
      <c r="T80" s="156" t="str">
        <f>IF(OR(O80="",P80=""),"",IF(ISERROR(FIND("door",$A80))=FALSE,VLOOKUP(WardrobeDoorStyle,FixedListsDoorStyle,2,0),0))</f>
        <v/>
      </c>
      <c r="U80" s="156" t="str">
        <f>IF(OR(O80="",P80=""),"",IF(ISERROR(FIND("door",$A80))=FALSE,VLOOKUP(WardrobeDoorMaterial,FixedListsDoorMaterial,2,0),0))</f>
        <v/>
      </c>
      <c r="V80" s="156" t="str">
        <f>IF(OR(O80="",P80=""),"",IF(ISERROR(FIND("drawer",$A80))=FALSE,VLOOKUP(WardrobeDrawerType,FixedListsDrawerType,2,0),0))</f>
        <v/>
      </c>
      <c r="W80" s="156" t="str">
        <f>IF(OR(O80="",P80=""),"",IF(S80&gt;0,VLOOKUP(WardrobeHandleType,FixedListsHandleType,2,FALSE),0))</f>
        <v/>
      </c>
      <c r="X80" s="156" t="str">
        <f t="shared" si="5"/>
        <v/>
      </c>
      <c r="Y80" s="156" t="str">
        <f>IF(OR(O80="",P80=""),"",IF(OR(ISERROR(FIND("carcass",$A80))=FALSE,ISERROR(FIND("unit",$A80))=FALSE),VLOOKUP(WardrobeCarcassMaterial,FixedListsCarcassMaterial,3,0),0))</f>
        <v/>
      </c>
      <c r="Z80" s="156" t="str">
        <f>IF(OR(O80="",P80=""),"",IF(ISERROR(FIND("door",$A80))=FALSE,VLOOKUP(WardrobeDoorStyle,FixedListsDoorStyle,3,0),0))</f>
        <v/>
      </c>
      <c r="AA80" s="156" t="str">
        <f>IF(OR(O80="",P80=""),"",IF(ISERROR(FIND("door",$A80))=FALSE,VLOOKUP(WardrobeDoorMaterial,FixedListsDoorMaterial,3,0),0))</f>
        <v/>
      </c>
      <c r="AB80" s="156" t="str">
        <f>IF(OR(O80="",P80=""),"",IF(ISERROR(FIND("drawer",$A80))=FALSE,VLOOKUP(WardrobeDrawerType,FixedListsDrawerType,3,0),0))</f>
        <v/>
      </c>
      <c r="AC80" s="156" t="str">
        <f>IF(OR(O80="",P80=""),"",IF(S80&gt;0,VLOOKUP(WardrobeHandleType,FixedListsHandleType,3,FALSE),0))</f>
        <v/>
      </c>
      <c r="AD80" s="156" t="str">
        <f>IF(OR(O80="",P80=""),"",IF(OR(ISERROR(FIND("carcass",$A80))=FALSE,ISERROR(FIND("unit",$A80))=FALSE),VLOOKUP(WardrobeCarcassFinish,FixedListsFinishes,3,0),IF(OR(ISERROR(FIND("door",$A80))=FALSE,ISERROR(FIND("Plinth",$A80))=FALSE,ISERROR(FIND("Cornice",$A80))=FALSE,ISERROR(FIND("Fillers",$A80))=FALSE,ISERROR(FIND("Pelmet",$A80))=FALSE,ISERROR(FIND("panel",$A80))=FALSE,ISERROR(FIND("post",$A80))=FALSE),VLOOKUP(WardrobeDoorFinish,FixedListsFinishes,3,0),IF(OR(ISERROR(FIND("drawer",$A80))=FALSE,ISERROR(FIND("insert",$A80))=FALSE,ISERROR(FIND("rck",$A80))=FALSE),VLOOKUP(WardrobeCarcassFinish,FixedListsFinishes,3,0),0))))</f>
        <v/>
      </c>
      <c r="AE80" s="156" t="str">
        <f t="shared" si="6"/>
        <v/>
      </c>
      <c r="AF80" s="157" t="str">
        <f>IF(AND(WardrobeHandleType="Channel",OR(ISERROR(FIND("arcass",$A80))=FALSE,ISERROR(FIND("unit",$A80))=FALSE)),IF(ISERROR(FIND("Tower",$A80))=TRUE,IF(WardrobeHandleFinish="Match carcass",IF(ISERROR(FIND("Walnut",WardrobeCarcassMaterial))=FALSE,(0.035*0.075*($C80/1000))*VLOOKUP("Walnut (solid m3)",SolidData,4,FALSE),IF(ISERROR(FIND("Oak",WardrobeCarcassMaterial))=FALSE,(0.035*0.075*($C80/1000))*VLOOKUP("Oak (solid m3)",SolidData,4,FALSE),IF(ISERROR(FIND("ply",WardrobeCarcassMaterial))=FALSE,(0.1*($C80/1000))*VLOOKUP("Birch ply (24mm)",SheetsData,7,FALSE),IF(ISERROR(FIND("H/F",WardrobeCarcassMaterial))=FALSE,(0.1*($C80/1000))*VLOOKUP("H/F (22mm)",SheetsData,7,FALSE),"Carcass - not tower - new material")))),IF(WardrobeHandleFinish="Match door",IF(ISERROR(FIND("Walnut",WardrobeDoorMaterial))=FALSE,(0.035*0.075*($C80/1000))*VLOOKUP("Walnut (solid m3)",SolidData,4,FALSE),IF(ISERROR(FIND("Oak",WardrobeDoorMaterial))=FALSE,(0.035*0.075*($C80/1000))*VLOOKUP("Oak (solid m3)",SolidData,4,FALSE),IF(ISERROR(FIND("ply",WardrobeDoorMaterial))=FALSE,(0.1*($C80/1000))*VLOOKUP("Birch ply (24mm)",SheetsData,7,FALSE),IF(ISERROR(FIND("H/F",WardrobeCarcassMaterial))=FALSE,(0.1*($C80/1000))*VLOOKUP("H/F (22mm)",SheetsData,7,FALSE),"Door - not tower - new material")))),"Channel - not tower - handle set to other")),IF(ISERROR(FIND("Tower",$A80))=FALSE,IF(WardrobeHandleFinish="Match carcass",IF(ISERROR(FIND("Walnut",WardrobeCarcassMaterial))=FALSE,(0.035*0.075*($B80/1000))*VLOOKUP("Walnut (solid m3)",SolidData,4,FALSE),IF(ISERROR(FIND("Oak",WardrobeCarcassMaterial))=FALSE,(0.035*0.075*($B80/1000))*VLOOKUP("Oak (solid m3)",SolidData,4,FALSE),IF(ISERROR(FIND("ply",WardrobeCarcassMaterial))=FALSE,(0.1*($B80/1000))*VLOOKUP("Birch ply (24mm)",SheetsData,7,FALSE),IF(ISERROR(FIND("H/F",WardrobeCarcassMaterial))=FALSE,(0.1*($C80/1000))*VLOOKUP("H/F (22mm)",SheetsData,7,FALSE),"Carcass - tower - new material")))),IF(WardrobeHandleFinish="Match door",IF(ISERROR(FIND("Walnut",WardrobeDoorMaterial))=FALSE,(0.035*0.075*($B80/1000))*VLOOKUP("Walnut (solid m3)",SolidData,4,FALSE),IF(ISERROR(FIND("Oak",WardrobeDoorMaterial))=FALSE,(0.035*0.075*($B80/1000))*VLOOKUP("Oak (solid m3)",SolidData,4,FALSE),IF(ISERROR(FIND("ply",WardrobeDoorMaterial))=FALSE,(0.1*($B80/1000))*VLOOKUP("Birch ply (24mm)",SheetData,7,FALSE),IF(ISERROR(FIND("H/F",WardrobeCarcassMaterial))=FALSE,(0.1*($C80/1000))*VLOOKUP("H/F (22mm)",SheetsData,7,FALSE),"Door - tower - new material")))),"Channel - tower - handle set to other")))),"")</f>
        <v/>
      </c>
    </row>
    <row r="81">
      <c r="A81" s="150"/>
      <c r="B81" s="160" t="str">
        <f t="shared" si="1"/>
        <v/>
      </c>
      <c r="C81" s="160" t="str">
        <f>IFERROR(__xludf.DUMMYFUNCTION("IF(A81="""","""",IF(ISERROR(FIND(""arcass"",A81))=FALSE,MID(A81,FIND(""*"",A81)+1,FIND(""*"",A81,FIND(""*"",A81)+1)-FIND(""*"",A81)-1),IF(ISERROR(FIND(""End panel"",A81))=FALSE,RIGHT(A81,3),IF(OR(ISERROR(FIND(""drawer"",A81))=FALSE,ISERROR(FIND(""door"",A"&amp;"81))=FALSE,ISERROR(FIND(""shelf"",A81))=FALSE,ISERROR(FIND(""panel"",A81))=FALSE,ISERROR(FIND(""Plinth"",A81))=FALSE,ISERROR(FIND(""Cornice"",A81))=FALSE,ISERROR(FIND(""Fillers"",A81))=FALSE,ISERROR(FIND(""Pelmet"",A81))=FALSE,ISERROR(FIND(""Fireplace up "&amp;"to 1600"",A81))=FALSE),RIGHT(A81,LEN(A81)-LEN(regexextract(A81,"".* ""))),IF(ISERROR(FIND(""table"",A81))=FALSE,""560"",IF(ISERROR(FIND(""Office pod"",A81))=FALSE,""1600"",IF(ISERROR(FIND(""Fireplace over 1600"",A81))=FALSE,""2400"",IF(ISERROR(FIND(""Work"&amp;"top"",A81))=FALSE,""650"",""Whoops""))))))))"),"")</f>
        <v/>
      </c>
      <c r="D81" s="161" t="str">
        <f t="shared" si="2"/>
        <v/>
      </c>
      <c r="E81" s="152" t="str">
        <f>IF(OR(A81="",AND(ISERROR(FIND("drawer",A81))=FALSE,WardrobeDrawerType="")),"",IF(ISERROR(FIND("door",A81))=FALSE,IF(WardrobeDoorStyle="Flat",((B81/1000)*(C81/1000))*VLOOKUP(WardrobeDoorMaterial,SheetsData,8,0),IF(LEFT(WardrobeDoorStyle,5)="Panel",(((((B81/1000)*2)*0.08)+((((C81/1000)-0.16)*2)*0.08))*VLOOKUP("H/F (22mm)",SheetsData,8,0))+(((B81/1000)-0.14)*((C81/1000)-0.14)*VLOOKUP("H/F (9mm)",SheetsData,8,0)),IF(WardrobeDoorStyle="In-frame flat",((((((B81/1000)*0.019)*0.038)+((((C81-38)/1000)*0.038)*0.038))*2)*VLOOKUP("Tulip (solid m3)",SolidData,4,0))+(((B81-76)/1000)*((C81-38)/1000))*VLOOKUP("H/F (22mm)",SheetsData,8,0),IF(LEFT(WardrobeDoorStyle,14)="In-frame panel",(((((((B81/1000)*0.019)*0.038)+((((C81-38)/1000)*0.038)*0.038))*2)*VLOOKUP("Tulip (solid m3)",SolidData,4,0))+(((((((B81-76)/1000)*2)*0.08)+(((((C81-198)/1000)*2)*0.08)))*VLOOKUP("H/F (22mm)",SheetsData,8,0))+(((B81-216)/1000)*((C81-178)/1000)*VLOOKUP("H/F (9mm)",SheetsData,8,0)))))))),IF(AND(ISERROR(FIND("arcass",A81))=FALSE,ISERROR(FIND("ost corner",A81))=TRUE),IF(AND(VALUE(B81)&lt;1211,VALUE(C81)&lt;1211,VALUE(D81)&lt;606),1*VLOOKUP(WardrobeCarcassMaterial,SheetsData,5,FALSE),IF(AND(VALUE(B81)&lt;2421,VALUE(C81)&lt;2421,VALUE(D81)&lt;606),2*VLOOKUP(WardrobeCarcassMaterial,SheetsData,5,FALSE),IF(AND(VALUE(B81)&lt;2421,VALUE(C81)&lt;1211,VALUE(D81)&lt;1211),3*VLOOKUP(WardrobeCarcassMaterial,SheetsData,5,FALSE),IF(AND(VALUE(B81)&lt;2421,VALUE(C81)&lt;2421,VALUE(D81)&lt;1211),4*VLOOKUP(WardrobeCarcassMaterial,SheetsData,5,FALSE))))),IF(AND(ISERROR(FIND("arcass",A81))=FALSE,ISERROR(FIND("ost corner",A81))=FALSE),IF(AND(VALUE(B81)&lt;1211,VALUE(C81)&lt;1211,VALUE(D81)&lt;606),(1*VLOOKUP(WardrobeCarcassMaterial,SheetsData,5,FALSE))+(VLOOKUP("H/F (22mm)",SheetsData,7,FALSE)*1.44),IF(AND(VALUE(B81)&lt;2421,VALUE(C81)&lt;2421,VALUE(D81)&lt;606),(2*VLOOKUP(WardrobeCarcassMaterial,SheetsData,5,FALSE))+(VLOOKUP("H/F (22mm)",SheetsData,7,FALSE)*1.44),IF(AND(VALUE(B81)&lt;2421,VALUE(C81)&lt;1211,VALUE(D81)&lt;1211),(3*VLOOKUP(WardrobeCarcassMaterial,SheetsData,5,FALSE))+(VLOOKUP("H/F (22mm)",SheetsData,7,FALSE)*1.44),IF(AND(VALUE(B81)&lt;2421,VALUE(C81)&lt;2421,VALUE(D81)&lt;1211),(4*VLOOKUP(WardrobeCarcassMaterial,SheetsData,5,FALSE))+(VLOOKUP("H/F (22mm)",SheetsData,7,FALSE)*1.44))))),IF(ISERROR(FIND("drawer front",A81))=FALSE,((B81/1000)*(C81/1000))*VLOOKUP(WardrobeDoorMaterial,SheetsData,8,0),IF(AND(WardrobeDrawerType="Match carcass",ISERROR(FIND("drawer box",A81))=FALSE),(((((B81/1000)*(C81/1000))+((B81/1000)*(D81/1000)))*2)*VLOOKUP(WardrobeCarcassMaterial,SheetsData,8,0))+(((C81/1000)*(D81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box",A81))=FALSE),(((((B81/1000)*(C81/1000))+((B81/1000)*(D81/1000)))*2)*(16/1000)*VLOOKUP(LEFT(WardrobeCarcassMaterial,FIND(" ",WardrobeCarcassMaterial))&amp;"(solid m3)",SolidData,4,0))+(((C81/1000)*(D81/1000))*VLOOKUP(LEFT(WardrobeCarcassMaterial,FIND("(",WardrobeCarcassMaterial)-1)&amp;IF(OR(ISERROR(FIND("ply",WardrobeCarcassMaterial))=FALSE,ISERROR(FIND("H/F",WardrobeCarcassMaterial))=FALSE),"(9mm)","(10mm)"),SheetsData,8,0)),IF(ISERROR(FIND("shelf",A81))=FALSE,((C81/1000)*(D81/1000))*VLOOKUP(WardrobeCarcassMaterial,SheetsData,7,FALSE),IF(ISERROR(FIND("Office pod",A81))=FALSE,3*VLOOKUP(WardrobeCarcassMaterial,SheetsData,5,0),IF(ISERROR(FIND(" panel",A81))=FALSE,((B81/1000)*(C81/1000))*VLOOKUP(WardrobeDoorMaterial,SheetsData,8,0),IF(ISERROR(FIND("Fillers",A81))=FALSE,(((0.06*(C81/1000))*2)*VLOOKUP("H/F (18mm)",SheetsData,8,0))+(((0.06*(C81/1000))*2)*VLOOKUP("H/F (9mm)",SheetsData,8,0)),IF(ISERROR(FIND("Cornice (stacked)",A81))=FALSE,((0.08*(C81/1000))*2)*VLOOKUP("H/F (22mm)",SheetsData,8,0),IF(OR(ISERROR(FIND("Plinth",A81))=FALSE,ISERROR(FIND("Cornice (flat)",A81))=FALSE),((B81/1000)*(C81/1000))*VLOOKUP("H/F (18mm)",SheetsData,8,0),IF(ISERROR(FIND("Pelmet",A81))=FALSE,((((B81/1000)*(C81/1000))*2)*VLOOKUP("H/F (18mm)",SheetsData,8,0)),IF(ISERROR(FIND("Fireplace",A81))=FALSE,IF(ISERROR(FIND("over 1600",A81))=FALSE,2*VLOOKUP(WardrobeCarcassMaterial,SheetsData,5,FALSE),VLOOKUP(WardrobeCarcassMaterial,SheetsData,5,FALSE)),IF(ISERROR(FIND("table",A81))=FALSE,((B81/1000)*0.6)*VLOOKUP("Birch ply (24mm)",SheetsData,7,FALSE),IF(ISERROR(FIND("Worktop",A81))=FALSE,((B81/1000)*(C81/1000))*VLOOKUP(WardrobeDoorMaterial,SheetsData,7,FALSE),"Check formula")))))))))))))))))</f>
        <v/>
      </c>
      <c r="F81" s="152" t="str">
        <f>IFERROR(__xludf.DUMMYFUNCTION("IF(OR(A81="""",AND(ISERROR(FIND(""drawer box"",A81))=FALSE,WardrobeDrawerType=""Solid dovetail"")),"""",IF(ISERROR(FIND(""bins"",A81))=FALSE,VLOOKUP(""Base carcass 600"",Wardrobes_etcData,6,0),IF(OR(ISERROR(FIND(""larder"",A81))=FALSE,ISERROR(FIND(""unit"&amp;""",A81))=FALSE),VLOOKUP(LEFT(A81,FIND("" "",A81))&amp;""carcass ""&amp;RIGHT(A81,LEN(A81)-len(regexextract(A81,"".* ""))),Wardrobes_etcData,6,0),IF(ISERROR(FIND(""drawer front"",A81))=FALSE,IF(ISERROR(FIND(""veneer"",WardrobeCarcassMaterial))=TRUE,0,(((B81+C81)/1"&amp;"000)*2)*VLOOKUP(""Edge banding (per M)"",SheetsData,5,0)),IF(ISERROR(FIND(""drawer box"",A81))=FALSE,IF(ISERROR(FIND(""veneer"",WardrobeCarcassMaterial))=TRUE,0,(((C81+D81)/1000)*2)*VLOOKUP(""Edge banding (per M)"",SheetsData,5,0)),IF(ISERROR(FIND(""shelf"&amp;""",A81))=FALSE,IF(ISERROR(FIND(""veneer"",WardrobeCarcassMaterial))=TRUE,0,(C81/1000)*VLOOKUP(""Edge banding (per M)"",SheetsData,5,0)),IF(AND(OR(ISERROR(FIND(""arcass"",A81))=FALSE,ISERROR(FIND(""Fireplace"",A81))=FALSE),ISERROR(FIND(""shelf"",A81))=TRUE"&amp;"),IF(ISERROR(FIND(""veneer"",WardrobeCarcassMaterial))=TRUE,0,((2*(B81+C81))/1000)*VLOOKUP(""Edge banding (per M)"",SheetsData,5,0)),IF(ISERROR(FIND(""door"",A81))=TRUE,"""",IF(ISERROR(FIND(""veneer"",WardrobeDoorMaterial))=TRUE,"""",((2*(B81+C81))/1000)*"&amp;"VLOOKUP(""Edge banding (per M)"",SheetsData,5,0))))))))))"),"")</f>
        <v/>
      </c>
      <c r="G81" s="153" t="str">
        <f>IF(A81="","",IF(AND(ISERROR(FIND("arcass",A81))=TRUE,ISERROR(FIND("Fireplace",A81))=TRUE),"",IF(VALUE(C81)&lt;606,4*VLOOKUP("Plinth foot (2 Parts 80mm)",FurnitureData,5,FALSE),IF(VALUE(C81)&lt;1211,6*VLOOKUP("Plinth foot (2 Parts 80mm)",FurnitureData,5,FALSE),8*VLOOKUP("Plinth foot (2 Parts 80mm)",FurnitureData,5,FALSE)))))</f>
        <v/>
      </c>
      <c r="H81" s="115" t="str">
        <f>IF(OR(A81="",ISERROR(FIND("door",A81))=TRUE),"",VLOOKUP("Hinges &amp; plates (Hettich thick door)",FurnitureData,5,0)*5)</f>
        <v/>
      </c>
      <c r="I81" s="115" t="str">
        <f>IF(ISERROR(FIND("shelf",A81))=FALSE,(VLOOKUP("Shelf pegs",FurnitureData,5,0)/100)*4,"")</f>
        <v/>
      </c>
      <c r="J81" s="152" t="str">
        <f>IF(OR(ISERROR(FIND("fridge/freezer",A81))=FALSE,ISERROR(FIND("sink",A81))=FALSE,ISERROR(FIND("larder",A81))=FALSE),VLOOKUP("Deep shelf "&amp;C81,Wardrobes_etcData,18,0),IF(OR(ISERROR(FIND("single oven",A81))=FALSE,ISERROR(FIND("Base carcass",A81))=FALSE),2*VLOOKUP("Deep shelf "&amp;C81,Wardrobes_etcData,18,0),IF(AND(ISERROR(FIND("wall carcass",A81))=FALSE,ISERROR(FIND("Boiler",A81))=TRUE),2*VLOOKUP("Shallow shelf "&amp;C81,Wardrobes_etcData,18,0),IF(ISERROR(FIND("double oven",A81))=FALSE,3*VLOOKUP("Deep shelf "&amp;C81,Wardrobes_etcData,18,0),IF(ISERROR(FIND("Tower carcass",A81))=FALSE,6*VLOOKUP("Deep shelf "&amp;C81,Wardrobes_etcData,18,0),"")))))</f>
        <v/>
      </c>
      <c r="K81" s="152" t="str">
        <f>IF(ISERROR(FIND("sink",A81))=FALSE,VLOOKUP("Sink liner - Aluminium "&amp;RIGHT(A81,LEN(A81)-22)&amp;"mm",ExceptionalData,5,0),IF(ISERROR(FIND("bins",A81))=FALSE,VLOOKUP("Drawer runners and clip set for bin unit (500) Dynapro",FurnitureData,5,0)+(2*VLOOKUP("Bin (42L Anthracite)",FurnitureData,5,0)),IF(ISERROR(FIND("larder",A81))=FALSE,VLOOKUP("Pull out larder unit 600mm",FurnitureData,5,0),IF(AND(ISERROR(FIND("drawer box",A81))=FALSE,ISERROR(FIND("internal",A81))=TRUE),VLOOKUP("Drawer runners and clip set (550) Dynapro",FurnitureData,5,0),IF(ISERROR(FIND("internal drawer box",A81))=FALSE,VLOOKUP("Drawer runners and clip set (450) Dynapro",FurnitureData,5,0),IF(ISERROR(FIND("table",A81))=FALSE,VLOOKUP("Hairpin Leg (12mm Black "&amp;MID(A81,FIND("(",A81)+1,LEN(A81)-(FIND("(",A81))-1)&amp;"mm)",ExceptionalData,4,FALSE),""))))))</f>
        <v/>
      </c>
      <c r="L81" s="152" t="str">
        <f t="shared" si="3"/>
        <v/>
      </c>
      <c r="M81" s="154" t="str">
        <f>IF(A81="","",IF(AND(ISERROR(FIND("drawer front",A81))=FALSE,WardrobeDoorStyle="Flat"),(((B81/1000)*(C81/1000))*2)+((((B81+C81)/1000)*2)*0.022),IF(AND(ISERROR(FIND("drawer front",A81))=FALSE,LEFT(WardrobeDoorStyle,5)="Panel"),(((B81/1000)*(C81/1000))*2)+((((B81+C81)/1000)*2)*0.022)+((((C81/1000)-0.16)*0.013)*2)+((((D81/1000)-0.16)*0.013)*2),IF(AND(ISERROR(FIND("drawer front",A81))=FALSE,WardrobeDoorStyle="In-frame flat"),((((B81-76)/1000)*((C81-38)/1000))*2)+(MID(WardrobeDoorMaterial,FIND("(",WardrobeDoorMaterial)+1,2)/1000)*((((B81-76)+(C81-38))/1000)*2)+(((B81/1000)*0.032)*2)+((((B81-76)/1000)*0.032)*2)+(((B81/1000)*0.019)*4)+(((C81/1000)*0.032)*2)+((((C81-38)/1000)*0.032)*2)+(((C81/1000)*0.038)*4),IF(AND(ISERROR(FIND("drawer front",A81))=FALSE,LEFT(WardrobeDoorStyle,14)="In-frame panel"),((((B81-76)/1000)*((C81-38)/1000))*2)+((MID(WardrobeDoorMaterial,FIND("(",WardrobeDoorMaterial)+1,2)/1000)*((((B81-76)+(C81-38))/1000)*2))+((((B81-236)/1000)+((C81-198)/1000)*2)*0.013)+(((B81/1000)*0.032)*2)+((((B81-76)/1000)*0.032)*2)+(((B81/1000)*0.019)*4)+(((C81/1000)*0.032)*2)+((((C81-38)/1000)*0.032)*2)+(((C81/1000)*0.038)*4),IF(ISERROR(FIND("drawer box",A81))=FALSE,((((B81/1000)*(D81/1000))+((B81/1000)*(C81/1000)))*4)+((((D81/1000)+(C81/1000))*0.016)*4)+(((C81/1000)*(D81/1000))*2),IF(OR(ISERROR(FIND("shelf",A81))=FALSE,ISERROR(FIND("Filler panel",A81))=FALSE),(((C81/1000)*(D81/1000))*2)+((((C81+D81)*2)/1000)*0.022),IF(ISERROR(FIND("Fireplace",A81))=FALSE,((B81/1000)*(C81/1000)),IF(ISERROR(FIND("Worktop",A81))=FALSE,(B81/1000)*(C81/1000),IF(ISERROR(FIND("table",A81))=FALSE,(B81/1000)*0.6,IF(ISERROR(FIND("arcass",A81))=FALSE,(((C81/1000)*(D81/1000))*2)+(((B81/1000)*(D81/1000))*2)+((B81/1000)*(C81/1000))+((((B81/1000)*0.025)+((C81/1000)*0.025))*2),IF(AND(ISERROR(FIND("door",A81))=FALSE,WardrobeDoorStyle="Flat"),(((B81/1000)*(C81/1000))*2)+(MID(WardrobeDoorMaterial,FIND("(",WardrobeDoorMaterial)+1,2)/1000)*(((B81+C81)/1000)*2),IF(AND(ISERROR(FIND("door",A81))=FALSE,LEFT(WardrobeDoorStyle,5)="Panel"),(((B81/1000)*(C81/1000))*2)+((MID(WardrobeDoorMaterial,FIND("(",WardrobeDoorMaterial)+1,2)/1000)*(((B81+C81)/1000)*2))+(((((B81-160)+(C81-160))*2)/1000)*(0.013)),IF(AND(ISERROR(FIND("door",A81))=FALSE,WardrobeDoorStyle="In-frame flat"),((((B81-76)/1000)*((C81-38)/1000))*2)+(MID(WardrobeDoorMaterial,FIND("(",WardrobeDoorMaterial)+1,2)/1000)*((((B81-76)+(C81-38))/1000)*2)+(((B81/1000)*0.032)*2)+((((B81-76)/1000)*0.032)*2)+(((B81/1000)*0.019)*4)+(((C81/1000)*0.032)*2)+((((C81-38)/1000)*0.032)*2)+(((C81/1000)*0.038)*4),IF(AND(ISERROR(FIND("door",A81))=FALSE,LEFT(WardrobeDoorStyle,14)="In-frame panel"),((((B81-76)/1000)*((C81-38)/1000))*2)+((MID(WardrobeDoorMaterial,FIND("(",WardrobeDoorMaterial)+1,2)/1000)*((((B81-76)+(C81-38))/1000)*2))+((((B81-236)/1000)+((C81-198)/1000)*2)*0.013)+(((B81/1000)*0.032)*2)+((((B81-76)/1000)*0.032)*2)+(((B81/1000)*0.019)*4)+(((C81/1000)*0.032)*2)+((((C81-38)/1000)*0.032)*2)+(((C81/1000)*0.038)*4),IF(ISERROR(FIND("Plinth",A81))=FALSE,((B81/1000)*(C81/1000))+(((C81/1000)*0.018)*2)+(((B81/1000)*0.018)*2),IF(ISERROR(FIND("Cornice",A81))=FALSE,(((C81/1000)*0.1)*2)+(((C81/1000)*0.044)*2)+(((B81/1000)*0.08)*2),IF(ISERROR(FIND("Office pod",A81))=FALSE,((2400/1000)*(1200/1000))*6,IF(ISERROR(FIND("panel",A81))=FALSE,((B81/1000)*(C81/1000))+(0.022*((B81/1000)+((C81/1000)*2)))+((B81/1000)*0.05),IF(ISERROR(FIND("Fillers",A81))=FALSE,((C81/1000)*0.06)+((C81/1000)*0.069)+((0.06*0.018)*2)+((0.06*0.009)*2)+((C81/1000)*0.009)+((C81/1000)*0.018),IF(ISERROR(FIND("Pelmet",A81))=FALSE,((C81/1000)*0.05)+((C81/1000)*0.068)+((0.05*0.018)*4)+(((C81/1000)*0.018))*2)))))))))))))))))))))</f>
        <v/>
      </c>
      <c r="N81" s="152" t="str">
        <f>IF(M81="","",IF(AND(ISERROR(FIND("carcass",A81))=TRUE,ISERROR(FIND("unit",A81))=TRUE,ISERROR(FIND("insert",A81))=TRUE,ISERROR(FIND("rack",A81))=TRUE,ISERROR(FIND("box",A81))=TRUE,ISERROR(FIND("shelf",A81))=TRUE),VLOOKUP(WardrobeDoorFinish,Finishing!$A$2:$K$10,9,0)*M81,IF(ISERROR(FIND("table",A81))=FALSE,VLOOKUP("Sayerlack AF0072 Interior Clear Self-Sealer",FinishingData,9,FALSE)*M81,VLOOKUP(WardrobeCarcassFinish,Finishing!$A$2:$K$40,9,0)*M81)))</f>
        <v/>
      </c>
      <c r="O81" s="159"/>
      <c r="P81" s="159"/>
      <c r="Q81" s="152" t="str">
        <f>IF(OR(O81="",P81=""),"",((O81*X81)*(VLOOKUP("Workshop",Labour!$A$3:$E$20,4,0)/8))+((P81*AE81)*(VLOOKUP("Finishing",Labour!$A$3:$E$20,4,0)/8)))</f>
        <v/>
      </c>
      <c r="R81" s="152" t="str">
        <f t="shared" si="4"/>
        <v/>
      </c>
      <c r="S81" s="156" t="str">
        <f>IF(OR(O81="",P81=""),"",IF(OR(ISERROR(FIND("carcass",$A81))=FALSE,ISERROR(FIND("unit",$A81))=FALSE),VLOOKUP(WardrobeCarcassMaterial,FixedListsCarcassMaterial,2,0),0))</f>
        <v/>
      </c>
      <c r="T81" s="156" t="str">
        <f>IF(OR(O81="",P81=""),"",IF(ISERROR(FIND("door",$A81))=FALSE,VLOOKUP(WardrobeDoorStyle,FixedListsDoorStyle,2,0),0))</f>
        <v/>
      </c>
      <c r="U81" s="156" t="str">
        <f>IF(OR(O81="",P81=""),"",IF(ISERROR(FIND("door",$A81))=FALSE,VLOOKUP(WardrobeDoorMaterial,FixedListsDoorMaterial,2,0),0))</f>
        <v/>
      </c>
      <c r="V81" s="156" t="str">
        <f>IF(OR(O81="",P81=""),"",IF(ISERROR(FIND("drawer",$A81))=FALSE,VLOOKUP(WardrobeDrawerType,FixedListsDrawerType,2,0),0))</f>
        <v/>
      </c>
      <c r="W81" s="156" t="str">
        <f>IF(OR(O81="",P81=""),"",IF(S81&gt;0,VLOOKUP(WardrobeHandleType,FixedListsHandleType,2,FALSE),0))</f>
        <v/>
      </c>
      <c r="X81" s="156" t="str">
        <f t="shared" si="5"/>
        <v/>
      </c>
      <c r="Y81" s="156" t="str">
        <f>IF(OR(O81="",P81=""),"",IF(OR(ISERROR(FIND("carcass",$A81))=FALSE,ISERROR(FIND("unit",$A81))=FALSE),VLOOKUP(WardrobeCarcassMaterial,FixedListsCarcassMaterial,3,0),0))</f>
        <v/>
      </c>
      <c r="Z81" s="156" t="str">
        <f>IF(OR(O81="",P81=""),"",IF(ISERROR(FIND("door",$A81))=FALSE,VLOOKUP(WardrobeDoorStyle,FixedListsDoorStyle,3,0),0))</f>
        <v/>
      </c>
      <c r="AA81" s="156" t="str">
        <f>IF(OR(O81="",P81=""),"",IF(ISERROR(FIND("door",$A81))=FALSE,VLOOKUP(WardrobeDoorMaterial,FixedListsDoorMaterial,3,0),0))</f>
        <v/>
      </c>
      <c r="AB81" s="156" t="str">
        <f>IF(OR(O81="",P81=""),"",IF(ISERROR(FIND("drawer",$A81))=FALSE,VLOOKUP(WardrobeDrawerType,FixedListsDrawerType,3,0),0))</f>
        <v/>
      </c>
      <c r="AC81" s="156" t="str">
        <f>IF(OR(O81="",P81=""),"",IF(S81&gt;0,VLOOKUP(WardrobeHandleType,FixedListsHandleType,3,FALSE),0))</f>
        <v/>
      </c>
      <c r="AD81" s="156" t="str">
        <f>IF(OR(O81="",P81=""),"",IF(OR(ISERROR(FIND("carcass",$A81))=FALSE,ISERROR(FIND("unit",$A81))=FALSE),VLOOKUP(WardrobeCarcassFinish,FixedListsFinishes,3,0),IF(OR(ISERROR(FIND("door",$A81))=FALSE,ISERROR(FIND("Plinth",$A81))=FALSE,ISERROR(FIND("Cornice",$A81))=FALSE,ISERROR(FIND("Fillers",$A81))=FALSE,ISERROR(FIND("Pelmet",$A81))=FALSE,ISERROR(FIND("panel",$A81))=FALSE,ISERROR(FIND("post",$A81))=FALSE),VLOOKUP(WardrobeDoorFinish,FixedListsFinishes,3,0),IF(OR(ISERROR(FIND("drawer",$A81))=FALSE,ISERROR(FIND("insert",$A81))=FALSE,ISERROR(FIND("rck",$A81))=FALSE),VLOOKUP(WardrobeCarcassFinish,FixedListsFinishes,3,0),0))))</f>
        <v/>
      </c>
      <c r="AE81" s="156" t="str">
        <f t="shared" si="6"/>
        <v/>
      </c>
      <c r="AF81" s="157" t="str">
        <f>IF(AND(WardrobeHandleType="Channel",OR(ISERROR(FIND("arcass",$A81))=FALSE,ISERROR(FIND("unit",$A81))=FALSE)),IF(ISERROR(FIND("Tower",$A81))=TRUE,IF(WardrobeHandleFinish="Match carcass",IF(ISERROR(FIND("Walnut",WardrobeCarcassMaterial))=FALSE,(0.035*0.075*($C81/1000))*VLOOKUP("Walnut (solid m3)",SolidData,4,FALSE),IF(ISERROR(FIND("Oak",WardrobeCarcassMaterial))=FALSE,(0.035*0.075*($C81/1000))*VLOOKUP("Oak (solid m3)",SolidData,4,FALSE),IF(ISERROR(FIND("ply",WardrobeCarcassMaterial))=FALSE,(0.1*($C81/1000))*VLOOKUP("Birch ply (24mm)",SheetsData,7,FALSE),IF(ISERROR(FIND("H/F",WardrobeCarcassMaterial))=FALSE,(0.1*($C81/1000))*VLOOKUP("H/F (22mm)",SheetsData,7,FALSE),"Carcass - not tower - new material")))),IF(WardrobeHandleFinish="Match door",IF(ISERROR(FIND("Walnut",WardrobeDoorMaterial))=FALSE,(0.035*0.075*($C81/1000))*VLOOKUP("Walnut (solid m3)",SolidData,4,FALSE),IF(ISERROR(FIND("Oak",WardrobeDoorMaterial))=FALSE,(0.035*0.075*($C81/1000))*VLOOKUP("Oak (solid m3)",SolidData,4,FALSE),IF(ISERROR(FIND("ply",WardrobeDoorMaterial))=FALSE,(0.1*($C81/1000))*VLOOKUP("Birch ply (24mm)",SheetsData,7,FALSE),IF(ISERROR(FIND("H/F",WardrobeCarcassMaterial))=FALSE,(0.1*($C81/1000))*VLOOKUP("H/F (22mm)",SheetsData,7,FALSE),"Door - not tower - new material")))),"Channel - not tower - handle set to other")),IF(ISERROR(FIND("Tower",$A81))=FALSE,IF(WardrobeHandleFinish="Match carcass",IF(ISERROR(FIND("Walnut",WardrobeCarcassMaterial))=FALSE,(0.035*0.075*($B81/1000))*VLOOKUP("Walnut (solid m3)",SolidData,4,FALSE),IF(ISERROR(FIND("Oak",WardrobeCarcassMaterial))=FALSE,(0.035*0.075*($B81/1000))*VLOOKUP("Oak (solid m3)",SolidData,4,FALSE),IF(ISERROR(FIND("ply",WardrobeCarcassMaterial))=FALSE,(0.1*($B81/1000))*VLOOKUP("Birch ply (24mm)",SheetsData,7,FALSE),IF(ISERROR(FIND("H/F",WardrobeCarcassMaterial))=FALSE,(0.1*($C81/1000))*VLOOKUP("H/F (22mm)",SheetsData,7,FALSE),"Carcass - tower - new material")))),IF(WardrobeHandleFinish="Match door",IF(ISERROR(FIND("Walnut",WardrobeDoorMaterial))=FALSE,(0.035*0.075*($B81/1000))*VLOOKUP("Walnut (solid m3)",SolidData,4,FALSE),IF(ISERROR(FIND("Oak",WardrobeDoorMaterial))=FALSE,(0.035*0.075*($B81/1000))*VLOOKUP("Oak (solid m3)",SolidData,4,FALSE),IF(ISERROR(FIND("ply",WardrobeDoorMaterial))=FALSE,(0.1*($B81/1000))*VLOOKUP("Birch ply (24mm)",SheetData,7,FALSE),IF(ISERROR(FIND("H/F",WardrobeCarcassMaterial))=FALSE,(0.1*($C81/1000))*VLOOKUP("H/F (22mm)",SheetsData,7,FALSE),"Door - tower - new material")))),"Channel - tower - handle set to other")))),"")</f>
        <v/>
      </c>
    </row>
    <row r="82">
      <c r="A82" s="150"/>
      <c r="B82" s="160" t="str">
        <f t="shared" si="1"/>
        <v/>
      </c>
      <c r="C82" s="160" t="str">
        <f>IFERROR(__xludf.DUMMYFUNCTION("IF(A82="""","""",IF(ISERROR(FIND(""arcass"",A82))=FALSE,MID(A82,FIND(""*"",A82)+1,FIND(""*"",A82,FIND(""*"",A82)+1)-FIND(""*"",A82)-1),IF(ISERROR(FIND(""End panel"",A82))=FALSE,RIGHT(A82,3),IF(OR(ISERROR(FIND(""drawer"",A82))=FALSE,ISERROR(FIND(""door"",A"&amp;"82))=FALSE,ISERROR(FIND(""shelf"",A82))=FALSE,ISERROR(FIND(""panel"",A82))=FALSE,ISERROR(FIND(""Plinth"",A82))=FALSE,ISERROR(FIND(""Cornice"",A82))=FALSE,ISERROR(FIND(""Fillers"",A82))=FALSE,ISERROR(FIND(""Pelmet"",A82))=FALSE,ISERROR(FIND(""Fireplace up "&amp;"to 1600"",A82))=FALSE),RIGHT(A82,LEN(A82)-LEN(regexextract(A82,"".* ""))),IF(ISERROR(FIND(""table"",A82))=FALSE,""560"",IF(ISERROR(FIND(""Office pod"",A82))=FALSE,""1600"",IF(ISERROR(FIND(""Fireplace over 1600"",A82))=FALSE,""2400"",IF(ISERROR(FIND(""Work"&amp;"top"",A82))=FALSE,""650"",""Whoops""))))))))"),"")</f>
        <v/>
      </c>
      <c r="D82" s="161" t="str">
        <f t="shared" si="2"/>
        <v/>
      </c>
      <c r="E82" s="152" t="str">
        <f>IF(OR(A82="",AND(ISERROR(FIND("drawer",A82))=FALSE,WardrobeDrawerType="")),"",IF(ISERROR(FIND("door",A82))=FALSE,IF(WardrobeDoorStyle="Flat",((B82/1000)*(C82/1000))*VLOOKUP(WardrobeDoorMaterial,SheetsData,8,0),IF(LEFT(WardrobeDoorStyle,5)="Panel",(((((B82/1000)*2)*0.08)+((((C82/1000)-0.16)*2)*0.08))*VLOOKUP("H/F (22mm)",SheetsData,8,0))+(((B82/1000)-0.14)*((C82/1000)-0.14)*VLOOKUP("H/F (9mm)",SheetsData,8,0)),IF(WardrobeDoorStyle="In-frame flat",((((((B82/1000)*0.019)*0.038)+((((C82-38)/1000)*0.038)*0.038))*2)*VLOOKUP("Tulip (solid m3)",SolidData,4,0))+(((B82-76)/1000)*((C82-38)/1000))*VLOOKUP("H/F (22mm)",SheetsData,8,0),IF(LEFT(WardrobeDoorStyle,14)="In-frame panel",(((((((B82/1000)*0.019)*0.038)+((((C82-38)/1000)*0.038)*0.038))*2)*VLOOKUP("Tulip (solid m3)",SolidData,4,0))+(((((((B82-76)/1000)*2)*0.08)+(((((C82-198)/1000)*2)*0.08)))*VLOOKUP("H/F (22mm)",SheetsData,8,0))+(((B82-216)/1000)*((C82-178)/1000)*VLOOKUP("H/F (9mm)",SheetsData,8,0)))))))),IF(AND(ISERROR(FIND("arcass",A82))=FALSE,ISERROR(FIND("ost corner",A82))=TRUE),IF(AND(VALUE(B82)&lt;1211,VALUE(C82)&lt;1211,VALUE(D82)&lt;606),1*VLOOKUP(WardrobeCarcassMaterial,SheetsData,5,FALSE),IF(AND(VALUE(B82)&lt;2421,VALUE(C82)&lt;2421,VALUE(D82)&lt;606),2*VLOOKUP(WardrobeCarcassMaterial,SheetsData,5,FALSE),IF(AND(VALUE(B82)&lt;2421,VALUE(C82)&lt;1211,VALUE(D82)&lt;1211),3*VLOOKUP(WardrobeCarcassMaterial,SheetsData,5,FALSE),IF(AND(VALUE(B82)&lt;2421,VALUE(C82)&lt;2421,VALUE(D82)&lt;1211),4*VLOOKUP(WardrobeCarcassMaterial,SheetsData,5,FALSE))))),IF(AND(ISERROR(FIND("arcass",A82))=FALSE,ISERROR(FIND("ost corner",A82))=FALSE),IF(AND(VALUE(B82)&lt;1211,VALUE(C82)&lt;1211,VALUE(D82)&lt;606),(1*VLOOKUP(WardrobeCarcassMaterial,SheetsData,5,FALSE))+(VLOOKUP("H/F (22mm)",SheetsData,7,FALSE)*1.44),IF(AND(VALUE(B82)&lt;2421,VALUE(C82)&lt;2421,VALUE(D82)&lt;606),(2*VLOOKUP(WardrobeCarcassMaterial,SheetsData,5,FALSE))+(VLOOKUP("H/F (22mm)",SheetsData,7,FALSE)*1.44),IF(AND(VALUE(B82)&lt;2421,VALUE(C82)&lt;1211,VALUE(D82)&lt;1211),(3*VLOOKUP(WardrobeCarcassMaterial,SheetsData,5,FALSE))+(VLOOKUP("H/F (22mm)",SheetsData,7,FALSE)*1.44),IF(AND(VALUE(B82)&lt;2421,VALUE(C82)&lt;2421,VALUE(D82)&lt;1211),(4*VLOOKUP(WardrobeCarcassMaterial,SheetsData,5,FALSE))+(VLOOKUP("H/F (22mm)",SheetsData,7,FALSE)*1.44))))),IF(ISERROR(FIND("drawer front",A82))=FALSE,((B82/1000)*(C82/1000))*VLOOKUP(WardrobeDoorMaterial,SheetsData,8,0),IF(AND(WardrobeDrawerType="Match carcass",ISERROR(FIND("drawer box",A82))=FALSE),(((((B82/1000)*(C82/1000))+((B82/1000)*(D82/1000)))*2)*VLOOKUP(WardrobeCarcassMaterial,SheetsData,8,0))+(((C82/1000)*(D82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box",A82))=FALSE),(((((B82/1000)*(C82/1000))+((B82/1000)*(D82/1000)))*2)*(16/1000)*VLOOKUP(LEFT(WardrobeCarcassMaterial,FIND(" ",WardrobeCarcassMaterial))&amp;"(solid m3)",SolidData,4,0))+(((C82/1000)*(D82/1000))*VLOOKUP(LEFT(WardrobeCarcassMaterial,FIND("(",WardrobeCarcassMaterial)-1)&amp;IF(OR(ISERROR(FIND("ply",WardrobeCarcassMaterial))=FALSE,ISERROR(FIND("H/F",WardrobeCarcassMaterial))=FALSE),"(9mm)","(10mm)"),SheetsData,8,0)),IF(ISERROR(FIND("shelf",A82))=FALSE,((C82/1000)*(D82/1000))*VLOOKUP(WardrobeCarcassMaterial,SheetsData,7,FALSE),IF(ISERROR(FIND("Office pod",A82))=FALSE,3*VLOOKUP(WardrobeCarcassMaterial,SheetsData,5,0),IF(ISERROR(FIND(" panel",A82))=FALSE,((B82/1000)*(C82/1000))*VLOOKUP(WardrobeDoorMaterial,SheetsData,8,0),IF(ISERROR(FIND("Fillers",A82))=FALSE,(((0.06*(C82/1000))*2)*VLOOKUP("H/F (18mm)",SheetsData,8,0))+(((0.06*(C82/1000))*2)*VLOOKUP("H/F (9mm)",SheetsData,8,0)),IF(ISERROR(FIND("Cornice (stacked)",A82))=FALSE,((0.08*(C82/1000))*2)*VLOOKUP("H/F (22mm)",SheetsData,8,0),IF(OR(ISERROR(FIND("Plinth",A82))=FALSE,ISERROR(FIND("Cornice (flat)",A82))=FALSE),((B82/1000)*(C82/1000))*VLOOKUP("H/F (18mm)",SheetsData,8,0),IF(ISERROR(FIND("Pelmet",A82))=FALSE,((((B82/1000)*(C82/1000))*2)*VLOOKUP("H/F (18mm)",SheetsData,8,0)),IF(ISERROR(FIND("Fireplace",A82))=FALSE,IF(ISERROR(FIND("over 1600",A82))=FALSE,2*VLOOKUP(WardrobeCarcassMaterial,SheetsData,5,FALSE),VLOOKUP(WardrobeCarcassMaterial,SheetsData,5,FALSE)),IF(ISERROR(FIND("table",A82))=FALSE,((B82/1000)*0.6)*VLOOKUP("Birch ply (24mm)",SheetsData,7,FALSE),IF(ISERROR(FIND("Worktop",A82))=FALSE,((B82/1000)*(C82/1000))*VLOOKUP(WardrobeDoorMaterial,SheetsData,7,FALSE),"Check formula")))))))))))))))))</f>
        <v/>
      </c>
      <c r="F82" s="152" t="str">
        <f>IFERROR(__xludf.DUMMYFUNCTION("IF(OR(A82="""",AND(ISERROR(FIND(""drawer box"",A82))=FALSE,WardrobeDrawerType=""Solid dovetail"")),"""",IF(ISERROR(FIND(""bins"",A82))=FALSE,VLOOKUP(""Base carcass 600"",Wardrobes_etcData,6,0),IF(OR(ISERROR(FIND(""larder"",A82))=FALSE,ISERROR(FIND(""unit"&amp;""",A82))=FALSE),VLOOKUP(LEFT(A82,FIND("" "",A82))&amp;""carcass ""&amp;RIGHT(A82,LEN(A82)-len(regexextract(A82,"".* ""))),Wardrobes_etcData,6,0),IF(ISERROR(FIND(""drawer front"",A82))=FALSE,IF(ISERROR(FIND(""veneer"",WardrobeCarcassMaterial))=TRUE,0,(((B82+C82)/1"&amp;"000)*2)*VLOOKUP(""Edge banding (per M)"",SheetsData,5,0)),IF(ISERROR(FIND(""drawer box"",A82))=FALSE,IF(ISERROR(FIND(""veneer"",WardrobeCarcassMaterial))=TRUE,0,(((C82+D82)/1000)*2)*VLOOKUP(""Edge banding (per M)"",SheetsData,5,0)),IF(ISERROR(FIND(""shelf"&amp;""",A82))=FALSE,IF(ISERROR(FIND(""veneer"",WardrobeCarcassMaterial))=TRUE,0,(C82/1000)*VLOOKUP(""Edge banding (per M)"",SheetsData,5,0)),IF(AND(OR(ISERROR(FIND(""arcass"",A82))=FALSE,ISERROR(FIND(""Fireplace"",A82))=FALSE),ISERROR(FIND(""shelf"",A82))=TRUE"&amp;"),IF(ISERROR(FIND(""veneer"",WardrobeCarcassMaterial))=TRUE,0,((2*(B82+C82))/1000)*VLOOKUP(""Edge banding (per M)"",SheetsData,5,0)),IF(ISERROR(FIND(""door"",A82))=TRUE,"""",IF(ISERROR(FIND(""veneer"",WardrobeDoorMaterial))=TRUE,"""",((2*(B82+C82))/1000)*"&amp;"VLOOKUP(""Edge banding (per M)"",SheetsData,5,0))))))))))"),"")</f>
        <v/>
      </c>
      <c r="G82" s="153" t="str">
        <f>IF(A82="","",IF(AND(ISERROR(FIND("arcass",A82))=TRUE,ISERROR(FIND("Fireplace",A82))=TRUE),"",IF(VALUE(C82)&lt;606,4*VLOOKUP("Plinth foot (2 Parts 80mm)",FurnitureData,5,FALSE),IF(VALUE(C82)&lt;1211,6*VLOOKUP("Plinth foot (2 Parts 80mm)",FurnitureData,5,FALSE),8*VLOOKUP("Plinth foot (2 Parts 80mm)",FurnitureData,5,FALSE)))))</f>
        <v/>
      </c>
      <c r="H82" s="115" t="str">
        <f>IF(OR(A82="",ISERROR(FIND("door",A82))=TRUE),"",VLOOKUP("Hinges &amp; plates (Hettich thick door)",FurnitureData,5,0)*5)</f>
        <v/>
      </c>
      <c r="I82" s="115" t="str">
        <f>IF(ISERROR(FIND("shelf",A82))=FALSE,(VLOOKUP("Shelf pegs",FurnitureData,5,0)/100)*4,"")</f>
        <v/>
      </c>
      <c r="J82" s="152" t="str">
        <f>IF(OR(ISERROR(FIND("fridge/freezer",A82))=FALSE,ISERROR(FIND("sink",A82))=FALSE,ISERROR(FIND("larder",A82))=FALSE),VLOOKUP("Deep shelf "&amp;C82,Wardrobes_etcData,18,0),IF(OR(ISERROR(FIND("single oven",A82))=FALSE,ISERROR(FIND("Base carcass",A82))=FALSE),2*VLOOKUP("Deep shelf "&amp;C82,Wardrobes_etcData,18,0),IF(AND(ISERROR(FIND("wall carcass",A82))=FALSE,ISERROR(FIND("Boiler",A82))=TRUE),2*VLOOKUP("Shallow shelf "&amp;C82,Wardrobes_etcData,18,0),IF(ISERROR(FIND("double oven",A82))=FALSE,3*VLOOKUP("Deep shelf "&amp;C82,Wardrobes_etcData,18,0),IF(ISERROR(FIND("Tower carcass",A82))=FALSE,6*VLOOKUP("Deep shelf "&amp;C82,Wardrobes_etcData,18,0),"")))))</f>
        <v/>
      </c>
      <c r="K82" s="152" t="str">
        <f>IF(ISERROR(FIND("sink",A82))=FALSE,VLOOKUP("Sink liner - Aluminium "&amp;RIGHT(A82,LEN(A82)-22)&amp;"mm",ExceptionalData,5,0),IF(ISERROR(FIND("bins",A82))=FALSE,VLOOKUP("Drawer runners and clip set for bin unit (500) Dynapro",FurnitureData,5,0)+(2*VLOOKUP("Bin (42L Anthracite)",FurnitureData,5,0)),IF(ISERROR(FIND("larder",A82))=FALSE,VLOOKUP("Pull out larder unit 600mm",FurnitureData,5,0),IF(AND(ISERROR(FIND("drawer box",A82))=FALSE,ISERROR(FIND("internal",A82))=TRUE),VLOOKUP("Drawer runners and clip set (550) Dynapro",FurnitureData,5,0),IF(ISERROR(FIND("internal drawer box",A82))=FALSE,VLOOKUP("Drawer runners and clip set (450) Dynapro",FurnitureData,5,0),IF(ISERROR(FIND("table",A82))=FALSE,VLOOKUP("Hairpin Leg (12mm Black "&amp;MID(A82,FIND("(",A82)+1,LEN(A82)-(FIND("(",A82))-1)&amp;"mm)",ExceptionalData,4,FALSE),""))))))</f>
        <v/>
      </c>
      <c r="L82" s="152" t="str">
        <f t="shared" si="3"/>
        <v/>
      </c>
      <c r="M82" s="154" t="str">
        <f>IF(A82="","",IF(AND(ISERROR(FIND("drawer front",A82))=FALSE,WardrobeDoorStyle="Flat"),(((B82/1000)*(C82/1000))*2)+((((B82+C82)/1000)*2)*0.022),IF(AND(ISERROR(FIND("drawer front",A82))=FALSE,LEFT(WardrobeDoorStyle,5)="Panel"),(((B82/1000)*(C82/1000))*2)+((((B82+C82)/1000)*2)*0.022)+((((C82/1000)-0.16)*0.013)*2)+((((D82/1000)-0.16)*0.013)*2),IF(AND(ISERROR(FIND("drawer front",A82))=FALSE,WardrobeDoorStyle="In-frame flat"),((((B82-76)/1000)*((C82-38)/1000))*2)+(MID(WardrobeDoorMaterial,FIND("(",WardrobeDoorMaterial)+1,2)/1000)*((((B82-76)+(C82-38))/1000)*2)+(((B82/1000)*0.032)*2)+((((B82-76)/1000)*0.032)*2)+(((B82/1000)*0.019)*4)+(((C82/1000)*0.032)*2)+((((C82-38)/1000)*0.032)*2)+(((C82/1000)*0.038)*4),IF(AND(ISERROR(FIND("drawer front",A82))=FALSE,LEFT(WardrobeDoorStyle,14)="In-frame panel"),((((B82-76)/1000)*((C82-38)/1000))*2)+((MID(WardrobeDoorMaterial,FIND("(",WardrobeDoorMaterial)+1,2)/1000)*((((B82-76)+(C82-38))/1000)*2))+((((B82-236)/1000)+((C82-198)/1000)*2)*0.013)+(((B82/1000)*0.032)*2)+((((B82-76)/1000)*0.032)*2)+(((B82/1000)*0.019)*4)+(((C82/1000)*0.032)*2)+((((C82-38)/1000)*0.032)*2)+(((C82/1000)*0.038)*4),IF(ISERROR(FIND("drawer box",A82))=FALSE,((((B82/1000)*(D82/1000))+((B82/1000)*(C82/1000)))*4)+((((D82/1000)+(C82/1000))*0.016)*4)+(((C82/1000)*(D82/1000))*2),IF(OR(ISERROR(FIND("shelf",A82))=FALSE,ISERROR(FIND("Filler panel",A82))=FALSE),(((C82/1000)*(D82/1000))*2)+((((C82+D82)*2)/1000)*0.022),IF(ISERROR(FIND("Fireplace",A82))=FALSE,((B82/1000)*(C82/1000)),IF(ISERROR(FIND("Worktop",A82))=FALSE,(B82/1000)*(C82/1000),IF(ISERROR(FIND("table",A82))=FALSE,(B82/1000)*0.6,IF(ISERROR(FIND("arcass",A82))=FALSE,(((C82/1000)*(D82/1000))*2)+(((B82/1000)*(D82/1000))*2)+((B82/1000)*(C82/1000))+((((B82/1000)*0.025)+((C82/1000)*0.025))*2),IF(AND(ISERROR(FIND("door",A82))=FALSE,WardrobeDoorStyle="Flat"),(((B82/1000)*(C82/1000))*2)+(MID(WardrobeDoorMaterial,FIND("(",WardrobeDoorMaterial)+1,2)/1000)*(((B82+C82)/1000)*2),IF(AND(ISERROR(FIND("door",A82))=FALSE,LEFT(WardrobeDoorStyle,5)="Panel"),(((B82/1000)*(C82/1000))*2)+((MID(WardrobeDoorMaterial,FIND("(",WardrobeDoorMaterial)+1,2)/1000)*(((B82+C82)/1000)*2))+(((((B82-160)+(C82-160))*2)/1000)*(0.013)),IF(AND(ISERROR(FIND("door",A82))=FALSE,WardrobeDoorStyle="In-frame flat"),((((B82-76)/1000)*((C82-38)/1000))*2)+(MID(WardrobeDoorMaterial,FIND("(",WardrobeDoorMaterial)+1,2)/1000)*((((B82-76)+(C82-38))/1000)*2)+(((B82/1000)*0.032)*2)+((((B82-76)/1000)*0.032)*2)+(((B82/1000)*0.019)*4)+(((C82/1000)*0.032)*2)+((((C82-38)/1000)*0.032)*2)+(((C82/1000)*0.038)*4),IF(AND(ISERROR(FIND("door",A82))=FALSE,LEFT(WardrobeDoorStyle,14)="In-frame panel"),((((B82-76)/1000)*((C82-38)/1000))*2)+((MID(WardrobeDoorMaterial,FIND("(",WardrobeDoorMaterial)+1,2)/1000)*((((B82-76)+(C82-38))/1000)*2))+((((B82-236)/1000)+((C82-198)/1000)*2)*0.013)+(((B82/1000)*0.032)*2)+((((B82-76)/1000)*0.032)*2)+(((B82/1000)*0.019)*4)+(((C82/1000)*0.032)*2)+((((C82-38)/1000)*0.032)*2)+(((C82/1000)*0.038)*4),IF(ISERROR(FIND("Plinth",A82))=FALSE,((B82/1000)*(C82/1000))+(((C82/1000)*0.018)*2)+(((B82/1000)*0.018)*2),IF(ISERROR(FIND("Cornice",A82))=FALSE,(((C82/1000)*0.1)*2)+(((C82/1000)*0.044)*2)+(((B82/1000)*0.08)*2),IF(ISERROR(FIND("Office pod",A82))=FALSE,((2400/1000)*(1200/1000))*6,IF(ISERROR(FIND("panel",A82))=FALSE,((B82/1000)*(C82/1000))+(0.022*((B82/1000)+((C82/1000)*2)))+((B82/1000)*0.05),IF(ISERROR(FIND("Fillers",A82))=FALSE,((C82/1000)*0.06)+((C82/1000)*0.069)+((0.06*0.018)*2)+((0.06*0.009)*2)+((C82/1000)*0.009)+((C82/1000)*0.018),IF(ISERROR(FIND("Pelmet",A82))=FALSE,((C82/1000)*0.05)+((C82/1000)*0.068)+((0.05*0.018)*4)+(((C82/1000)*0.018))*2)))))))))))))))))))))</f>
        <v/>
      </c>
      <c r="N82" s="152" t="str">
        <f>IF(M82="","",IF(AND(ISERROR(FIND("carcass",A82))=TRUE,ISERROR(FIND("unit",A82))=TRUE,ISERROR(FIND("insert",A82))=TRUE,ISERROR(FIND("rack",A82))=TRUE,ISERROR(FIND("box",A82))=TRUE,ISERROR(FIND("shelf",A82))=TRUE),VLOOKUP(WardrobeDoorFinish,Finishing!$A$2:$K$10,9,0)*M82,IF(ISERROR(FIND("table",A82))=FALSE,VLOOKUP("Sayerlack AF0072 Interior Clear Self-Sealer",FinishingData,9,FALSE)*M82,VLOOKUP(WardrobeCarcassFinish,Finishing!$A$2:$K$40,9,0)*M82)))</f>
        <v/>
      </c>
      <c r="O82" s="159"/>
      <c r="P82" s="159"/>
      <c r="Q82" s="152" t="str">
        <f>IF(OR(O82="",P82=""),"",((O82*X82)*(VLOOKUP("Workshop",Labour!$A$3:$E$20,4,0)/8))+((P82*AE82)*(VLOOKUP("Finishing",Labour!$A$3:$E$20,4,0)/8)))</f>
        <v/>
      </c>
      <c r="R82" s="152" t="str">
        <f t="shared" si="4"/>
        <v/>
      </c>
      <c r="S82" s="156" t="str">
        <f>IF(OR(O82="",P82=""),"",IF(OR(ISERROR(FIND("carcass",$A82))=FALSE,ISERROR(FIND("unit",$A82))=FALSE),VLOOKUP(WardrobeCarcassMaterial,FixedListsCarcassMaterial,2,0),0))</f>
        <v/>
      </c>
      <c r="T82" s="156" t="str">
        <f>IF(OR(O82="",P82=""),"",IF(ISERROR(FIND("door",$A82))=FALSE,VLOOKUP(WardrobeDoorStyle,FixedListsDoorStyle,2,0),0))</f>
        <v/>
      </c>
      <c r="U82" s="156" t="str">
        <f>IF(OR(O82="",P82=""),"",IF(ISERROR(FIND("door",$A82))=FALSE,VLOOKUP(WardrobeDoorMaterial,FixedListsDoorMaterial,2,0),0))</f>
        <v/>
      </c>
      <c r="V82" s="156" t="str">
        <f>IF(OR(O82="",P82=""),"",IF(ISERROR(FIND("drawer",$A82))=FALSE,VLOOKUP(WardrobeDrawerType,FixedListsDrawerType,2,0),0))</f>
        <v/>
      </c>
      <c r="W82" s="156" t="str">
        <f>IF(OR(O82="",P82=""),"",IF(S82&gt;0,VLOOKUP(WardrobeHandleType,FixedListsHandleType,2,FALSE),0))</f>
        <v/>
      </c>
      <c r="X82" s="156" t="str">
        <f t="shared" si="5"/>
        <v/>
      </c>
      <c r="Y82" s="156" t="str">
        <f>IF(OR(O82="",P82=""),"",IF(OR(ISERROR(FIND("carcass",$A82))=FALSE,ISERROR(FIND("unit",$A82))=FALSE),VLOOKUP(WardrobeCarcassMaterial,FixedListsCarcassMaterial,3,0),0))</f>
        <v/>
      </c>
      <c r="Z82" s="156" t="str">
        <f>IF(OR(O82="",P82=""),"",IF(ISERROR(FIND("door",$A82))=FALSE,VLOOKUP(WardrobeDoorStyle,FixedListsDoorStyle,3,0),0))</f>
        <v/>
      </c>
      <c r="AA82" s="156" t="str">
        <f>IF(OR(O82="",P82=""),"",IF(ISERROR(FIND("door",$A82))=FALSE,VLOOKUP(WardrobeDoorMaterial,FixedListsDoorMaterial,3,0),0))</f>
        <v/>
      </c>
      <c r="AB82" s="156" t="str">
        <f>IF(OR(O82="",P82=""),"",IF(ISERROR(FIND("drawer",$A82))=FALSE,VLOOKUP(WardrobeDrawerType,FixedListsDrawerType,3,0),0))</f>
        <v/>
      </c>
      <c r="AC82" s="156" t="str">
        <f>IF(OR(O82="",P82=""),"",IF(S82&gt;0,VLOOKUP(WardrobeHandleType,FixedListsHandleType,3,FALSE),0))</f>
        <v/>
      </c>
      <c r="AD82" s="156" t="str">
        <f>IF(OR(O82="",P82=""),"",IF(OR(ISERROR(FIND("carcass",$A82))=FALSE,ISERROR(FIND("unit",$A82))=FALSE),VLOOKUP(WardrobeCarcassFinish,FixedListsFinishes,3,0),IF(OR(ISERROR(FIND("door",$A82))=FALSE,ISERROR(FIND("Plinth",$A82))=FALSE,ISERROR(FIND("Cornice",$A82))=FALSE,ISERROR(FIND("Fillers",$A82))=FALSE,ISERROR(FIND("Pelmet",$A82))=FALSE,ISERROR(FIND("panel",$A82))=FALSE,ISERROR(FIND("post",$A82))=FALSE),VLOOKUP(WardrobeDoorFinish,FixedListsFinishes,3,0),IF(OR(ISERROR(FIND("drawer",$A82))=FALSE,ISERROR(FIND("insert",$A82))=FALSE,ISERROR(FIND("rck",$A82))=FALSE),VLOOKUP(WardrobeCarcassFinish,FixedListsFinishes,3,0),0))))</f>
        <v/>
      </c>
      <c r="AE82" s="156" t="str">
        <f t="shared" si="6"/>
        <v/>
      </c>
      <c r="AF82" s="157" t="str">
        <f>IF(AND(WardrobeHandleType="Channel",OR(ISERROR(FIND("arcass",$A82))=FALSE,ISERROR(FIND("unit",$A82))=FALSE)),IF(ISERROR(FIND("Tower",$A82))=TRUE,IF(WardrobeHandleFinish="Match carcass",IF(ISERROR(FIND("Walnut",WardrobeCarcassMaterial))=FALSE,(0.035*0.075*($C82/1000))*VLOOKUP("Walnut (solid m3)",SolidData,4,FALSE),IF(ISERROR(FIND("Oak",WardrobeCarcassMaterial))=FALSE,(0.035*0.075*($C82/1000))*VLOOKUP("Oak (solid m3)",SolidData,4,FALSE),IF(ISERROR(FIND("ply",WardrobeCarcassMaterial))=FALSE,(0.1*($C82/1000))*VLOOKUP("Birch ply (24mm)",SheetsData,7,FALSE),IF(ISERROR(FIND("H/F",WardrobeCarcassMaterial))=FALSE,(0.1*($C82/1000))*VLOOKUP("H/F (22mm)",SheetsData,7,FALSE),"Carcass - not tower - new material")))),IF(WardrobeHandleFinish="Match door",IF(ISERROR(FIND("Walnut",WardrobeDoorMaterial))=FALSE,(0.035*0.075*($C82/1000))*VLOOKUP("Walnut (solid m3)",SolidData,4,FALSE),IF(ISERROR(FIND("Oak",WardrobeDoorMaterial))=FALSE,(0.035*0.075*($C82/1000))*VLOOKUP("Oak (solid m3)",SolidData,4,FALSE),IF(ISERROR(FIND("ply",WardrobeDoorMaterial))=FALSE,(0.1*($C82/1000))*VLOOKUP("Birch ply (24mm)",SheetsData,7,FALSE),IF(ISERROR(FIND("H/F",WardrobeCarcassMaterial))=FALSE,(0.1*($C82/1000))*VLOOKUP("H/F (22mm)",SheetsData,7,FALSE),"Door - not tower - new material")))),"Channel - not tower - handle set to other")),IF(ISERROR(FIND("Tower",$A82))=FALSE,IF(WardrobeHandleFinish="Match carcass",IF(ISERROR(FIND("Walnut",WardrobeCarcassMaterial))=FALSE,(0.035*0.075*($B82/1000))*VLOOKUP("Walnut (solid m3)",SolidData,4,FALSE),IF(ISERROR(FIND("Oak",WardrobeCarcassMaterial))=FALSE,(0.035*0.075*($B82/1000))*VLOOKUP("Oak (solid m3)",SolidData,4,FALSE),IF(ISERROR(FIND("ply",WardrobeCarcassMaterial))=FALSE,(0.1*($B82/1000))*VLOOKUP("Birch ply (24mm)",SheetsData,7,FALSE),IF(ISERROR(FIND("H/F",WardrobeCarcassMaterial))=FALSE,(0.1*($C82/1000))*VLOOKUP("H/F (22mm)",SheetsData,7,FALSE),"Carcass - tower - new material")))),IF(WardrobeHandleFinish="Match door",IF(ISERROR(FIND("Walnut",WardrobeDoorMaterial))=FALSE,(0.035*0.075*($B82/1000))*VLOOKUP("Walnut (solid m3)",SolidData,4,FALSE),IF(ISERROR(FIND("Oak",WardrobeDoorMaterial))=FALSE,(0.035*0.075*($B82/1000))*VLOOKUP("Oak (solid m3)",SolidData,4,FALSE),IF(ISERROR(FIND("ply",WardrobeDoorMaterial))=FALSE,(0.1*($B82/1000))*VLOOKUP("Birch ply (24mm)",SheetData,7,FALSE),IF(ISERROR(FIND("H/F",WardrobeCarcassMaterial))=FALSE,(0.1*($C82/1000))*VLOOKUP("H/F (22mm)",SheetsData,7,FALSE),"Door - tower - new material")))),"Channel - tower - handle set to other")))),"")</f>
        <v/>
      </c>
    </row>
    <row r="83">
      <c r="A83" s="150"/>
      <c r="B83" s="160" t="str">
        <f t="shared" si="1"/>
        <v/>
      </c>
      <c r="C83" s="160" t="str">
        <f>IFERROR(__xludf.DUMMYFUNCTION("IF(A83="""","""",IF(ISERROR(FIND(""arcass"",A83))=FALSE,MID(A83,FIND(""*"",A83)+1,FIND(""*"",A83,FIND(""*"",A83)+1)-FIND(""*"",A83)-1),IF(ISERROR(FIND(""End panel"",A83))=FALSE,RIGHT(A83,3),IF(OR(ISERROR(FIND(""drawer"",A83))=FALSE,ISERROR(FIND(""door"",A"&amp;"83))=FALSE,ISERROR(FIND(""shelf"",A83))=FALSE,ISERROR(FIND(""panel"",A83))=FALSE,ISERROR(FIND(""Plinth"",A83))=FALSE,ISERROR(FIND(""Cornice"",A83))=FALSE,ISERROR(FIND(""Fillers"",A83))=FALSE,ISERROR(FIND(""Pelmet"",A83))=FALSE,ISERROR(FIND(""Fireplace up "&amp;"to 1600"",A83))=FALSE),RIGHT(A83,LEN(A83)-LEN(regexextract(A83,"".* ""))),IF(ISERROR(FIND(""table"",A83))=FALSE,""560"",IF(ISERROR(FIND(""Office pod"",A83))=FALSE,""1600"",IF(ISERROR(FIND(""Fireplace over 1600"",A83))=FALSE,""2400"",IF(ISERROR(FIND(""Work"&amp;"top"",A83))=FALSE,""650"",""Whoops""))))))))"),"")</f>
        <v/>
      </c>
      <c r="D83" s="161" t="str">
        <f t="shared" si="2"/>
        <v/>
      </c>
      <c r="E83" s="152" t="str">
        <f>IF(OR(A83="",AND(ISERROR(FIND("drawer",A83))=FALSE,WardrobeDrawerType="")),"",IF(ISERROR(FIND("door",A83))=FALSE,IF(WardrobeDoorStyle="Flat",((B83/1000)*(C83/1000))*VLOOKUP(WardrobeDoorMaterial,SheetsData,8,0),IF(LEFT(WardrobeDoorStyle,5)="Panel",(((((B83/1000)*2)*0.08)+((((C83/1000)-0.16)*2)*0.08))*VLOOKUP("H/F (22mm)",SheetsData,8,0))+(((B83/1000)-0.14)*((C83/1000)-0.14)*VLOOKUP("H/F (9mm)",SheetsData,8,0)),IF(WardrobeDoorStyle="In-frame flat",((((((B83/1000)*0.019)*0.038)+((((C83-38)/1000)*0.038)*0.038))*2)*VLOOKUP("Tulip (solid m3)",SolidData,4,0))+(((B83-76)/1000)*((C83-38)/1000))*VLOOKUP("H/F (22mm)",SheetsData,8,0),IF(LEFT(WardrobeDoorStyle,14)="In-frame panel",(((((((B83/1000)*0.019)*0.038)+((((C83-38)/1000)*0.038)*0.038))*2)*VLOOKUP("Tulip (solid m3)",SolidData,4,0))+(((((((B83-76)/1000)*2)*0.08)+(((((C83-198)/1000)*2)*0.08)))*VLOOKUP("H/F (22mm)",SheetsData,8,0))+(((B83-216)/1000)*((C83-178)/1000)*VLOOKUP("H/F (9mm)",SheetsData,8,0)))))))),IF(AND(ISERROR(FIND("arcass",A83))=FALSE,ISERROR(FIND("ost corner",A83))=TRUE),IF(AND(VALUE(B83)&lt;1211,VALUE(C83)&lt;1211,VALUE(D83)&lt;606),1*VLOOKUP(WardrobeCarcassMaterial,SheetsData,5,FALSE),IF(AND(VALUE(B83)&lt;2421,VALUE(C83)&lt;2421,VALUE(D83)&lt;606),2*VLOOKUP(WardrobeCarcassMaterial,SheetsData,5,FALSE),IF(AND(VALUE(B83)&lt;2421,VALUE(C83)&lt;1211,VALUE(D83)&lt;1211),3*VLOOKUP(WardrobeCarcassMaterial,SheetsData,5,FALSE),IF(AND(VALUE(B83)&lt;2421,VALUE(C83)&lt;2421,VALUE(D83)&lt;1211),4*VLOOKUP(WardrobeCarcassMaterial,SheetsData,5,FALSE))))),IF(AND(ISERROR(FIND("arcass",A83))=FALSE,ISERROR(FIND("ost corner",A83))=FALSE),IF(AND(VALUE(B83)&lt;1211,VALUE(C83)&lt;1211,VALUE(D83)&lt;606),(1*VLOOKUP(WardrobeCarcassMaterial,SheetsData,5,FALSE))+(VLOOKUP("H/F (22mm)",SheetsData,7,FALSE)*1.44),IF(AND(VALUE(B83)&lt;2421,VALUE(C83)&lt;2421,VALUE(D83)&lt;606),(2*VLOOKUP(WardrobeCarcassMaterial,SheetsData,5,FALSE))+(VLOOKUP("H/F (22mm)",SheetsData,7,FALSE)*1.44),IF(AND(VALUE(B83)&lt;2421,VALUE(C83)&lt;1211,VALUE(D83)&lt;1211),(3*VLOOKUP(WardrobeCarcassMaterial,SheetsData,5,FALSE))+(VLOOKUP("H/F (22mm)",SheetsData,7,FALSE)*1.44),IF(AND(VALUE(B83)&lt;2421,VALUE(C83)&lt;2421,VALUE(D83)&lt;1211),(4*VLOOKUP(WardrobeCarcassMaterial,SheetsData,5,FALSE))+(VLOOKUP("H/F (22mm)",SheetsData,7,FALSE)*1.44))))),IF(ISERROR(FIND("drawer front",A83))=FALSE,((B83/1000)*(C83/1000))*VLOOKUP(WardrobeDoorMaterial,SheetsData,8,0),IF(AND(WardrobeDrawerType="Match carcass",ISERROR(FIND("drawer box",A83))=FALSE),(((((B83/1000)*(C83/1000))+((B83/1000)*(D83/1000)))*2)*VLOOKUP(WardrobeCarcassMaterial,SheetsData,8,0))+(((C83/1000)*(D83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box",A83))=FALSE),(((((B83/1000)*(C83/1000))+((B83/1000)*(D83/1000)))*2)*(16/1000)*VLOOKUP(LEFT(WardrobeCarcassMaterial,FIND(" ",WardrobeCarcassMaterial))&amp;"(solid m3)",SolidData,4,0))+(((C83/1000)*(D83/1000))*VLOOKUP(LEFT(WardrobeCarcassMaterial,FIND("(",WardrobeCarcassMaterial)-1)&amp;IF(OR(ISERROR(FIND("ply",WardrobeCarcassMaterial))=FALSE,ISERROR(FIND("H/F",WardrobeCarcassMaterial))=FALSE),"(9mm)","(10mm)"),SheetsData,8,0)),IF(ISERROR(FIND("shelf",A83))=FALSE,((C83/1000)*(D83/1000))*VLOOKUP(WardrobeCarcassMaterial,SheetsData,7,FALSE),IF(ISERROR(FIND("Office pod",A83))=FALSE,3*VLOOKUP(WardrobeCarcassMaterial,SheetsData,5,0),IF(ISERROR(FIND(" panel",A83))=FALSE,((B83/1000)*(C83/1000))*VLOOKUP(WardrobeDoorMaterial,SheetsData,8,0),IF(ISERROR(FIND("Fillers",A83))=FALSE,(((0.06*(C83/1000))*2)*VLOOKUP("H/F (18mm)",SheetsData,8,0))+(((0.06*(C83/1000))*2)*VLOOKUP("H/F (9mm)",SheetsData,8,0)),IF(ISERROR(FIND("Cornice (stacked)",A83))=FALSE,((0.08*(C83/1000))*2)*VLOOKUP("H/F (22mm)",SheetsData,8,0),IF(OR(ISERROR(FIND("Plinth",A83))=FALSE,ISERROR(FIND("Cornice (flat)",A83))=FALSE),((B83/1000)*(C83/1000))*VLOOKUP("H/F (18mm)",SheetsData,8,0),IF(ISERROR(FIND("Pelmet",A83))=FALSE,((((B83/1000)*(C83/1000))*2)*VLOOKUP("H/F (18mm)",SheetsData,8,0)),IF(ISERROR(FIND("Fireplace",A83))=FALSE,IF(ISERROR(FIND("over 1600",A83))=FALSE,2*VLOOKUP(WardrobeCarcassMaterial,SheetsData,5,FALSE),VLOOKUP(WardrobeCarcassMaterial,SheetsData,5,FALSE)),IF(ISERROR(FIND("table",A83))=FALSE,((B83/1000)*0.6)*VLOOKUP("Birch ply (24mm)",SheetsData,7,FALSE),IF(ISERROR(FIND("Worktop",A83))=FALSE,((B83/1000)*(C83/1000))*VLOOKUP(WardrobeDoorMaterial,SheetsData,7,FALSE),"Check formula")))))))))))))))))</f>
        <v/>
      </c>
      <c r="F83" s="152" t="str">
        <f>IFERROR(__xludf.DUMMYFUNCTION("IF(OR(A83="""",AND(ISERROR(FIND(""drawer box"",A83))=FALSE,WardrobeDrawerType=""Solid dovetail"")),"""",IF(ISERROR(FIND(""bins"",A83))=FALSE,VLOOKUP(""Base carcass 600"",Wardrobes_etcData,6,0),IF(OR(ISERROR(FIND(""larder"",A83))=FALSE,ISERROR(FIND(""unit"&amp;""",A83))=FALSE),VLOOKUP(LEFT(A83,FIND("" "",A83))&amp;""carcass ""&amp;RIGHT(A83,LEN(A83)-len(regexextract(A83,"".* ""))),Wardrobes_etcData,6,0),IF(ISERROR(FIND(""drawer front"",A83))=FALSE,IF(ISERROR(FIND(""veneer"",WardrobeCarcassMaterial))=TRUE,0,(((B83+C83)/1"&amp;"000)*2)*VLOOKUP(""Edge banding (per M)"",SheetsData,5,0)),IF(ISERROR(FIND(""drawer box"",A83))=FALSE,IF(ISERROR(FIND(""veneer"",WardrobeCarcassMaterial))=TRUE,0,(((C83+D83)/1000)*2)*VLOOKUP(""Edge banding (per M)"",SheetsData,5,0)),IF(ISERROR(FIND(""shelf"&amp;""",A83))=FALSE,IF(ISERROR(FIND(""veneer"",WardrobeCarcassMaterial))=TRUE,0,(C83/1000)*VLOOKUP(""Edge banding (per M)"",SheetsData,5,0)),IF(AND(OR(ISERROR(FIND(""arcass"",A83))=FALSE,ISERROR(FIND(""Fireplace"",A83))=FALSE),ISERROR(FIND(""shelf"",A83))=TRUE"&amp;"),IF(ISERROR(FIND(""veneer"",WardrobeCarcassMaterial))=TRUE,0,((2*(B83+C83))/1000)*VLOOKUP(""Edge banding (per M)"",SheetsData,5,0)),IF(ISERROR(FIND(""door"",A83))=TRUE,"""",IF(ISERROR(FIND(""veneer"",WardrobeDoorMaterial))=TRUE,"""",((2*(B83+C83))/1000)*"&amp;"VLOOKUP(""Edge banding (per M)"",SheetsData,5,0))))))))))"),"")</f>
        <v/>
      </c>
      <c r="G83" s="153" t="str">
        <f>IF(A83="","",IF(AND(ISERROR(FIND("arcass",A83))=TRUE,ISERROR(FIND("Fireplace",A83))=TRUE),"",IF(VALUE(C83)&lt;606,4*VLOOKUP("Plinth foot (2 Parts 80mm)",FurnitureData,5,FALSE),IF(VALUE(C83)&lt;1211,6*VLOOKUP("Plinth foot (2 Parts 80mm)",FurnitureData,5,FALSE),8*VLOOKUP("Plinth foot (2 Parts 80mm)",FurnitureData,5,FALSE)))))</f>
        <v/>
      </c>
      <c r="H83" s="115" t="str">
        <f>IF(OR(A83="",ISERROR(FIND("door",A83))=TRUE),"",VLOOKUP("Hinges &amp; plates (Hettich thick door)",FurnitureData,5,0)*5)</f>
        <v/>
      </c>
      <c r="I83" s="115" t="str">
        <f>IF(ISERROR(FIND("shelf",A83))=FALSE,(VLOOKUP("Shelf pegs",FurnitureData,5,0)/100)*4,"")</f>
        <v/>
      </c>
      <c r="J83" s="152" t="str">
        <f>IF(OR(ISERROR(FIND("fridge/freezer",A83))=FALSE,ISERROR(FIND("sink",A83))=FALSE,ISERROR(FIND("larder",A83))=FALSE),VLOOKUP("Deep shelf "&amp;C83,Wardrobes_etcData,18,0),IF(OR(ISERROR(FIND("single oven",A83))=FALSE,ISERROR(FIND("Base carcass",A83))=FALSE),2*VLOOKUP("Deep shelf "&amp;C83,Wardrobes_etcData,18,0),IF(AND(ISERROR(FIND("wall carcass",A83))=FALSE,ISERROR(FIND("Boiler",A83))=TRUE),2*VLOOKUP("Shallow shelf "&amp;C83,Wardrobes_etcData,18,0),IF(ISERROR(FIND("double oven",A83))=FALSE,3*VLOOKUP("Deep shelf "&amp;C83,Wardrobes_etcData,18,0),IF(ISERROR(FIND("Tower carcass",A83))=FALSE,6*VLOOKUP("Deep shelf "&amp;C83,Wardrobes_etcData,18,0),"")))))</f>
        <v/>
      </c>
      <c r="K83" s="152" t="str">
        <f>IF(ISERROR(FIND("sink",A83))=FALSE,VLOOKUP("Sink liner - Aluminium "&amp;RIGHT(A83,LEN(A83)-22)&amp;"mm",ExceptionalData,5,0),IF(ISERROR(FIND("bins",A83))=FALSE,VLOOKUP("Drawer runners and clip set for bin unit (500) Dynapro",FurnitureData,5,0)+(2*VLOOKUP("Bin (42L Anthracite)",FurnitureData,5,0)),IF(ISERROR(FIND("larder",A83))=FALSE,VLOOKUP("Pull out larder unit 600mm",FurnitureData,5,0),IF(AND(ISERROR(FIND("drawer box",A83))=FALSE,ISERROR(FIND("internal",A83))=TRUE),VLOOKUP("Drawer runners and clip set (550) Dynapro",FurnitureData,5,0),IF(ISERROR(FIND("internal drawer box",A83))=FALSE,VLOOKUP("Drawer runners and clip set (450) Dynapro",FurnitureData,5,0),IF(ISERROR(FIND("table",A83))=FALSE,VLOOKUP("Hairpin Leg (12mm Black "&amp;MID(A83,FIND("(",A83)+1,LEN(A83)-(FIND("(",A83))-1)&amp;"mm)",ExceptionalData,4,FALSE),""))))))</f>
        <v/>
      </c>
      <c r="L83" s="152" t="str">
        <f t="shared" si="3"/>
        <v/>
      </c>
      <c r="M83" s="154" t="str">
        <f>IF(A83="","",IF(AND(ISERROR(FIND("drawer front",A83))=FALSE,WardrobeDoorStyle="Flat"),(((B83/1000)*(C83/1000))*2)+((((B83+C83)/1000)*2)*0.022),IF(AND(ISERROR(FIND("drawer front",A83))=FALSE,LEFT(WardrobeDoorStyle,5)="Panel"),(((B83/1000)*(C83/1000))*2)+((((B83+C83)/1000)*2)*0.022)+((((C83/1000)-0.16)*0.013)*2)+((((D83/1000)-0.16)*0.013)*2),IF(AND(ISERROR(FIND("drawer front",A83))=FALSE,WardrobeDoorStyle="In-frame flat"),((((B83-76)/1000)*((C83-38)/1000))*2)+(MID(WardrobeDoorMaterial,FIND("(",WardrobeDoorMaterial)+1,2)/1000)*((((B83-76)+(C83-38))/1000)*2)+(((B83/1000)*0.032)*2)+((((B83-76)/1000)*0.032)*2)+(((B83/1000)*0.019)*4)+(((C83/1000)*0.032)*2)+((((C83-38)/1000)*0.032)*2)+(((C83/1000)*0.038)*4),IF(AND(ISERROR(FIND("drawer front",A83))=FALSE,LEFT(WardrobeDoorStyle,14)="In-frame panel"),((((B83-76)/1000)*((C83-38)/1000))*2)+((MID(WardrobeDoorMaterial,FIND("(",WardrobeDoorMaterial)+1,2)/1000)*((((B83-76)+(C83-38))/1000)*2))+((((B83-236)/1000)+((C83-198)/1000)*2)*0.013)+(((B83/1000)*0.032)*2)+((((B83-76)/1000)*0.032)*2)+(((B83/1000)*0.019)*4)+(((C83/1000)*0.032)*2)+((((C83-38)/1000)*0.032)*2)+(((C83/1000)*0.038)*4),IF(ISERROR(FIND("drawer box",A83))=FALSE,((((B83/1000)*(D83/1000))+((B83/1000)*(C83/1000)))*4)+((((D83/1000)+(C83/1000))*0.016)*4)+(((C83/1000)*(D83/1000))*2),IF(OR(ISERROR(FIND("shelf",A83))=FALSE,ISERROR(FIND("Filler panel",A83))=FALSE),(((C83/1000)*(D83/1000))*2)+((((C83+D83)*2)/1000)*0.022),IF(ISERROR(FIND("Fireplace",A83))=FALSE,((B83/1000)*(C83/1000)),IF(ISERROR(FIND("Worktop",A83))=FALSE,(B83/1000)*(C83/1000),IF(ISERROR(FIND("table",A83))=FALSE,(B83/1000)*0.6,IF(ISERROR(FIND("arcass",A83))=FALSE,(((C83/1000)*(D83/1000))*2)+(((B83/1000)*(D83/1000))*2)+((B83/1000)*(C83/1000))+((((B83/1000)*0.025)+((C83/1000)*0.025))*2),IF(AND(ISERROR(FIND("door",A83))=FALSE,WardrobeDoorStyle="Flat"),(((B83/1000)*(C83/1000))*2)+(MID(WardrobeDoorMaterial,FIND("(",WardrobeDoorMaterial)+1,2)/1000)*(((B83+C83)/1000)*2),IF(AND(ISERROR(FIND("door",A83))=FALSE,LEFT(WardrobeDoorStyle,5)="Panel"),(((B83/1000)*(C83/1000))*2)+((MID(WardrobeDoorMaterial,FIND("(",WardrobeDoorMaterial)+1,2)/1000)*(((B83+C83)/1000)*2))+(((((B83-160)+(C83-160))*2)/1000)*(0.013)),IF(AND(ISERROR(FIND("door",A83))=FALSE,WardrobeDoorStyle="In-frame flat"),((((B83-76)/1000)*((C83-38)/1000))*2)+(MID(WardrobeDoorMaterial,FIND("(",WardrobeDoorMaterial)+1,2)/1000)*((((B83-76)+(C83-38))/1000)*2)+(((B83/1000)*0.032)*2)+((((B83-76)/1000)*0.032)*2)+(((B83/1000)*0.019)*4)+(((C83/1000)*0.032)*2)+((((C83-38)/1000)*0.032)*2)+(((C83/1000)*0.038)*4),IF(AND(ISERROR(FIND("door",A83))=FALSE,LEFT(WardrobeDoorStyle,14)="In-frame panel"),((((B83-76)/1000)*((C83-38)/1000))*2)+((MID(WardrobeDoorMaterial,FIND("(",WardrobeDoorMaterial)+1,2)/1000)*((((B83-76)+(C83-38))/1000)*2))+((((B83-236)/1000)+((C83-198)/1000)*2)*0.013)+(((B83/1000)*0.032)*2)+((((B83-76)/1000)*0.032)*2)+(((B83/1000)*0.019)*4)+(((C83/1000)*0.032)*2)+((((C83-38)/1000)*0.032)*2)+(((C83/1000)*0.038)*4),IF(ISERROR(FIND("Plinth",A83))=FALSE,((B83/1000)*(C83/1000))+(((C83/1000)*0.018)*2)+(((B83/1000)*0.018)*2),IF(ISERROR(FIND("Cornice",A83))=FALSE,(((C83/1000)*0.1)*2)+(((C83/1000)*0.044)*2)+(((B83/1000)*0.08)*2),IF(ISERROR(FIND("Office pod",A83))=FALSE,((2400/1000)*(1200/1000))*6,IF(ISERROR(FIND("panel",A83))=FALSE,((B83/1000)*(C83/1000))+(0.022*((B83/1000)+((C83/1000)*2)))+((B83/1000)*0.05),IF(ISERROR(FIND("Fillers",A83))=FALSE,((C83/1000)*0.06)+((C83/1000)*0.069)+((0.06*0.018)*2)+((0.06*0.009)*2)+((C83/1000)*0.009)+((C83/1000)*0.018),IF(ISERROR(FIND("Pelmet",A83))=FALSE,((C83/1000)*0.05)+((C83/1000)*0.068)+((0.05*0.018)*4)+(((C83/1000)*0.018))*2)))))))))))))))))))))</f>
        <v/>
      </c>
      <c r="N83" s="152" t="str">
        <f>IF(M83="","",IF(AND(ISERROR(FIND("carcass",A83))=TRUE,ISERROR(FIND("unit",A83))=TRUE,ISERROR(FIND("insert",A83))=TRUE,ISERROR(FIND("rack",A83))=TRUE,ISERROR(FIND("box",A83))=TRUE,ISERROR(FIND("shelf",A83))=TRUE),VLOOKUP(WardrobeDoorFinish,Finishing!$A$2:$K$10,9,0)*M83,IF(ISERROR(FIND("table",A83))=FALSE,VLOOKUP("Sayerlack AF0072 Interior Clear Self-Sealer",FinishingData,9,FALSE)*M83,VLOOKUP(WardrobeCarcassFinish,Finishing!$A$2:$K$40,9,0)*M83)))</f>
        <v/>
      </c>
      <c r="O83" s="159"/>
      <c r="P83" s="159"/>
      <c r="Q83" s="152" t="str">
        <f>IF(OR(O83="",P83=""),"",((O83*X83)*(VLOOKUP("Workshop",Labour!$A$3:$E$20,4,0)/8))+((P83*AE83)*(VLOOKUP("Finishing",Labour!$A$3:$E$20,4,0)/8)))</f>
        <v/>
      </c>
      <c r="R83" s="152" t="str">
        <f t="shared" si="4"/>
        <v/>
      </c>
      <c r="S83" s="156" t="str">
        <f>IF(OR(O83="",P83=""),"",IF(OR(ISERROR(FIND("carcass",$A83))=FALSE,ISERROR(FIND("unit",$A83))=FALSE),VLOOKUP(WardrobeCarcassMaterial,FixedListsCarcassMaterial,2,0),0))</f>
        <v/>
      </c>
      <c r="T83" s="156" t="str">
        <f>IF(OR(O83="",P83=""),"",IF(ISERROR(FIND("door",$A83))=FALSE,VLOOKUP(WardrobeDoorStyle,FixedListsDoorStyle,2,0),0))</f>
        <v/>
      </c>
      <c r="U83" s="156" t="str">
        <f>IF(OR(O83="",P83=""),"",IF(ISERROR(FIND("door",$A83))=FALSE,VLOOKUP(WardrobeDoorMaterial,FixedListsDoorMaterial,2,0),0))</f>
        <v/>
      </c>
      <c r="V83" s="156" t="str">
        <f>IF(OR(O83="",P83=""),"",IF(ISERROR(FIND("drawer",$A83))=FALSE,VLOOKUP(WardrobeDrawerType,FixedListsDrawerType,2,0),0))</f>
        <v/>
      </c>
      <c r="W83" s="156" t="str">
        <f>IF(OR(O83="",P83=""),"",IF(S83&gt;0,VLOOKUP(WardrobeHandleType,FixedListsHandleType,2,FALSE),0))</f>
        <v/>
      </c>
      <c r="X83" s="156" t="str">
        <f t="shared" si="5"/>
        <v/>
      </c>
      <c r="Y83" s="156" t="str">
        <f>IF(OR(O83="",P83=""),"",IF(OR(ISERROR(FIND("carcass",$A83))=FALSE,ISERROR(FIND("unit",$A83))=FALSE),VLOOKUP(WardrobeCarcassMaterial,FixedListsCarcassMaterial,3,0),0))</f>
        <v/>
      </c>
      <c r="Z83" s="156" t="str">
        <f>IF(OR(O83="",P83=""),"",IF(ISERROR(FIND("door",$A83))=FALSE,VLOOKUP(WardrobeDoorStyle,FixedListsDoorStyle,3,0),0))</f>
        <v/>
      </c>
      <c r="AA83" s="156" t="str">
        <f>IF(OR(O83="",P83=""),"",IF(ISERROR(FIND("door",$A83))=FALSE,VLOOKUP(WardrobeDoorMaterial,FixedListsDoorMaterial,3,0),0))</f>
        <v/>
      </c>
      <c r="AB83" s="156" t="str">
        <f>IF(OR(O83="",P83=""),"",IF(ISERROR(FIND("drawer",$A83))=FALSE,VLOOKUP(WardrobeDrawerType,FixedListsDrawerType,3,0),0))</f>
        <v/>
      </c>
      <c r="AC83" s="156" t="str">
        <f>IF(OR(O83="",P83=""),"",IF(S83&gt;0,VLOOKUP(WardrobeHandleType,FixedListsHandleType,3,FALSE),0))</f>
        <v/>
      </c>
      <c r="AD83" s="156" t="str">
        <f>IF(OR(O83="",P83=""),"",IF(OR(ISERROR(FIND("carcass",$A83))=FALSE,ISERROR(FIND("unit",$A83))=FALSE),VLOOKUP(WardrobeCarcassFinish,FixedListsFinishes,3,0),IF(OR(ISERROR(FIND("door",$A83))=FALSE,ISERROR(FIND("Plinth",$A83))=FALSE,ISERROR(FIND("Cornice",$A83))=FALSE,ISERROR(FIND("Fillers",$A83))=FALSE,ISERROR(FIND("Pelmet",$A83))=FALSE,ISERROR(FIND("panel",$A83))=FALSE,ISERROR(FIND("post",$A83))=FALSE),VLOOKUP(WardrobeDoorFinish,FixedListsFinishes,3,0),IF(OR(ISERROR(FIND("drawer",$A83))=FALSE,ISERROR(FIND("insert",$A83))=FALSE,ISERROR(FIND("rck",$A83))=FALSE),VLOOKUP(WardrobeCarcassFinish,FixedListsFinishes,3,0),0))))</f>
        <v/>
      </c>
      <c r="AE83" s="156" t="str">
        <f t="shared" si="6"/>
        <v/>
      </c>
      <c r="AF83" s="157" t="str">
        <f>IF(AND(WardrobeHandleType="Channel",OR(ISERROR(FIND("arcass",$A83))=FALSE,ISERROR(FIND("unit",$A83))=FALSE)),IF(ISERROR(FIND("Tower",$A83))=TRUE,IF(WardrobeHandleFinish="Match carcass",IF(ISERROR(FIND("Walnut",WardrobeCarcassMaterial))=FALSE,(0.035*0.075*($C83/1000))*VLOOKUP("Walnut (solid m3)",SolidData,4,FALSE),IF(ISERROR(FIND("Oak",WardrobeCarcassMaterial))=FALSE,(0.035*0.075*($C83/1000))*VLOOKUP("Oak (solid m3)",SolidData,4,FALSE),IF(ISERROR(FIND("ply",WardrobeCarcassMaterial))=FALSE,(0.1*($C83/1000))*VLOOKUP("Birch ply (24mm)",SheetsData,7,FALSE),IF(ISERROR(FIND("H/F",WardrobeCarcassMaterial))=FALSE,(0.1*($C83/1000))*VLOOKUP("H/F (22mm)",SheetsData,7,FALSE),"Carcass - not tower - new material")))),IF(WardrobeHandleFinish="Match door",IF(ISERROR(FIND("Walnut",WardrobeDoorMaterial))=FALSE,(0.035*0.075*($C83/1000))*VLOOKUP("Walnut (solid m3)",SolidData,4,FALSE),IF(ISERROR(FIND("Oak",WardrobeDoorMaterial))=FALSE,(0.035*0.075*($C83/1000))*VLOOKUP("Oak (solid m3)",SolidData,4,FALSE),IF(ISERROR(FIND("ply",WardrobeDoorMaterial))=FALSE,(0.1*($C83/1000))*VLOOKUP("Birch ply (24mm)",SheetsData,7,FALSE),IF(ISERROR(FIND("H/F",WardrobeCarcassMaterial))=FALSE,(0.1*($C83/1000))*VLOOKUP("H/F (22mm)",SheetsData,7,FALSE),"Door - not tower - new material")))),"Channel - not tower - handle set to other")),IF(ISERROR(FIND("Tower",$A83))=FALSE,IF(WardrobeHandleFinish="Match carcass",IF(ISERROR(FIND("Walnut",WardrobeCarcassMaterial))=FALSE,(0.035*0.075*($B83/1000))*VLOOKUP("Walnut (solid m3)",SolidData,4,FALSE),IF(ISERROR(FIND("Oak",WardrobeCarcassMaterial))=FALSE,(0.035*0.075*($B83/1000))*VLOOKUP("Oak (solid m3)",SolidData,4,FALSE),IF(ISERROR(FIND("ply",WardrobeCarcassMaterial))=FALSE,(0.1*($B83/1000))*VLOOKUP("Birch ply (24mm)",SheetsData,7,FALSE),IF(ISERROR(FIND("H/F",WardrobeCarcassMaterial))=FALSE,(0.1*($C83/1000))*VLOOKUP("H/F (22mm)",SheetsData,7,FALSE),"Carcass - tower - new material")))),IF(WardrobeHandleFinish="Match door",IF(ISERROR(FIND("Walnut",WardrobeDoorMaterial))=FALSE,(0.035*0.075*($B83/1000))*VLOOKUP("Walnut (solid m3)",SolidData,4,FALSE),IF(ISERROR(FIND("Oak",WardrobeDoorMaterial))=FALSE,(0.035*0.075*($B83/1000))*VLOOKUP("Oak (solid m3)",SolidData,4,FALSE),IF(ISERROR(FIND("ply",WardrobeDoorMaterial))=FALSE,(0.1*($B83/1000))*VLOOKUP("Birch ply (24mm)",SheetData,7,FALSE),IF(ISERROR(FIND("H/F",WardrobeCarcassMaterial))=FALSE,(0.1*($C83/1000))*VLOOKUP("H/F (22mm)",SheetsData,7,FALSE),"Door - tower - new material")))),"Channel - tower - handle set to other")))),"")</f>
        <v/>
      </c>
    </row>
    <row r="84">
      <c r="A84" s="150"/>
      <c r="B84" s="160" t="str">
        <f t="shared" si="1"/>
        <v/>
      </c>
      <c r="C84" s="160" t="str">
        <f>IFERROR(__xludf.DUMMYFUNCTION("IF(A84="""","""",IF(ISERROR(FIND(""arcass"",A84))=FALSE,MID(A84,FIND(""*"",A84)+1,FIND(""*"",A84,FIND(""*"",A84)+1)-FIND(""*"",A84)-1),IF(ISERROR(FIND(""End panel"",A84))=FALSE,RIGHT(A84,3),IF(OR(ISERROR(FIND(""drawer"",A84))=FALSE,ISERROR(FIND(""door"",A"&amp;"84))=FALSE,ISERROR(FIND(""shelf"",A84))=FALSE,ISERROR(FIND(""panel"",A84))=FALSE,ISERROR(FIND(""Plinth"",A84))=FALSE,ISERROR(FIND(""Cornice"",A84))=FALSE,ISERROR(FIND(""Fillers"",A84))=FALSE,ISERROR(FIND(""Pelmet"",A84))=FALSE,ISERROR(FIND(""Fireplace up "&amp;"to 1600"",A84))=FALSE),RIGHT(A84,LEN(A84)-LEN(regexextract(A84,"".* ""))),IF(ISERROR(FIND(""table"",A84))=FALSE,""560"",IF(ISERROR(FIND(""Office pod"",A84))=FALSE,""1600"",IF(ISERROR(FIND(""Fireplace over 1600"",A84))=FALSE,""2400"",IF(ISERROR(FIND(""Work"&amp;"top"",A84))=FALSE,""650"",""Whoops""))))))))"),"")</f>
        <v/>
      </c>
      <c r="D84" s="161" t="str">
        <f t="shared" si="2"/>
        <v/>
      </c>
      <c r="E84" s="152" t="str">
        <f>IF(OR(A84="",AND(ISERROR(FIND("drawer",A84))=FALSE,WardrobeDrawerType="")),"",IF(ISERROR(FIND("door",A84))=FALSE,IF(WardrobeDoorStyle="Flat",((B84/1000)*(C84/1000))*VLOOKUP(WardrobeDoorMaterial,SheetsData,8,0),IF(LEFT(WardrobeDoorStyle,5)="Panel",(((((B84/1000)*2)*0.08)+((((C84/1000)-0.16)*2)*0.08))*VLOOKUP("H/F (22mm)",SheetsData,8,0))+(((B84/1000)-0.14)*((C84/1000)-0.14)*VLOOKUP("H/F (9mm)",SheetsData,8,0)),IF(WardrobeDoorStyle="In-frame flat",((((((B84/1000)*0.019)*0.038)+((((C84-38)/1000)*0.038)*0.038))*2)*VLOOKUP("Tulip (solid m3)",SolidData,4,0))+(((B84-76)/1000)*((C84-38)/1000))*VLOOKUP("H/F (22mm)",SheetsData,8,0),IF(LEFT(WardrobeDoorStyle,14)="In-frame panel",(((((((B84/1000)*0.019)*0.038)+((((C84-38)/1000)*0.038)*0.038))*2)*VLOOKUP("Tulip (solid m3)",SolidData,4,0))+(((((((B84-76)/1000)*2)*0.08)+(((((C84-198)/1000)*2)*0.08)))*VLOOKUP("H/F (22mm)",SheetsData,8,0))+(((B84-216)/1000)*((C84-178)/1000)*VLOOKUP("H/F (9mm)",SheetsData,8,0)))))))),IF(AND(ISERROR(FIND("arcass",A84))=FALSE,ISERROR(FIND("ost corner",A84))=TRUE),IF(AND(VALUE(B84)&lt;1211,VALUE(C84)&lt;1211,VALUE(D84)&lt;606),1*VLOOKUP(WardrobeCarcassMaterial,SheetsData,5,FALSE),IF(AND(VALUE(B84)&lt;2421,VALUE(C84)&lt;2421,VALUE(D84)&lt;606),2*VLOOKUP(WardrobeCarcassMaterial,SheetsData,5,FALSE),IF(AND(VALUE(B84)&lt;2421,VALUE(C84)&lt;1211,VALUE(D84)&lt;1211),3*VLOOKUP(WardrobeCarcassMaterial,SheetsData,5,FALSE),IF(AND(VALUE(B84)&lt;2421,VALUE(C84)&lt;2421,VALUE(D84)&lt;1211),4*VLOOKUP(WardrobeCarcassMaterial,SheetsData,5,FALSE))))),IF(AND(ISERROR(FIND("arcass",A84))=FALSE,ISERROR(FIND("ost corner",A84))=FALSE),IF(AND(VALUE(B84)&lt;1211,VALUE(C84)&lt;1211,VALUE(D84)&lt;606),(1*VLOOKUP(WardrobeCarcassMaterial,SheetsData,5,FALSE))+(VLOOKUP("H/F (22mm)",SheetsData,7,FALSE)*1.44),IF(AND(VALUE(B84)&lt;2421,VALUE(C84)&lt;2421,VALUE(D84)&lt;606),(2*VLOOKUP(WardrobeCarcassMaterial,SheetsData,5,FALSE))+(VLOOKUP("H/F (22mm)",SheetsData,7,FALSE)*1.44),IF(AND(VALUE(B84)&lt;2421,VALUE(C84)&lt;1211,VALUE(D84)&lt;1211),(3*VLOOKUP(WardrobeCarcassMaterial,SheetsData,5,FALSE))+(VLOOKUP("H/F (22mm)",SheetsData,7,FALSE)*1.44),IF(AND(VALUE(B84)&lt;2421,VALUE(C84)&lt;2421,VALUE(D84)&lt;1211),(4*VLOOKUP(WardrobeCarcassMaterial,SheetsData,5,FALSE))+(VLOOKUP("H/F (22mm)",SheetsData,7,FALSE)*1.44))))),IF(ISERROR(FIND("drawer front",A84))=FALSE,((B84/1000)*(C84/1000))*VLOOKUP(WardrobeDoorMaterial,SheetsData,8,0),IF(AND(WardrobeDrawerType="Match carcass",ISERROR(FIND("drawer box",A84))=FALSE),(((((B84/1000)*(C84/1000))+((B84/1000)*(D84/1000)))*2)*VLOOKUP(WardrobeCarcassMaterial,SheetsData,8,0))+(((C84/1000)*(D84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box",A84))=FALSE),(((((B84/1000)*(C84/1000))+((B84/1000)*(D84/1000)))*2)*(16/1000)*VLOOKUP(LEFT(WardrobeCarcassMaterial,FIND(" ",WardrobeCarcassMaterial))&amp;"(solid m3)",SolidData,4,0))+(((C84/1000)*(D84/1000))*VLOOKUP(LEFT(WardrobeCarcassMaterial,FIND("(",WardrobeCarcassMaterial)-1)&amp;IF(OR(ISERROR(FIND("ply",WardrobeCarcassMaterial))=FALSE,ISERROR(FIND("H/F",WardrobeCarcassMaterial))=FALSE),"(9mm)","(10mm)"),SheetsData,8,0)),IF(ISERROR(FIND("shelf",A84))=FALSE,((C84/1000)*(D84/1000))*VLOOKUP(WardrobeCarcassMaterial,SheetsData,7,FALSE),IF(ISERROR(FIND("Office pod",A84))=FALSE,3*VLOOKUP(WardrobeCarcassMaterial,SheetsData,5,0),IF(ISERROR(FIND(" panel",A84))=FALSE,((B84/1000)*(C84/1000))*VLOOKUP(WardrobeDoorMaterial,SheetsData,8,0),IF(ISERROR(FIND("Fillers",A84))=FALSE,(((0.06*(C84/1000))*2)*VLOOKUP("H/F (18mm)",SheetsData,8,0))+(((0.06*(C84/1000))*2)*VLOOKUP("H/F (9mm)",SheetsData,8,0)),IF(ISERROR(FIND("Cornice (stacked)",A84))=FALSE,((0.08*(C84/1000))*2)*VLOOKUP("H/F (22mm)",SheetsData,8,0),IF(OR(ISERROR(FIND("Plinth",A84))=FALSE,ISERROR(FIND("Cornice (flat)",A84))=FALSE),((B84/1000)*(C84/1000))*VLOOKUP("H/F (18mm)",SheetsData,8,0),IF(ISERROR(FIND("Pelmet",A84))=FALSE,((((B84/1000)*(C84/1000))*2)*VLOOKUP("H/F (18mm)",SheetsData,8,0)),IF(ISERROR(FIND("Fireplace",A84))=FALSE,IF(ISERROR(FIND("over 1600",A84))=FALSE,2*VLOOKUP(WardrobeCarcassMaterial,SheetsData,5,FALSE),VLOOKUP(WardrobeCarcassMaterial,SheetsData,5,FALSE)),IF(ISERROR(FIND("table",A84))=FALSE,((B84/1000)*0.6)*VLOOKUP("Birch ply (24mm)",SheetsData,7,FALSE),IF(ISERROR(FIND("Worktop",A84))=FALSE,((B84/1000)*(C84/1000))*VLOOKUP(WardrobeDoorMaterial,SheetsData,7,FALSE),"Check formula")))))))))))))))))</f>
        <v/>
      </c>
      <c r="F84" s="152" t="str">
        <f>IFERROR(__xludf.DUMMYFUNCTION("IF(OR(A84="""",AND(ISERROR(FIND(""drawer box"",A84))=FALSE,WardrobeDrawerType=""Solid dovetail"")),"""",IF(ISERROR(FIND(""bins"",A84))=FALSE,VLOOKUP(""Base carcass 600"",Wardrobes_etcData,6,0),IF(OR(ISERROR(FIND(""larder"",A84))=FALSE,ISERROR(FIND(""unit"&amp;""",A84))=FALSE),VLOOKUP(LEFT(A84,FIND("" "",A84))&amp;""carcass ""&amp;RIGHT(A84,LEN(A84)-len(regexextract(A84,"".* ""))),Wardrobes_etcData,6,0),IF(ISERROR(FIND(""drawer front"",A84))=FALSE,IF(ISERROR(FIND(""veneer"",WardrobeCarcassMaterial))=TRUE,0,(((B84+C84)/1"&amp;"000)*2)*VLOOKUP(""Edge banding (per M)"",SheetsData,5,0)),IF(ISERROR(FIND(""drawer box"",A84))=FALSE,IF(ISERROR(FIND(""veneer"",WardrobeCarcassMaterial))=TRUE,0,(((C84+D84)/1000)*2)*VLOOKUP(""Edge banding (per M)"",SheetsData,5,0)),IF(ISERROR(FIND(""shelf"&amp;""",A84))=FALSE,IF(ISERROR(FIND(""veneer"",WardrobeCarcassMaterial))=TRUE,0,(C84/1000)*VLOOKUP(""Edge banding (per M)"",SheetsData,5,0)),IF(AND(OR(ISERROR(FIND(""arcass"",A84))=FALSE,ISERROR(FIND(""Fireplace"",A84))=FALSE),ISERROR(FIND(""shelf"",A84))=TRUE"&amp;"),IF(ISERROR(FIND(""veneer"",WardrobeCarcassMaterial))=TRUE,0,((2*(B84+C84))/1000)*VLOOKUP(""Edge banding (per M)"",SheetsData,5,0)),IF(ISERROR(FIND(""door"",A84))=TRUE,"""",IF(ISERROR(FIND(""veneer"",WardrobeDoorMaterial))=TRUE,"""",((2*(B84+C84))/1000)*"&amp;"VLOOKUP(""Edge banding (per M)"",SheetsData,5,0))))))))))"),"")</f>
        <v/>
      </c>
      <c r="G84" s="153" t="str">
        <f>IF(A84="","",IF(AND(ISERROR(FIND("arcass",A84))=TRUE,ISERROR(FIND("Fireplace",A84))=TRUE),"",IF(VALUE(C84)&lt;606,4*VLOOKUP("Plinth foot (2 Parts 80mm)",FurnitureData,5,FALSE),IF(VALUE(C84)&lt;1211,6*VLOOKUP("Plinth foot (2 Parts 80mm)",FurnitureData,5,FALSE),8*VLOOKUP("Plinth foot (2 Parts 80mm)",FurnitureData,5,FALSE)))))</f>
        <v/>
      </c>
      <c r="H84" s="115" t="str">
        <f>IF(OR(A84="",ISERROR(FIND("door",A84))=TRUE),"",VLOOKUP("Hinges &amp; plates (Hettich thick door)",FurnitureData,5,0)*5)</f>
        <v/>
      </c>
      <c r="I84" s="115" t="str">
        <f>IF(ISERROR(FIND("shelf",A84))=FALSE,(VLOOKUP("Shelf pegs",FurnitureData,5,0)/100)*4,"")</f>
        <v/>
      </c>
      <c r="J84" s="152" t="str">
        <f>IF(OR(ISERROR(FIND("fridge/freezer",A84))=FALSE,ISERROR(FIND("sink",A84))=FALSE,ISERROR(FIND("larder",A84))=FALSE),VLOOKUP("Deep shelf "&amp;C84,Wardrobes_etcData,18,0),IF(OR(ISERROR(FIND("single oven",A84))=FALSE,ISERROR(FIND("Base carcass",A84))=FALSE),2*VLOOKUP("Deep shelf "&amp;C84,Wardrobes_etcData,18,0),IF(AND(ISERROR(FIND("wall carcass",A84))=FALSE,ISERROR(FIND("Boiler",A84))=TRUE),2*VLOOKUP("Shallow shelf "&amp;C84,Wardrobes_etcData,18,0),IF(ISERROR(FIND("double oven",A84))=FALSE,3*VLOOKUP("Deep shelf "&amp;C84,Wardrobes_etcData,18,0),IF(ISERROR(FIND("Tower carcass",A84))=FALSE,6*VLOOKUP("Deep shelf "&amp;C84,Wardrobes_etcData,18,0),"")))))</f>
        <v/>
      </c>
      <c r="K84" s="152" t="str">
        <f>IF(ISERROR(FIND("sink",A84))=FALSE,VLOOKUP("Sink liner - Aluminium "&amp;RIGHT(A84,LEN(A84)-22)&amp;"mm",ExceptionalData,5,0),IF(ISERROR(FIND("bins",A84))=FALSE,VLOOKUP("Drawer runners and clip set for bin unit (500) Dynapro",FurnitureData,5,0)+(2*VLOOKUP("Bin (42L Anthracite)",FurnitureData,5,0)),IF(ISERROR(FIND("larder",A84))=FALSE,VLOOKUP("Pull out larder unit 600mm",FurnitureData,5,0),IF(AND(ISERROR(FIND("drawer box",A84))=FALSE,ISERROR(FIND("internal",A84))=TRUE),VLOOKUP("Drawer runners and clip set (550) Dynapro",FurnitureData,5,0),IF(ISERROR(FIND("internal drawer box",A84))=FALSE,VLOOKUP("Drawer runners and clip set (450) Dynapro",FurnitureData,5,0),IF(ISERROR(FIND("table",A84))=FALSE,VLOOKUP("Hairpin Leg (12mm Black "&amp;MID(A84,FIND("(",A84)+1,LEN(A84)-(FIND("(",A84))-1)&amp;"mm)",ExceptionalData,4,FALSE),""))))))</f>
        <v/>
      </c>
      <c r="L84" s="152" t="str">
        <f t="shared" si="3"/>
        <v/>
      </c>
      <c r="M84" s="154" t="str">
        <f>IF(A84="","",IF(AND(ISERROR(FIND("drawer front",A84))=FALSE,WardrobeDoorStyle="Flat"),(((B84/1000)*(C84/1000))*2)+((((B84+C84)/1000)*2)*0.022),IF(AND(ISERROR(FIND("drawer front",A84))=FALSE,LEFT(WardrobeDoorStyle,5)="Panel"),(((B84/1000)*(C84/1000))*2)+((((B84+C84)/1000)*2)*0.022)+((((C84/1000)-0.16)*0.013)*2)+((((D84/1000)-0.16)*0.013)*2),IF(AND(ISERROR(FIND("drawer front",A84))=FALSE,WardrobeDoorStyle="In-frame flat"),((((B84-76)/1000)*((C84-38)/1000))*2)+(MID(WardrobeDoorMaterial,FIND("(",WardrobeDoorMaterial)+1,2)/1000)*((((B84-76)+(C84-38))/1000)*2)+(((B84/1000)*0.032)*2)+((((B84-76)/1000)*0.032)*2)+(((B84/1000)*0.019)*4)+(((C84/1000)*0.032)*2)+((((C84-38)/1000)*0.032)*2)+(((C84/1000)*0.038)*4),IF(AND(ISERROR(FIND("drawer front",A84))=FALSE,LEFT(WardrobeDoorStyle,14)="In-frame panel"),((((B84-76)/1000)*((C84-38)/1000))*2)+((MID(WardrobeDoorMaterial,FIND("(",WardrobeDoorMaterial)+1,2)/1000)*((((B84-76)+(C84-38))/1000)*2))+((((B84-236)/1000)+((C84-198)/1000)*2)*0.013)+(((B84/1000)*0.032)*2)+((((B84-76)/1000)*0.032)*2)+(((B84/1000)*0.019)*4)+(((C84/1000)*0.032)*2)+((((C84-38)/1000)*0.032)*2)+(((C84/1000)*0.038)*4),IF(ISERROR(FIND("drawer box",A84))=FALSE,((((B84/1000)*(D84/1000))+((B84/1000)*(C84/1000)))*4)+((((D84/1000)+(C84/1000))*0.016)*4)+(((C84/1000)*(D84/1000))*2),IF(OR(ISERROR(FIND("shelf",A84))=FALSE,ISERROR(FIND("Filler panel",A84))=FALSE),(((C84/1000)*(D84/1000))*2)+((((C84+D84)*2)/1000)*0.022),IF(ISERROR(FIND("Fireplace",A84))=FALSE,((B84/1000)*(C84/1000)),IF(ISERROR(FIND("Worktop",A84))=FALSE,(B84/1000)*(C84/1000),IF(ISERROR(FIND("table",A84))=FALSE,(B84/1000)*0.6,IF(ISERROR(FIND("arcass",A84))=FALSE,(((C84/1000)*(D84/1000))*2)+(((B84/1000)*(D84/1000))*2)+((B84/1000)*(C84/1000))+((((B84/1000)*0.025)+((C84/1000)*0.025))*2),IF(AND(ISERROR(FIND("door",A84))=FALSE,WardrobeDoorStyle="Flat"),(((B84/1000)*(C84/1000))*2)+(MID(WardrobeDoorMaterial,FIND("(",WardrobeDoorMaterial)+1,2)/1000)*(((B84+C84)/1000)*2),IF(AND(ISERROR(FIND("door",A84))=FALSE,LEFT(WardrobeDoorStyle,5)="Panel"),(((B84/1000)*(C84/1000))*2)+((MID(WardrobeDoorMaterial,FIND("(",WardrobeDoorMaterial)+1,2)/1000)*(((B84+C84)/1000)*2))+(((((B84-160)+(C84-160))*2)/1000)*(0.013)),IF(AND(ISERROR(FIND("door",A84))=FALSE,WardrobeDoorStyle="In-frame flat"),((((B84-76)/1000)*((C84-38)/1000))*2)+(MID(WardrobeDoorMaterial,FIND("(",WardrobeDoorMaterial)+1,2)/1000)*((((B84-76)+(C84-38))/1000)*2)+(((B84/1000)*0.032)*2)+((((B84-76)/1000)*0.032)*2)+(((B84/1000)*0.019)*4)+(((C84/1000)*0.032)*2)+((((C84-38)/1000)*0.032)*2)+(((C84/1000)*0.038)*4),IF(AND(ISERROR(FIND("door",A84))=FALSE,LEFT(WardrobeDoorStyle,14)="In-frame panel"),((((B84-76)/1000)*((C84-38)/1000))*2)+((MID(WardrobeDoorMaterial,FIND("(",WardrobeDoorMaterial)+1,2)/1000)*((((B84-76)+(C84-38))/1000)*2))+((((B84-236)/1000)+((C84-198)/1000)*2)*0.013)+(((B84/1000)*0.032)*2)+((((B84-76)/1000)*0.032)*2)+(((B84/1000)*0.019)*4)+(((C84/1000)*0.032)*2)+((((C84-38)/1000)*0.032)*2)+(((C84/1000)*0.038)*4),IF(ISERROR(FIND("Plinth",A84))=FALSE,((B84/1000)*(C84/1000))+(((C84/1000)*0.018)*2)+(((B84/1000)*0.018)*2),IF(ISERROR(FIND("Cornice",A84))=FALSE,(((C84/1000)*0.1)*2)+(((C84/1000)*0.044)*2)+(((B84/1000)*0.08)*2),IF(ISERROR(FIND("Office pod",A84))=FALSE,((2400/1000)*(1200/1000))*6,IF(ISERROR(FIND("panel",A84))=FALSE,((B84/1000)*(C84/1000))+(0.022*((B84/1000)+((C84/1000)*2)))+((B84/1000)*0.05),IF(ISERROR(FIND("Fillers",A84))=FALSE,((C84/1000)*0.06)+((C84/1000)*0.069)+((0.06*0.018)*2)+((0.06*0.009)*2)+((C84/1000)*0.009)+((C84/1000)*0.018),IF(ISERROR(FIND("Pelmet",A84))=FALSE,((C84/1000)*0.05)+((C84/1000)*0.068)+((0.05*0.018)*4)+(((C84/1000)*0.018))*2)))))))))))))))))))))</f>
        <v/>
      </c>
      <c r="N84" s="152" t="str">
        <f>IF(M84="","",IF(AND(ISERROR(FIND("carcass",A84))=TRUE,ISERROR(FIND("unit",A84))=TRUE,ISERROR(FIND("insert",A84))=TRUE,ISERROR(FIND("rack",A84))=TRUE,ISERROR(FIND("box",A84))=TRUE,ISERROR(FIND("shelf",A84))=TRUE),VLOOKUP(WardrobeDoorFinish,Finishing!$A$2:$K$10,9,0)*M84,IF(ISERROR(FIND("table",A84))=FALSE,VLOOKUP("Sayerlack AF0072 Interior Clear Self-Sealer",FinishingData,9,FALSE)*M84,VLOOKUP(WardrobeCarcassFinish,Finishing!$A$2:$K$40,9,0)*M84)))</f>
        <v/>
      </c>
      <c r="O84" s="159"/>
      <c r="P84" s="159"/>
      <c r="Q84" s="152" t="str">
        <f>IF(OR(O84="",P84=""),"",((O84*X84)*(VLOOKUP("Workshop",Labour!$A$3:$E$20,4,0)/8))+((P84*AE84)*(VLOOKUP("Finishing",Labour!$A$3:$E$20,4,0)/8)))</f>
        <v/>
      </c>
      <c r="R84" s="152" t="str">
        <f t="shared" si="4"/>
        <v/>
      </c>
      <c r="S84" s="156" t="str">
        <f>IF(OR(O84="",P84=""),"",IF(OR(ISERROR(FIND("carcass",$A84))=FALSE,ISERROR(FIND("unit",$A84))=FALSE),VLOOKUP(WardrobeCarcassMaterial,FixedListsCarcassMaterial,2,0),0))</f>
        <v/>
      </c>
      <c r="T84" s="156" t="str">
        <f>IF(OR(O84="",P84=""),"",IF(ISERROR(FIND("door",$A84))=FALSE,VLOOKUP(WardrobeDoorStyle,FixedListsDoorStyle,2,0),0))</f>
        <v/>
      </c>
      <c r="U84" s="156" t="str">
        <f>IF(OR(O84="",P84=""),"",IF(ISERROR(FIND("door",$A84))=FALSE,VLOOKUP(WardrobeDoorMaterial,FixedListsDoorMaterial,2,0),0))</f>
        <v/>
      </c>
      <c r="V84" s="156" t="str">
        <f>IF(OR(O84="",P84=""),"",IF(ISERROR(FIND("drawer",$A84))=FALSE,VLOOKUP(WardrobeDrawerType,FixedListsDrawerType,2,0),0))</f>
        <v/>
      </c>
      <c r="W84" s="156" t="str">
        <f>IF(OR(O84="",P84=""),"",IF(S84&gt;0,VLOOKUP(WardrobeHandleType,FixedListsHandleType,2,FALSE),0))</f>
        <v/>
      </c>
      <c r="X84" s="156" t="str">
        <f t="shared" si="5"/>
        <v/>
      </c>
      <c r="Y84" s="156" t="str">
        <f>IF(OR(O84="",P84=""),"",IF(OR(ISERROR(FIND("carcass",$A84))=FALSE,ISERROR(FIND("unit",$A84))=FALSE),VLOOKUP(WardrobeCarcassMaterial,FixedListsCarcassMaterial,3,0),0))</f>
        <v/>
      </c>
      <c r="Z84" s="156" t="str">
        <f>IF(OR(O84="",P84=""),"",IF(ISERROR(FIND("door",$A84))=FALSE,VLOOKUP(WardrobeDoorStyle,FixedListsDoorStyle,3,0),0))</f>
        <v/>
      </c>
      <c r="AA84" s="156" t="str">
        <f>IF(OR(O84="",P84=""),"",IF(ISERROR(FIND("door",$A84))=FALSE,VLOOKUP(WardrobeDoorMaterial,FixedListsDoorMaterial,3,0),0))</f>
        <v/>
      </c>
      <c r="AB84" s="156" t="str">
        <f>IF(OR(O84="",P84=""),"",IF(ISERROR(FIND("drawer",$A84))=FALSE,VLOOKUP(WardrobeDrawerType,FixedListsDrawerType,3,0),0))</f>
        <v/>
      </c>
      <c r="AC84" s="156" t="str">
        <f>IF(OR(O84="",P84=""),"",IF(S84&gt;0,VLOOKUP(WardrobeHandleType,FixedListsHandleType,3,FALSE),0))</f>
        <v/>
      </c>
      <c r="AD84" s="156" t="str">
        <f>IF(OR(O84="",P84=""),"",IF(OR(ISERROR(FIND("carcass",$A84))=FALSE,ISERROR(FIND("unit",$A84))=FALSE),VLOOKUP(WardrobeCarcassFinish,FixedListsFinishes,3,0),IF(OR(ISERROR(FIND("door",$A84))=FALSE,ISERROR(FIND("Plinth",$A84))=FALSE,ISERROR(FIND("Cornice",$A84))=FALSE,ISERROR(FIND("Fillers",$A84))=FALSE,ISERROR(FIND("Pelmet",$A84))=FALSE,ISERROR(FIND("panel",$A84))=FALSE,ISERROR(FIND("post",$A84))=FALSE),VLOOKUP(WardrobeDoorFinish,FixedListsFinishes,3,0),IF(OR(ISERROR(FIND("drawer",$A84))=FALSE,ISERROR(FIND("insert",$A84))=FALSE,ISERROR(FIND("rck",$A84))=FALSE),VLOOKUP(WardrobeCarcassFinish,FixedListsFinishes,3,0),0))))</f>
        <v/>
      </c>
      <c r="AE84" s="156" t="str">
        <f t="shared" si="6"/>
        <v/>
      </c>
      <c r="AF84" s="157" t="str">
        <f>IF(AND(WardrobeHandleType="Channel",OR(ISERROR(FIND("arcass",$A84))=FALSE,ISERROR(FIND("unit",$A84))=FALSE)),IF(ISERROR(FIND("Tower",$A84))=TRUE,IF(WardrobeHandleFinish="Match carcass",IF(ISERROR(FIND("Walnut",WardrobeCarcassMaterial))=FALSE,(0.035*0.075*($C84/1000))*VLOOKUP("Walnut (solid m3)",SolidData,4,FALSE),IF(ISERROR(FIND("Oak",WardrobeCarcassMaterial))=FALSE,(0.035*0.075*($C84/1000))*VLOOKUP("Oak (solid m3)",SolidData,4,FALSE),IF(ISERROR(FIND("ply",WardrobeCarcassMaterial))=FALSE,(0.1*($C84/1000))*VLOOKUP("Birch ply (24mm)",SheetsData,7,FALSE),IF(ISERROR(FIND("H/F",WardrobeCarcassMaterial))=FALSE,(0.1*($C84/1000))*VLOOKUP("H/F (22mm)",SheetsData,7,FALSE),"Carcass - not tower - new material")))),IF(WardrobeHandleFinish="Match door",IF(ISERROR(FIND("Walnut",WardrobeDoorMaterial))=FALSE,(0.035*0.075*($C84/1000))*VLOOKUP("Walnut (solid m3)",SolidData,4,FALSE),IF(ISERROR(FIND("Oak",WardrobeDoorMaterial))=FALSE,(0.035*0.075*($C84/1000))*VLOOKUP("Oak (solid m3)",SolidData,4,FALSE),IF(ISERROR(FIND("ply",WardrobeDoorMaterial))=FALSE,(0.1*($C84/1000))*VLOOKUP("Birch ply (24mm)",SheetsData,7,FALSE),IF(ISERROR(FIND("H/F",WardrobeCarcassMaterial))=FALSE,(0.1*($C84/1000))*VLOOKUP("H/F (22mm)",SheetsData,7,FALSE),"Door - not tower - new material")))),"Channel - not tower - handle set to other")),IF(ISERROR(FIND("Tower",$A84))=FALSE,IF(WardrobeHandleFinish="Match carcass",IF(ISERROR(FIND("Walnut",WardrobeCarcassMaterial))=FALSE,(0.035*0.075*($B84/1000))*VLOOKUP("Walnut (solid m3)",SolidData,4,FALSE),IF(ISERROR(FIND("Oak",WardrobeCarcassMaterial))=FALSE,(0.035*0.075*($B84/1000))*VLOOKUP("Oak (solid m3)",SolidData,4,FALSE),IF(ISERROR(FIND("ply",WardrobeCarcassMaterial))=FALSE,(0.1*($B84/1000))*VLOOKUP("Birch ply (24mm)",SheetsData,7,FALSE),IF(ISERROR(FIND("H/F",WardrobeCarcassMaterial))=FALSE,(0.1*($C84/1000))*VLOOKUP("H/F (22mm)",SheetsData,7,FALSE),"Carcass - tower - new material")))),IF(WardrobeHandleFinish="Match door",IF(ISERROR(FIND("Walnut",WardrobeDoorMaterial))=FALSE,(0.035*0.075*($B84/1000))*VLOOKUP("Walnut (solid m3)",SolidData,4,FALSE),IF(ISERROR(FIND("Oak",WardrobeDoorMaterial))=FALSE,(0.035*0.075*($B84/1000))*VLOOKUP("Oak (solid m3)",SolidData,4,FALSE),IF(ISERROR(FIND("ply",WardrobeDoorMaterial))=FALSE,(0.1*($B84/1000))*VLOOKUP("Birch ply (24mm)",SheetData,7,FALSE),IF(ISERROR(FIND("H/F",WardrobeCarcassMaterial))=FALSE,(0.1*($C84/1000))*VLOOKUP("H/F (22mm)",SheetsData,7,FALSE),"Door - tower - new material")))),"Channel - tower - handle set to other")))),"")</f>
        <v/>
      </c>
    </row>
    <row r="85">
      <c r="A85" s="150"/>
      <c r="B85" s="160" t="str">
        <f t="shared" si="1"/>
        <v/>
      </c>
      <c r="C85" s="160" t="str">
        <f>IFERROR(__xludf.DUMMYFUNCTION("IF(A85="""","""",IF(ISERROR(FIND(""arcass"",A85))=FALSE,MID(A85,FIND(""*"",A85)+1,FIND(""*"",A85,FIND(""*"",A85)+1)-FIND(""*"",A85)-1),IF(ISERROR(FIND(""End panel"",A85))=FALSE,RIGHT(A85,3),IF(OR(ISERROR(FIND(""drawer"",A85))=FALSE,ISERROR(FIND(""door"",A"&amp;"85))=FALSE,ISERROR(FIND(""shelf"",A85))=FALSE,ISERROR(FIND(""panel"",A85))=FALSE,ISERROR(FIND(""Plinth"",A85))=FALSE,ISERROR(FIND(""Cornice"",A85))=FALSE,ISERROR(FIND(""Fillers"",A85))=FALSE,ISERROR(FIND(""Pelmet"",A85))=FALSE,ISERROR(FIND(""Fireplace up "&amp;"to 1600"",A85))=FALSE),RIGHT(A85,LEN(A85)-LEN(regexextract(A85,"".* ""))),IF(ISERROR(FIND(""table"",A85))=FALSE,""560"",IF(ISERROR(FIND(""Office pod"",A85))=FALSE,""1600"",IF(ISERROR(FIND(""Fireplace over 1600"",A85))=FALSE,""2400"",IF(ISERROR(FIND(""Work"&amp;"top"",A85))=FALSE,""650"",""Whoops""))))))))"),"")</f>
        <v/>
      </c>
      <c r="D85" s="161" t="str">
        <f t="shared" si="2"/>
        <v/>
      </c>
      <c r="E85" s="152" t="str">
        <f>IF(OR(A85="",AND(ISERROR(FIND("drawer",A85))=FALSE,WardrobeDrawerType="")),"",IF(ISERROR(FIND("door",A85))=FALSE,IF(WardrobeDoorStyle="Flat",((B85/1000)*(C85/1000))*VLOOKUP(WardrobeDoorMaterial,SheetsData,8,0),IF(LEFT(WardrobeDoorStyle,5)="Panel",(((((B85/1000)*2)*0.08)+((((C85/1000)-0.16)*2)*0.08))*VLOOKUP("H/F (22mm)",SheetsData,8,0))+(((B85/1000)-0.14)*((C85/1000)-0.14)*VLOOKUP("H/F (9mm)",SheetsData,8,0)),IF(WardrobeDoorStyle="In-frame flat",((((((B85/1000)*0.019)*0.038)+((((C85-38)/1000)*0.038)*0.038))*2)*VLOOKUP("Tulip (solid m3)",SolidData,4,0))+(((B85-76)/1000)*((C85-38)/1000))*VLOOKUP("H/F (22mm)",SheetsData,8,0),IF(LEFT(WardrobeDoorStyle,14)="In-frame panel",(((((((B85/1000)*0.019)*0.038)+((((C85-38)/1000)*0.038)*0.038))*2)*VLOOKUP("Tulip (solid m3)",SolidData,4,0))+(((((((B85-76)/1000)*2)*0.08)+(((((C85-198)/1000)*2)*0.08)))*VLOOKUP("H/F (22mm)",SheetsData,8,0))+(((B85-216)/1000)*((C85-178)/1000)*VLOOKUP("H/F (9mm)",SheetsData,8,0)))))))),IF(AND(ISERROR(FIND("arcass",A85))=FALSE,ISERROR(FIND("ost corner",A85))=TRUE),IF(AND(VALUE(B85)&lt;1211,VALUE(C85)&lt;1211,VALUE(D85)&lt;606),1*VLOOKUP(WardrobeCarcassMaterial,SheetsData,5,FALSE),IF(AND(VALUE(B85)&lt;2421,VALUE(C85)&lt;2421,VALUE(D85)&lt;606),2*VLOOKUP(WardrobeCarcassMaterial,SheetsData,5,FALSE),IF(AND(VALUE(B85)&lt;2421,VALUE(C85)&lt;1211,VALUE(D85)&lt;1211),3*VLOOKUP(WardrobeCarcassMaterial,SheetsData,5,FALSE),IF(AND(VALUE(B85)&lt;2421,VALUE(C85)&lt;2421,VALUE(D85)&lt;1211),4*VLOOKUP(WardrobeCarcassMaterial,SheetsData,5,FALSE))))),IF(AND(ISERROR(FIND("arcass",A85))=FALSE,ISERROR(FIND("ost corner",A85))=FALSE),IF(AND(VALUE(B85)&lt;1211,VALUE(C85)&lt;1211,VALUE(D85)&lt;606),(1*VLOOKUP(WardrobeCarcassMaterial,SheetsData,5,FALSE))+(VLOOKUP("H/F (22mm)",SheetsData,7,FALSE)*1.44),IF(AND(VALUE(B85)&lt;2421,VALUE(C85)&lt;2421,VALUE(D85)&lt;606),(2*VLOOKUP(WardrobeCarcassMaterial,SheetsData,5,FALSE))+(VLOOKUP("H/F (22mm)",SheetsData,7,FALSE)*1.44),IF(AND(VALUE(B85)&lt;2421,VALUE(C85)&lt;1211,VALUE(D85)&lt;1211),(3*VLOOKUP(WardrobeCarcassMaterial,SheetsData,5,FALSE))+(VLOOKUP("H/F (22mm)",SheetsData,7,FALSE)*1.44),IF(AND(VALUE(B85)&lt;2421,VALUE(C85)&lt;2421,VALUE(D85)&lt;1211),(4*VLOOKUP(WardrobeCarcassMaterial,SheetsData,5,FALSE))+(VLOOKUP("H/F (22mm)",SheetsData,7,FALSE)*1.44))))),IF(ISERROR(FIND("drawer front",A85))=FALSE,((B85/1000)*(C85/1000))*VLOOKUP(WardrobeDoorMaterial,SheetsData,8,0),IF(AND(WardrobeDrawerType="Match carcass",ISERROR(FIND("drawer box",A85))=FALSE),(((((B85/1000)*(C85/1000))+((B85/1000)*(D85/1000)))*2)*VLOOKUP(WardrobeCarcassMaterial,SheetsData,8,0))+(((C85/1000)*(D85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box",A85))=FALSE),(((((B85/1000)*(C85/1000))+((B85/1000)*(D85/1000)))*2)*(16/1000)*VLOOKUP(LEFT(WardrobeCarcassMaterial,FIND(" ",WardrobeCarcassMaterial))&amp;"(solid m3)",SolidData,4,0))+(((C85/1000)*(D85/1000))*VLOOKUP(LEFT(WardrobeCarcassMaterial,FIND("(",WardrobeCarcassMaterial)-1)&amp;IF(OR(ISERROR(FIND("ply",WardrobeCarcassMaterial))=FALSE,ISERROR(FIND("H/F",WardrobeCarcassMaterial))=FALSE),"(9mm)","(10mm)"),SheetsData,8,0)),IF(ISERROR(FIND("shelf",A85))=FALSE,((C85/1000)*(D85/1000))*VLOOKUP(WardrobeCarcassMaterial,SheetsData,7,FALSE),IF(ISERROR(FIND("Office pod",A85))=FALSE,3*VLOOKUP(WardrobeCarcassMaterial,SheetsData,5,0),IF(ISERROR(FIND(" panel",A85))=FALSE,((B85/1000)*(C85/1000))*VLOOKUP(WardrobeDoorMaterial,SheetsData,8,0),IF(ISERROR(FIND("Fillers",A85))=FALSE,(((0.06*(C85/1000))*2)*VLOOKUP("H/F (18mm)",SheetsData,8,0))+(((0.06*(C85/1000))*2)*VLOOKUP("H/F (9mm)",SheetsData,8,0)),IF(ISERROR(FIND("Cornice (stacked)",A85))=FALSE,((0.08*(C85/1000))*2)*VLOOKUP("H/F (22mm)",SheetsData,8,0),IF(OR(ISERROR(FIND("Plinth",A85))=FALSE,ISERROR(FIND("Cornice (flat)",A85))=FALSE),((B85/1000)*(C85/1000))*VLOOKUP("H/F (18mm)",SheetsData,8,0),IF(ISERROR(FIND("Pelmet",A85))=FALSE,((((B85/1000)*(C85/1000))*2)*VLOOKUP("H/F (18mm)",SheetsData,8,0)),IF(ISERROR(FIND("Fireplace",A85))=FALSE,IF(ISERROR(FIND("over 1600",A85))=FALSE,2*VLOOKUP(WardrobeCarcassMaterial,SheetsData,5,FALSE),VLOOKUP(WardrobeCarcassMaterial,SheetsData,5,FALSE)),IF(ISERROR(FIND("table",A85))=FALSE,((B85/1000)*0.6)*VLOOKUP("Birch ply (24mm)",SheetsData,7,FALSE),IF(ISERROR(FIND("Worktop",A85))=FALSE,((B85/1000)*(C85/1000))*VLOOKUP(WardrobeDoorMaterial,SheetsData,7,FALSE),"Check formula")))))))))))))))))</f>
        <v/>
      </c>
      <c r="F85" s="152" t="str">
        <f>IFERROR(__xludf.DUMMYFUNCTION("IF(OR(A85="""",AND(ISERROR(FIND(""drawer box"",A85))=FALSE,WardrobeDrawerType=""Solid dovetail"")),"""",IF(ISERROR(FIND(""bins"",A85))=FALSE,VLOOKUP(""Base carcass 600"",Wardrobes_etcData,6,0),IF(OR(ISERROR(FIND(""larder"",A85))=FALSE,ISERROR(FIND(""unit"&amp;""",A85))=FALSE),VLOOKUP(LEFT(A85,FIND("" "",A85))&amp;""carcass ""&amp;RIGHT(A85,LEN(A85)-len(regexextract(A85,"".* ""))),Wardrobes_etcData,6,0),IF(ISERROR(FIND(""drawer front"",A85))=FALSE,IF(ISERROR(FIND(""veneer"",WardrobeCarcassMaterial))=TRUE,0,(((B85+C85)/1"&amp;"000)*2)*VLOOKUP(""Edge banding (per M)"",SheetsData,5,0)),IF(ISERROR(FIND(""drawer box"",A85))=FALSE,IF(ISERROR(FIND(""veneer"",WardrobeCarcassMaterial))=TRUE,0,(((C85+D85)/1000)*2)*VLOOKUP(""Edge banding (per M)"",SheetsData,5,0)),IF(ISERROR(FIND(""shelf"&amp;""",A85))=FALSE,IF(ISERROR(FIND(""veneer"",WardrobeCarcassMaterial))=TRUE,0,(C85/1000)*VLOOKUP(""Edge banding (per M)"",SheetsData,5,0)),IF(AND(OR(ISERROR(FIND(""arcass"",A85))=FALSE,ISERROR(FIND(""Fireplace"",A85))=FALSE),ISERROR(FIND(""shelf"",A85))=TRUE"&amp;"),IF(ISERROR(FIND(""veneer"",WardrobeCarcassMaterial))=TRUE,0,((2*(B85+C85))/1000)*VLOOKUP(""Edge banding (per M)"",SheetsData,5,0)),IF(ISERROR(FIND(""door"",A85))=TRUE,"""",IF(ISERROR(FIND(""veneer"",WardrobeDoorMaterial))=TRUE,"""",((2*(B85+C85))/1000)*"&amp;"VLOOKUP(""Edge banding (per M)"",SheetsData,5,0))))))))))"),"")</f>
        <v/>
      </c>
      <c r="G85" s="153" t="str">
        <f>IF(A85="","",IF(AND(ISERROR(FIND("arcass",A85))=TRUE,ISERROR(FIND("Fireplace",A85))=TRUE),"",IF(VALUE(C85)&lt;606,4*VLOOKUP("Plinth foot (2 Parts 80mm)",FurnitureData,5,FALSE),IF(VALUE(C85)&lt;1211,6*VLOOKUP("Plinth foot (2 Parts 80mm)",FurnitureData,5,FALSE),8*VLOOKUP("Plinth foot (2 Parts 80mm)",FurnitureData,5,FALSE)))))</f>
        <v/>
      </c>
      <c r="H85" s="115" t="str">
        <f>IF(OR(A85="",ISERROR(FIND("door",A85))=TRUE),"",VLOOKUP("Hinges &amp; plates (Hettich thick door)",FurnitureData,5,0)*5)</f>
        <v/>
      </c>
      <c r="I85" s="115" t="str">
        <f>IF(ISERROR(FIND("shelf",A85))=FALSE,(VLOOKUP("Shelf pegs",FurnitureData,5,0)/100)*4,"")</f>
        <v/>
      </c>
      <c r="J85" s="152" t="str">
        <f>IF(OR(ISERROR(FIND("fridge/freezer",A85))=FALSE,ISERROR(FIND("sink",A85))=FALSE,ISERROR(FIND("larder",A85))=FALSE),VLOOKUP("Deep shelf "&amp;C85,Wardrobes_etcData,18,0),IF(OR(ISERROR(FIND("single oven",A85))=FALSE,ISERROR(FIND("Base carcass",A85))=FALSE),2*VLOOKUP("Deep shelf "&amp;C85,Wardrobes_etcData,18,0),IF(AND(ISERROR(FIND("wall carcass",A85))=FALSE,ISERROR(FIND("Boiler",A85))=TRUE),2*VLOOKUP("Shallow shelf "&amp;C85,Wardrobes_etcData,18,0),IF(ISERROR(FIND("double oven",A85))=FALSE,3*VLOOKUP("Deep shelf "&amp;C85,Wardrobes_etcData,18,0),IF(ISERROR(FIND("Tower carcass",A85))=FALSE,6*VLOOKUP("Deep shelf "&amp;C85,Wardrobes_etcData,18,0),"")))))</f>
        <v/>
      </c>
      <c r="K85" s="152" t="str">
        <f>IF(ISERROR(FIND("sink",A85))=FALSE,VLOOKUP("Sink liner - Aluminium "&amp;RIGHT(A85,LEN(A85)-22)&amp;"mm",ExceptionalData,5,0),IF(ISERROR(FIND("bins",A85))=FALSE,VLOOKUP("Drawer runners and clip set for bin unit (500) Dynapro",FurnitureData,5,0)+(2*VLOOKUP("Bin (42L Anthracite)",FurnitureData,5,0)),IF(ISERROR(FIND("larder",A85))=FALSE,VLOOKUP("Pull out larder unit 600mm",FurnitureData,5,0),IF(AND(ISERROR(FIND("drawer box",A85))=FALSE,ISERROR(FIND("internal",A85))=TRUE),VLOOKUP("Drawer runners and clip set (550) Dynapro",FurnitureData,5,0),IF(ISERROR(FIND("internal drawer box",A85))=FALSE,VLOOKUP("Drawer runners and clip set (450) Dynapro",FurnitureData,5,0),IF(ISERROR(FIND("table",A85))=FALSE,VLOOKUP("Hairpin Leg (12mm Black "&amp;MID(A85,FIND("(",A85)+1,LEN(A85)-(FIND("(",A85))-1)&amp;"mm)",ExceptionalData,4,FALSE),""))))))</f>
        <v/>
      </c>
      <c r="L85" s="152" t="str">
        <f t="shared" si="3"/>
        <v/>
      </c>
      <c r="M85" s="154" t="str">
        <f>IF(A85="","",IF(AND(ISERROR(FIND("drawer front",A85))=FALSE,WardrobeDoorStyle="Flat"),(((B85/1000)*(C85/1000))*2)+((((B85+C85)/1000)*2)*0.022),IF(AND(ISERROR(FIND("drawer front",A85))=FALSE,LEFT(WardrobeDoorStyle,5)="Panel"),(((B85/1000)*(C85/1000))*2)+((((B85+C85)/1000)*2)*0.022)+((((C85/1000)-0.16)*0.013)*2)+((((D85/1000)-0.16)*0.013)*2),IF(AND(ISERROR(FIND("drawer front",A85))=FALSE,WardrobeDoorStyle="In-frame flat"),((((B85-76)/1000)*((C85-38)/1000))*2)+(MID(WardrobeDoorMaterial,FIND("(",WardrobeDoorMaterial)+1,2)/1000)*((((B85-76)+(C85-38))/1000)*2)+(((B85/1000)*0.032)*2)+((((B85-76)/1000)*0.032)*2)+(((B85/1000)*0.019)*4)+(((C85/1000)*0.032)*2)+((((C85-38)/1000)*0.032)*2)+(((C85/1000)*0.038)*4),IF(AND(ISERROR(FIND("drawer front",A85))=FALSE,LEFT(WardrobeDoorStyle,14)="In-frame panel"),((((B85-76)/1000)*((C85-38)/1000))*2)+((MID(WardrobeDoorMaterial,FIND("(",WardrobeDoorMaterial)+1,2)/1000)*((((B85-76)+(C85-38))/1000)*2))+((((B85-236)/1000)+((C85-198)/1000)*2)*0.013)+(((B85/1000)*0.032)*2)+((((B85-76)/1000)*0.032)*2)+(((B85/1000)*0.019)*4)+(((C85/1000)*0.032)*2)+((((C85-38)/1000)*0.032)*2)+(((C85/1000)*0.038)*4),IF(ISERROR(FIND("drawer box",A85))=FALSE,((((B85/1000)*(D85/1000))+((B85/1000)*(C85/1000)))*4)+((((D85/1000)+(C85/1000))*0.016)*4)+(((C85/1000)*(D85/1000))*2),IF(OR(ISERROR(FIND("shelf",A85))=FALSE,ISERROR(FIND("Filler panel",A85))=FALSE),(((C85/1000)*(D85/1000))*2)+((((C85+D85)*2)/1000)*0.022),IF(ISERROR(FIND("Fireplace",A85))=FALSE,((B85/1000)*(C85/1000)),IF(ISERROR(FIND("Worktop",A85))=FALSE,(B85/1000)*(C85/1000),IF(ISERROR(FIND("table",A85))=FALSE,(B85/1000)*0.6,IF(ISERROR(FIND("arcass",A85))=FALSE,(((C85/1000)*(D85/1000))*2)+(((B85/1000)*(D85/1000))*2)+((B85/1000)*(C85/1000))+((((B85/1000)*0.025)+((C85/1000)*0.025))*2),IF(AND(ISERROR(FIND("door",A85))=FALSE,WardrobeDoorStyle="Flat"),(((B85/1000)*(C85/1000))*2)+(MID(WardrobeDoorMaterial,FIND("(",WardrobeDoorMaterial)+1,2)/1000)*(((B85+C85)/1000)*2),IF(AND(ISERROR(FIND("door",A85))=FALSE,LEFT(WardrobeDoorStyle,5)="Panel"),(((B85/1000)*(C85/1000))*2)+((MID(WardrobeDoorMaterial,FIND("(",WardrobeDoorMaterial)+1,2)/1000)*(((B85+C85)/1000)*2))+(((((B85-160)+(C85-160))*2)/1000)*(0.013)),IF(AND(ISERROR(FIND("door",A85))=FALSE,WardrobeDoorStyle="In-frame flat"),((((B85-76)/1000)*((C85-38)/1000))*2)+(MID(WardrobeDoorMaterial,FIND("(",WardrobeDoorMaterial)+1,2)/1000)*((((B85-76)+(C85-38))/1000)*2)+(((B85/1000)*0.032)*2)+((((B85-76)/1000)*0.032)*2)+(((B85/1000)*0.019)*4)+(((C85/1000)*0.032)*2)+((((C85-38)/1000)*0.032)*2)+(((C85/1000)*0.038)*4),IF(AND(ISERROR(FIND("door",A85))=FALSE,LEFT(WardrobeDoorStyle,14)="In-frame panel"),((((B85-76)/1000)*((C85-38)/1000))*2)+((MID(WardrobeDoorMaterial,FIND("(",WardrobeDoorMaterial)+1,2)/1000)*((((B85-76)+(C85-38))/1000)*2))+((((B85-236)/1000)+((C85-198)/1000)*2)*0.013)+(((B85/1000)*0.032)*2)+((((B85-76)/1000)*0.032)*2)+(((B85/1000)*0.019)*4)+(((C85/1000)*0.032)*2)+((((C85-38)/1000)*0.032)*2)+(((C85/1000)*0.038)*4),IF(ISERROR(FIND("Plinth",A85))=FALSE,((B85/1000)*(C85/1000))+(((C85/1000)*0.018)*2)+(((B85/1000)*0.018)*2),IF(ISERROR(FIND("Cornice",A85))=FALSE,(((C85/1000)*0.1)*2)+(((C85/1000)*0.044)*2)+(((B85/1000)*0.08)*2),IF(ISERROR(FIND("Office pod",A85))=FALSE,((2400/1000)*(1200/1000))*6,IF(ISERROR(FIND("panel",A85))=FALSE,((B85/1000)*(C85/1000))+(0.022*((B85/1000)+((C85/1000)*2)))+((B85/1000)*0.05),IF(ISERROR(FIND("Fillers",A85))=FALSE,((C85/1000)*0.06)+((C85/1000)*0.069)+((0.06*0.018)*2)+((0.06*0.009)*2)+((C85/1000)*0.009)+((C85/1000)*0.018),IF(ISERROR(FIND("Pelmet",A85))=FALSE,((C85/1000)*0.05)+((C85/1000)*0.068)+((0.05*0.018)*4)+(((C85/1000)*0.018))*2)))))))))))))))))))))</f>
        <v/>
      </c>
      <c r="N85" s="152" t="str">
        <f>IF(M85="","",IF(AND(ISERROR(FIND("carcass",A85))=TRUE,ISERROR(FIND("unit",A85))=TRUE,ISERROR(FIND("insert",A85))=TRUE,ISERROR(FIND("rack",A85))=TRUE,ISERROR(FIND("box",A85))=TRUE,ISERROR(FIND("shelf",A85))=TRUE),VLOOKUP(WardrobeDoorFinish,Finishing!$A$2:$K$10,9,0)*M85,IF(ISERROR(FIND("table",A85))=FALSE,VLOOKUP("Sayerlack AF0072 Interior Clear Self-Sealer",FinishingData,9,FALSE)*M85,VLOOKUP(WardrobeCarcassFinish,Finishing!$A$2:$K$40,9,0)*M85)))</f>
        <v/>
      </c>
      <c r="O85" s="159"/>
      <c r="P85" s="159"/>
      <c r="Q85" s="152" t="str">
        <f>IF(OR(O85="",P85=""),"",((O85*X85)*(VLOOKUP("Workshop",Labour!$A$3:$E$20,4,0)/8))+((P85*AE85)*(VLOOKUP("Finishing",Labour!$A$3:$E$20,4,0)/8)))</f>
        <v/>
      </c>
      <c r="R85" s="152" t="str">
        <f t="shared" si="4"/>
        <v/>
      </c>
      <c r="S85" s="156" t="str">
        <f>IF(OR(O85="",P85=""),"",IF(OR(ISERROR(FIND("carcass",$A85))=FALSE,ISERROR(FIND("unit",$A85))=FALSE),VLOOKUP(WardrobeCarcassMaterial,FixedListsCarcassMaterial,2,0),0))</f>
        <v/>
      </c>
      <c r="T85" s="156" t="str">
        <f>IF(OR(O85="",P85=""),"",IF(ISERROR(FIND("door",$A85))=FALSE,VLOOKUP(WardrobeDoorStyle,FixedListsDoorStyle,2,0),0))</f>
        <v/>
      </c>
      <c r="U85" s="156" t="str">
        <f>IF(OR(O85="",P85=""),"",IF(ISERROR(FIND("door",$A85))=FALSE,VLOOKUP(WardrobeDoorMaterial,FixedListsDoorMaterial,2,0),0))</f>
        <v/>
      </c>
      <c r="V85" s="156" t="str">
        <f>IF(OR(O85="",P85=""),"",IF(ISERROR(FIND("drawer",$A85))=FALSE,VLOOKUP(WardrobeDrawerType,FixedListsDrawerType,2,0),0))</f>
        <v/>
      </c>
      <c r="W85" s="156" t="str">
        <f>IF(OR(O85="",P85=""),"",IF(S85&gt;0,VLOOKUP(WardrobeHandleType,FixedListsHandleType,2,FALSE),0))</f>
        <v/>
      </c>
      <c r="X85" s="156" t="str">
        <f t="shared" si="5"/>
        <v/>
      </c>
      <c r="Y85" s="156" t="str">
        <f>IF(OR(O85="",P85=""),"",IF(OR(ISERROR(FIND("carcass",$A85))=FALSE,ISERROR(FIND("unit",$A85))=FALSE),VLOOKUP(WardrobeCarcassMaterial,FixedListsCarcassMaterial,3,0),0))</f>
        <v/>
      </c>
      <c r="Z85" s="156" t="str">
        <f>IF(OR(O85="",P85=""),"",IF(ISERROR(FIND("door",$A85))=FALSE,VLOOKUP(WardrobeDoorStyle,FixedListsDoorStyle,3,0),0))</f>
        <v/>
      </c>
      <c r="AA85" s="156" t="str">
        <f>IF(OR(O85="",P85=""),"",IF(ISERROR(FIND("door",$A85))=FALSE,VLOOKUP(WardrobeDoorMaterial,FixedListsDoorMaterial,3,0),0))</f>
        <v/>
      </c>
      <c r="AB85" s="156" t="str">
        <f>IF(OR(O85="",P85=""),"",IF(ISERROR(FIND("drawer",$A85))=FALSE,VLOOKUP(WardrobeDrawerType,FixedListsDrawerType,3,0),0))</f>
        <v/>
      </c>
      <c r="AC85" s="156" t="str">
        <f>IF(OR(O85="",P85=""),"",IF(S85&gt;0,VLOOKUP(WardrobeHandleType,FixedListsHandleType,3,FALSE),0))</f>
        <v/>
      </c>
      <c r="AD85" s="156" t="str">
        <f>IF(OR(O85="",P85=""),"",IF(OR(ISERROR(FIND("carcass",$A85))=FALSE,ISERROR(FIND("unit",$A85))=FALSE),VLOOKUP(WardrobeCarcassFinish,FixedListsFinishes,3,0),IF(OR(ISERROR(FIND("door",$A85))=FALSE,ISERROR(FIND("Plinth",$A85))=FALSE,ISERROR(FIND("Cornice",$A85))=FALSE,ISERROR(FIND("Fillers",$A85))=FALSE,ISERROR(FIND("Pelmet",$A85))=FALSE,ISERROR(FIND("panel",$A85))=FALSE,ISERROR(FIND("post",$A85))=FALSE),VLOOKUP(WardrobeDoorFinish,FixedListsFinishes,3,0),IF(OR(ISERROR(FIND("drawer",$A85))=FALSE,ISERROR(FIND("insert",$A85))=FALSE,ISERROR(FIND("rck",$A85))=FALSE),VLOOKUP(WardrobeCarcassFinish,FixedListsFinishes,3,0),0))))</f>
        <v/>
      </c>
      <c r="AE85" s="156" t="str">
        <f t="shared" si="6"/>
        <v/>
      </c>
      <c r="AF85" s="157" t="str">
        <f>IF(AND(WardrobeHandleType="Channel",OR(ISERROR(FIND("arcass",$A85))=FALSE,ISERROR(FIND("unit",$A85))=FALSE)),IF(ISERROR(FIND("Tower",$A85))=TRUE,IF(WardrobeHandleFinish="Match carcass",IF(ISERROR(FIND("Walnut",WardrobeCarcassMaterial))=FALSE,(0.035*0.075*($C85/1000))*VLOOKUP("Walnut (solid m3)",SolidData,4,FALSE),IF(ISERROR(FIND("Oak",WardrobeCarcassMaterial))=FALSE,(0.035*0.075*($C85/1000))*VLOOKUP("Oak (solid m3)",SolidData,4,FALSE),IF(ISERROR(FIND("ply",WardrobeCarcassMaterial))=FALSE,(0.1*($C85/1000))*VLOOKUP("Birch ply (24mm)",SheetsData,7,FALSE),IF(ISERROR(FIND("H/F",WardrobeCarcassMaterial))=FALSE,(0.1*($C85/1000))*VLOOKUP("H/F (22mm)",SheetsData,7,FALSE),"Carcass - not tower - new material")))),IF(WardrobeHandleFinish="Match door",IF(ISERROR(FIND("Walnut",WardrobeDoorMaterial))=FALSE,(0.035*0.075*($C85/1000))*VLOOKUP("Walnut (solid m3)",SolidData,4,FALSE),IF(ISERROR(FIND("Oak",WardrobeDoorMaterial))=FALSE,(0.035*0.075*($C85/1000))*VLOOKUP("Oak (solid m3)",SolidData,4,FALSE),IF(ISERROR(FIND("ply",WardrobeDoorMaterial))=FALSE,(0.1*($C85/1000))*VLOOKUP("Birch ply (24mm)",SheetsData,7,FALSE),IF(ISERROR(FIND("H/F",WardrobeCarcassMaterial))=FALSE,(0.1*($C85/1000))*VLOOKUP("H/F (22mm)",SheetsData,7,FALSE),"Door - not tower - new material")))),"Channel - not tower - handle set to other")),IF(ISERROR(FIND("Tower",$A85))=FALSE,IF(WardrobeHandleFinish="Match carcass",IF(ISERROR(FIND("Walnut",WardrobeCarcassMaterial))=FALSE,(0.035*0.075*($B85/1000))*VLOOKUP("Walnut (solid m3)",SolidData,4,FALSE),IF(ISERROR(FIND("Oak",WardrobeCarcassMaterial))=FALSE,(0.035*0.075*($B85/1000))*VLOOKUP("Oak (solid m3)",SolidData,4,FALSE),IF(ISERROR(FIND("ply",WardrobeCarcassMaterial))=FALSE,(0.1*($B85/1000))*VLOOKUP("Birch ply (24mm)",SheetsData,7,FALSE),IF(ISERROR(FIND("H/F",WardrobeCarcassMaterial))=FALSE,(0.1*($C85/1000))*VLOOKUP("H/F (22mm)",SheetsData,7,FALSE),"Carcass - tower - new material")))),IF(WardrobeHandleFinish="Match door",IF(ISERROR(FIND("Walnut",WardrobeDoorMaterial))=FALSE,(0.035*0.075*($B85/1000))*VLOOKUP("Walnut (solid m3)",SolidData,4,FALSE),IF(ISERROR(FIND("Oak",WardrobeDoorMaterial))=FALSE,(0.035*0.075*($B85/1000))*VLOOKUP("Oak (solid m3)",SolidData,4,FALSE),IF(ISERROR(FIND("ply",WardrobeDoorMaterial))=FALSE,(0.1*($B85/1000))*VLOOKUP("Birch ply (24mm)",SheetData,7,FALSE),IF(ISERROR(FIND("H/F",WardrobeCarcassMaterial))=FALSE,(0.1*($C85/1000))*VLOOKUP("H/F (22mm)",SheetsData,7,FALSE),"Door - tower - new material")))),"Channel - tower - handle set to other")))),"")</f>
        <v/>
      </c>
    </row>
    <row r="86">
      <c r="A86" s="150"/>
      <c r="B86" s="160" t="str">
        <f t="shared" si="1"/>
        <v/>
      </c>
      <c r="C86" s="160" t="str">
        <f>IFERROR(__xludf.DUMMYFUNCTION("IF(A86="""","""",IF(ISERROR(FIND(""arcass"",A86))=FALSE,MID(A86,FIND(""*"",A86)+1,FIND(""*"",A86,FIND(""*"",A86)+1)-FIND(""*"",A86)-1),IF(ISERROR(FIND(""End panel"",A86))=FALSE,RIGHT(A86,3),IF(OR(ISERROR(FIND(""drawer"",A86))=FALSE,ISERROR(FIND(""door"",A"&amp;"86))=FALSE,ISERROR(FIND(""shelf"",A86))=FALSE,ISERROR(FIND(""panel"",A86))=FALSE,ISERROR(FIND(""Plinth"",A86))=FALSE,ISERROR(FIND(""Cornice"",A86))=FALSE,ISERROR(FIND(""Fillers"",A86))=FALSE,ISERROR(FIND(""Pelmet"",A86))=FALSE,ISERROR(FIND(""Fireplace up "&amp;"to 1600"",A86))=FALSE),RIGHT(A86,LEN(A86)-LEN(regexextract(A86,"".* ""))),IF(ISERROR(FIND(""table"",A86))=FALSE,""560"",IF(ISERROR(FIND(""Office pod"",A86))=FALSE,""1600"",IF(ISERROR(FIND(""Fireplace over 1600"",A86))=FALSE,""2400"",IF(ISERROR(FIND(""Work"&amp;"top"",A86))=FALSE,""650"",""Whoops""))))))))"),"")</f>
        <v/>
      </c>
      <c r="D86" s="161" t="str">
        <f t="shared" si="2"/>
        <v/>
      </c>
      <c r="E86" s="152" t="str">
        <f>IF(OR(A86="",AND(ISERROR(FIND("drawer",A86))=FALSE,WardrobeDrawerType="")),"",IF(ISERROR(FIND("door",A86))=FALSE,IF(WardrobeDoorStyle="Flat",((B86/1000)*(C86/1000))*VLOOKUP(WardrobeDoorMaterial,SheetsData,8,0),IF(LEFT(WardrobeDoorStyle,5)="Panel",(((((B86/1000)*2)*0.08)+((((C86/1000)-0.16)*2)*0.08))*VLOOKUP("H/F (22mm)",SheetsData,8,0))+(((B86/1000)-0.14)*((C86/1000)-0.14)*VLOOKUP("H/F (9mm)",SheetsData,8,0)),IF(WardrobeDoorStyle="In-frame flat",((((((B86/1000)*0.019)*0.038)+((((C86-38)/1000)*0.038)*0.038))*2)*VLOOKUP("Tulip (solid m3)",SolidData,4,0))+(((B86-76)/1000)*((C86-38)/1000))*VLOOKUP("H/F (22mm)",SheetsData,8,0),IF(LEFT(WardrobeDoorStyle,14)="In-frame panel",(((((((B86/1000)*0.019)*0.038)+((((C86-38)/1000)*0.038)*0.038))*2)*VLOOKUP("Tulip (solid m3)",SolidData,4,0))+(((((((B86-76)/1000)*2)*0.08)+(((((C86-198)/1000)*2)*0.08)))*VLOOKUP("H/F (22mm)",SheetsData,8,0))+(((B86-216)/1000)*((C86-178)/1000)*VLOOKUP("H/F (9mm)",SheetsData,8,0)))))))),IF(AND(ISERROR(FIND("arcass",A86))=FALSE,ISERROR(FIND("ost corner",A86))=TRUE),IF(AND(VALUE(B86)&lt;1211,VALUE(C86)&lt;1211,VALUE(D86)&lt;606),1*VLOOKUP(WardrobeCarcassMaterial,SheetsData,5,FALSE),IF(AND(VALUE(B86)&lt;2421,VALUE(C86)&lt;2421,VALUE(D86)&lt;606),2*VLOOKUP(WardrobeCarcassMaterial,SheetsData,5,FALSE),IF(AND(VALUE(B86)&lt;2421,VALUE(C86)&lt;1211,VALUE(D86)&lt;1211),3*VLOOKUP(WardrobeCarcassMaterial,SheetsData,5,FALSE),IF(AND(VALUE(B86)&lt;2421,VALUE(C86)&lt;2421,VALUE(D86)&lt;1211),4*VLOOKUP(WardrobeCarcassMaterial,SheetsData,5,FALSE))))),IF(AND(ISERROR(FIND("arcass",A86))=FALSE,ISERROR(FIND("ost corner",A86))=FALSE),IF(AND(VALUE(B86)&lt;1211,VALUE(C86)&lt;1211,VALUE(D86)&lt;606),(1*VLOOKUP(WardrobeCarcassMaterial,SheetsData,5,FALSE))+(VLOOKUP("H/F (22mm)",SheetsData,7,FALSE)*1.44),IF(AND(VALUE(B86)&lt;2421,VALUE(C86)&lt;2421,VALUE(D86)&lt;606),(2*VLOOKUP(WardrobeCarcassMaterial,SheetsData,5,FALSE))+(VLOOKUP("H/F (22mm)",SheetsData,7,FALSE)*1.44),IF(AND(VALUE(B86)&lt;2421,VALUE(C86)&lt;1211,VALUE(D86)&lt;1211),(3*VLOOKUP(WardrobeCarcassMaterial,SheetsData,5,FALSE))+(VLOOKUP("H/F (22mm)",SheetsData,7,FALSE)*1.44),IF(AND(VALUE(B86)&lt;2421,VALUE(C86)&lt;2421,VALUE(D86)&lt;1211),(4*VLOOKUP(WardrobeCarcassMaterial,SheetsData,5,FALSE))+(VLOOKUP("H/F (22mm)",SheetsData,7,FALSE)*1.44))))),IF(ISERROR(FIND("drawer front",A86))=FALSE,((B86/1000)*(C86/1000))*VLOOKUP(WardrobeDoorMaterial,SheetsData,8,0),IF(AND(WardrobeDrawerType="Match carcass",ISERROR(FIND("drawer box",A86))=FALSE),(((((B86/1000)*(C86/1000))+((B86/1000)*(D86/1000)))*2)*VLOOKUP(WardrobeCarcassMaterial,SheetsData,8,0))+(((C86/1000)*(D86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box",A86))=FALSE),(((((B86/1000)*(C86/1000))+((B86/1000)*(D86/1000)))*2)*(16/1000)*VLOOKUP(LEFT(WardrobeCarcassMaterial,FIND(" ",WardrobeCarcassMaterial))&amp;"(solid m3)",SolidData,4,0))+(((C86/1000)*(D86/1000))*VLOOKUP(LEFT(WardrobeCarcassMaterial,FIND("(",WardrobeCarcassMaterial)-1)&amp;IF(OR(ISERROR(FIND("ply",WardrobeCarcassMaterial))=FALSE,ISERROR(FIND("H/F",WardrobeCarcassMaterial))=FALSE),"(9mm)","(10mm)"),SheetsData,8,0)),IF(ISERROR(FIND("shelf",A86))=FALSE,((C86/1000)*(D86/1000))*VLOOKUP(WardrobeCarcassMaterial,SheetsData,7,FALSE),IF(ISERROR(FIND("Office pod",A86))=FALSE,3*VLOOKUP(WardrobeCarcassMaterial,SheetsData,5,0),IF(ISERROR(FIND(" panel",A86))=FALSE,((B86/1000)*(C86/1000))*VLOOKUP(WardrobeDoorMaterial,SheetsData,8,0),IF(ISERROR(FIND("Fillers",A86))=FALSE,(((0.06*(C86/1000))*2)*VLOOKUP("H/F (18mm)",SheetsData,8,0))+(((0.06*(C86/1000))*2)*VLOOKUP("H/F (9mm)",SheetsData,8,0)),IF(ISERROR(FIND("Cornice (stacked)",A86))=FALSE,((0.08*(C86/1000))*2)*VLOOKUP("H/F (22mm)",SheetsData,8,0),IF(OR(ISERROR(FIND("Plinth",A86))=FALSE,ISERROR(FIND("Cornice (flat)",A86))=FALSE),((B86/1000)*(C86/1000))*VLOOKUP("H/F (18mm)",SheetsData,8,0),IF(ISERROR(FIND("Pelmet",A86))=FALSE,((((B86/1000)*(C86/1000))*2)*VLOOKUP("H/F (18mm)",SheetsData,8,0)),IF(ISERROR(FIND("Fireplace",A86))=FALSE,IF(ISERROR(FIND("over 1600",A86))=FALSE,2*VLOOKUP(WardrobeCarcassMaterial,SheetsData,5,FALSE),VLOOKUP(WardrobeCarcassMaterial,SheetsData,5,FALSE)),IF(ISERROR(FIND("table",A86))=FALSE,((B86/1000)*0.6)*VLOOKUP("Birch ply (24mm)",SheetsData,7,FALSE),IF(ISERROR(FIND("Worktop",A86))=FALSE,((B86/1000)*(C86/1000))*VLOOKUP(WardrobeDoorMaterial,SheetsData,7,FALSE),"Check formula")))))))))))))))))</f>
        <v/>
      </c>
      <c r="F86" s="152" t="str">
        <f>IFERROR(__xludf.DUMMYFUNCTION("IF(OR(A86="""",AND(ISERROR(FIND(""drawer box"",A86))=FALSE,WardrobeDrawerType=""Solid dovetail"")),"""",IF(ISERROR(FIND(""bins"",A86))=FALSE,VLOOKUP(""Base carcass 600"",Wardrobes_etcData,6,0),IF(OR(ISERROR(FIND(""larder"",A86))=FALSE,ISERROR(FIND(""unit"&amp;""",A86))=FALSE),VLOOKUP(LEFT(A86,FIND("" "",A86))&amp;""carcass ""&amp;RIGHT(A86,LEN(A86)-len(regexextract(A86,"".* ""))),Wardrobes_etcData,6,0),IF(ISERROR(FIND(""drawer front"",A86))=FALSE,IF(ISERROR(FIND(""veneer"",WardrobeCarcassMaterial))=TRUE,0,(((B86+C86)/1"&amp;"000)*2)*VLOOKUP(""Edge banding (per M)"",SheetsData,5,0)),IF(ISERROR(FIND(""drawer box"",A86))=FALSE,IF(ISERROR(FIND(""veneer"",WardrobeCarcassMaterial))=TRUE,0,(((C86+D86)/1000)*2)*VLOOKUP(""Edge banding (per M)"",SheetsData,5,0)),IF(ISERROR(FIND(""shelf"&amp;""",A86))=FALSE,IF(ISERROR(FIND(""veneer"",WardrobeCarcassMaterial))=TRUE,0,(C86/1000)*VLOOKUP(""Edge banding (per M)"",SheetsData,5,0)),IF(AND(OR(ISERROR(FIND(""arcass"",A86))=FALSE,ISERROR(FIND(""Fireplace"",A86))=FALSE),ISERROR(FIND(""shelf"",A86))=TRUE"&amp;"),IF(ISERROR(FIND(""veneer"",WardrobeCarcassMaterial))=TRUE,0,((2*(B86+C86))/1000)*VLOOKUP(""Edge banding (per M)"",SheetsData,5,0)),IF(ISERROR(FIND(""door"",A86))=TRUE,"""",IF(ISERROR(FIND(""veneer"",WardrobeDoorMaterial))=TRUE,"""",((2*(B86+C86))/1000)*"&amp;"VLOOKUP(""Edge banding (per M)"",SheetsData,5,0))))))))))"),"")</f>
        <v/>
      </c>
      <c r="G86" s="153" t="str">
        <f>IF(A86="","",IF(AND(ISERROR(FIND("arcass",A86))=TRUE,ISERROR(FIND("Fireplace",A86))=TRUE),"",IF(VALUE(C86)&lt;606,4*VLOOKUP("Plinth foot (2 Parts 80mm)",FurnitureData,5,FALSE),IF(VALUE(C86)&lt;1211,6*VLOOKUP("Plinth foot (2 Parts 80mm)",FurnitureData,5,FALSE),8*VLOOKUP("Plinth foot (2 Parts 80mm)",FurnitureData,5,FALSE)))))</f>
        <v/>
      </c>
      <c r="H86" s="115" t="str">
        <f>IF(OR(A86="",ISERROR(FIND("door",A86))=TRUE),"",VLOOKUP("Hinges &amp; plates (Hettich thick door)",FurnitureData,5,0)*5)</f>
        <v/>
      </c>
      <c r="I86" s="115" t="str">
        <f>IF(ISERROR(FIND("shelf",A86))=FALSE,(VLOOKUP("Shelf pegs",FurnitureData,5,0)/100)*4,"")</f>
        <v/>
      </c>
      <c r="J86" s="152" t="str">
        <f>IF(OR(ISERROR(FIND("fridge/freezer",A86))=FALSE,ISERROR(FIND("sink",A86))=FALSE,ISERROR(FIND("larder",A86))=FALSE),VLOOKUP("Deep shelf "&amp;C86,Wardrobes_etcData,18,0),IF(OR(ISERROR(FIND("single oven",A86))=FALSE,ISERROR(FIND("Base carcass",A86))=FALSE),2*VLOOKUP("Deep shelf "&amp;C86,Wardrobes_etcData,18,0),IF(AND(ISERROR(FIND("wall carcass",A86))=FALSE,ISERROR(FIND("Boiler",A86))=TRUE),2*VLOOKUP("Shallow shelf "&amp;C86,Wardrobes_etcData,18,0),IF(ISERROR(FIND("double oven",A86))=FALSE,3*VLOOKUP("Deep shelf "&amp;C86,Wardrobes_etcData,18,0),IF(ISERROR(FIND("Tower carcass",A86))=FALSE,6*VLOOKUP("Deep shelf "&amp;C86,Wardrobes_etcData,18,0),"")))))</f>
        <v/>
      </c>
      <c r="K86" s="152" t="str">
        <f>IF(ISERROR(FIND("sink",A86))=FALSE,VLOOKUP("Sink liner - Aluminium "&amp;RIGHT(A86,LEN(A86)-22)&amp;"mm",ExceptionalData,5,0),IF(ISERROR(FIND("bins",A86))=FALSE,VLOOKUP("Drawer runners and clip set for bin unit (500) Dynapro",FurnitureData,5,0)+(2*VLOOKUP("Bin (42L Anthracite)",FurnitureData,5,0)),IF(ISERROR(FIND("larder",A86))=FALSE,VLOOKUP("Pull out larder unit 600mm",FurnitureData,5,0),IF(AND(ISERROR(FIND("drawer box",A86))=FALSE,ISERROR(FIND("internal",A86))=TRUE),VLOOKUP("Drawer runners and clip set (550) Dynapro",FurnitureData,5,0),IF(ISERROR(FIND("internal drawer box",A86))=FALSE,VLOOKUP("Drawer runners and clip set (450) Dynapro",FurnitureData,5,0),IF(ISERROR(FIND("table",A86))=FALSE,VLOOKUP("Hairpin Leg (12mm Black "&amp;MID(A86,FIND("(",A86)+1,LEN(A86)-(FIND("(",A86))-1)&amp;"mm)",ExceptionalData,4,FALSE),""))))))</f>
        <v/>
      </c>
      <c r="L86" s="152" t="str">
        <f t="shared" si="3"/>
        <v/>
      </c>
      <c r="M86" s="154" t="str">
        <f>IF(A86="","",IF(AND(ISERROR(FIND("drawer front",A86))=FALSE,WardrobeDoorStyle="Flat"),(((B86/1000)*(C86/1000))*2)+((((B86+C86)/1000)*2)*0.022),IF(AND(ISERROR(FIND("drawer front",A86))=FALSE,LEFT(WardrobeDoorStyle,5)="Panel"),(((B86/1000)*(C86/1000))*2)+((((B86+C86)/1000)*2)*0.022)+((((C86/1000)-0.16)*0.013)*2)+((((D86/1000)-0.16)*0.013)*2),IF(AND(ISERROR(FIND("drawer front",A86))=FALSE,WardrobeDoorStyle="In-frame flat"),((((B86-76)/1000)*((C86-38)/1000))*2)+(MID(WardrobeDoorMaterial,FIND("(",WardrobeDoorMaterial)+1,2)/1000)*((((B86-76)+(C86-38))/1000)*2)+(((B86/1000)*0.032)*2)+((((B86-76)/1000)*0.032)*2)+(((B86/1000)*0.019)*4)+(((C86/1000)*0.032)*2)+((((C86-38)/1000)*0.032)*2)+(((C86/1000)*0.038)*4),IF(AND(ISERROR(FIND("drawer front",A86))=FALSE,LEFT(WardrobeDoorStyle,14)="In-frame panel"),((((B86-76)/1000)*((C86-38)/1000))*2)+((MID(WardrobeDoorMaterial,FIND("(",WardrobeDoorMaterial)+1,2)/1000)*((((B86-76)+(C86-38))/1000)*2))+((((B86-236)/1000)+((C86-198)/1000)*2)*0.013)+(((B86/1000)*0.032)*2)+((((B86-76)/1000)*0.032)*2)+(((B86/1000)*0.019)*4)+(((C86/1000)*0.032)*2)+((((C86-38)/1000)*0.032)*2)+(((C86/1000)*0.038)*4),IF(ISERROR(FIND("drawer box",A86))=FALSE,((((B86/1000)*(D86/1000))+((B86/1000)*(C86/1000)))*4)+((((D86/1000)+(C86/1000))*0.016)*4)+(((C86/1000)*(D86/1000))*2),IF(OR(ISERROR(FIND("shelf",A86))=FALSE,ISERROR(FIND("Filler panel",A86))=FALSE),(((C86/1000)*(D86/1000))*2)+((((C86+D86)*2)/1000)*0.022),IF(ISERROR(FIND("Fireplace",A86))=FALSE,((B86/1000)*(C86/1000)),IF(ISERROR(FIND("Worktop",A86))=FALSE,(B86/1000)*(C86/1000),IF(ISERROR(FIND("table",A86))=FALSE,(B86/1000)*0.6,IF(ISERROR(FIND("arcass",A86))=FALSE,(((C86/1000)*(D86/1000))*2)+(((B86/1000)*(D86/1000))*2)+((B86/1000)*(C86/1000))+((((B86/1000)*0.025)+((C86/1000)*0.025))*2),IF(AND(ISERROR(FIND("door",A86))=FALSE,WardrobeDoorStyle="Flat"),(((B86/1000)*(C86/1000))*2)+(MID(WardrobeDoorMaterial,FIND("(",WardrobeDoorMaterial)+1,2)/1000)*(((B86+C86)/1000)*2),IF(AND(ISERROR(FIND("door",A86))=FALSE,LEFT(WardrobeDoorStyle,5)="Panel"),(((B86/1000)*(C86/1000))*2)+((MID(WardrobeDoorMaterial,FIND("(",WardrobeDoorMaterial)+1,2)/1000)*(((B86+C86)/1000)*2))+(((((B86-160)+(C86-160))*2)/1000)*(0.013)),IF(AND(ISERROR(FIND("door",A86))=FALSE,WardrobeDoorStyle="In-frame flat"),((((B86-76)/1000)*((C86-38)/1000))*2)+(MID(WardrobeDoorMaterial,FIND("(",WardrobeDoorMaterial)+1,2)/1000)*((((B86-76)+(C86-38))/1000)*2)+(((B86/1000)*0.032)*2)+((((B86-76)/1000)*0.032)*2)+(((B86/1000)*0.019)*4)+(((C86/1000)*0.032)*2)+((((C86-38)/1000)*0.032)*2)+(((C86/1000)*0.038)*4),IF(AND(ISERROR(FIND("door",A86))=FALSE,LEFT(WardrobeDoorStyle,14)="In-frame panel"),((((B86-76)/1000)*((C86-38)/1000))*2)+((MID(WardrobeDoorMaterial,FIND("(",WardrobeDoorMaterial)+1,2)/1000)*((((B86-76)+(C86-38))/1000)*2))+((((B86-236)/1000)+((C86-198)/1000)*2)*0.013)+(((B86/1000)*0.032)*2)+((((B86-76)/1000)*0.032)*2)+(((B86/1000)*0.019)*4)+(((C86/1000)*0.032)*2)+((((C86-38)/1000)*0.032)*2)+(((C86/1000)*0.038)*4),IF(ISERROR(FIND("Plinth",A86))=FALSE,((B86/1000)*(C86/1000))+(((C86/1000)*0.018)*2)+(((B86/1000)*0.018)*2),IF(ISERROR(FIND("Cornice",A86))=FALSE,(((C86/1000)*0.1)*2)+(((C86/1000)*0.044)*2)+(((B86/1000)*0.08)*2),IF(ISERROR(FIND("Office pod",A86))=FALSE,((2400/1000)*(1200/1000))*6,IF(ISERROR(FIND("panel",A86))=FALSE,((B86/1000)*(C86/1000))+(0.022*((B86/1000)+((C86/1000)*2)))+((B86/1000)*0.05),IF(ISERROR(FIND("Fillers",A86))=FALSE,((C86/1000)*0.06)+((C86/1000)*0.069)+((0.06*0.018)*2)+((0.06*0.009)*2)+((C86/1000)*0.009)+((C86/1000)*0.018),IF(ISERROR(FIND("Pelmet",A86))=FALSE,((C86/1000)*0.05)+((C86/1000)*0.068)+((0.05*0.018)*4)+(((C86/1000)*0.018))*2)))))))))))))))))))))</f>
        <v/>
      </c>
      <c r="N86" s="152" t="str">
        <f>IF(M86="","",IF(AND(ISERROR(FIND("carcass",A86))=TRUE,ISERROR(FIND("unit",A86))=TRUE,ISERROR(FIND("insert",A86))=TRUE,ISERROR(FIND("rack",A86))=TRUE,ISERROR(FIND("box",A86))=TRUE,ISERROR(FIND("shelf",A86))=TRUE),VLOOKUP(WardrobeDoorFinish,Finishing!$A$2:$K$10,9,0)*M86,IF(ISERROR(FIND("table",A86))=FALSE,VLOOKUP("Sayerlack AF0072 Interior Clear Self-Sealer",FinishingData,9,FALSE)*M86,VLOOKUP(WardrobeCarcassFinish,Finishing!$A$2:$K$40,9,0)*M86)))</f>
        <v/>
      </c>
      <c r="O86" s="159"/>
      <c r="P86" s="159"/>
      <c r="Q86" s="152" t="str">
        <f>IF(OR(O86="",P86=""),"",((O86*X86)*(VLOOKUP("Workshop",Labour!$A$3:$E$20,4,0)/8))+((P86*AE86)*(VLOOKUP("Finishing",Labour!$A$3:$E$20,4,0)/8)))</f>
        <v/>
      </c>
      <c r="R86" s="152" t="str">
        <f t="shared" si="4"/>
        <v/>
      </c>
      <c r="S86" s="156" t="str">
        <f>IF(OR(O86="",P86=""),"",IF(OR(ISERROR(FIND("carcass",$A86))=FALSE,ISERROR(FIND("unit",$A86))=FALSE),VLOOKUP(WardrobeCarcassMaterial,FixedListsCarcassMaterial,2,0),0))</f>
        <v/>
      </c>
      <c r="T86" s="156" t="str">
        <f>IF(OR(O86="",P86=""),"",IF(ISERROR(FIND("door",$A86))=FALSE,VLOOKUP(WardrobeDoorStyle,FixedListsDoorStyle,2,0),0))</f>
        <v/>
      </c>
      <c r="U86" s="156" t="str">
        <f>IF(OR(O86="",P86=""),"",IF(ISERROR(FIND("door",$A86))=FALSE,VLOOKUP(WardrobeDoorMaterial,FixedListsDoorMaterial,2,0),0))</f>
        <v/>
      </c>
      <c r="V86" s="156" t="str">
        <f>IF(OR(O86="",P86=""),"",IF(ISERROR(FIND("drawer",$A86))=FALSE,VLOOKUP(WardrobeDrawerType,FixedListsDrawerType,2,0),0))</f>
        <v/>
      </c>
      <c r="W86" s="156" t="str">
        <f>IF(OR(O86="",P86=""),"",IF(S86&gt;0,VLOOKUP(WardrobeHandleType,FixedListsHandleType,2,FALSE),0))</f>
        <v/>
      </c>
      <c r="X86" s="156" t="str">
        <f t="shared" si="5"/>
        <v/>
      </c>
      <c r="Y86" s="156" t="str">
        <f>IF(OR(O86="",P86=""),"",IF(OR(ISERROR(FIND("carcass",$A86))=FALSE,ISERROR(FIND("unit",$A86))=FALSE),VLOOKUP(WardrobeCarcassMaterial,FixedListsCarcassMaterial,3,0),0))</f>
        <v/>
      </c>
      <c r="Z86" s="156" t="str">
        <f>IF(OR(O86="",P86=""),"",IF(ISERROR(FIND("door",$A86))=FALSE,VLOOKUP(WardrobeDoorStyle,FixedListsDoorStyle,3,0),0))</f>
        <v/>
      </c>
      <c r="AA86" s="156" t="str">
        <f>IF(OR(O86="",P86=""),"",IF(ISERROR(FIND("door",$A86))=FALSE,VLOOKUP(WardrobeDoorMaterial,FixedListsDoorMaterial,3,0),0))</f>
        <v/>
      </c>
      <c r="AB86" s="156" t="str">
        <f>IF(OR(O86="",P86=""),"",IF(ISERROR(FIND("drawer",$A86))=FALSE,VLOOKUP(WardrobeDrawerType,FixedListsDrawerType,3,0),0))</f>
        <v/>
      </c>
      <c r="AC86" s="156" t="str">
        <f>IF(OR(O86="",P86=""),"",IF(S86&gt;0,VLOOKUP(WardrobeHandleType,FixedListsHandleType,3,FALSE),0))</f>
        <v/>
      </c>
      <c r="AD86" s="156" t="str">
        <f>IF(OR(O86="",P86=""),"",IF(OR(ISERROR(FIND("carcass",$A86))=FALSE,ISERROR(FIND("unit",$A86))=FALSE),VLOOKUP(WardrobeCarcassFinish,FixedListsFinishes,3,0),IF(OR(ISERROR(FIND("door",$A86))=FALSE,ISERROR(FIND("Plinth",$A86))=FALSE,ISERROR(FIND("Cornice",$A86))=FALSE,ISERROR(FIND("Fillers",$A86))=FALSE,ISERROR(FIND("Pelmet",$A86))=FALSE,ISERROR(FIND("panel",$A86))=FALSE,ISERROR(FIND("post",$A86))=FALSE),VLOOKUP(WardrobeDoorFinish,FixedListsFinishes,3,0),IF(OR(ISERROR(FIND("drawer",$A86))=FALSE,ISERROR(FIND("insert",$A86))=FALSE,ISERROR(FIND("rck",$A86))=FALSE),VLOOKUP(WardrobeCarcassFinish,FixedListsFinishes,3,0),0))))</f>
        <v/>
      </c>
      <c r="AE86" s="156" t="str">
        <f t="shared" si="6"/>
        <v/>
      </c>
      <c r="AF86" s="157" t="str">
        <f>IF(AND(WardrobeHandleType="Channel",OR(ISERROR(FIND("arcass",$A86))=FALSE,ISERROR(FIND("unit",$A86))=FALSE)),IF(ISERROR(FIND("Tower",$A86))=TRUE,IF(WardrobeHandleFinish="Match carcass",IF(ISERROR(FIND("Walnut",WardrobeCarcassMaterial))=FALSE,(0.035*0.075*($C86/1000))*VLOOKUP("Walnut (solid m3)",SolidData,4,FALSE),IF(ISERROR(FIND("Oak",WardrobeCarcassMaterial))=FALSE,(0.035*0.075*($C86/1000))*VLOOKUP("Oak (solid m3)",SolidData,4,FALSE),IF(ISERROR(FIND("ply",WardrobeCarcassMaterial))=FALSE,(0.1*($C86/1000))*VLOOKUP("Birch ply (24mm)",SheetsData,7,FALSE),IF(ISERROR(FIND("H/F",WardrobeCarcassMaterial))=FALSE,(0.1*($C86/1000))*VLOOKUP("H/F (22mm)",SheetsData,7,FALSE),"Carcass - not tower - new material")))),IF(WardrobeHandleFinish="Match door",IF(ISERROR(FIND("Walnut",WardrobeDoorMaterial))=FALSE,(0.035*0.075*($C86/1000))*VLOOKUP("Walnut (solid m3)",SolidData,4,FALSE),IF(ISERROR(FIND("Oak",WardrobeDoorMaterial))=FALSE,(0.035*0.075*($C86/1000))*VLOOKUP("Oak (solid m3)",SolidData,4,FALSE),IF(ISERROR(FIND("ply",WardrobeDoorMaterial))=FALSE,(0.1*($C86/1000))*VLOOKUP("Birch ply (24mm)",SheetsData,7,FALSE),IF(ISERROR(FIND("H/F",WardrobeCarcassMaterial))=FALSE,(0.1*($C86/1000))*VLOOKUP("H/F (22mm)",SheetsData,7,FALSE),"Door - not tower - new material")))),"Channel - not tower - handle set to other")),IF(ISERROR(FIND("Tower",$A86))=FALSE,IF(WardrobeHandleFinish="Match carcass",IF(ISERROR(FIND("Walnut",WardrobeCarcassMaterial))=FALSE,(0.035*0.075*($B86/1000))*VLOOKUP("Walnut (solid m3)",SolidData,4,FALSE),IF(ISERROR(FIND("Oak",WardrobeCarcassMaterial))=FALSE,(0.035*0.075*($B86/1000))*VLOOKUP("Oak (solid m3)",SolidData,4,FALSE),IF(ISERROR(FIND("ply",WardrobeCarcassMaterial))=FALSE,(0.1*($B86/1000))*VLOOKUP("Birch ply (24mm)",SheetsData,7,FALSE),IF(ISERROR(FIND("H/F",WardrobeCarcassMaterial))=FALSE,(0.1*($C86/1000))*VLOOKUP("H/F (22mm)",SheetsData,7,FALSE),"Carcass - tower - new material")))),IF(WardrobeHandleFinish="Match door",IF(ISERROR(FIND("Walnut",WardrobeDoorMaterial))=FALSE,(0.035*0.075*($B86/1000))*VLOOKUP("Walnut (solid m3)",SolidData,4,FALSE),IF(ISERROR(FIND("Oak",WardrobeDoorMaterial))=FALSE,(0.035*0.075*($B86/1000))*VLOOKUP("Oak (solid m3)",SolidData,4,FALSE),IF(ISERROR(FIND("ply",WardrobeDoorMaterial))=FALSE,(0.1*($B86/1000))*VLOOKUP("Birch ply (24mm)",SheetData,7,FALSE),IF(ISERROR(FIND("H/F",WardrobeCarcassMaterial))=FALSE,(0.1*($C86/1000))*VLOOKUP("H/F (22mm)",SheetsData,7,FALSE),"Door - tower - new material")))),"Channel - tower - handle set to other")))),"")</f>
        <v/>
      </c>
    </row>
    <row r="87">
      <c r="A87" s="150"/>
      <c r="B87" s="160" t="str">
        <f t="shared" si="1"/>
        <v/>
      </c>
      <c r="C87" s="160" t="str">
        <f>IFERROR(__xludf.DUMMYFUNCTION("IF(A87="""","""",IF(ISERROR(FIND(""arcass"",A87))=FALSE,MID(A87,FIND(""*"",A87)+1,FIND(""*"",A87,FIND(""*"",A87)+1)-FIND(""*"",A87)-1),IF(ISERROR(FIND(""End panel"",A87))=FALSE,RIGHT(A87,3),IF(OR(ISERROR(FIND(""drawer"",A87))=FALSE,ISERROR(FIND(""door"",A"&amp;"87))=FALSE,ISERROR(FIND(""shelf"",A87))=FALSE,ISERROR(FIND(""panel"",A87))=FALSE,ISERROR(FIND(""Plinth"",A87))=FALSE,ISERROR(FIND(""Cornice"",A87))=FALSE,ISERROR(FIND(""Fillers"",A87))=FALSE,ISERROR(FIND(""Pelmet"",A87))=FALSE,ISERROR(FIND(""Fireplace up "&amp;"to 1600"",A87))=FALSE),RIGHT(A87,LEN(A87)-LEN(regexextract(A87,"".* ""))),IF(ISERROR(FIND(""table"",A87))=FALSE,""560"",IF(ISERROR(FIND(""Office pod"",A87))=FALSE,""1600"",IF(ISERROR(FIND(""Fireplace over 1600"",A87))=FALSE,""2400"",IF(ISERROR(FIND(""Work"&amp;"top"",A87))=FALSE,""650"",""Whoops""))))))))"),"")</f>
        <v/>
      </c>
      <c r="D87" s="161" t="str">
        <f t="shared" si="2"/>
        <v/>
      </c>
      <c r="E87" s="152" t="str">
        <f>IF(OR(A87="",AND(ISERROR(FIND("drawer",A87))=FALSE,WardrobeDrawerType="")),"",IF(ISERROR(FIND("door",A87))=FALSE,IF(WardrobeDoorStyle="Flat",((B87/1000)*(C87/1000))*VLOOKUP(WardrobeDoorMaterial,SheetsData,8,0),IF(LEFT(WardrobeDoorStyle,5)="Panel",(((((B87/1000)*2)*0.08)+((((C87/1000)-0.16)*2)*0.08))*VLOOKUP("H/F (22mm)",SheetsData,8,0))+(((B87/1000)-0.14)*((C87/1000)-0.14)*VLOOKUP("H/F (9mm)",SheetsData,8,0)),IF(WardrobeDoorStyle="In-frame flat",((((((B87/1000)*0.019)*0.038)+((((C87-38)/1000)*0.038)*0.038))*2)*VLOOKUP("Tulip (solid m3)",SolidData,4,0))+(((B87-76)/1000)*((C87-38)/1000))*VLOOKUP("H/F (22mm)",SheetsData,8,0),IF(LEFT(WardrobeDoorStyle,14)="In-frame panel",(((((((B87/1000)*0.019)*0.038)+((((C87-38)/1000)*0.038)*0.038))*2)*VLOOKUP("Tulip (solid m3)",SolidData,4,0))+(((((((B87-76)/1000)*2)*0.08)+(((((C87-198)/1000)*2)*0.08)))*VLOOKUP("H/F (22mm)",SheetsData,8,0))+(((B87-216)/1000)*((C87-178)/1000)*VLOOKUP("H/F (9mm)",SheetsData,8,0)))))))),IF(AND(ISERROR(FIND("arcass",A87))=FALSE,ISERROR(FIND("ost corner",A87))=TRUE),IF(AND(VALUE(B87)&lt;1211,VALUE(C87)&lt;1211,VALUE(D87)&lt;606),1*VLOOKUP(WardrobeCarcassMaterial,SheetsData,5,FALSE),IF(AND(VALUE(B87)&lt;2421,VALUE(C87)&lt;2421,VALUE(D87)&lt;606),2*VLOOKUP(WardrobeCarcassMaterial,SheetsData,5,FALSE),IF(AND(VALUE(B87)&lt;2421,VALUE(C87)&lt;1211,VALUE(D87)&lt;1211),3*VLOOKUP(WardrobeCarcassMaterial,SheetsData,5,FALSE),IF(AND(VALUE(B87)&lt;2421,VALUE(C87)&lt;2421,VALUE(D87)&lt;1211),4*VLOOKUP(WardrobeCarcassMaterial,SheetsData,5,FALSE))))),IF(AND(ISERROR(FIND("arcass",A87))=FALSE,ISERROR(FIND("ost corner",A87))=FALSE),IF(AND(VALUE(B87)&lt;1211,VALUE(C87)&lt;1211,VALUE(D87)&lt;606),(1*VLOOKUP(WardrobeCarcassMaterial,SheetsData,5,FALSE))+(VLOOKUP("H/F (22mm)",SheetsData,7,FALSE)*1.44),IF(AND(VALUE(B87)&lt;2421,VALUE(C87)&lt;2421,VALUE(D87)&lt;606),(2*VLOOKUP(WardrobeCarcassMaterial,SheetsData,5,FALSE))+(VLOOKUP("H/F (22mm)",SheetsData,7,FALSE)*1.44),IF(AND(VALUE(B87)&lt;2421,VALUE(C87)&lt;1211,VALUE(D87)&lt;1211),(3*VLOOKUP(WardrobeCarcassMaterial,SheetsData,5,FALSE))+(VLOOKUP("H/F (22mm)",SheetsData,7,FALSE)*1.44),IF(AND(VALUE(B87)&lt;2421,VALUE(C87)&lt;2421,VALUE(D87)&lt;1211),(4*VLOOKUP(WardrobeCarcassMaterial,SheetsData,5,FALSE))+(VLOOKUP("H/F (22mm)",SheetsData,7,FALSE)*1.44))))),IF(ISERROR(FIND("drawer front",A87))=FALSE,((B87/1000)*(C87/1000))*VLOOKUP(WardrobeDoorMaterial,SheetsData,8,0),IF(AND(WardrobeDrawerType="Match carcass",ISERROR(FIND("drawer box",A87))=FALSE),(((((B87/1000)*(C87/1000))+((B87/1000)*(D87/1000)))*2)*VLOOKUP(WardrobeCarcassMaterial,SheetsData,8,0))+(((C87/1000)*(D87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box",A87))=FALSE),(((((B87/1000)*(C87/1000))+((B87/1000)*(D87/1000)))*2)*(16/1000)*VLOOKUP(LEFT(WardrobeCarcassMaterial,FIND(" ",WardrobeCarcassMaterial))&amp;"(solid m3)",SolidData,4,0))+(((C87/1000)*(D87/1000))*VLOOKUP(LEFT(WardrobeCarcassMaterial,FIND("(",WardrobeCarcassMaterial)-1)&amp;IF(OR(ISERROR(FIND("ply",WardrobeCarcassMaterial))=FALSE,ISERROR(FIND("H/F",WardrobeCarcassMaterial))=FALSE),"(9mm)","(10mm)"),SheetsData,8,0)),IF(ISERROR(FIND("shelf",A87))=FALSE,((C87/1000)*(D87/1000))*VLOOKUP(WardrobeCarcassMaterial,SheetsData,7,FALSE),IF(ISERROR(FIND("Office pod",A87))=FALSE,3*VLOOKUP(WardrobeCarcassMaterial,SheetsData,5,0),IF(ISERROR(FIND(" panel",A87))=FALSE,((B87/1000)*(C87/1000))*VLOOKUP(WardrobeDoorMaterial,SheetsData,8,0),IF(ISERROR(FIND("Fillers",A87))=FALSE,(((0.06*(C87/1000))*2)*VLOOKUP("H/F (18mm)",SheetsData,8,0))+(((0.06*(C87/1000))*2)*VLOOKUP("H/F (9mm)",SheetsData,8,0)),IF(ISERROR(FIND("Cornice (stacked)",A87))=FALSE,((0.08*(C87/1000))*2)*VLOOKUP("H/F (22mm)",SheetsData,8,0),IF(OR(ISERROR(FIND("Plinth",A87))=FALSE,ISERROR(FIND("Cornice (flat)",A87))=FALSE),((B87/1000)*(C87/1000))*VLOOKUP("H/F (18mm)",SheetsData,8,0),IF(ISERROR(FIND("Pelmet",A87))=FALSE,((((B87/1000)*(C87/1000))*2)*VLOOKUP("H/F (18mm)",SheetsData,8,0)),IF(ISERROR(FIND("Fireplace",A87))=FALSE,IF(ISERROR(FIND("over 1600",A87))=FALSE,2*VLOOKUP(WardrobeCarcassMaterial,SheetsData,5,FALSE),VLOOKUP(WardrobeCarcassMaterial,SheetsData,5,FALSE)),IF(ISERROR(FIND("table",A87))=FALSE,((B87/1000)*0.6)*VLOOKUP("Birch ply (24mm)",SheetsData,7,FALSE),IF(ISERROR(FIND("Worktop",A87))=FALSE,((B87/1000)*(C87/1000))*VLOOKUP(WardrobeDoorMaterial,SheetsData,7,FALSE),"Check formula")))))))))))))))))</f>
        <v/>
      </c>
      <c r="F87" s="152" t="str">
        <f>IFERROR(__xludf.DUMMYFUNCTION("IF(OR(A87="""",AND(ISERROR(FIND(""drawer box"",A87))=FALSE,WardrobeDrawerType=""Solid dovetail"")),"""",IF(ISERROR(FIND(""bins"",A87))=FALSE,VLOOKUP(""Base carcass 600"",Wardrobes_etcData,6,0),IF(OR(ISERROR(FIND(""larder"",A87))=FALSE,ISERROR(FIND(""unit"&amp;""",A87))=FALSE),VLOOKUP(LEFT(A87,FIND("" "",A87))&amp;""carcass ""&amp;RIGHT(A87,LEN(A87)-len(regexextract(A87,"".* ""))),Wardrobes_etcData,6,0),IF(ISERROR(FIND(""drawer front"",A87))=FALSE,IF(ISERROR(FIND(""veneer"",WardrobeCarcassMaterial))=TRUE,0,(((B87+C87)/1"&amp;"000)*2)*VLOOKUP(""Edge banding (per M)"",SheetsData,5,0)),IF(ISERROR(FIND(""drawer box"",A87))=FALSE,IF(ISERROR(FIND(""veneer"",WardrobeCarcassMaterial))=TRUE,0,(((C87+D87)/1000)*2)*VLOOKUP(""Edge banding (per M)"",SheetsData,5,0)),IF(ISERROR(FIND(""shelf"&amp;""",A87))=FALSE,IF(ISERROR(FIND(""veneer"",WardrobeCarcassMaterial))=TRUE,0,(C87/1000)*VLOOKUP(""Edge banding (per M)"",SheetsData,5,0)),IF(AND(OR(ISERROR(FIND(""arcass"",A87))=FALSE,ISERROR(FIND(""Fireplace"",A87))=FALSE),ISERROR(FIND(""shelf"",A87))=TRUE"&amp;"),IF(ISERROR(FIND(""veneer"",WardrobeCarcassMaterial))=TRUE,0,((2*(B87+C87))/1000)*VLOOKUP(""Edge banding (per M)"",SheetsData,5,0)),IF(ISERROR(FIND(""door"",A87))=TRUE,"""",IF(ISERROR(FIND(""veneer"",WardrobeDoorMaterial))=TRUE,"""",((2*(B87+C87))/1000)*"&amp;"VLOOKUP(""Edge banding (per M)"",SheetsData,5,0))))))))))"),"")</f>
        <v/>
      </c>
      <c r="G87" s="153" t="str">
        <f>IF(A87="","",IF(AND(ISERROR(FIND("arcass",A87))=TRUE,ISERROR(FIND("Fireplace",A87))=TRUE),"",IF(VALUE(C87)&lt;606,4*VLOOKUP("Plinth foot (2 Parts 80mm)",FurnitureData,5,FALSE),IF(VALUE(C87)&lt;1211,6*VLOOKUP("Plinth foot (2 Parts 80mm)",FurnitureData,5,FALSE),8*VLOOKUP("Plinth foot (2 Parts 80mm)",FurnitureData,5,FALSE)))))</f>
        <v/>
      </c>
      <c r="H87" s="115" t="str">
        <f>IF(OR(A87="",ISERROR(FIND("door",A87))=TRUE),"",VLOOKUP("Hinges &amp; plates (Hettich thick door)",FurnitureData,5,0)*5)</f>
        <v/>
      </c>
      <c r="I87" s="115" t="str">
        <f>IF(ISERROR(FIND("shelf",A87))=FALSE,(VLOOKUP("Shelf pegs",FurnitureData,5,0)/100)*4,"")</f>
        <v/>
      </c>
      <c r="J87" s="152" t="str">
        <f>IF(OR(ISERROR(FIND("fridge/freezer",A87))=FALSE,ISERROR(FIND("sink",A87))=FALSE,ISERROR(FIND("larder",A87))=FALSE),VLOOKUP("Deep shelf "&amp;C87,Wardrobes_etcData,18,0),IF(OR(ISERROR(FIND("single oven",A87))=FALSE,ISERROR(FIND("Base carcass",A87))=FALSE),2*VLOOKUP("Deep shelf "&amp;C87,Wardrobes_etcData,18,0),IF(AND(ISERROR(FIND("wall carcass",A87))=FALSE,ISERROR(FIND("Boiler",A87))=TRUE),2*VLOOKUP("Shallow shelf "&amp;C87,Wardrobes_etcData,18,0),IF(ISERROR(FIND("double oven",A87))=FALSE,3*VLOOKUP("Deep shelf "&amp;C87,Wardrobes_etcData,18,0),IF(ISERROR(FIND("Tower carcass",A87))=FALSE,6*VLOOKUP("Deep shelf "&amp;C87,Wardrobes_etcData,18,0),"")))))</f>
        <v/>
      </c>
      <c r="K87" s="152" t="str">
        <f>IF(ISERROR(FIND("sink",A87))=FALSE,VLOOKUP("Sink liner - Aluminium "&amp;RIGHT(A87,LEN(A87)-22)&amp;"mm",ExceptionalData,5,0),IF(ISERROR(FIND("bins",A87))=FALSE,VLOOKUP("Drawer runners and clip set for bin unit (500) Dynapro",FurnitureData,5,0)+(2*VLOOKUP("Bin (42L Anthracite)",FurnitureData,5,0)),IF(ISERROR(FIND("larder",A87))=FALSE,VLOOKUP("Pull out larder unit 600mm",FurnitureData,5,0),IF(AND(ISERROR(FIND("drawer box",A87))=FALSE,ISERROR(FIND("internal",A87))=TRUE),VLOOKUP("Drawer runners and clip set (550) Dynapro",FurnitureData,5,0),IF(ISERROR(FIND("internal drawer box",A87))=FALSE,VLOOKUP("Drawer runners and clip set (450) Dynapro",FurnitureData,5,0),IF(ISERROR(FIND("table",A87))=FALSE,VLOOKUP("Hairpin Leg (12mm Black "&amp;MID(A87,FIND("(",A87)+1,LEN(A87)-(FIND("(",A87))-1)&amp;"mm)",ExceptionalData,4,FALSE),""))))))</f>
        <v/>
      </c>
      <c r="L87" s="152" t="str">
        <f t="shared" si="3"/>
        <v/>
      </c>
      <c r="M87" s="154" t="str">
        <f>IF(A87="","",IF(AND(ISERROR(FIND("drawer front",A87))=FALSE,WardrobeDoorStyle="Flat"),(((B87/1000)*(C87/1000))*2)+((((B87+C87)/1000)*2)*0.022),IF(AND(ISERROR(FIND("drawer front",A87))=FALSE,LEFT(WardrobeDoorStyle,5)="Panel"),(((B87/1000)*(C87/1000))*2)+((((B87+C87)/1000)*2)*0.022)+((((C87/1000)-0.16)*0.013)*2)+((((D87/1000)-0.16)*0.013)*2),IF(AND(ISERROR(FIND("drawer front",A87))=FALSE,WardrobeDoorStyle="In-frame flat"),((((B87-76)/1000)*((C87-38)/1000))*2)+(MID(WardrobeDoorMaterial,FIND("(",WardrobeDoorMaterial)+1,2)/1000)*((((B87-76)+(C87-38))/1000)*2)+(((B87/1000)*0.032)*2)+((((B87-76)/1000)*0.032)*2)+(((B87/1000)*0.019)*4)+(((C87/1000)*0.032)*2)+((((C87-38)/1000)*0.032)*2)+(((C87/1000)*0.038)*4),IF(AND(ISERROR(FIND("drawer front",A87))=FALSE,LEFT(WardrobeDoorStyle,14)="In-frame panel"),((((B87-76)/1000)*((C87-38)/1000))*2)+((MID(WardrobeDoorMaterial,FIND("(",WardrobeDoorMaterial)+1,2)/1000)*((((B87-76)+(C87-38))/1000)*2))+((((B87-236)/1000)+((C87-198)/1000)*2)*0.013)+(((B87/1000)*0.032)*2)+((((B87-76)/1000)*0.032)*2)+(((B87/1000)*0.019)*4)+(((C87/1000)*0.032)*2)+((((C87-38)/1000)*0.032)*2)+(((C87/1000)*0.038)*4),IF(ISERROR(FIND("drawer box",A87))=FALSE,((((B87/1000)*(D87/1000))+((B87/1000)*(C87/1000)))*4)+((((D87/1000)+(C87/1000))*0.016)*4)+(((C87/1000)*(D87/1000))*2),IF(OR(ISERROR(FIND("shelf",A87))=FALSE,ISERROR(FIND("Filler panel",A87))=FALSE),(((C87/1000)*(D87/1000))*2)+((((C87+D87)*2)/1000)*0.022),IF(ISERROR(FIND("Fireplace",A87))=FALSE,((B87/1000)*(C87/1000)),IF(ISERROR(FIND("Worktop",A87))=FALSE,(B87/1000)*(C87/1000),IF(ISERROR(FIND("table",A87))=FALSE,(B87/1000)*0.6,IF(ISERROR(FIND("arcass",A87))=FALSE,(((C87/1000)*(D87/1000))*2)+(((B87/1000)*(D87/1000))*2)+((B87/1000)*(C87/1000))+((((B87/1000)*0.025)+((C87/1000)*0.025))*2),IF(AND(ISERROR(FIND("door",A87))=FALSE,WardrobeDoorStyle="Flat"),(((B87/1000)*(C87/1000))*2)+(MID(WardrobeDoorMaterial,FIND("(",WardrobeDoorMaterial)+1,2)/1000)*(((B87+C87)/1000)*2),IF(AND(ISERROR(FIND("door",A87))=FALSE,LEFT(WardrobeDoorStyle,5)="Panel"),(((B87/1000)*(C87/1000))*2)+((MID(WardrobeDoorMaterial,FIND("(",WardrobeDoorMaterial)+1,2)/1000)*(((B87+C87)/1000)*2))+(((((B87-160)+(C87-160))*2)/1000)*(0.013)),IF(AND(ISERROR(FIND("door",A87))=FALSE,WardrobeDoorStyle="In-frame flat"),((((B87-76)/1000)*((C87-38)/1000))*2)+(MID(WardrobeDoorMaterial,FIND("(",WardrobeDoorMaterial)+1,2)/1000)*((((B87-76)+(C87-38))/1000)*2)+(((B87/1000)*0.032)*2)+((((B87-76)/1000)*0.032)*2)+(((B87/1000)*0.019)*4)+(((C87/1000)*0.032)*2)+((((C87-38)/1000)*0.032)*2)+(((C87/1000)*0.038)*4),IF(AND(ISERROR(FIND("door",A87))=FALSE,LEFT(WardrobeDoorStyle,14)="In-frame panel"),((((B87-76)/1000)*((C87-38)/1000))*2)+((MID(WardrobeDoorMaterial,FIND("(",WardrobeDoorMaterial)+1,2)/1000)*((((B87-76)+(C87-38))/1000)*2))+((((B87-236)/1000)+((C87-198)/1000)*2)*0.013)+(((B87/1000)*0.032)*2)+((((B87-76)/1000)*0.032)*2)+(((B87/1000)*0.019)*4)+(((C87/1000)*0.032)*2)+((((C87-38)/1000)*0.032)*2)+(((C87/1000)*0.038)*4),IF(ISERROR(FIND("Plinth",A87))=FALSE,((B87/1000)*(C87/1000))+(((C87/1000)*0.018)*2)+(((B87/1000)*0.018)*2),IF(ISERROR(FIND("Cornice",A87))=FALSE,(((C87/1000)*0.1)*2)+(((C87/1000)*0.044)*2)+(((B87/1000)*0.08)*2),IF(ISERROR(FIND("Office pod",A87))=FALSE,((2400/1000)*(1200/1000))*6,IF(ISERROR(FIND("panel",A87))=FALSE,((B87/1000)*(C87/1000))+(0.022*((B87/1000)+((C87/1000)*2)))+((B87/1000)*0.05),IF(ISERROR(FIND("Fillers",A87))=FALSE,((C87/1000)*0.06)+((C87/1000)*0.069)+((0.06*0.018)*2)+((0.06*0.009)*2)+((C87/1000)*0.009)+((C87/1000)*0.018),IF(ISERROR(FIND("Pelmet",A87))=FALSE,((C87/1000)*0.05)+((C87/1000)*0.068)+((0.05*0.018)*4)+(((C87/1000)*0.018))*2)))))))))))))))))))))</f>
        <v/>
      </c>
      <c r="N87" s="152" t="str">
        <f>IF(M87="","",IF(AND(ISERROR(FIND("carcass",A87))=TRUE,ISERROR(FIND("unit",A87))=TRUE,ISERROR(FIND("insert",A87))=TRUE,ISERROR(FIND("rack",A87))=TRUE,ISERROR(FIND("box",A87))=TRUE,ISERROR(FIND("shelf",A87))=TRUE),VLOOKUP(WardrobeDoorFinish,Finishing!$A$2:$K$10,9,0)*M87,IF(ISERROR(FIND("table",A87))=FALSE,VLOOKUP("Sayerlack AF0072 Interior Clear Self-Sealer",FinishingData,9,FALSE)*M87,VLOOKUP(WardrobeCarcassFinish,Finishing!$A$2:$K$40,9,0)*M87)))</f>
        <v/>
      </c>
      <c r="O87" s="159"/>
      <c r="P87" s="159"/>
      <c r="Q87" s="152" t="str">
        <f>IF(OR(O87="",P87=""),"",((O87*X87)*(VLOOKUP("Workshop",Labour!$A$3:$E$20,4,0)/8))+((P87*AE87)*(VLOOKUP("Finishing",Labour!$A$3:$E$20,4,0)/8)))</f>
        <v/>
      </c>
      <c r="R87" s="152" t="str">
        <f t="shared" si="4"/>
        <v/>
      </c>
      <c r="S87" s="156" t="str">
        <f>IF(OR(O87="",P87=""),"",IF(OR(ISERROR(FIND("carcass",$A87))=FALSE,ISERROR(FIND("unit",$A87))=FALSE),VLOOKUP(WardrobeCarcassMaterial,FixedListsCarcassMaterial,2,0),0))</f>
        <v/>
      </c>
      <c r="T87" s="156" t="str">
        <f>IF(OR(O87="",P87=""),"",IF(ISERROR(FIND("door",$A87))=FALSE,VLOOKUP(WardrobeDoorStyle,FixedListsDoorStyle,2,0),0))</f>
        <v/>
      </c>
      <c r="U87" s="156" t="str">
        <f>IF(OR(O87="",P87=""),"",IF(ISERROR(FIND("door",$A87))=FALSE,VLOOKUP(WardrobeDoorMaterial,FixedListsDoorMaterial,2,0),0))</f>
        <v/>
      </c>
      <c r="V87" s="156" t="str">
        <f>IF(OR(O87="",P87=""),"",IF(ISERROR(FIND("drawer",$A87))=FALSE,VLOOKUP(WardrobeDrawerType,FixedListsDrawerType,2,0),0))</f>
        <v/>
      </c>
      <c r="W87" s="156" t="str">
        <f>IF(OR(O87="",P87=""),"",IF(S87&gt;0,VLOOKUP(WardrobeHandleType,FixedListsHandleType,2,FALSE),0))</f>
        <v/>
      </c>
      <c r="X87" s="156" t="str">
        <f t="shared" si="5"/>
        <v/>
      </c>
      <c r="Y87" s="156" t="str">
        <f>IF(OR(O87="",P87=""),"",IF(OR(ISERROR(FIND("carcass",$A87))=FALSE,ISERROR(FIND("unit",$A87))=FALSE),VLOOKUP(WardrobeCarcassMaterial,FixedListsCarcassMaterial,3,0),0))</f>
        <v/>
      </c>
      <c r="Z87" s="156" t="str">
        <f>IF(OR(O87="",P87=""),"",IF(ISERROR(FIND("door",$A87))=FALSE,VLOOKUP(WardrobeDoorStyle,FixedListsDoorStyle,3,0),0))</f>
        <v/>
      </c>
      <c r="AA87" s="156" t="str">
        <f>IF(OR(O87="",P87=""),"",IF(ISERROR(FIND("door",$A87))=FALSE,VLOOKUP(WardrobeDoorMaterial,FixedListsDoorMaterial,3,0),0))</f>
        <v/>
      </c>
      <c r="AB87" s="156" t="str">
        <f>IF(OR(O87="",P87=""),"",IF(ISERROR(FIND("drawer",$A87))=FALSE,VLOOKUP(WardrobeDrawerType,FixedListsDrawerType,3,0),0))</f>
        <v/>
      </c>
      <c r="AC87" s="156" t="str">
        <f>IF(OR(O87="",P87=""),"",IF(S87&gt;0,VLOOKUP(WardrobeHandleType,FixedListsHandleType,3,FALSE),0))</f>
        <v/>
      </c>
      <c r="AD87" s="156" t="str">
        <f>IF(OR(O87="",P87=""),"",IF(OR(ISERROR(FIND("carcass",$A87))=FALSE,ISERROR(FIND("unit",$A87))=FALSE),VLOOKUP(WardrobeCarcassFinish,FixedListsFinishes,3,0),IF(OR(ISERROR(FIND("door",$A87))=FALSE,ISERROR(FIND("Plinth",$A87))=FALSE,ISERROR(FIND("Cornice",$A87))=FALSE,ISERROR(FIND("Fillers",$A87))=FALSE,ISERROR(FIND("Pelmet",$A87))=FALSE,ISERROR(FIND("panel",$A87))=FALSE,ISERROR(FIND("post",$A87))=FALSE),VLOOKUP(WardrobeDoorFinish,FixedListsFinishes,3,0),IF(OR(ISERROR(FIND("drawer",$A87))=FALSE,ISERROR(FIND("insert",$A87))=FALSE,ISERROR(FIND("rck",$A87))=FALSE),VLOOKUP(WardrobeCarcassFinish,FixedListsFinishes,3,0),0))))</f>
        <v/>
      </c>
      <c r="AE87" s="156" t="str">
        <f t="shared" si="6"/>
        <v/>
      </c>
      <c r="AF87" s="157" t="str">
        <f>IF(AND(WardrobeHandleType="Channel",OR(ISERROR(FIND("arcass",$A87))=FALSE,ISERROR(FIND("unit",$A87))=FALSE)),IF(ISERROR(FIND("Tower",$A87))=TRUE,IF(WardrobeHandleFinish="Match carcass",IF(ISERROR(FIND("Walnut",WardrobeCarcassMaterial))=FALSE,(0.035*0.075*($C87/1000))*VLOOKUP("Walnut (solid m3)",SolidData,4,FALSE),IF(ISERROR(FIND("Oak",WardrobeCarcassMaterial))=FALSE,(0.035*0.075*($C87/1000))*VLOOKUP("Oak (solid m3)",SolidData,4,FALSE),IF(ISERROR(FIND("ply",WardrobeCarcassMaterial))=FALSE,(0.1*($C87/1000))*VLOOKUP("Birch ply (24mm)",SheetsData,7,FALSE),IF(ISERROR(FIND("H/F",WardrobeCarcassMaterial))=FALSE,(0.1*($C87/1000))*VLOOKUP("H/F (22mm)",SheetsData,7,FALSE),"Carcass - not tower - new material")))),IF(WardrobeHandleFinish="Match door",IF(ISERROR(FIND("Walnut",WardrobeDoorMaterial))=FALSE,(0.035*0.075*($C87/1000))*VLOOKUP("Walnut (solid m3)",SolidData,4,FALSE),IF(ISERROR(FIND("Oak",WardrobeDoorMaterial))=FALSE,(0.035*0.075*($C87/1000))*VLOOKUP("Oak (solid m3)",SolidData,4,FALSE),IF(ISERROR(FIND("ply",WardrobeDoorMaterial))=FALSE,(0.1*($C87/1000))*VLOOKUP("Birch ply (24mm)",SheetsData,7,FALSE),IF(ISERROR(FIND("H/F",WardrobeCarcassMaterial))=FALSE,(0.1*($C87/1000))*VLOOKUP("H/F (22mm)",SheetsData,7,FALSE),"Door - not tower - new material")))),"Channel - not tower - handle set to other")),IF(ISERROR(FIND("Tower",$A87))=FALSE,IF(WardrobeHandleFinish="Match carcass",IF(ISERROR(FIND("Walnut",WardrobeCarcassMaterial))=FALSE,(0.035*0.075*($B87/1000))*VLOOKUP("Walnut (solid m3)",SolidData,4,FALSE),IF(ISERROR(FIND("Oak",WardrobeCarcassMaterial))=FALSE,(0.035*0.075*($B87/1000))*VLOOKUP("Oak (solid m3)",SolidData,4,FALSE),IF(ISERROR(FIND("ply",WardrobeCarcassMaterial))=FALSE,(0.1*($B87/1000))*VLOOKUP("Birch ply (24mm)",SheetsData,7,FALSE),IF(ISERROR(FIND("H/F",WardrobeCarcassMaterial))=FALSE,(0.1*($C87/1000))*VLOOKUP("H/F (22mm)",SheetsData,7,FALSE),"Carcass - tower - new material")))),IF(WardrobeHandleFinish="Match door",IF(ISERROR(FIND("Walnut",WardrobeDoorMaterial))=FALSE,(0.035*0.075*($B87/1000))*VLOOKUP("Walnut (solid m3)",SolidData,4,FALSE),IF(ISERROR(FIND("Oak",WardrobeDoorMaterial))=FALSE,(0.035*0.075*($B87/1000))*VLOOKUP("Oak (solid m3)",SolidData,4,FALSE),IF(ISERROR(FIND("ply",WardrobeDoorMaterial))=FALSE,(0.1*($B87/1000))*VLOOKUP("Birch ply (24mm)",SheetData,7,FALSE),IF(ISERROR(FIND("H/F",WardrobeCarcassMaterial))=FALSE,(0.1*($C87/1000))*VLOOKUP("H/F (22mm)",SheetsData,7,FALSE),"Door - tower - new material")))),"Channel - tower - handle set to other")))),"")</f>
        <v/>
      </c>
    </row>
    <row r="88">
      <c r="A88" s="150"/>
      <c r="B88" s="160" t="str">
        <f t="shared" si="1"/>
        <v/>
      </c>
      <c r="C88" s="160" t="str">
        <f>IFERROR(__xludf.DUMMYFUNCTION("IF(A88="""","""",IF(ISERROR(FIND(""arcass"",A88))=FALSE,MID(A88,FIND(""*"",A88)+1,FIND(""*"",A88,FIND(""*"",A88)+1)-FIND(""*"",A88)-1),IF(ISERROR(FIND(""End panel"",A88))=FALSE,RIGHT(A88,3),IF(OR(ISERROR(FIND(""drawer"",A88))=FALSE,ISERROR(FIND(""door"",A"&amp;"88))=FALSE,ISERROR(FIND(""shelf"",A88))=FALSE,ISERROR(FIND(""panel"",A88))=FALSE,ISERROR(FIND(""Plinth"",A88))=FALSE,ISERROR(FIND(""Cornice"",A88))=FALSE,ISERROR(FIND(""Fillers"",A88))=FALSE,ISERROR(FIND(""Pelmet"",A88))=FALSE,ISERROR(FIND(""Fireplace up "&amp;"to 1600"",A88))=FALSE),RIGHT(A88,LEN(A88)-LEN(regexextract(A88,"".* ""))),IF(ISERROR(FIND(""table"",A88))=FALSE,""560"",IF(ISERROR(FIND(""Office pod"",A88))=FALSE,""1600"",IF(ISERROR(FIND(""Fireplace over 1600"",A88))=FALSE,""2400"",IF(ISERROR(FIND(""Work"&amp;"top"",A88))=FALSE,""650"",""Whoops""))))))))"),"")</f>
        <v/>
      </c>
      <c r="D88" s="161" t="str">
        <f t="shared" si="2"/>
        <v/>
      </c>
      <c r="E88" s="152" t="str">
        <f>IF(OR(A88="",AND(ISERROR(FIND("drawer",A88))=FALSE,WardrobeDrawerType="")),"",IF(ISERROR(FIND("door",A88))=FALSE,IF(WardrobeDoorStyle="Flat",((B88/1000)*(C88/1000))*VLOOKUP(WardrobeDoorMaterial,SheetsData,8,0),IF(LEFT(WardrobeDoorStyle,5)="Panel",(((((B88/1000)*2)*0.08)+((((C88/1000)-0.16)*2)*0.08))*VLOOKUP("H/F (22mm)",SheetsData,8,0))+(((B88/1000)-0.14)*((C88/1000)-0.14)*VLOOKUP("H/F (9mm)",SheetsData,8,0)),IF(WardrobeDoorStyle="In-frame flat",((((((B88/1000)*0.019)*0.038)+((((C88-38)/1000)*0.038)*0.038))*2)*VLOOKUP("Tulip (solid m3)",SolidData,4,0))+(((B88-76)/1000)*((C88-38)/1000))*VLOOKUP("H/F (22mm)",SheetsData,8,0),IF(LEFT(WardrobeDoorStyle,14)="In-frame panel",(((((((B88/1000)*0.019)*0.038)+((((C88-38)/1000)*0.038)*0.038))*2)*VLOOKUP("Tulip (solid m3)",SolidData,4,0))+(((((((B88-76)/1000)*2)*0.08)+(((((C88-198)/1000)*2)*0.08)))*VLOOKUP("H/F (22mm)",SheetsData,8,0))+(((B88-216)/1000)*((C88-178)/1000)*VLOOKUP("H/F (9mm)",SheetsData,8,0)))))))),IF(AND(ISERROR(FIND("arcass",A88))=FALSE,ISERROR(FIND("ost corner",A88))=TRUE),IF(AND(VALUE(B88)&lt;1211,VALUE(C88)&lt;1211,VALUE(D88)&lt;606),1*VLOOKUP(WardrobeCarcassMaterial,SheetsData,5,FALSE),IF(AND(VALUE(B88)&lt;2421,VALUE(C88)&lt;2421,VALUE(D88)&lt;606),2*VLOOKUP(WardrobeCarcassMaterial,SheetsData,5,FALSE),IF(AND(VALUE(B88)&lt;2421,VALUE(C88)&lt;1211,VALUE(D88)&lt;1211),3*VLOOKUP(WardrobeCarcassMaterial,SheetsData,5,FALSE),IF(AND(VALUE(B88)&lt;2421,VALUE(C88)&lt;2421,VALUE(D88)&lt;1211),4*VLOOKUP(WardrobeCarcassMaterial,SheetsData,5,FALSE))))),IF(AND(ISERROR(FIND("arcass",A88))=FALSE,ISERROR(FIND("ost corner",A88))=FALSE),IF(AND(VALUE(B88)&lt;1211,VALUE(C88)&lt;1211,VALUE(D88)&lt;606),(1*VLOOKUP(WardrobeCarcassMaterial,SheetsData,5,FALSE))+(VLOOKUP("H/F (22mm)",SheetsData,7,FALSE)*1.44),IF(AND(VALUE(B88)&lt;2421,VALUE(C88)&lt;2421,VALUE(D88)&lt;606),(2*VLOOKUP(WardrobeCarcassMaterial,SheetsData,5,FALSE))+(VLOOKUP("H/F (22mm)",SheetsData,7,FALSE)*1.44),IF(AND(VALUE(B88)&lt;2421,VALUE(C88)&lt;1211,VALUE(D88)&lt;1211),(3*VLOOKUP(WardrobeCarcassMaterial,SheetsData,5,FALSE))+(VLOOKUP("H/F (22mm)",SheetsData,7,FALSE)*1.44),IF(AND(VALUE(B88)&lt;2421,VALUE(C88)&lt;2421,VALUE(D88)&lt;1211),(4*VLOOKUP(WardrobeCarcassMaterial,SheetsData,5,FALSE))+(VLOOKUP("H/F (22mm)",SheetsData,7,FALSE)*1.44))))),IF(ISERROR(FIND("drawer front",A88))=FALSE,((B88/1000)*(C88/1000))*VLOOKUP(WardrobeDoorMaterial,SheetsData,8,0),IF(AND(WardrobeDrawerType="Match carcass",ISERROR(FIND("drawer box",A88))=FALSE),(((((B88/1000)*(C88/1000))+((B88/1000)*(D88/1000)))*2)*VLOOKUP(WardrobeCarcassMaterial,SheetsData,8,0))+(((C88/1000)*(D88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box",A88))=FALSE),(((((B88/1000)*(C88/1000))+((B88/1000)*(D88/1000)))*2)*(16/1000)*VLOOKUP(LEFT(WardrobeCarcassMaterial,FIND(" ",WardrobeCarcassMaterial))&amp;"(solid m3)",SolidData,4,0))+(((C88/1000)*(D88/1000))*VLOOKUP(LEFT(WardrobeCarcassMaterial,FIND("(",WardrobeCarcassMaterial)-1)&amp;IF(OR(ISERROR(FIND("ply",WardrobeCarcassMaterial))=FALSE,ISERROR(FIND("H/F",WardrobeCarcassMaterial))=FALSE),"(9mm)","(10mm)"),SheetsData,8,0)),IF(ISERROR(FIND("shelf",A88))=FALSE,((C88/1000)*(D88/1000))*VLOOKUP(WardrobeCarcassMaterial,SheetsData,7,FALSE),IF(ISERROR(FIND("Office pod",A88))=FALSE,3*VLOOKUP(WardrobeCarcassMaterial,SheetsData,5,0),IF(ISERROR(FIND(" panel",A88))=FALSE,((B88/1000)*(C88/1000))*VLOOKUP(WardrobeDoorMaterial,SheetsData,8,0),IF(ISERROR(FIND("Fillers",A88))=FALSE,(((0.06*(C88/1000))*2)*VLOOKUP("H/F (18mm)",SheetsData,8,0))+(((0.06*(C88/1000))*2)*VLOOKUP("H/F (9mm)",SheetsData,8,0)),IF(ISERROR(FIND("Cornice (stacked)",A88))=FALSE,((0.08*(C88/1000))*2)*VLOOKUP("H/F (22mm)",SheetsData,8,0),IF(OR(ISERROR(FIND("Plinth",A88))=FALSE,ISERROR(FIND("Cornice (flat)",A88))=FALSE),((B88/1000)*(C88/1000))*VLOOKUP("H/F (18mm)",SheetsData,8,0),IF(ISERROR(FIND("Pelmet",A88))=FALSE,((((B88/1000)*(C88/1000))*2)*VLOOKUP("H/F (18mm)",SheetsData,8,0)),IF(ISERROR(FIND("Fireplace",A88))=FALSE,IF(ISERROR(FIND("over 1600",A88))=FALSE,2*VLOOKUP(WardrobeCarcassMaterial,SheetsData,5,FALSE),VLOOKUP(WardrobeCarcassMaterial,SheetsData,5,FALSE)),IF(ISERROR(FIND("table",A88))=FALSE,((B88/1000)*0.6)*VLOOKUP("Birch ply (24mm)",SheetsData,7,FALSE),IF(ISERROR(FIND("Worktop",A88))=FALSE,((B88/1000)*(C88/1000))*VLOOKUP(WardrobeDoorMaterial,SheetsData,7,FALSE),"Check formula")))))))))))))))))</f>
        <v/>
      </c>
      <c r="F88" s="152" t="str">
        <f>IFERROR(__xludf.DUMMYFUNCTION("IF(OR(A88="""",AND(ISERROR(FIND(""drawer box"",A88))=FALSE,WardrobeDrawerType=""Solid dovetail"")),"""",IF(ISERROR(FIND(""bins"",A88))=FALSE,VLOOKUP(""Base carcass 600"",Wardrobes_etcData,6,0),IF(OR(ISERROR(FIND(""larder"",A88))=FALSE,ISERROR(FIND(""unit"&amp;""",A88))=FALSE),VLOOKUP(LEFT(A88,FIND("" "",A88))&amp;""carcass ""&amp;RIGHT(A88,LEN(A88)-len(regexextract(A88,"".* ""))),Wardrobes_etcData,6,0),IF(ISERROR(FIND(""drawer front"",A88))=FALSE,IF(ISERROR(FIND(""veneer"",WardrobeCarcassMaterial))=TRUE,0,(((B88+C88)/1"&amp;"000)*2)*VLOOKUP(""Edge banding (per M)"",SheetsData,5,0)),IF(ISERROR(FIND(""drawer box"",A88))=FALSE,IF(ISERROR(FIND(""veneer"",WardrobeCarcassMaterial))=TRUE,0,(((C88+D88)/1000)*2)*VLOOKUP(""Edge banding (per M)"",SheetsData,5,0)),IF(ISERROR(FIND(""shelf"&amp;""",A88))=FALSE,IF(ISERROR(FIND(""veneer"",WardrobeCarcassMaterial))=TRUE,0,(C88/1000)*VLOOKUP(""Edge banding (per M)"",SheetsData,5,0)),IF(AND(OR(ISERROR(FIND(""arcass"",A88))=FALSE,ISERROR(FIND(""Fireplace"",A88))=FALSE),ISERROR(FIND(""shelf"",A88))=TRUE"&amp;"),IF(ISERROR(FIND(""veneer"",WardrobeCarcassMaterial))=TRUE,0,((2*(B88+C88))/1000)*VLOOKUP(""Edge banding (per M)"",SheetsData,5,0)),IF(ISERROR(FIND(""door"",A88))=TRUE,"""",IF(ISERROR(FIND(""veneer"",WardrobeDoorMaterial))=TRUE,"""",((2*(B88+C88))/1000)*"&amp;"VLOOKUP(""Edge banding (per M)"",SheetsData,5,0))))))))))"),"")</f>
        <v/>
      </c>
      <c r="G88" s="153" t="str">
        <f>IF(A88="","",IF(AND(ISERROR(FIND("arcass",A88))=TRUE,ISERROR(FIND("Fireplace",A88))=TRUE),"",IF(VALUE(C88)&lt;606,4*VLOOKUP("Plinth foot (2 Parts 80mm)",FurnitureData,5,FALSE),IF(VALUE(C88)&lt;1211,6*VLOOKUP("Plinth foot (2 Parts 80mm)",FurnitureData,5,FALSE),8*VLOOKUP("Plinth foot (2 Parts 80mm)",FurnitureData,5,FALSE)))))</f>
        <v/>
      </c>
      <c r="H88" s="115" t="str">
        <f>IF(OR(A88="",ISERROR(FIND("door",A88))=TRUE),"",VLOOKUP("Hinges &amp; plates (Hettich thick door)",FurnitureData,5,0)*5)</f>
        <v/>
      </c>
      <c r="I88" s="115" t="str">
        <f>IF(ISERROR(FIND("shelf",A88))=FALSE,(VLOOKUP("Shelf pegs",FurnitureData,5,0)/100)*4,"")</f>
        <v/>
      </c>
      <c r="J88" s="152" t="str">
        <f>IF(OR(ISERROR(FIND("fridge/freezer",A88))=FALSE,ISERROR(FIND("sink",A88))=FALSE,ISERROR(FIND("larder",A88))=FALSE),VLOOKUP("Deep shelf "&amp;C88,Wardrobes_etcData,18,0),IF(OR(ISERROR(FIND("single oven",A88))=FALSE,ISERROR(FIND("Base carcass",A88))=FALSE),2*VLOOKUP("Deep shelf "&amp;C88,Wardrobes_etcData,18,0),IF(AND(ISERROR(FIND("wall carcass",A88))=FALSE,ISERROR(FIND("Boiler",A88))=TRUE),2*VLOOKUP("Shallow shelf "&amp;C88,Wardrobes_etcData,18,0),IF(ISERROR(FIND("double oven",A88))=FALSE,3*VLOOKUP("Deep shelf "&amp;C88,Wardrobes_etcData,18,0),IF(ISERROR(FIND("Tower carcass",A88))=FALSE,6*VLOOKUP("Deep shelf "&amp;C88,Wardrobes_etcData,18,0),"")))))</f>
        <v/>
      </c>
      <c r="K88" s="152" t="str">
        <f>IF(ISERROR(FIND("sink",A88))=FALSE,VLOOKUP("Sink liner - Aluminium "&amp;RIGHT(A88,LEN(A88)-22)&amp;"mm",ExceptionalData,5,0),IF(ISERROR(FIND("bins",A88))=FALSE,VLOOKUP("Drawer runners and clip set for bin unit (500) Dynapro",FurnitureData,5,0)+(2*VLOOKUP("Bin (42L Anthracite)",FurnitureData,5,0)),IF(ISERROR(FIND("larder",A88))=FALSE,VLOOKUP("Pull out larder unit 600mm",FurnitureData,5,0),IF(AND(ISERROR(FIND("drawer box",A88))=FALSE,ISERROR(FIND("internal",A88))=TRUE),VLOOKUP("Drawer runners and clip set (550) Dynapro",FurnitureData,5,0),IF(ISERROR(FIND("internal drawer box",A88))=FALSE,VLOOKUP("Drawer runners and clip set (450) Dynapro",FurnitureData,5,0),IF(ISERROR(FIND("table",A88))=FALSE,VLOOKUP("Hairpin Leg (12mm Black "&amp;MID(A88,FIND("(",A88)+1,LEN(A88)-(FIND("(",A88))-1)&amp;"mm)",ExceptionalData,4,FALSE),""))))))</f>
        <v/>
      </c>
      <c r="L88" s="152" t="str">
        <f t="shared" si="3"/>
        <v/>
      </c>
      <c r="M88" s="154" t="str">
        <f>IF(A88="","",IF(AND(ISERROR(FIND("drawer front",A88))=FALSE,WardrobeDoorStyle="Flat"),(((B88/1000)*(C88/1000))*2)+((((B88+C88)/1000)*2)*0.022),IF(AND(ISERROR(FIND("drawer front",A88))=FALSE,LEFT(WardrobeDoorStyle,5)="Panel"),(((B88/1000)*(C88/1000))*2)+((((B88+C88)/1000)*2)*0.022)+((((C88/1000)-0.16)*0.013)*2)+((((D88/1000)-0.16)*0.013)*2),IF(AND(ISERROR(FIND("drawer front",A88))=FALSE,WardrobeDoorStyle="In-frame flat"),((((B88-76)/1000)*((C88-38)/1000))*2)+(MID(WardrobeDoorMaterial,FIND("(",WardrobeDoorMaterial)+1,2)/1000)*((((B88-76)+(C88-38))/1000)*2)+(((B88/1000)*0.032)*2)+((((B88-76)/1000)*0.032)*2)+(((B88/1000)*0.019)*4)+(((C88/1000)*0.032)*2)+((((C88-38)/1000)*0.032)*2)+(((C88/1000)*0.038)*4),IF(AND(ISERROR(FIND("drawer front",A88))=FALSE,LEFT(WardrobeDoorStyle,14)="In-frame panel"),((((B88-76)/1000)*((C88-38)/1000))*2)+((MID(WardrobeDoorMaterial,FIND("(",WardrobeDoorMaterial)+1,2)/1000)*((((B88-76)+(C88-38))/1000)*2))+((((B88-236)/1000)+((C88-198)/1000)*2)*0.013)+(((B88/1000)*0.032)*2)+((((B88-76)/1000)*0.032)*2)+(((B88/1000)*0.019)*4)+(((C88/1000)*0.032)*2)+((((C88-38)/1000)*0.032)*2)+(((C88/1000)*0.038)*4),IF(ISERROR(FIND("drawer box",A88))=FALSE,((((B88/1000)*(D88/1000))+((B88/1000)*(C88/1000)))*4)+((((D88/1000)+(C88/1000))*0.016)*4)+(((C88/1000)*(D88/1000))*2),IF(OR(ISERROR(FIND("shelf",A88))=FALSE,ISERROR(FIND("Filler panel",A88))=FALSE),(((C88/1000)*(D88/1000))*2)+((((C88+D88)*2)/1000)*0.022),IF(ISERROR(FIND("Fireplace",A88))=FALSE,((B88/1000)*(C88/1000)),IF(ISERROR(FIND("Worktop",A88))=FALSE,(B88/1000)*(C88/1000),IF(ISERROR(FIND("table",A88))=FALSE,(B88/1000)*0.6,IF(ISERROR(FIND("arcass",A88))=FALSE,(((C88/1000)*(D88/1000))*2)+(((B88/1000)*(D88/1000))*2)+((B88/1000)*(C88/1000))+((((B88/1000)*0.025)+((C88/1000)*0.025))*2),IF(AND(ISERROR(FIND("door",A88))=FALSE,WardrobeDoorStyle="Flat"),(((B88/1000)*(C88/1000))*2)+(MID(WardrobeDoorMaterial,FIND("(",WardrobeDoorMaterial)+1,2)/1000)*(((B88+C88)/1000)*2),IF(AND(ISERROR(FIND("door",A88))=FALSE,LEFT(WardrobeDoorStyle,5)="Panel"),(((B88/1000)*(C88/1000))*2)+((MID(WardrobeDoorMaterial,FIND("(",WardrobeDoorMaterial)+1,2)/1000)*(((B88+C88)/1000)*2))+(((((B88-160)+(C88-160))*2)/1000)*(0.013)),IF(AND(ISERROR(FIND("door",A88))=FALSE,WardrobeDoorStyle="In-frame flat"),((((B88-76)/1000)*((C88-38)/1000))*2)+(MID(WardrobeDoorMaterial,FIND("(",WardrobeDoorMaterial)+1,2)/1000)*((((B88-76)+(C88-38))/1000)*2)+(((B88/1000)*0.032)*2)+((((B88-76)/1000)*0.032)*2)+(((B88/1000)*0.019)*4)+(((C88/1000)*0.032)*2)+((((C88-38)/1000)*0.032)*2)+(((C88/1000)*0.038)*4),IF(AND(ISERROR(FIND("door",A88))=FALSE,LEFT(WardrobeDoorStyle,14)="In-frame panel"),((((B88-76)/1000)*((C88-38)/1000))*2)+((MID(WardrobeDoorMaterial,FIND("(",WardrobeDoorMaterial)+1,2)/1000)*((((B88-76)+(C88-38))/1000)*2))+((((B88-236)/1000)+((C88-198)/1000)*2)*0.013)+(((B88/1000)*0.032)*2)+((((B88-76)/1000)*0.032)*2)+(((B88/1000)*0.019)*4)+(((C88/1000)*0.032)*2)+((((C88-38)/1000)*0.032)*2)+(((C88/1000)*0.038)*4),IF(ISERROR(FIND("Plinth",A88))=FALSE,((B88/1000)*(C88/1000))+(((C88/1000)*0.018)*2)+(((B88/1000)*0.018)*2),IF(ISERROR(FIND("Cornice",A88))=FALSE,(((C88/1000)*0.1)*2)+(((C88/1000)*0.044)*2)+(((B88/1000)*0.08)*2),IF(ISERROR(FIND("Office pod",A88))=FALSE,((2400/1000)*(1200/1000))*6,IF(ISERROR(FIND("panel",A88))=FALSE,((B88/1000)*(C88/1000))+(0.022*((B88/1000)+((C88/1000)*2)))+((B88/1000)*0.05),IF(ISERROR(FIND("Fillers",A88))=FALSE,((C88/1000)*0.06)+((C88/1000)*0.069)+((0.06*0.018)*2)+((0.06*0.009)*2)+((C88/1000)*0.009)+((C88/1000)*0.018),IF(ISERROR(FIND("Pelmet",A88))=FALSE,((C88/1000)*0.05)+((C88/1000)*0.068)+((0.05*0.018)*4)+(((C88/1000)*0.018))*2)))))))))))))))))))))</f>
        <v/>
      </c>
      <c r="N88" s="152" t="str">
        <f>IF(M88="","",IF(AND(ISERROR(FIND("carcass",A88))=TRUE,ISERROR(FIND("unit",A88))=TRUE,ISERROR(FIND("insert",A88))=TRUE,ISERROR(FIND("rack",A88))=TRUE,ISERROR(FIND("box",A88))=TRUE,ISERROR(FIND("shelf",A88))=TRUE),VLOOKUP(WardrobeDoorFinish,Finishing!$A$2:$K$10,9,0)*M88,IF(ISERROR(FIND("table",A88))=FALSE,VLOOKUP("Sayerlack AF0072 Interior Clear Self-Sealer",FinishingData,9,FALSE)*M88,VLOOKUP(WardrobeCarcassFinish,Finishing!$A$2:$K$40,9,0)*M88)))</f>
        <v/>
      </c>
      <c r="O88" s="159"/>
      <c r="P88" s="159"/>
      <c r="Q88" s="152" t="str">
        <f>IF(OR(O88="",P88=""),"",((O88*X88)*(VLOOKUP("Workshop",Labour!$A$3:$E$20,4,0)/8))+((P88*AE88)*(VLOOKUP("Finishing",Labour!$A$3:$E$20,4,0)/8)))</f>
        <v/>
      </c>
      <c r="R88" s="152" t="str">
        <f t="shared" si="4"/>
        <v/>
      </c>
      <c r="S88" s="156" t="str">
        <f>IF(OR(O88="",P88=""),"",IF(OR(ISERROR(FIND("carcass",$A88))=FALSE,ISERROR(FIND("unit",$A88))=FALSE),VLOOKUP(WardrobeCarcassMaterial,FixedListsCarcassMaterial,2,0),0))</f>
        <v/>
      </c>
      <c r="T88" s="156" t="str">
        <f>IF(OR(O88="",P88=""),"",IF(ISERROR(FIND("door",$A88))=FALSE,VLOOKUP(WardrobeDoorStyle,FixedListsDoorStyle,2,0),0))</f>
        <v/>
      </c>
      <c r="U88" s="156" t="str">
        <f>IF(OR(O88="",P88=""),"",IF(ISERROR(FIND("door",$A88))=FALSE,VLOOKUP(WardrobeDoorMaterial,FixedListsDoorMaterial,2,0),0))</f>
        <v/>
      </c>
      <c r="V88" s="156" t="str">
        <f>IF(OR(O88="",P88=""),"",IF(ISERROR(FIND("drawer",$A88))=FALSE,VLOOKUP(WardrobeDrawerType,FixedListsDrawerType,2,0),0))</f>
        <v/>
      </c>
      <c r="W88" s="156" t="str">
        <f>IF(OR(O88="",P88=""),"",IF(S88&gt;0,VLOOKUP(WardrobeHandleType,FixedListsHandleType,2,FALSE),0))</f>
        <v/>
      </c>
      <c r="X88" s="156" t="str">
        <f t="shared" si="5"/>
        <v/>
      </c>
      <c r="Y88" s="156" t="str">
        <f>IF(OR(O88="",P88=""),"",IF(OR(ISERROR(FIND("carcass",$A88))=FALSE,ISERROR(FIND("unit",$A88))=FALSE),VLOOKUP(WardrobeCarcassMaterial,FixedListsCarcassMaterial,3,0),0))</f>
        <v/>
      </c>
      <c r="Z88" s="156" t="str">
        <f>IF(OR(O88="",P88=""),"",IF(ISERROR(FIND("door",$A88))=FALSE,VLOOKUP(WardrobeDoorStyle,FixedListsDoorStyle,3,0),0))</f>
        <v/>
      </c>
      <c r="AA88" s="156" t="str">
        <f>IF(OR(O88="",P88=""),"",IF(ISERROR(FIND("door",$A88))=FALSE,VLOOKUP(WardrobeDoorMaterial,FixedListsDoorMaterial,3,0),0))</f>
        <v/>
      </c>
      <c r="AB88" s="156" t="str">
        <f>IF(OR(O88="",P88=""),"",IF(ISERROR(FIND("drawer",$A88))=FALSE,VLOOKUP(WardrobeDrawerType,FixedListsDrawerType,3,0),0))</f>
        <v/>
      </c>
      <c r="AC88" s="156" t="str">
        <f>IF(OR(O88="",P88=""),"",IF(S88&gt;0,VLOOKUP(WardrobeHandleType,FixedListsHandleType,3,FALSE),0))</f>
        <v/>
      </c>
      <c r="AD88" s="156" t="str">
        <f>IF(OR(O88="",P88=""),"",IF(OR(ISERROR(FIND("carcass",$A88))=FALSE,ISERROR(FIND("unit",$A88))=FALSE),VLOOKUP(WardrobeCarcassFinish,FixedListsFinishes,3,0),IF(OR(ISERROR(FIND("door",$A88))=FALSE,ISERROR(FIND("Plinth",$A88))=FALSE,ISERROR(FIND("Cornice",$A88))=FALSE,ISERROR(FIND("Fillers",$A88))=FALSE,ISERROR(FIND("Pelmet",$A88))=FALSE,ISERROR(FIND("panel",$A88))=FALSE,ISERROR(FIND("post",$A88))=FALSE),VLOOKUP(WardrobeDoorFinish,FixedListsFinishes,3,0),IF(OR(ISERROR(FIND("drawer",$A88))=FALSE,ISERROR(FIND("insert",$A88))=FALSE,ISERROR(FIND("rck",$A88))=FALSE),VLOOKUP(WardrobeCarcassFinish,FixedListsFinishes,3,0),0))))</f>
        <v/>
      </c>
      <c r="AE88" s="156" t="str">
        <f t="shared" si="6"/>
        <v/>
      </c>
      <c r="AF88" s="157" t="str">
        <f>IF(AND(WardrobeHandleType="Channel",OR(ISERROR(FIND("arcass",$A88))=FALSE,ISERROR(FIND("unit",$A88))=FALSE)),IF(ISERROR(FIND("Tower",$A88))=TRUE,IF(WardrobeHandleFinish="Match carcass",IF(ISERROR(FIND("Walnut",WardrobeCarcassMaterial))=FALSE,(0.035*0.075*($C88/1000))*VLOOKUP("Walnut (solid m3)",SolidData,4,FALSE),IF(ISERROR(FIND("Oak",WardrobeCarcassMaterial))=FALSE,(0.035*0.075*($C88/1000))*VLOOKUP("Oak (solid m3)",SolidData,4,FALSE),IF(ISERROR(FIND("ply",WardrobeCarcassMaterial))=FALSE,(0.1*($C88/1000))*VLOOKUP("Birch ply (24mm)",SheetsData,7,FALSE),IF(ISERROR(FIND("H/F",WardrobeCarcassMaterial))=FALSE,(0.1*($C88/1000))*VLOOKUP("H/F (22mm)",SheetsData,7,FALSE),"Carcass - not tower - new material")))),IF(WardrobeHandleFinish="Match door",IF(ISERROR(FIND("Walnut",WardrobeDoorMaterial))=FALSE,(0.035*0.075*($C88/1000))*VLOOKUP("Walnut (solid m3)",SolidData,4,FALSE),IF(ISERROR(FIND("Oak",WardrobeDoorMaterial))=FALSE,(0.035*0.075*($C88/1000))*VLOOKUP("Oak (solid m3)",SolidData,4,FALSE),IF(ISERROR(FIND("ply",WardrobeDoorMaterial))=FALSE,(0.1*($C88/1000))*VLOOKUP("Birch ply (24mm)",SheetsData,7,FALSE),IF(ISERROR(FIND("H/F",WardrobeCarcassMaterial))=FALSE,(0.1*($C88/1000))*VLOOKUP("H/F (22mm)",SheetsData,7,FALSE),"Door - not tower - new material")))),"Channel - not tower - handle set to other")),IF(ISERROR(FIND("Tower",$A88))=FALSE,IF(WardrobeHandleFinish="Match carcass",IF(ISERROR(FIND("Walnut",WardrobeCarcassMaterial))=FALSE,(0.035*0.075*($B88/1000))*VLOOKUP("Walnut (solid m3)",SolidData,4,FALSE),IF(ISERROR(FIND("Oak",WardrobeCarcassMaterial))=FALSE,(0.035*0.075*($B88/1000))*VLOOKUP("Oak (solid m3)",SolidData,4,FALSE),IF(ISERROR(FIND("ply",WardrobeCarcassMaterial))=FALSE,(0.1*($B88/1000))*VLOOKUP("Birch ply (24mm)",SheetsData,7,FALSE),IF(ISERROR(FIND("H/F",WardrobeCarcassMaterial))=FALSE,(0.1*($C88/1000))*VLOOKUP("H/F (22mm)",SheetsData,7,FALSE),"Carcass - tower - new material")))),IF(WardrobeHandleFinish="Match door",IF(ISERROR(FIND("Walnut",WardrobeDoorMaterial))=FALSE,(0.035*0.075*($B88/1000))*VLOOKUP("Walnut (solid m3)",SolidData,4,FALSE),IF(ISERROR(FIND("Oak",WardrobeDoorMaterial))=FALSE,(0.035*0.075*($B88/1000))*VLOOKUP("Oak (solid m3)",SolidData,4,FALSE),IF(ISERROR(FIND("ply",WardrobeDoorMaterial))=FALSE,(0.1*($B88/1000))*VLOOKUP("Birch ply (24mm)",SheetData,7,FALSE),IF(ISERROR(FIND("H/F",WardrobeCarcassMaterial))=FALSE,(0.1*($C88/1000))*VLOOKUP("H/F (22mm)",SheetsData,7,FALSE),"Door - tower - new material")))),"Channel - tower - handle set to other")))),"")</f>
        <v/>
      </c>
    </row>
    <row r="89">
      <c r="A89" s="150"/>
      <c r="B89" s="160" t="str">
        <f t="shared" si="1"/>
        <v/>
      </c>
      <c r="C89" s="160" t="str">
        <f>IFERROR(__xludf.DUMMYFUNCTION("IF(A89="""","""",IF(ISERROR(FIND(""arcass"",A89))=FALSE,MID(A89,FIND(""*"",A89)+1,FIND(""*"",A89,FIND(""*"",A89)+1)-FIND(""*"",A89)-1),IF(ISERROR(FIND(""End panel"",A89))=FALSE,RIGHT(A89,3),IF(OR(ISERROR(FIND(""drawer"",A89))=FALSE,ISERROR(FIND(""door"",A"&amp;"89))=FALSE,ISERROR(FIND(""shelf"",A89))=FALSE,ISERROR(FIND(""panel"",A89))=FALSE,ISERROR(FIND(""Plinth"",A89))=FALSE,ISERROR(FIND(""Cornice"",A89))=FALSE,ISERROR(FIND(""Fillers"",A89))=FALSE,ISERROR(FIND(""Pelmet"",A89))=FALSE,ISERROR(FIND(""Fireplace up "&amp;"to 1600"",A89))=FALSE),RIGHT(A89,LEN(A89)-LEN(regexextract(A89,"".* ""))),IF(ISERROR(FIND(""table"",A89))=FALSE,""560"",IF(ISERROR(FIND(""Office pod"",A89))=FALSE,""1600"",IF(ISERROR(FIND(""Fireplace over 1600"",A89))=FALSE,""2400"",IF(ISERROR(FIND(""Work"&amp;"top"",A89))=FALSE,""650"",""Whoops""))))))))"),"")</f>
        <v/>
      </c>
      <c r="D89" s="161" t="str">
        <f t="shared" si="2"/>
        <v/>
      </c>
      <c r="E89" s="152" t="str">
        <f>IF(OR(A89="",AND(ISERROR(FIND("drawer",A89))=FALSE,WardrobeDrawerType="")),"",IF(ISERROR(FIND("door",A89))=FALSE,IF(WardrobeDoorStyle="Flat",((B89/1000)*(C89/1000))*VLOOKUP(WardrobeDoorMaterial,SheetsData,8,0),IF(LEFT(WardrobeDoorStyle,5)="Panel",(((((B89/1000)*2)*0.08)+((((C89/1000)-0.16)*2)*0.08))*VLOOKUP("H/F (22mm)",SheetsData,8,0))+(((B89/1000)-0.14)*((C89/1000)-0.14)*VLOOKUP("H/F (9mm)",SheetsData,8,0)),IF(WardrobeDoorStyle="In-frame flat",((((((B89/1000)*0.019)*0.038)+((((C89-38)/1000)*0.038)*0.038))*2)*VLOOKUP("Tulip (solid m3)",SolidData,4,0))+(((B89-76)/1000)*((C89-38)/1000))*VLOOKUP("H/F (22mm)",SheetsData,8,0),IF(LEFT(WardrobeDoorStyle,14)="In-frame panel",(((((((B89/1000)*0.019)*0.038)+((((C89-38)/1000)*0.038)*0.038))*2)*VLOOKUP("Tulip (solid m3)",SolidData,4,0))+(((((((B89-76)/1000)*2)*0.08)+(((((C89-198)/1000)*2)*0.08)))*VLOOKUP("H/F (22mm)",SheetsData,8,0))+(((B89-216)/1000)*((C89-178)/1000)*VLOOKUP("H/F (9mm)",SheetsData,8,0)))))))),IF(AND(ISERROR(FIND("arcass",A89))=FALSE,ISERROR(FIND("ost corner",A89))=TRUE),IF(AND(VALUE(B89)&lt;1211,VALUE(C89)&lt;1211,VALUE(D89)&lt;606),1*VLOOKUP(WardrobeCarcassMaterial,SheetsData,5,FALSE),IF(AND(VALUE(B89)&lt;2421,VALUE(C89)&lt;2421,VALUE(D89)&lt;606),2*VLOOKUP(WardrobeCarcassMaterial,SheetsData,5,FALSE),IF(AND(VALUE(B89)&lt;2421,VALUE(C89)&lt;1211,VALUE(D89)&lt;1211),3*VLOOKUP(WardrobeCarcassMaterial,SheetsData,5,FALSE),IF(AND(VALUE(B89)&lt;2421,VALUE(C89)&lt;2421,VALUE(D89)&lt;1211),4*VLOOKUP(WardrobeCarcassMaterial,SheetsData,5,FALSE))))),IF(AND(ISERROR(FIND("arcass",A89))=FALSE,ISERROR(FIND("ost corner",A89))=FALSE),IF(AND(VALUE(B89)&lt;1211,VALUE(C89)&lt;1211,VALUE(D89)&lt;606),(1*VLOOKUP(WardrobeCarcassMaterial,SheetsData,5,FALSE))+(VLOOKUP("H/F (22mm)",SheetsData,7,FALSE)*1.44),IF(AND(VALUE(B89)&lt;2421,VALUE(C89)&lt;2421,VALUE(D89)&lt;606),(2*VLOOKUP(WardrobeCarcassMaterial,SheetsData,5,FALSE))+(VLOOKUP("H/F (22mm)",SheetsData,7,FALSE)*1.44),IF(AND(VALUE(B89)&lt;2421,VALUE(C89)&lt;1211,VALUE(D89)&lt;1211),(3*VLOOKUP(WardrobeCarcassMaterial,SheetsData,5,FALSE))+(VLOOKUP("H/F (22mm)",SheetsData,7,FALSE)*1.44),IF(AND(VALUE(B89)&lt;2421,VALUE(C89)&lt;2421,VALUE(D89)&lt;1211),(4*VLOOKUP(WardrobeCarcassMaterial,SheetsData,5,FALSE))+(VLOOKUP("H/F (22mm)",SheetsData,7,FALSE)*1.44))))),IF(ISERROR(FIND("drawer front",A89))=FALSE,((B89/1000)*(C89/1000))*VLOOKUP(WardrobeDoorMaterial,SheetsData,8,0),IF(AND(WardrobeDrawerType="Match carcass",ISERROR(FIND("drawer box",A89))=FALSE),(((((B89/1000)*(C89/1000))+((B89/1000)*(D89/1000)))*2)*VLOOKUP(WardrobeCarcassMaterial,SheetsData,8,0))+(((C89/1000)*(D89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box",A89))=FALSE),(((((B89/1000)*(C89/1000))+((B89/1000)*(D89/1000)))*2)*(16/1000)*VLOOKUP(LEFT(WardrobeCarcassMaterial,FIND(" ",WardrobeCarcassMaterial))&amp;"(solid m3)",SolidData,4,0))+(((C89/1000)*(D89/1000))*VLOOKUP(LEFT(WardrobeCarcassMaterial,FIND("(",WardrobeCarcassMaterial)-1)&amp;IF(OR(ISERROR(FIND("ply",WardrobeCarcassMaterial))=FALSE,ISERROR(FIND("H/F",WardrobeCarcassMaterial))=FALSE),"(9mm)","(10mm)"),SheetsData,8,0)),IF(ISERROR(FIND("shelf",A89))=FALSE,((C89/1000)*(D89/1000))*VLOOKUP(WardrobeCarcassMaterial,SheetsData,7,FALSE),IF(ISERROR(FIND("Office pod",A89))=FALSE,3*VLOOKUP(WardrobeCarcassMaterial,SheetsData,5,0),IF(ISERROR(FIND(" panel",A89))=FALSE,((B89/1000)*(C89/1000))*VLOOKUP(WardrobeDoorMaterial,SheetsData,8,0),IF(ISERROR(FIND("Fillers",A89))=FALSE,(((0.06*(C89/1000))*2)*VLOOKUP("H/F (18mm)",SheetsData,8,0))+(((0.06*(C89/1000))*2)*VLOOKUP("H/F (9mm)",SheetsData,8,0)),IF(ISERROR(FIND("Cornice (stacked)",A89))=FALSE,((0.08*(C89/1000))*2)*VLOOKUP("H/F (22mm)",SheetsData,8,0),IF(OR(ISERROR(FIND("Plinth",A89))=FALSE,ISERROR(FIND("Cornice (flat)",A89))=FALSE),((B89/1000)*(C89/1000))*VLOOKUP("H/F (18mm)",SheetsData,8,0),IF(ISERROR(FIND("Pelmet",A89))=FALSE,((((B89/1000)*(C89/1000))*2)*VLOOKUP("H/F (18mm)",SheetsData,8,0)),IF(ISERROR(FIND("Fireplace",A89))=FALSE,IF(ISERROR(FIND("over 1600",A89))=FALSE,2*VLOOKUP(WardrobeCarcassMaterial,SheetsData,5,FALSE),VLOOKUP(WardrobeCarcassMaterial,SheetsData,5,FALSE)),IF(ISERROR(FIND("table",A89))=FALSE,((B89/1000)*0.6)*VLOOKUP("Birch ply (24mm)",SheetsData,7,FALSE),IF(ISERROR(FIND("Worktop",A89))=FALSE,((B89/1000)*(C89/1000))*VLOOKUP(WardrobeDoorMaterial,SheetsData,7,FALSE),"Check formula")))))))))))))))))</f>
        <v/>
      </c>
      <c r="F89" s="152" t="str">
        <f>IFERROR(__xludf.DUMMYFUNCTION("IF(OR(A89="""",AND(ISERROR(FIND(""drawer box"",A89))=FALSE,WardrobeDrawerType=""Solid dovetail"")),"""",IF(ISERROR(FIND(""bins"",A89))=FALSE,VLOOKUP(""Base carcass 600"",Wardrobes_etcData,6,0),IF(OR(ISERROR(FIND(""larder"",A89))=FALSE,ISERROR(FIND(""unit"&amp;""",A89))=FALSE),VLOOKUP(LEFT(A89,FIND("" "",A89))&amp;""carcass ""&amp;RIGHT(A89,LEN(A89)-len(regexextract(A89,"".* ""))),Wardrobes_etcData,6,0),IF(ISERROR(FIND(""drawer front"",A89))=FALSE,IF(ISERROR(FIND(""veneer"",WardrobeCarcassMaterial))=TRUE,0,(((B89+C89)/1"&amp;"000)*2)*VLOOKUP(""Edge banding (per M)"",SheetsData,5,0)),IF(ISERROR(FIND(""drawer box"",A89))=FALSE,IF(ISERROR(FIND(""veneer"",WardrobeCarcassMaterial))=TRUE,0,(((C89+D89)/1000)*2)*VLOOKUP(""Edge banding (per M)"",SheetsData,5,0)),IF(ISERROR(FIND(""shelf"&amp;""",A89))=FALSE,IF(ISERROR(FIND(""veneer"",WardrobeCarcassMaterial))=TRUE,0,(C89/1000)*VLOOKUP(""Edge banding (per M)"",SheetsData,5,0)),IF(AND(OR(ISERROR(FIND(""arcass"",A89))=FALSE,ISERROR(FIND(""Fireplace"",A89))=FALSE),ISERROR(FIND(""shelf"",A89))=TRUE"&amp;"),IF(ISERROR(FIND(""veneer"",WardrobeCarcassMaterial))=TRUE,0,((2*(B89+C89))/1000)*VLOOKUP(""Edge banding (per M)"",SheetsData,5,0)),IF(ISERROR(FIND(""door"",A89))=TRUE,"""",IF(ISERROR(FIND(""veneer"",WardrobeDoorMaterial))=TRUE,"""",((2*(B89+C89))/1000)*"&amp;"VLOOKUP(""Edge banding (per M)"",SheetsData,5,0))))))))))"),"")</f>
        <v/>
      </c>
      <c r="G89" s="153" t="str">
        <f>IF(A89="","",IF(AND(ISERROR(FIND("arcass",A89))=TRUE,ISERROR(FIND("Fireplace",A89))=TRUE),"",IF(VALUE(C89)&lt;606,4*VLOOKUP("Plinth foot (2 Parts 80mm)",FurnitureData,5,FALSE),IF(VALUE(C89)&lt;1211,6*VLOOKUP("Plinth foot (2 Parts 80mm)",FurnitureData,5,FALSE),8*VLOOKUP("Plinth foot (2 Parts 80mm)",FurnitureData,5,FALSE)))))</f>
        <v/>
      </c>
      <c r="H89" s="115" t="str">
        <f>IF(OR(A89="",ISERROR(FIND("door",A89))=TRUE),"",VLOOKUP("Hinges &amp; plates (Hettich thick door)",FurnitureData,5,0)*5)</f>
        <v/>
      </c>
      <c r="I89" s="115" t="str">
        <f>IF(ISERROR(FIND("shelf",A89))=FALSE,(VLOOKUP("Shelf pegs",FurnitureData,5,0)/100)*4,"")</f>
        <v/>
      </c>
      <c r="J89" s="152" t="str">
        <f>IF(OR(ISERROR(FIND("fridge/freezer",A89))=FALSE,ISERROR(FIND("sink",A89))=FALSE,ISERROR(FIND("larder",A89))=FALSE),VLOOKUP("Deep shelf "&amp;C89,Wardrobes_etcData,18,0),IF(OR(ISERROR(FIND("single oven",A89))=FALSE,ISERROR(FIND("Base carcass",A89))=FALSE),2*VLOOKUP("Deep shelf "&amp;C89,Wardrobes_etcData,18,0),IF(AND(ISERROR(FIND("wall carcass",A89))=FALSE,ISERROR(FIND("Boiler",A89))=TRUE),2*VLOOKUP("Shallow shelf "&amp;C89,Wardrobes_etcData,18,0),IF(ISERROR(FIND("double oven",A89))=FALSE,3*VLOOKUP("Deep shelf "&amp;C89,Wardrobes_etcData,18,0),IF(ISERROR(FIND("Tower carcass",A89))=FALSE,6*VLOOKUP("Deep shelf "&amp;C89,Wardrobes_etcData,18,0),"")))))</f>
        <v/>
      </c>
      <c r="K89" s="152" t="str">
        <f>IF(ISERROR(FIND("sink",A89))=FALSE,VLOOKUP("Sink liner - Aluminium "&amp;RIGHT(A89,LEN(A89)-22)&amp;"mm",ExceptionalData,5,0),IF(ISERROR(FIND("bins",A89))=FALSE,VLOOKUP("Drawer runners and clip set for bin unit (500) Dynapro",FurnitureData,5,0)+(2*VLOOKUP("Bin (42L Anthracite)",FurnitureData,5,0)),IF(ISERROR(FIND("larder",A89))=FALSE,VLOOKUP("Pull out larder unit 600mm",FurnitureData,5,0),IF(AND(ISERROR(FIND("drawer box",A89))=FALSE,ISERROR(FIND("internal",A89))=TRUE),VLOOKUP("Drawer runners and clip set (550) Dynapro",FurnitureData,5,0),IF(ISERROR(FIND("internal drawer box",A89))=FALSE,VLOOKUP("Drawer runners and clip set (450) Dynapro",FurnitureData,5,0),IF(ISERROR(FIND("table",A89))=FALSE,VLOOKUP("Hairpin Leg (12mm Black "&amp;MID(A89,FIND("(",A89)+1,LEN(A89)-(FIND("(",A89))-1)&amp;"mm)",ExceptionalData,4,FALSE),""))))))</f>
        <v/>
      </c>
      <c r="L89" s="152" t="str">
        <f t="shared" si="3"/>
        <v/>
      </c>
      <c r="M89" s="154" t="str">
        <f>IF(A89="","",IF(AND(ISERROR(FIND("drawer front",A89))=FALSE,WardrobeDoorStyle="Flat"),(((B89/1000)*(C89/1000))*2)+((((B89+C89)/1000)*2)*0.022),IF(AND(ISERROR(FIND("drawer front",A89))=FALSE,LEFT(WardrobeDoorStyle,5)="Panel"),(((B89/1000)*(C89/1000))*2)+((((B89+C89)/1000)*2)*0.022)+((((C89/1000)-0.16)*0.013)*2)+((((D89/1000)-0.16)*0.013)*2),IF(AND(ISERROR(FIND("drawer front",A89))=FALSE,WardrobeDoorStyle="In-frame flat"),((((B89-76)/1000)*((C89-38)/1000))*2)+(MID(WardrobeDoorMaterial,FIND("(",WardrobeDoorMaterial)+1,2)/1000)*((((B89-76)+(C89-38))/1000)*2)+(((B89/1000)*0.032)*2)+((((B89-76)/1000)*0.032)*2)+(((B89/1000)*0.019)*4)+(((C89/1000)*0.032)*2)+((((C89-38)/1000)*0.032)*2)+(((C89/1000)*0.038)*4),IF(AND(ISERROR(FIND("drawer front",A89))=FALSE,LEFT(WardrobeDoorStyle,14)="In-frame panel"),((((B89-76)/1000)*((C89-38)/1000))*2)+((MID(WardrobeDoorMaterial,FIND("(",WardrobeDoorMaterial)+1,2)/1000)*((((B89-76)+(C89-38))/1000)*2))+((((B89-236)/1000)+((C89-198)/1000)*2)*0.013)+(((B89/1000)*0.032)*2)+((((B89-76)/1000)*0.032)*2)+(((B89/1000)*0.019)*4)+(((C89/1000)*0.032)*2)+((((C89-38)/1000)*0.032)*2)+(((C89/1000)*0.038)*4),IF(ISERROR(FIND("drawer box",A89))=FALSE,((((B89/1000)*(D89/1000))+((B89/1000)*(C89/1000)))*4)+((((D89/1000)+(C89/1000))*0.016)*4)+(((C89/1000)*(D89/1000))*2),IF(OR(ISERROR(FIND("shelf",A89))=FALSE,ISERROR(FIND("Filler panel",A89))=FALSE),(((C89/1000)*(D89/1000))*2)+((((C89+D89)*2)/1000)*0.022),IF(ISERROR(FIND("Fireplace",A89))=FALSE,((B89/1000)*(C89/1000)),IF(ISERROR(FIND("Worktop",A89))=FALSE,(B89/1000)*(C89/1000),IF(ISERROR(FIND("table",A89))=FALSE,(B89/1000)*0.6,IF(ISERROR(FIND("arcass",A89))=FALSE,(((C89/1000)*(D89/1000))*2)+(((B89/1000)*(D89/1000))*2)+((B89/1000)*(C89/1000))+((((B89/1000)*0.025)+((C89/1000)*0.025))*2),IF(AND(ISERROR(FIND("door",A89))=FALSE,WardrobeDoorStyle="Flat"),(((B89/1000)*(C89/1000))*2)+(MID(WardrobeDoorMaterial,FIND("(",WardrobeDoorMaterial)+1,2)/1000)*(((B89+C89)/1000)*2),IF(AND(ISERROR(FIND("door",A89))=FALSE,LEFT(WardrobeDoorStyle,5)="Panel"),(((B89/1000)*(C89/1000))*2)+((MID(WardrobeDoorMaterial,FIND("(",WardrobeDoorMaterial)+1,2)/1000)*(((B89+C89)/1000)*2))+(((((B89-160)+(C89-160))*2)/1000)*(0.013)),IF(AND(ISERROR(FIND("door",A89))=FALSE,WardrobeDoorStyle="In-frame flat"),((((B89-76)/1000)*((C89-38)/1000))*2)+(MID(WardrobeDoorMaterial,FIND("(",WardrobeDoorMaterial)+1,2)/1000)*((((B89-76)+(C89-38))/1000)*2)+(((B89/1000)*0.032)*2)+((((B89-76)/1000)*0.032)*2)+(((B89/1000)*0.019)*4)+(((C89/1000)*0.032)*2)+((((C89-38)/1000)*0.032)*2)+(((C89/1000)*0.038)*4),IF(AND(ISERROR(FIND("door",A89))=FALSE,LEFT(WardrobeDoorStyle,14)="In-frame panel"),((((B89-76)/1000)*((C89-38)/1000))*2)+((MID(WardrobeDoorMaterial,FIND("(",WardrobeDoorMaterial)+1,2)/1000)*((((B89-76)+(C89-38))/1000)*2))+((((B89-236)/1000)+((C89-198)/1000)*2)*0.013)+(((B89/1000)*0.032)*2)+((((B89-76)/1000)*0.032)*2)+(((B89/1000)*0.019)*4)+(((C89/1000)*0.032)*2)+((((C89-38)/1000)*0.032)*2)+(((C89/1000)*0.038)*4),IF(ISERROR(FIND("Plinth",A89))=FALSE,((B89/1000)*(C89/1000))+(((C89/1000)*0.018)*2)+(((B89/1000)*0.018)*2),IF(ISERROR(FIND("Cornice",A89))=FALSE,(((C89/1000)*0.1)*2)+(((C89/1000)*0.044)*2)+(((B89/1000)*0.08)*2),IF(ISERROR(FIND("Office pod",A89))=FALSE,((2400/1000)*(1200/1000))*6,IF(ISERROR(FIND("panel",A89))=FALSE,((B89/1000)*(C89/1000))+(0.022*((B89/1000)+((C89/1000)*2)))+((B89/1000)*0.05),IF(ISERROR(FIND("Fillers",A89))=FALSE,((C89/1000)*0.06)+((C89/1000)*0.069)+((0.06*0.018)*2)+((0.06*0.009)*2)+((C89/1000)*0.009)+((C89/1000)*0.018),IF(ISERROR(FIND("Pelmet",A89))=FALSE,((C89/1000)*0.05)+((C89/1000)*0.068)+((0.05*0.018)*4)+(((C89/1000)*0.018))*2)))))))))))))))))))))</f>
        <v/>
      </c>
      <c r="N89" s="152" t="str">
        <f>IF(M89="","",IF(AND(ISERROR(FIND("carcass",A89))=TRUE,ISERROR(FIND("unit",A89))=TRUE,ISERROR(FIND("insert",A89))=TRUE,ISERROR(FIND("rack",A89))=TRUE,ISERROR(FIND("box",A89))=TRUE,ISERROR(FIND("shelf",A89))=TRUE),VLOOKUP(WardrobeDoorFinish,Finishing!$A$2:$K$10,9,0)*M89,IF(ISERROR(FIND("table",A89))=FALSE,VLOOKUP("Sayerlack AF0072 Interior Clear Self-Sealer",FinishingData,9,FALSE)*M89,VLOOKUP(WardrobeCarcassFinish,Finishing!$A$2:$K$40,9,0)*M89)))</f>
        <v/>
      </c>
      <c r="O89" s="159"/>
      <c r="P89" s="159"/>
      <c r="Q89" s="152" t="str">
        <f>IF(OR(O89="",P89=""),"",((O89*X89)*(VLOOKUP("Workshop",Labour!$A$3:$E$20,4,0)/8))+((P89*AE89)*(VLOOKUP("Finishing",Labour!$A$3:$E$20,4,0)/8)))</f>
        <v/>
      </c>
      <c r="R89" s="152" t="str">
        <f t="shared" si="4"/>
        <v/>
      </c>
      <c r="S89" s="156" t="str">
        <f>IF(OR(O89="",P89=""),"",IF(OR(ISERROR(FIND("carcass",$A89))=FALSE,ISERROR(FIND("unit",$A89))=FALSE),VLOOKUP(WardrobeCarcassMaterial,FixedListsCarcassMaterial,2,0),0))</f>
        <v/>
      </c>
      <c r="T89" s="156" t="str">
        <f>IF(OR(O89="",P89=""),"",IF(ISERROR(FIND("door",$A89))=FALSE,VLOOKUP(WardrobeDoorStyle,FixedListsDoorStyle,2,0),0))</f>
        <v/>
      </c>
      <c r="U89" s="156" t="str">
        <f>IF(OR(O89="",P89=""),"",IF(ISERROR(FIND("door",$A89))=FALSE,VLOOKUP(WardrobeDoorMaterial,FixedListsDoorMaterial,2,0),0))</f>
        <v/>
      </c>
      <c r="V89" s="156" t="str">
        <f>IF(OR(O89="",P89=""),"",IF(ISERROR(FIND("drawer",$A89))=FALSE,VLOOKUP(WardrobeDrawerType,FixedListsDrawerType,2,0),0))</f>
        <v/>
      </c>
      <c r="W89" s="156" t="str">
        <f>IF(OR(O89="",P89=""),"",IF(S89&gt;0,VLOOKUP(WardrobeHandleType,FixedListsHandleType,2,FALSE),0))</f>
        <v/>
      </c>
      <c r="X89" s="156" t="str">
        <f t="shared" si="5"/>
        <v/>
      </c>
      <c r="Y89" s="156" t="str">
        <f>IF(OR(O89="",P89=""),"",IF(OR(ISERROR(FIND("carcass",$A89))=FALSE,ISERROR(FIND("unit",$A89))=FALSE),VLOOKUP(WardrobeCarcassMaterial,FixedListsCarcassMaterial,3,0),0))</f>
        <v/>
      </c>
      <c r="Z89" s="156" t="str">
        <f>IF(OR(O89="",P89=""),"",IF(ISERROR(FIND("door",$A89))=FALSE,VLOOKUP(WardrobeDoorStyle,FixedListsDoorStyle,3,0),0))</f>
        <v/>
      </c>
      <c r="AA89" s="156" t="str">
        <f>IF(OR(O89="",P89=""),"",IF(ISERROR(FIND("door",$A89))=FALSE,VLOOKUP(WardrobeDoorMaterial,FixedListsDoorMaterial,3,0),0))</f>
        <v/>
      </c>
      <c r="AB89" s="156" t="str">
        <f>IF(OR(O89="",P89=""),"",IF(ISERROR(FIND("drawer",$A89))=FALSE,VLOOKUP(WardrobeDrawerType,FixedListsDrawerType,3,0),0))</f>
        <v/>
      </c>
      <c r="AC89" s="156" t="str">
        <f>IF(OR(O89="",P89=""),"",IF(S89&gt;0,VLOOKUP(WardrobeHandleType,FixedListsHandleType,3,FALSE),0))</f>
        <v/>
      </c>
      <c r="AD89" s="156" t="str">
        <f>IF(OR(O89="",P89=""),"",IF(OR(ISERROR(FIND("carcass",$A89))=FALSE,ISERROR(FIND("unit",$A89))=FALSE),VLOOKUP(WardrobeCarcassFinish,FixedListsFinishes,3,0),IF(OR(ISERROR(FIND("door",$A89))=FALSE,ISERROR(FIND("Plinth",$A89))=FALSE,ISERROR(FIND("Cornice",$A89))=FALSE,ISERROR(FIND("Fillers",$A89))=FALSE,ISERROR(FIND("Pelmet",$A89))=FALSE,ISERROR(FIND("panel",$A89))=FALSE,ISERROR(FIND("post",$A89))=FALSE),VLOOKUP(WardrobeDoorFinish,FixedListsFinishes,3,0),IF(OR(ISERROR(FIND("drawer",$A89))=FALSE,ISERROR(FIND("insert",$A89))=FALSE,ISERROR(FIND("rck",$A89))=FALSE),VLOOKUP(WardrobeCarcassFinish,FixedListsFinishes,3,0),0))))</f>
        <v/>
      </c>
      <c r="AE89" s="156" t="str">
        <f t="shared" si="6"/>
        <v/>
      </c>
      <c r="AF89" s="157" t="str">
        <f>IF(AND(WardrobeHandleType="Channel",OR(ISERROR(FIND("arcass",$A89))=FALSE,ISERROR(FIND("unit",$A89))=FALSE)),IF(ISERROR(FIND("Tower",$A89))=TRUE,IF(WardrobeHandleFinish="Match carcass",IF(ISERROR(FIND("Walnut",WardrobeCarcassMaterial))=FALSE,(0.035*0.075*($C89/1000))*VLOOKUP("Walnut (solid m3)",SolidData,4,FALSE),IF(ISERROR(FIND("Oak",WardrobeCarcassMaterial))=FALSE,(0.035*0.075*($C89/1000))*VLOOKUP("Oak (solid m3)",SolidData,4,FALSE),IF(ISERROR(FIND("ply",WardrobeCarcassMaterial))=FALSE,(0.1*($C89/1000))*VLOOKUP("Birch ply (24mm)",SheetsData,7,FALSE),IF(ISERROR(FIND("H/F",WardrobeCarcassMaterial))=FALSE,(0.1*($C89/1000))*VLOOKUP("H/F (22mm)",SheetsData,7,FALSE),"Carcass - not tower - new material")))),IF(WardrobeHandleFinish="Match door",IF(ISERROR(FIND("Walnut",WardrobeDoorMaterial))=FALSE,(0.035*0.075*($C89/1000))*VLOOKUP("Walnut (solid m3)",SolidData,4,FALSE),IF(ISERROR(FIND("Oak",WardrobeDoorMaterial))=FALSE,(0.035*0.075*($C89/1000))*VLOOKUP("Oak (solid m3)",SolidData,4,FALSE),IF(ISERROR(FIND("ply",WardrobeDoorMaterial))=FALSE,(0.1*($C89/1000))*VLOOKUP("Birch ply (24mm)",SheetsData,7,FALSE),IF(ISERROR(FIND("H/F",WardrobeCarcassMaterial))=FALSE,(0.1*($C89/1000))*VLOOKUP("H/F (22mm)",SheetsData,7,FALSE),"Door - not tower - new material")))),"Channel - not tower - handle set to other")),IF(ISERROR(FIND("Tower",$A89))=FALSE,IF(WardrobeHandleFinish="Match carcass",IF(ISERROR(FIND("Walnut",WardrobeCarcassMaterial))=FALSE,(0.035*0.075*($B89/1000))*VLOOKUP("Walnut (solid m3)",SolidData,4,FALSE),IF(ISERROR(FIND("Oak",WardrobeCarcassMaterial))=FALSE,(0.035*0.075*($B89/1000))*VLOOKUP("Oak (solid m3)",SolidData,4,FALSE),IF(ISERROR(FIND("ply",WardrobeCarcassMaterial))=FALSE,(0.1*($B89/1000))*VLOOKUP("Birch ply (24mm)",SheetsData,7,FALSE),IF(ISERROR(FIND("H/F",WardrobeCarcassMaterial))=FALSE,(0.1*($C89/1000))*VLOOKUP("H/F (22mm)",SheetsData,7,FALSE),"Carcass - tower - new material")))),IF(WardrobeHandleFinish="Match door",IF(ISERROR(FIND("Walnut",WardrobeDoorMaterial))=FALSE,(0.035*0.075*($B89/1000))*VLOOKUP("Walnut (solid m3)",SolidData,4,FALSE),IF(ISERROR(FIND("Oak",WardrobeDoorMaterial))=FALSE,(0.035*0.075*($B89/1000))*VLOOKUP("Oak (solid m3)",SolidData,4,FALSE),IF(ISERROR(FIND("ply",WardrobeDoorMaterial))=FALSE,(0.1*($B89/1000))*VLOOKUP("Birch ply (24mm)",SheetData,7,FALSE),IF(ISERROR(FIND("H/F",WardrobeCarcassMaterial))=FALSE,(0.1*($C89/1000))*VLOOKUP("H/F (22mm)",SheetsData,7,FALSE),"Door - tower - new material")))),"Channel - tower - handle set to other")))),"")</f>
        <v/>
      </c>
    </row>
    <row r="90">
      <c r="A90" s="150"/>
      <c r="B90" s="160" t="str">
        <f t="shared" si="1"/>
        <v/>
      </c>
      <c r="C90" s="160" t="str">
        <f>IFERROR(__xludf.DUMMYFUNCTION("IF(A90="""","""",IF(ISERROR(FIND(""arcass"",A90))=FALSE,MID(A90,FIND(""*"",A90)+1,FIND(""*"",A90,FIND(""*"",A90)+1)-FIND(""*"",A90)-1),IF(ISERROR(FIND(""End panel"",A90))=FALSE,RIGHT(A90,3),IF(OR(ISERROR(FIND(""drawer"",A90))=FALSE,ISERROR(FIND(""door"",A"&amp;"90))=FALSE,ISERROR(FIND(""shelf"",A90))=FALSE,ISERROR(FIND(""panel"",A90))=FALSE,ISERROR(FIND(""Plinth"",A90))=FALSE,ISERROR(FIND(""Cornice"",A90))=FALSE,ISERROR(FIND(""Fillers"",A90))=FALSE,ISERROR(FIND(""Pelmet"",A90))=FALSE,ISERROR(FIND(""Fireplace up "&amp;"to 1600"",A90))=FALSE),RIGHT(A90,LEN(A90)-LEN(regexextract(A90,"".* ""))),IF(ISERROR(FIND(""table"",A90))=FALSE,""560"",IF(ISERROR(FIND(""Office pod"",A90))=FALSE,""1600"",IF(ISERROR(FIND(""Fireplace over 1600"",A90))=FALSE,""2400"",IF(ISERROR(FIND(""Work"&amp;"top"",A90))=FALSE,""650"",""Whoops""))))))))"),"")</f>
        <v/>
      </c>
      <c r="D90" s="161" t="str">
        <f t="shared" si="2"/>
        <v/>
      </c>
      <c r="E90" s="152" t="str">
        <f>IF(OR(A90="",AND(ISERROR(FIND("drawer",A90))=FALSE,WardrobeDrawerType="")),"",IF(ISERROR(FIND("door",A90))=FALSE,IF(WardrobeDoorStyle="Flat",((B90/1000)*(C90/1000))*VLOOKUP(WardrobeDoorMaterial,SheetsData,8,0),IF(LEFT(WardrobeDoorStyle,5)="Panel",(((((B90/1000)*2)*0.08)+((((C90/1000)-0.16)*2)*0.08))*VLOOKUP("H/F (22mm)",SheetsData,8,0))+(((B90/1000)-0.14)*((C90/1000)-0.14)*VLOOKUP("H/F (9mm)",SheetsData,8,0)),IF(WardrobeDoorStyle="In-frame flat",((((((B90/1000)*0.019)*0.038)+((((C90-38)/1000)*0.038)*0.038))*2)*VLOOKUP("Tulip (solid m3)",SolidData,4,0))+(((B90-76)/1000)*((C90-38)/1000))*VLOOKUP("H/F (22mm)",SheetsData,8,0),IF(LEFT(WardrobeDoorStyle,14)="In-frame panel",(((((((B90/1000)*0.019)*0.038)+((((C90-38)/1000)*0.038)*0.038))*2)*VLOOKUP("Tulip (solid m3)",SolidData,4,0))+(((((((B90-76)/1000)*2)*0.08)+(((((C90-198)/1000)*2)*0.08)))*VLOOKUP("H/F (22mm)",SheetsData,8,0))+(((B90-216)/1000)*((C90-178)/1000)*VLOOKUP("H/F (9mm)",SheetsData,8,0)))))))),IF(AND(ISERROR(FIND("arcass",A90))=FALSE,ISERROR(FIND("ost corner",A90))=TRUE),IF(AND(VALUE(B90)&lt;1211,VALUE(C90)&lt;1211,VALUE(D90)&lt;606),1*VLOOKUP(WardrobeCarcassMaterial,SheetsData,5,FALSE),IF(AND(VALUE(B90)&lt;2421,VALUE(C90)&lt;2421,VALUE(D90)&lt;606),2*VLOOKUP(WardrobeCarcassMaterial,SheetsData,5,FALSE),IF(AND(VALUE(B90)&lt;2421,VALUE(C90)&lt;1211,VALUE(D90)&lt;1211),3*VLOOKUP(WardrobeCarcassMaterial,SheetsData,5,FALSE),IF(AND(VALUE(B90)&lt;2421,VALUE(C90)&lt;2421,VALUE(D90)&lt;1211),4*VLOOKUP(WardrobeCarcassMaterial,SheetsData,5,FALSE))))),IF(AND(ISERROR(FIND("arcass",A90))=FALSE,ISERROR(FIND("ost corner",A90))=FALSE),IF(AND(VALUE(B90)&lt;1211,VALUE(C90)&lt;1211,VALUE(D90)&lt;606),(1*VLOOKUP(WardrobeCarcassMaterial,SheetsData,5,FALSE))+(VLOOKUP("H/F (22mm)",SheetsData,7,FALSE)*1.44),IF(AND(VALUE(B90)&lt;2421,VALUE(C90)&lt;2421,VALUE(D90)&lt;606),(2*VLOOKUP(WardrobeCarcassMaterial,SheetsData,5,FALSE))+(VLOOKUP("H/F (22mm)",SheetsData,7,FALSE)*1.44),IF(AND(VALUE(B90)&lt;2421,VALUE(C90)&lt;1211,VALUE(D90)&lt;1211),(3*VLOOKUP(WardrobeCarcassMaterial,SheetsData,5,FALSE))+(VLOOKUP("H/F (22mm)",SheetsData,7,FALSE)*1.44),IF(AND(VALUE(B90)&lt;2421,VALUE(C90)&lt;2421,VALUE(D90)&lt;1211),(4*VLOOKUP(WardrobeCarcassMaterial,SheetsData,5,FALSE))+(VLOOKUP("H/F (22mm)",SheetsData,7,FALSE)*1.44))))),IF(ISERROR(FIND("drawer front",A90))=FALSE,((B90/1000)*(C90/1000))*VLOOKUP(WardrobeDoorMaterial,SheetsData,8,0),IF(AND(WardrobeDrawerType="Match carcass",ISERROR(FIND("drawer box",A90))=FALSE),(((((B90/1000)*(C90/1000))+((B90/1000)*(D90/1000)))*2)*VLOOKUP(WardrobeCarcassMaterial,SheetsData,8,0))+(((C90/1000)*(D90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box",A90))=FALSE),(((((B90/1000)*(C90/1000))+((B90/1000)*(D90/1000)))*2)*(16/1000)*VLOOKUP(LEFT(WardrobeCarcassMaterial,FIND(" ",WardrobeCarcassMaterial))&amp;"(solid m3)",SolidData,4,0))+(((C90/1000)*(D90/1000))*VLOOKUP(LEFT(WardrobeCarcassMaterial,FIND("(",WardrobeCarcassMaterial)-1)&amp;IF(OR(ISERROR(FIND("ply",WardrobeCarcassMaterial))=FALSE,ISERROR(FIND("H/F",WardrobeCarcassMaterial))=FALSE),"(9mm)","(10mm)"),SheetsData,8,0)),IF(ISERROR(FIND("shelf",A90))=FALSE,((C90/1000)*(D90/1000))*VLOOKUP(WardrobeCarcassMaterial,SheetsData,7,FALSE),IF(ISERROR(FIND("Office pod",A90))=FALSE,3*VLOOKUP(WardrobeCarcassMaterial,SheetsData,5,0),IF(ISERROR(FIND(" panel",A90))=FALSE,((B90/1000)*(C90/1000))*VLOOKUP(WardrobeDoorMaterial,SheetsData,8,0),IF(ISERROR(FIND("Fillers",A90))=FALSE,(((0.06*(C90/1000))*2)*VLOOKUP("H/F (18mm)",SheetsData,8,0))+(((0.06*(C90/1000))*2)*VLOOKUP("H/F (9mm)",SheetsData,8,0)),IF(ISERROR(FIND("Cornice (stacked)",A90))=FALSE,((0.08*(C90/1000))*2)*VLOOKUP("H/F (22mm)",SheetsData,8,0),IF(OR(ISERROR(FIND("Plinth",A90))=FALSE,ISERROR(FIND("Cornice (flat)",A90))=FALSE),((B90/1000)*(C90/1000))*VLOOKUP("H/F (18mm)",SheetsData,8,0),IF(ISERROR(FIND("Pelmet",A90))=FALSE,((((B90/1000)*(C90/1000))*2)*VLOOKUP("H/F (18mm)",SheetsData,8,0)),IF(ISERROR(FIND("Fireplace",A90))=FALSE,IF(ISERROR(FIND("over 1600",A90))=FALSE,2*VLOOKUP(WardrobeCarcassMaterial,SheetsData,5,FALSE),VLOOKUP(WardrobeCarcassMaterial,SheetsData,5,FALSE)),IF(ISERROR(FIND("table",A90))=FALSE,((B90/1000)*0.6)*VLOOKUP("Birch ply (24mm)",SheetsData,7,FALSE),IF(ISERROR(FIND("Worktop",A90))=FALSE,((B90/1000)*(C90/1000))*VLOOKUP(WardrobeDoorMaterial,SheetsData,7,FALSE),"Check formula")))))))))))))))))</f>
        <v/>
      </c>
      <c r="F90" s="152" t="str">
        <f>IFERROR(__xludf.DUMMYFUNCTION("IF(OR(A90="""",AND(ISERROR(FIND(""drawer box"",A90))=FALSE,WardrobeDrawerType=""Solid dovetail"")),"""",IF(ISERROR(FIND(""bins"",A90))=FALSE,VLOOKUP(""Base carcass 600"",Wardrobes_etcData,6,0),IF(OR(ISERROR(FIND(""larder"",A90))=FALSE,ISERROR(FIND(""unit"&amp;""",A90))=FALSE),VLOOKUP(LEFT(A90,FIND("" "",A90))&amp;""carcass ""&amp;RIGHT(A90,LEN(A90)-len(regexextract(A90,"".* ""))),Wardrobes_etcData,6,0),IF(ISERROR(FIND(""drawer front"",A90))=FALSE,IF(ISERROR(FIND(""veneer"",WardrobeCarcassMaterial))=TRUE,0,(((B90+C90)/1"&amp;"000)*2)*VLOOKUP(""Edge banding (per M)"",SheetsData,5,0)),IF(ISERROR(FIND(""drawer box"",A90))=FALSE,IF(ISERROR(FIND(""veneer"",WardrobeCarcassMaterial))=TRUE,0,(((C90+D90)/1000)*2)*VLOOKUP(""Edge banding (per M)"",SheetsData,5,0)),IF(ISERROR(FIND(""shelf"&amp;""",A90))=FALSE,IF(ISERROR(FIND(""veneer"",WardrobeCarcassMaterial))=TRUE,0,(C90/1000)*VLOOKUP(""Edge banding (per M)"",SheetsData,5,0)),IF(AND(OR(ISERROR(FIND(""arcass"",A90))=FALSE,ISERROR(FIND(""Fireplace"",A90))=FALSE),ISERROR(FIND(""shelf"",A90))=TRUE"&amp;"),IF(ISERROR(FIND(""veneer"",WardrobeCarcassMaterial))=TRUE,0,((2*(B90+C90))/1000)*VLOOKUP(""Edge banding (per M)"",SheetsData,5,0)),IF(ISERROR(FIND(""door"",A90))=TRUE,"""",IF(ISERROR(FIND(""veneer"",WardrobeDoorMaterial))=TRUE,"""",((2*(B90+C90))/1000)*"&amp;"VLOOKUP(""Edge banding (per M)"",SheetsData,5,0))))))))))"),"")</f>
        <v/>
      </c>
      <c r="G90" s="153" t="str">
        <f>IF(A90="","",IF(AND(ISERROR(FIND("arcass",A90))=TRUE,ISERROR(FIND("Fireplace",A90))=TRUE),"",IF(VALUE(C90)&lt;606,4*VLOOKUP("Plinth foot (2 Parts 80mm)",FurnitureData,5,FALSE),IF(VALUE(C90)&lt;1211,6*VLOOKUP("Plinth foot (2 Parts 80mm)",FurnitureData,5,FALSE),8*VLOOKUP("Plinth foot (2 Parts 80mm)",FurnitureData,5,FALSE)))))</f>
        <v/>
      </c>
      <c r="H90" s="115" t="str">
        <f>IF(OR(A90="",ISERROR(FIND("door",A90))=TRUE),"",VLOOKUP("Hinges &amp; plates (Hettich thick door)",FurnitureData,5,0)*5)</f>
        <v/>
      </c>
      <c r="I90" s="115" t="str">
        <f>IF(ISERROR(FIND("shelf",A90))=FALSE,(VLOOKUP("Shelf pegs",FurnitureData,5,0)/100)*4,"")</f>
        <v/>
      </c>
      <c r="J90" s="152" t="str">
        <f>IF(OR(ISERROR(FIND("fridge/freezer",A90))=FALSE,ISERROR(FIND("sink",A90))=FALSE,ISERROR(FIND("larder",A90))=FALSE),VLOOKUP("Deep shelf "&amp;C90,Wardrobes_etcData,18,0),IF(OR(ISERROR(FIND("single oven",A90))=FALSE,ISERROR(FIND("Base carcass",A90))=FALSE),2*VLOOKUP("Deep shelf "&amp;C90,Wardrobes_etcData,18,0),IF(AND(ISERROR(FIND("wall carcass",A90))=FALSE,ISERROR(FIND("Boiler",A90))=TRUE),2*VLOOKUP("Shallow shelf "&amp;C90,Wardrobes_etcData,18,0),IF(ISERROR(FIND("double oven",A90))=FALSE,3*VLOOKUP("Deep shelf "&amp;C90,Wardrobes_etcData,18,0),IF(ISERROR(FIND("Tower carcass",A90))=FALSE,6*VLOOKUP("Deep shelf "&amp;C90,Wardrobes_etcData,18,0),"")))))</f>
        <v/>
      </c>
      <c r="K90" s="152" t="str">
        <f>IF(ISERROR(FIND("sink",A90))=FALSE,VLOOKUP("Sink liner - Aluminium "&amp;RIGHT(A90,LEN(A90)-22)&amp;"mm",ExceptionalData,5,0),IF(ISERROR(FIND("bins",A90))=FALSE,VLOOKUP("Drawer runners and clip set for bin unit (500) Dynapro",FurnitureData,5,0)+(2*VLOOKUP("Bin (42L Anthracite)",FurnitureData,5,0)),IF(ISERROR(FIND("larder",A90))=FALSE,VLOOKUP("Pull out larder unit 600mm",FurnitureData,5,0),IF(AND(ISERROR(FIND("drawer box",A90))=FALSE,ISERROR(FIND("internal",A90))=TRUE),VLOOKUP("Drawer runners and clip set (550) Dynapro",FurnitureData,5,0),IF(ISERROR(FIND("internal drawer box",A90))=FALSE,VLOOKUP("Drawer runners and clip set (450) Dynapro",FurnitureData,5,0),IF(ISERROR(FIND("table",A90))=FALSE,VLOOKUP("Hairpin Leg (12mm Black "&amp;MID(A90,FIND("(",A90)+1,LEN(A90)-(FIND("(",A90))-1)&amp;"mm)",ExceptionalData,4,FALSE),""))))))</f>
        <v/>
      </c>
      <c r="L90" s="152" t="str">
        <f t="shared" si="3"/>
        <v/>
      </c>
      <c r="M90" s="154" t="str">
        <f>IF(A90="","",IF(AND(ISERROR(FIND("drawer front",A90))=FALSE,WardrobeDoorStyle="Flat"),(((B90/1000)*(C90/1000))*2)+((((B90+C90)/1000)*2)*0.022),IF(AND(ISERROR(FIND("drawer front",A90))=FALSE,LEFT(WardrobeDoorStyle,5)="Panel"),(((B90/1000)*(C90/1000))*2)+((((B90+C90)/1000)*2)*0.022)+((((C90/1000)-0.16)*0.013)*2)+((((D90/1000)-0.16)*0.013)*2),IF(AND(ISERROR(FIND("drawer front",A90))=FALSE,WardrobeDoorStyle="In-frame flat"),((((B90-76)/1000)*((C90-38)/1000))*2)+(MID(WardrobeDoorMaterial,FIND("(",WardrobeDoorMaterial)+1,2)/1000)*((((B90-76)+(C90-38))/1000)*2)+(((B90/1000)*0.032)*2)+((((B90-76)/1000)*0.032)*2)+(((B90/1000)*0.019)*4)+(((C90/1000)*0.032)*2)+((((C90-38)/1000)*0.032)*2)+(((C90/1000)*0.038)*4),IF(AND(ISERROR(FIND("drawer front",A90))=FALSE,LEFT(WardrobeDoorStyle,14)="In-frame panel"),((((B90-76)/1000)*((C90-38)/1000))*2)+((MID(WardrobeDoorMaterial,FIND("(",WardrobeDoorMaterial)+1,2)/1000)*((((B90-76)+(C90-38))/1000)*2))+((((B90-236)/1000)+((C90-198)/1000)*2)*0.013)+(((B90/1000)*0.032)*2)+((((B90-76)/1000)*0.032)*2)+(((B90/1000)*0.019)*4)+(((C90/1000)*0.032)*2)+((((C90-38)/1000)*0.032)*2)+(((C90/1000)*0.038)*4),IF(ISERROR(FIND("drawer box",A90))=FALSE,((((B90/1000)*(D90/1000))+((B90/1000)*(C90/1000)))*4)+((((D90/1000)+(C90/1000))*0.016)*4)+(((C90/1000)*(D90/1000))*2),IF(OR(ISERROR(FIND("shelf",A90))=FALSE,ISERROR(FIND("Filler panel",A90))=FALSE),(((C90/1000)*(D90/1000))*2)+((((C90+D90)*2)/1000)*0.022),IF(ISERROR(FIND("Fireplace",A90))=FALSE,((B90/1000)*(C90/1000)),IF(ISERROR(FIND("Worktop",A90))=FALSE,(B90/1000)*(C90/1000),IF(ISERROR(FIND("table",A90))=FALSE,(B90/1000)*0.6,IF(ISERROR(FIND("arcass",A90))=FALSE,(((C90/1000)*(D90/1000))*2)+(((B90/1000)*(D90/1000))*2)+((B90/1000)*(C90/1000))+((((B90/1000)*0.025)+((C90/1000)*0.025))*2),IF(AND(ISERROR(FIND("door",A90))=FALSE,WardrobeDoorStyle="Flat"),(((B90/1000)*(C90/1000))*2)+(MID(WardrobeDoorMaterial,FIND("(",WardrobeDoorMaterial)+1,2)/1000)*(((B90+C90)/1000)*2),IF(AND(ISERROR(FIND("door",A90))=FALSE,LEFT(WardrobeDoorStyle,5)="Panel"),(((B90/1000)*(C90/1000))*2)+((MID(WardrobeDoorMaterial,FIND("(",WardrobeDoorMaterial)+1,2)/1000)*(((B90+C90)/1000)*2))+(((((B90-160)+(C90-160))*2)/1000)*(0.013)),IF(AND(ISERROR(FIND("door",A90))=FALSE,WardrobeDoorStyle="In-frame flat"),((((B90-76)/1000)*((C90-38)/1000))*2)+(MID(WardrobeDoorMaterial,FIND("(",WardrobeDoorMaterial)+1,2)/1000)*((((B90-76)+(C90-38))/1000)*2)+(((B90/1000)*0.032)*2)+((((B90-76)/1000)*0.032)*2)+(((B90/1000)*0.019)*4)+(((C90/1000)*0.032)*2)+((((C90-38)/1000)*0.032)*2)+(((C90/1000)*0.038)*4),IF(AND(ISERROR(FIND("door",A90))=FALSE,LEFT(WardrobeDoorStyle,14)="In-frame panel"),((((B90-76)/1000)*((C90-38)/1000))*2)+((MID(WardrobeDoorMaterial,FIND("(",WardrobeDoorMaterial)+1,2)/1000)*((((B90-76)+(C90-38))/1000)*2))+((((B90-236)/1000)+((C90-198)/1000)*2)*0.013)+(((B90/1000)*0.032)*2)+((((B90-76)/1000)*0.032)*2)+(((B90/1000)*0.019)*4)+(((C90/1000)*0.032)*2)+((((C90-38)/1000)*0.032)*2)+(((C90/1000)*0.038)*4),IF(ISERROR(FIND("Plinth",A90))=FALSE,((B90/1000)*(C90/1000))+(((C90/1000)*0.018)*2)+(((B90/1000)*0.018)*2),IF(ISERROR(FIND("Cornice",A90))=FALSE,(((C90/1000)*0.1)*2)+(((C90/1000)*0.044)*2)+(((B90/1000)*0.08)*2),IF(ISERROR(FIND("Office pod",A90))=FALSE,((2400/1000)*(1200/1000))*6,IF(ISERROR(FIND("panel",A90))=FALSE,((B90/1000)*(C90/1000))+(0.022*((B90/1000)+((C90/1000)*2)))+((B90/1000)*0.05),IF(ISERROR(FIND("Fillers",A90))=FALSE,((C90/1000)*0.06)+((C90/1000)*0.069)+((0.06*0.018)*2)+((0.06*0.009)*2)+((C90/1000)*0.009)+((C90/1000)*0.018),IF(ISERROR(FIND("Pelmet",A90))=FALSE,((C90/1000)*0.05)+((C90/1000)*0.068)+((0.05*0.018)*4)+(((C90/1000)*0.018))*2)))))))))))))))))))))</f>
        <v/>
      </c>
      <c r="N90" s="152" t="str">
        <f>IF(M90="","",IF(AND(ISERROR(FIND("carcass",A90))=TRUE,ISERROR(FIND("unit",A90))=TRUE,ISERROR(FIND("insert",A90))=TRUE,ISERROR(FIND("rack",A90))=TRUE,ISERROR(FIND("box",A90))=TRUE,ISERROR(FIND("shelf",A90))=TRUE),VLOOKUP(WardrobeDoorFinish,Finishing!$A$2:$K$10,9,0)*M90,IF(ISERROR(FIND("table",A90))=FALSE,VLOOKUP("Sayerlack AF0072 Interior Clear Self-Sealer",FinishingData,9,FALSE)*M90,VLOOKUP(WardrobeCarcassFinish,Finishing!$A$2:$K$40,9,0)*M90)))</f>
        <v/>
      </c>
      <c r="O90" s="159"/>
      <c r="P90" s="159"/>
      <c r="Q90" s="152" t="str">
        <f>IF(OR(O90="",P90=""),"",((O90*X90)*(VLOOKUP("Workshop",Labour!$A$3:$E$20,4,0)/8))+((P90*AE90)*(VLOOKUP("Finishing",Labour!$A$3:$E$20,4,0)/8)))</f>
        <v/>
      </c>
      <c r="R90" s="152" t="str">
        <f t="shared" si="4"/>
        <v/>
      </c>
      <c r="S90" s="156" t="str">
        <f>IF(OR(O90="",P90=""),"",IF(OR(ISERROR(FIND("carcass",$A90))=FALSE,ISERROR(FIND("unit",$A90))=FALSE),VLOOKUP(WardrobeCarcassMaterial,FixedListsCarcassMaterial,2,0),0))</f>
        <v/>
      </c>
      <c r="T90" s="156" t="str">
        <f>IF(OR(O90="",P90=""),"",IF(ISERROR(FIND("door",$A90))=FALSE,VLOOKUP(WardrobeDoorStyle,FixedListsDoorStyle,2,0),0))</f>
        <v/>
      </c>
      <c r="U90" s="156" t="str">
        <f>IF(OR(O90="",P90=""),"",IF(ISERROR(FIND("door",$A90))=FALSE,VLOOKUP(WardrobeDoorMaterial,FixedListsDoorMaterial,2,0),0))</f>
        <v/>
      </c>
      <c r="V90" s="156" t="str">
        <f>IF(OR(O90="",P90=""),"",IF(ISERROR(FIND("drawer",$A90))=FALSE,VLOOKUP(WardrobeDrawerType,FixedListsDrawerType,2,0),0))</f>
        <v/>
      </c>
      <c r="W90" s="156" t="str">
        <f>IF(OR(O90="",P90=""),"",IF(S90&gt;0,VLOOKUP(WardrobeHandleType,FixedListsHandleType,2,FALSE),0))</f>
        <v/>
      </c>
      <c r="X90" s="156" t="str">
        <f t="shared" si="5"/>
        <v/>
      </c>
      <c r="Y90" s="156" t="str">
        <f>IF(OR(O90="",P90=""),"",IF(OR(ISERROR(FIND("carcass",$A90))=FALSE,ISERROR(FIND("unit",$A90))=FALSE),VLOOKUP(WardrobeCarcassMaterial,FixedListsCarcassMaterial,3,0),0))</f>
        <v/>
      </c>
      <c r="Z90" s="156" t="str">
        <f>IF(OR(O90="",P90=""),"",IF(ISERROR(FIND("door",$A90))=FALSE,VLOOKUP(WardrobeDoorStyle,FixedListsDoorStyle,3,0),0))</f>
        <v/>
      </c>
      <c r="AA90" s="156" t="str">
        <f>IF(OR(O90="",P90=""),"",IF(ISERROR(FIND("door",$A90))=FALSE,VLOOKUP(WardrobeDoorMaterial,FixedListsDoorMaterial,3,0),0))</f>
        <v/>
      </c>
      <c r="AB90" s="156" t="str">
        <f>IF(OR(O90="",P90=""),"",IF(ISERROR(FIND("drawer",$A90))=FALSE,VLOOKUP(WardrobeDrawerType,FixedListsDrawerType,3,0),0))</f>
        <v/>
      </c>
      <c r="AC90" s="156" t="str">
        <f>IF(OR(O90="",P90=""),"",IF(S90&gt;0,VLOOKUP(WardrobeHandleType,FixedListsHandleType,3,FALSE),0))</f>
        <v/>
      </c>
      <c r="AD90" s="156" t="str">
        <f>IF(OR(O90="",P90=""),"",IF(OR(ISERROR(FIND("carcass",$A90))=FALSE,ISERROR(FIND("unit",$A90))=FALSE),VLOOKUP(WardrobeCarcassFinish,FixedListsFinishes,3,0),IF(OR(ISERROR(FIND("door",$A90))=FALSE,ISERROR(FIND("Plinth",$A90))=FALSE,ISERROR(FIND("Cornice",$A90))=FALSE,ISERROR(FIND("Fillers",$A90))=FALSE,ISERROR(FIND("Pelmet",$A90))=FALSE,ISERROR(FIND("panel",$A90))=FALSE,ISERROR(FIND("post",$A90))=FALSE),VLOOKUP(WardrobeDoorFinish,FixedListsFinishes,3,0),IF(OR(ISERROR(FIND("drawer",$A90))=FALSE,ISERROR(FIND("insert",$A90))=FALSE,ISERROR(FIND("rck",$A90))=FALSE),VLOOKUP(WardrobeCarcassFinish,FixedListsFinishes,3,0),0))))</f>
        <v/>
      </c>
      <c r="AE90" s="156" t="str">
        <f t="shared" si="6"/>
        <v/>
      </c>
      <c r="AF90" s="157" t="str">
        <f>IF(AND(WardrobeHandleType="Channel",OR(ISERROR(FIND("arcass",$A90))=FALSE,ISERROR(FIND("unit",$A90))=FALSE)),IF(ISERROR(FIND("Tower",$A90))=TRUE,IF(WardrobeHandleFinish="Match carcass",IF(ISERROR(FIND("Walnut",WardrobeCarcassMaterial))=FALSE,(0.035*0.075*($C90/1000))*VLOOKUP("Walnut (solid m3)",SolidData,4,FALSE),IF(ISERROR(FIND("Oak",WardrobeCarcassMaterial))=FALSE,(0.035*0.075*($C90/1000))*VLOOKUP("Oak (solid m3)",SolidData,4,FALSE),IF(ISERROR(FIND("ply",WardrobeCarcassMaterial))=FALSE,(0.1*($C90/1000))*VLOOKUP("Birch ply (24mm)",SheetsData,7,FALSE),IF(ISERROR(FIND("H/F",WardrobeCarcassMaterial))=FALSE,(0.1*($C90/1000))*VLOOKUP("H/F (22mm)",SheetsData,7,FALSE),"Carcass - not tower - new material")))),IF(WardrobeHandleFinish="Match door",IF(ISERROR(FIND("Walnut",WardrobeDoorMaterial))=FALSE,(0.035*0.075*($C90/1000))*VLOOKUP("Walnut (solid m3)",SolidData,4,FALSE),IF(ISERROR(FIND("Oak",WardrobeDoorMaterial))=FALSE,(0.035*0.075*($C90/1000))*VLOOKUP("Oak (solid m3)",SolidData,4,FALSE),IF(ISERROR(FIND("ply",WardrobeDoorMaterial))=FALSE,(0.1*($C90/1000))*VLOOKUP("Birch ply (24mm)",SheetsData,7,FALSE),IF(ISERROR(FIND("H/F",WardrobeCarcassMaterial))=FALSE,(0.1*($C90/1000))*VLOOKUP("H/F (22mm)",SheetsData,7,FALSE),"Door - not tower - new material")))),"Channel - not tower - handle set to other")),IF(ISERROR(FIND("Tower",$A90))=FALSE,IF(WardrobeHandleFinish="Match carcass",IF(ISERROR(FIND("Walnut",WardrobeCarcassMaterial))=FALSE,(0.035*0.075*($B90/1000))*VLOOKUP("Walnut (solid m3)",SolidData,4,FALSE),IF(ISERROR(FIND("Oak",WardrobeCarcassMaterial))=FALSE,(0.035*0.075*($B90/1000))*VLOOKUP("Oak (solid m3)",SolidData,4,FALSE),IF(ISERROR(FIND("ply",WardrobeCarcassMaterial))=FALSE,(0.1*($B90/1000))*VLOOKUP("Birch ply (24mm)",SheetsData,7,FALSE),IF(ISERROR(FIND("H/F",WardrobeCarcassMaterial))=FALSE,(0.1*($C90/1000))*VLOOKUP("H/F (22mm)",SheetsData,7,FALSE),"Carcass - tower - new material")))),IF(WardrobeHandleFinish="Match door",IF(ISERROR(FIND("Walnut",WardrobeDoorMaterial))=FALSE,(0.035*0.075*($B90/1000))*VLOOKUP("Walnut (solid m3)",SolidData,4,FALSE),IF(ISERROR(FIND("Oak",WardrobeDoorMaterial))=FALSE,(0.035*0.075*($B90/1000))*VLOOKUP("Oak (solid m3)",SolidData,4,FALSE),IF(ISERROR(FIND("ply",WardrobeDoorMaterial))=FALSE,(0.1*($B90/1000))*VLOOKUP("Birch ply (24mm)",SheetData,7,FALSE),IF(ISERROR(FIND("H/F",WardrobeCarcassMaterial))=FALSE,(0.1*($C90/1000))*VLOOKUP("H/F (22mm)",SheetsData,7,FALSE),"Door - tower - new material")))),"Channel - tower - handle set to other")))),"")</f>
        <v/>
      </c>
    </row>
    <row r="91">
      <c r="A91" s="150"/>
      <c r="B91" s="160" t="str">
        <f t="shared" si="1"/>
        <v/>
      </c>
      <c r="C91" s="160" t="str">
        <f>IFERROR(__xludf.DUMMYFUNCTION("IF(A91="""","""",IF(ISERROR(FIND(""arcass"",A91))=FALSE,MID(A91,FIND(""*"",A91)+1,FIND(""*"",A91,FIND(""*"",A91)+1)-FIND(""*"",A91)-1),IF(ISERROR(FIND(""End panel"",A91))=FALSE,RIGHT(A91,3),IF(OR(ISERROR(FIND(""drawer"",A91))=FALSE,ISERROR(FIND(""door"",A"&amp;"91))=FALSE,ISERROR(FIND(""shelf"",A91))=FALSE,ISERROR(FIND(""panel"",A91))=FALSE,ISERROR(FIND(""Plinth"",A91))=FALSE,ISERROR(FIND(""Cornice"",A91))=FALSE,ISERROR(FIND(""Fillers"",A91))=FALSE,ISERROR(FIND(""Pelmet"",A91))=FALSE,ISERROR(FIND(""Fireplace up "&amp;"to 1600"",A91))=FALSE),RIGHT(A91,LEN(A91)-LEN(regexextract(A91,"".* ""))),IF(ISERROR(FIND(""table"",A91))=FALSE,""560"",IF(ISERROR(FIND(""Office pod"",A91))=FALSE,""1600"",IF(ISERROR(FIND(""Fireplace over 1600"",A91))=FALSE,""2400"",IF(ISERROR(FIND(""Work"&amp;"top"",A91))=FALSE,""650"",""Whoops""))))))))"),"")</f>
        <v/>
      </c>
      <c r="D91" s="161" t="str">
        <f t="shared" si="2"/>
        <v/>
      </c>
      <c r="E91" s="152" t="str">
        <f>IF(OR(A91="",AND(ISERROR(FIND("drawer",A91))=FALSE,WardrobeDrawerType="")),"",IF(ISERROR(FIND("door",A91))=FALSE,IF(WardrobeDoorStyle="Flat",((B91/1000)*(C91/1000))*VLOOKUP(WardrobeDoorMaterial,SheetsData,8,0),IF(LEFT(WardrobeDoorStyle,5)="Panel",(((((B91/1000)*2)*0.08)+((((C91/1000)-0.16)*2)*0.08))*VLOOKUP("H/F (22mm)",SheetsData,8,0))+(((B91/1000)-0.14)*((C91/1000)-0.14)*VLOOKUP("H/F (9mm)",SheetsData,8,0)),IF(WardrobeDoorStyle="In-frame flat",((((((B91/1000)*0.019)*0.038)+((((C91-38)/1000)*0.038)*0.038))*2)*VLOOKUP("Tulip (solid m3)",SolidData,4,0))+(((B91-76)/1000)*((C91-38)/1000))*VLOOKUP("H/F (22mm)",SheetsData,8,0),IF(LEFT(WardrobeDoorStyle,14)="In-frame panel",(((((((B91/1000)*0.019)*0.038)+((((C91-38)/1000)*0.038)*0.038))*2)*VLOOKUP("Tulip (solid m3)",SolidData,4,0))+(((((((B91-76)/1000)*2)*0.08)+(((((C91-198)/1000)*2)*0.08)))*VLOOKUP("H/F (22mm)",SheetsData,8,0))+(((B91-216)/1000)*((C91-178)/1000)*VLOOKUP("H/F (9mm)",SheetsData,8,0)))))))),IF(AND(ISERROR(FIND("arcass",A91))=FALSE,ISERROR(FIND("ost corner",A91))=TRUE),IF(AND(VALUE(B91)&lt;1211,VALUE(C91)&lt;1211,VALUE(D91)&lt;606),1*VLOOKUP(WardrobeCarcassMaterial,SheetsData,5,FALSE),IF(AND(VALUE(B91)&lt;2421,VALUE(C91)&lt;2421,VALUE(D91)&lt;606),2*VLOOKUP(WardrobeCarcassMaterial,SheetsData,5,FALSE),IF(AND(VALUE(B91)&lt;2421,VALUE(C91)&lt;1211,VALUE(D91)&lt;1211),3*VLOOKUP(WardrobeCarcassMaterial,SheetsData,5,FALSE),IF(AND(VALUE(B91)&lt;2421,VALUE(C91)&lt;2421,VALUE(D91)&lt;1211),4*VLOOKUP(WardrobeCarcassMaterial,SheetsData,5,FALSE))))),IF(AND(ISERROR(FIND("arcass",A91))=FALSE,ISERROR(FIND("ost corner",A91))=FALSE),IF(AND(VALUE(B91)&lt;1211,VALUE(C91)&lt;1211,VALUE(D91)&lt;606),(1*VLOOKUP(WardrobeCarcassMaterial,SheetsData,5,FALSE))+(VLOOKUP("H/F (22mm)",SheetsData,7,FALSE)*1.44),IF(AND(VALUE(B91)&lt;2421,VALUE(C91)&lt;2421,VALUE(D91)&lt;606),(2*VLOOKUP(WardrobeCarcassMaterial,SheetsData,5,FALSE))+(VLOOKUP("H/F (22mm)",SheetsData,7,FALSE)*1.44),IF(AND(VALUE(B91)&lt;2421,VALUE(C91)&lt;1211,VALUE(D91)&lt;1211),(3*VLOOKUP(WardrobeCarcassMaterial,SheetsData,5,FALSE))+(VLOOKUP("H/F (22mm)",SheetsData,7,FALSE)*1.44),IF(AND(VALUE(B91)&lt;2421,VALUE(C91)&lt;2421,VALUE(D91)&lt;1211),(4*VLOOKUP(WardrobeCarcassMaterial,SheetsData,5,FALSE))+(VLOOKUP("H/F (22mm)",SheetsData,7,FALSE)*1.44))))),IF(ISERROR(FIND("drawer front",A91))=FALSE,((B91/1000)*(C91/1000))*VLOOKUP(WardrobeDoorMaterial,SheetsData,8,0),IF(AND(WardrobeDrawerType="Match carcass",ISERROR(FIND("drawer box",A91))=FALSE),(((((B91/1000)*(C91/1000))+((B91/1000)*(D91/1000)))*2)*VLOOKUP(WardrobeCarcassMaterial,SheetsData,8,0))+(((C91/1000)*(D91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box",A91))=FALSE),(((((B91/1000)*(C91/1000))+((B91/1000)*(D91/1000)))*2)*(16/1000)*VLOOKUP(LEFT(WardrobeCarcassMaterial,FIND(" ",WardrobeCarcassMaterial))&amp;"(solid m3)",SolidData,4,0))+(((C91/1000)*(D91/1000))*VLOOKUP(LEFT(WardrobeCarcassMaterial,FIND("(",WardrobeCarcassMaterial)-1)&amp;IF(OR(ISERROR(FIND("ply",WardrobeCarcassMaterial))=FALSE,ISERROR(FIND("H/F",WardrobeCarcassMaterial))=FALSE),"(9mm)","(10mm)"),SheetsData,8,0)),IF(ISERROR(FIND("shelf",A91))=FALSE,((C91/1000)*(D91/1000))*VLOOKUP(WardrobeCarcassMaterial,SheetsData,7,FALSE),IF(ISERROR(FIND("Office pod",A91))=FALSE,3*VLOOKUP(WardrobeCarcassMaterial,SheetsData,5,0),IF(ISERROR(FIND(" panel",A91))=FALSE,((B91/1000)*(C91/1000))*VLOOKUP(WardrobeDoorMaterial,SheetsData,8,0),IF(ISERROR(FIND("Fillers",A91))=FALSE,(((0.06*(C91/1000))*2)*VLOOKUP("H/F (18mm)",SheetsData,8,0))+(((0.06*(C91/1000))*2)*VLOOKUP("H/F (9mm)",SheetsData,8,0)),IF(ISERROR(FIND("Cornice (stacked)",A91))=FALSE,((0.08*(C91/1000))*2)*VLOOKUP("H/F (22mm)",SheetsData,8,0),IF(OR(ISERROR(FIND("Plinth",A91))=FALSE,ISERROR(FIND("Cornice (flat)",A91))=FALSE),((B91/1000)*(C91/1000))*VLOOKUP("H/F (18mm)",SheetsData,8,0),IF(ISERROR(FIND("Pelmet",A91))=FALSE,((((B91/1000)*(C91/1000))*2)*VLOOKUP("H/F (18mm)",SheetsData,8,0)),IF(ISERROR(FIND("Fireplace",A91))=FALSE,IF(ISERROR(FIND("over 1600",A91))=FALSE,2*VLOOKUP(WardrobeCarcassMaterial,SheetsData,5,FALSE),VLOOKUP(WardrobeCarcassMaterial,SheetsData,5,FALSE)),IF(ISERROR(FIND("table",A91))=FALSE,((B91/1000)*0.6)*VLOOKUP("Birch ply (24mm)",SheetsData,7,FALSE),IF(ISERROR(FIND("Worktop",A91))=FALSE,((B91/1000)*(C91/1000))*VLOOKUP(WardrobeDoorMaterial,SheetsData,7,FALSE),"Check formula")))))))))))))))))</f>
        <v/>
      </c>
      <c r="F91" s="152" t="str">
        <f>IFERROR(__xludf.DUMMYFUNCTION("IF(OR(A91="""",AND(ISERROR(FIND(""drawer box"",A91))=FALSE,WardrobeDrawerType=""Solid dovetail"")),"""",IF(ISERROR(FIND(""bins"",A91))=FALSE,VLOOKUP(""Base carcass 600"",Wardrobes_etcData,6,0),IF(OR(ISERROR(FIND(""larder"",A91))=FALSE,ISERROR(FIND(""unit"&amp;""",A91))=FALSE),VLOOKUP(LEFT(A91,FIND("" "",A91))&amp;""carcass ""&amp;RIGHT(A91,LEN(A91)-len(regexextract(A91,"".* ""))),Wardrobes_etcData,6,0),IF(ISERROR(FIND(""drawer front"",A91))=FALSE,IF(ISERROR(FIND(""veneer"",WardrobeCarcassMaterial))=TRUE,0,(((B91+C91)/1"&amp;"000)*2)*VLOOKUP(""Edge banding (per M)"",SheetsData,5,0)),IF(ISERROR(FIND(""drawer box"",A91))=FALSE,IF(ISERROR(FIND(""veneer"",WardrobeCarcassMaterial))=TRUE,0,(((C91+D91)/1000)*2)*VLOOKUP(""Edge banding (per M)"",SheetsData,5,0)),IF(ISERROR(FIND(""shelf"&amp;""",A91))=FALSE,IF(ISERROR(FIND(""veneer"",WardrobeCarcassMaterial))=TRUE,0,(C91/1000)*VLOOKUP(""Edge banding (per M)"",SheetsData,5,0)),IF(AND(OR(ISERROR(FIND(""arcass"",A91))=FALSE,ISERROR(FIND(""Fireplace"",A91))=FALSE),ISERROR(FIND(""shelf"",A91))=TRUE"&amp;"),IF(ISERROR(FIND(""veneer"",WardrobeCarcassMaterial))=TRUE,0,((2*(B91+C91))/1000)*VLOOKUP(""Edge banding (per M)"",SheetsData,5,0)),IF(ISERROR(FIND(""door"",A91))=TRUE,"""",IF(ISERROR(FIND(""veneer"",WardrobeDoorMaterial))=TRUE,"""",((2*(B91+C91))/1000)*"&amp;"VLOOKUP(""Edge banding (per M)"",SheetsData,5,0))))))))))"),"")</f>
        <v/>
      </c>
      <c r="G91" s="153" t="str">
        <f>IF(A91="","",IF(AND(ISERROR(FIND("arcass",A91))=TRUE,ISERROR(FIND("Fireplace",A91))=TRUE),"",IF(VALUE(C91)&lt;606,4*VLOOKUP("Plinth foot (2 Parts 80mm)",FurnitureData,5,FALSE),IF(VALUE(C91)&lt;1211,6*VLOOKUP("Plinth foot (2 Parts 80mm)",FurnitureData,5,FALSE),8*VLOOKUP("Plinth foot (2 Parts 80mm)",FurnitureData,5,FALSE)))))</f>
        <v/>
      </c>
      <c r="H91" s="115" t="str">
        <f>IF(OR(A91="",ISERROR(FIND("door",A91))=TRUE),"",VLOOKUP("Hinges &amp; plates (Hettich thick door)",FurnitureData,5,0)*5)</f>
        <v/>
      </c>
      <c r="I91" s="115" t="str">
        <f>IF(ISERROR(FIND("shelf",A91))=FALSE,(VLOOKUP("Shelf pegs",FurnitureData,5,0)/100)*4,"")</f>
        <v/>
      </c>
      <c r="J91" s="152" t="str">
        <f>IF(OR(ISERROR(FIND("fridge/freezer",A91))=FALSE,ISERROR(FIND("sink",A91))=FALSE,ISERROR(FIND("larder",A91))=FALSE),VLOOKUP("Deep shelf "&amp;C91,Wardrobes_etcData,18,0),IF(OR(ISERROR(FIND("single oven",A91))=FALSE,ISERROR(FIND("Base carcass",A91))=FALSE),2*VLOOKUP("Deep shelf "&amp;C91,Wardrobes_etcData,18,0),IF(AND(ISERROR(FIND("wall carcass",A91))=FALSE,ISERROR(FIND("Boiler",A91))=TRUE),2*VLOOKUP("Shallow shelf "&amp;C91,Wardrobes_etcData,18,0),IF(ISERROR(FIND("double oven",A91))=FALSE,3*VLOOKUP("Deep shelf "&amp;C91,Wardrobes_etcData,18,0),IF(ISERROR(FIND("Tower carcass",A91))=FALSE,6*VLOOKUP("Deep shelf "&amp;C91,Wardrobes_etcData,18,0),"")))))</f>
        <v/>
      </c>
      <c r="K91" s="152" t="str">
        <f>IF(ISERROR(FIND("sink",A91))=FALSE,VLOOKUP("Sink liner - Aluminium "&amp;RIGHT(A91,LEN(A91)-22)&amp;"mm",ExceptionalData,5,0),IF(ISERROR(FIND("bins",A91))=FALSE,VLOOKUP("Drawer runners and clip set for bin unit (500) Dynapro",FurnitureData,5,0)+(2*VLOOKUP("Bin (42L Anthracite)",FurnitureData,5,0)),IF(ISERROR(FIND("larder",A91))=FALSE,VLOOKUP("Pull out larder unit 600mm",FurnitureData,5,0),IF(AND(ISERROR(FIND("drawer box",A91))=FALSE,ISERROR(FIND("internal",A91))=TRUE),VLOOKUP("Drawer runners and clip set (550) Dynapro",FurnitureData,5,0),IF(ISERROR(FIND("internal drawer box",A91))=FALSE,VLOOKUP("Drawer runners and clip set (450) Dynapro",FurnitureData,5,0),IF(ISERROR(FIND("table",A91))=FALSE,VLOOKUP("Hairpin Leg (12mm Black "&amp;MID(A91,FIND("(",A91)+1,LEN(A91)-(FIND("(",A91))-1)&amp;"mm)",ExceptionalData,4,FALSE),""))))))</f>
        <v/>
      </c>
      <c r="L91" s="152" t="str">
        <f t="shared" si="3"/>
        <v/>
      </c>
      <c r="M91" s="154" t="str">
        <f>IF(A91="","",IF(AND(ISERROR(FIND("drawer front",A91))=FALSE,WardrobeDoorStyle="Flat"),(((B91/1000)*(C91/1000))*2)+((((B91+C91)/1000)*2)*0.022),IF(AND(ISERROR(FIND("drawer front",A91))=FALSE,LEFT(WardrobeDoorStyle,5)="Panel"),(((B91/1000)*(C91/1000))*2)+((((B91+C91)/1000)*2)*0.022)+((((C91/1000)-0.16)*0.013)*2)+((((D91/1000)-0.16)*0.013)*2),IF(AND(ISERROR(FIND("drawer front",A91))=FALSE,WardrobeDoorStyle="In-frame flat"),((((B91-76)/1000)*((C91-38)/1000))*2)+(MID(WardrobeDoorMaterial,FIND("(",WardrobeDoorMaterial)+1,2)/1000)*((((B91-76)+(C91-38))/1000)*2)+(((B91/1000)*0.032)*2)+((((B91-76)/1000)*0.032)*2)+(((B91/1000)*0.019)*4)+(((C91/1000)*0.032)*2)+((((C91-38)/1000)*0.032)*2)+(((C91/1000)*0.038)*4),IF(AND(ISERROR(FIND("drawer front",A91))=FALSE,LEFT(WardrobeDoorStyle,14)="In-frame panel"),((((B91-76)/1000)*((C91-38)/1000))*2)+((MID(WardrobeDoorMaterial,FIND("(",WardrobeDoorMaterial)+1,2)/1000)*((((B91-76)+(C91-38))/1000)*2))+((((B91-236)/1000)+((C91-198)/1000)*2)*0.013)+(((B91/1000)*0.032)*2)+((((B91-76)/1000)*0.032)*2)+(((B91/1000)*0.019)*4)+(((C91/1000)*0.032)*2)+((((C91-38)/1000)*0.032)*2)+(((C91/1000)*0.038)*4),IF(ISERROR(FIND("drawer box",A91))=FALSE,((((B91/1000)*(D91/1000))+((B91/1000)*(C91/1000)))*4)+((((D91/1000)+(C91/1000))*0.016)*4)+(((C91/1000)*(D91/1000))*2),IF(OR(ISERROR(FIND("shelf",A91))=FALSE,ISERROR(FIND("Filler panel",A91))=FALSE),(((C91/1000)*(D91/1000))*2)+((((C91+D91)*2)/1000)*0.022),IF(ISERROR(FIND("Fireplace",A91))=FALSE,((B91/1000)*(C91/1000)),IF(ISERROR(FIND("Worktop",A91))=FALSE,(B91/1000)*(C91/1000),IF(ISERROR(FIND("table",A91))=FALSE,(B91/1000)*0.6,IF(ISERROR(FIND("arcass",A91))=FALSE,(((C91/1000)*(D91/1000))*2)+(((B91/1000)*(D91/1000))*2)+((B91/1000)*(C91/1000))+((((B91/1000)*0.025)+((C91/1000)*0.025))*2),IF(AND(ISERROR(FIND("door",A91))=FALSE,WardrobeDoorStyle="Flat"),(((B91/1000)*(C91/1000))*2)+(MID(WardrobeDoorMaterial,FIND("(",WardrobeDoorMaterial)+1,2)/1000)*(((B91+C91)/1000)*2),IF(AND(ISERROR(FIND("door",A91))=FALSE,LEFT(WardrobeDoorStyle,5)="Panel"),(((B91/1000)*(C91/1000))*2)+((MID(WardrobeDoorMaterial,FIND("(",WardrobeDoorMaterial)+1,2)/1000)*(((B91+C91)/1000)*2))+(((((B91-160)+(C91-160))*2)/1000)*(0.013)),IF(AND(ISERROR(FIND("door",A91))=FALSE,WardrobeDoorStyle="In-frame flat"),((((B91-76)/1000)*((C91-38)/1000))*2)+(MID(WardrobeDoorMaterial,FIND("(",WardrobeDoorMaterial)+1,2)/1000)*((((B91-76)+(C91-38))/1000)*2)+(((B91/1000)*0.032)*2)+((((B91-76)/1000)*0.032)*2)+(((B91/1000)*0.019)*4)+(((C91/1000)*0.032)*2)+((((C91-38)/1000)*0.032)*2)+(((C91/1000)*0.038)*4),IF(AND(ISERROR(FIND("door",A91))=FALSE,LEFT(WardrobeDoorStyle,14)="In-frame panel"),((((B91-76)/1000)*((C91-38)/1000))*2)+((MID(WardrobeDoorMaterial,FIND("(",WardrobeDoorMaterial)+1,2)/1000)*((((B91-76)+(C91-38))/1000)*2))+((((B91-236)/1000)+((C91-198)/1000)*2)*0.013)+(((B91/1000)*0.032)*2)+((((B91-76)/1000)*0.032)*2)+(((B91/1000)*0.019)*4)+(((C91/1000)*0.032)*2)+((((C91-38)/1000)*0.032)*2)+(((C91/1000)*0.038)*4),IF(ISERROR(FIND("Plinth",A91))=FALSE,((B91/1000)*(C91/1000))+(((C91/1000)*0.018)*2)+(((B91/1000)*0.018)*2),IF(ISERROR(FIND("Cornice",A91))=FALSE,(((C91/1000)*0.1)*2)+(((C91/1000)*0.044)*2)+(((B91/1000)*0.08)*2),IF(ISERROR(FIND("Office pod",A91))=FALSE,((2400/1000)*(1200/1000))*6,IF(ISERROR(FIND("panel",A91))=FALSE,((B91/1000)*(C91/1000))+(0.022*((B91/1000)+((C91/1000)*2)))+((B91/1000)*0.05),IF(ISERROR(FIND("Fillers",A91))=FALSE,((C91/1000)*0.06)+((C91/1000)*0.069)+((0.06*0.018)*2)+((0.06*0.009)*2)+((C91/1000)*0.009)+((C91/1000)*0.018),IF(ISERROR(FIND("Pelmet",A91))=FALSE,((C91/1000)*0.05)+((C91/1000)*0.068)+((0.05*0.018)*4)+(((C91/1000)*0.018))*2)))))))))))))))))))))</f>
        <v/>
      </c>
      <c r="N91" s="152" t="str">
        <f>IF(M91="","",IF(AND(ISERROR(FIND("carcass",A91))=TRUE,ISERROR(FIND("unit",A91))=TRUE,ISERROR(FIND("insert",A91))=TRUE,ISERROR(FIND("rack",A91))=TRUE,ISERROR(FIND("box",A91))=TRUE,ISERROR(FIND("shelf",A91))=TRUE),VLOOKUP(WardrobeDoorFinish,Finishing!$A$2:$K$10,9,0)*M91,IF(ISERROR(FIND("table",A91))=FALSE,VLOOKUP("Sayerlack AF0072 Interior Clear Self-Sealer",FinishingData,9,FALSE)*M91,VLOOKUP(WardrobeCarcassFinish,Finishing!$A$2:$K$40,9,0)*M91)))</f>
        <v/>
      </c>
      <c r="O91" s="159"/>
      <c r="P91" s="159"/>
      <c r="Q91" s="152" t="str">
        <f>IF(OR(O91="",P91=""),"",((O91*X91)*(VLOOKUP("Workshop",Labour!$A$3:$E$20,4,0)/8))+((P91*AE91)*(VLOOKUP("Finishing",Labour!$A$3:$E$20,4,0)/8)))</f>
        <v/>
      </c>
      <c r="R91" s="152" t="str">
        <f t="shared" si="4"/>
        <v/>
      </c>
      <c r="S91" s="156" t="str">
        <f>IF(OR(O91="",P91=""),"",IF(OR(ISERROR(FIND("carcass",$A91))=FALSE,ISERROR(FIND("unit",$A91))=FALSE),VLOOKUP(WardrobeCarcassMaterial,FixedListsCarcassMaterial,2,0),0))</f>
        <v/>
      </c>
      <c r="T91" s="156" t="str">
        <f>IF(OR(O91="",P91=""),"",IF(ISERROR(FIND("door",$A91))=FALSE,VLOOKUP(WardrobeDoorStyle,FixedListsDoorStyle,2,0),0))</f>
        <v/>
      </c>
      <c r="U91" s="156" t="str">
        <f>IF(OR(O91="",P91=""),"",IF(ISERROR(FIND("door",$A91))=FALSE,VLOOKUP(WardrobeDoorMaterial,FixedListsDoorMaterial,2,0),0))</f>
        <v/>
      </c>
      <c r="V91" s="156" t="str">
        <f>IF(OR(O91="",P91=""),"",IF(ISERROR(FIND("drawer",$A91))=FALSE,VLOOKUP(WardrobeDrawerType,FixedListsDrawerType,2,0),0))</f>
        <v/>
      </c>
      <c r="W91" s="156" t="str">
        <f>IF(OR(O91="",P91=""),"",IF(S91&gt;0,VLOOKUP(WardrobeHandleType,FixedListsHandleType,2,FALSE),0))</f>
        <v/>
      </c>
      <c r="X91" s="156" t="str">
        <f t="shared" si="5"/>
        <v/>
      </c>
      <c r="Y91" s="156" t="str">
        <f>IF(OR(O91="",P91=""),"",IF(OR(ISERROR(FIND("carcass",$A91))=FALSE,ISERROR(FIND("unit",$A91))=FALSE),VLOOKUP(WardrobeCarcassMaterial,FixedListsCarcassMaterial,3,0),0))</f>
        <v/>
      </c>
      <c r="Z91" s="156" t="str">
        <f>IF(OR(O91="",P91=""),"",IF(ISERROR(FIND("door",$A91))=FALSE,VLOOKUP(WardrobeDoorStyle,FixedListsDoorStyle,3,0),0))</f>
        <v/>
      </c>
      <c r="AA91" s="156" t="str">
        <f>IF(OR(O91="",P91=""),"",IF(ISERROR(FIND("door",$A91))=FALSE,VLOOKUP(WardrobeDoorMaterial,FixedListsDoorMaterial,3,0),0))</f>
        <v/>
      </c>
      <c r="AB91" s="156" t="str">
        <f>IF(OR(O91="",P91=""),"",IF(ISERROR(FIND("drawer",$A91))=FALSE,VLOOKUP(WardrobeDrawerType,FixedListsDrawerType,3,0),0))</f>
        <v/>
      </c>
      <c r="AC91" s="156" t="str">
        <f>IF(OR(O91="",P91=""),"",IF(S91&gt;0,VLOOKUP(WardrobeHandleType,FixedListsHandleType,3,FALSE),0))</f>
        <v/>
      </c>
      <c r="AD91" s="156" t="str">
        <f>IF(OR(O91="",P91=""),"",IF(OR(ISERROR(FIND("carcass",$A91))=FALSE,ISERROR(FIND("unit",$A91))=FALSE),VLOOKUP(WardrobeCarcassFinish,FixedListsFinishes,3,0),IF(OR(ISERROR(FIND("door",$A91))=FALSE,ISERROR(FIND("Plinth",$A91))=FALSE,ISERROR(FIND("Cornice",$A91))=FALSE,ISERROR(FIND("Fillers",$A91))=FALSE,ISERROR(FIND("Pelmet",$A91))=FALSE,ISERROR(FIND("panel",$A91))=FALSE,ISERROR(FIND("post",$A91))=FALSE),VLOOKUP(WardrobeDoorFinish,FixedListsFinishes,3,0),IF(OR(ISERROR(FIND("drawer",$A91))=FALSE,ISERROR(FIND("insert",$A91))=FALSE,ISERROR(FIND("rck",$A91))=FALSE),VLOOKUP(WardrobeCarcassFinish,FixedListsFinishes,3,0),0))))</f>
        <v/>
      </c>
      <c r="AE91" s="156" t="str">
        <f t="shared" si="6"/>
        <v/>
      </c>
      <c r="AF91" s="157" t="str">
        <f>IF(AND(WardrobeHandleType="Channel",OR(ISERROR(FIND("arcass",$A91))=FALSE,ISERROR(FIND("unit",$A91))=FALSE)),IF(ISERROR(FIND("Tower",$A91))=TRUE,IF(WardrobeHandleFinish="Match carcass",IF(ISERROR(FIND("Walnut",WardrobeCarcassMaterial))=FALSE,(0.035*0.075*($C91/1000))*VLOOKUP("Walnut (solid m3)",SolidData,4,FALSE),IF(ISERROR(FIND("Oak",WardrobeCarcassMaterial))=FALSE,(0.035*0.075*($C91/1000))*VLOOKUP("Oak (solid m3)",SolidData,4,FALSE),IF(ISERROR(FIND("ply",WardrobeCarcassMaterial))=FALSE,(0.1*($C91/1000))*VLOOKUP("Birch ply (24mm)",SheetsData,7,FALSE),IF(ISERROR(FIND("H/F",WardrobeCarcassMaterial))=FALSE,(0.1*($C91/1000))*VLOOKUP("H/F (22mm)",SheetsData,7,FALSE),"Carcass - not tower - new material")))),IF(WardrobeHandleFinish="Match door",IF(ISERROR(FIND("Walnut",WardrobeDoorMaterial))=FALSE,(0.035*0.075*($C91/1000))*VLOOKUP("Walnut (solid m3)",SolidData,4,FALSE),IF(ISERROR(FIND("Oak",WardrobeDoorMaterial))=FALSE,(0.035*0.075*($C91/1000))*VLOOKUP("Oak (solid m3)",SolidData,4,FALSE),IF(ISERROR(FIND("ply",WardrobeDoorMaterial))=FALSE,(0.1*($C91/1000))*VLOOKUP("Birch ply (24mm)",SheetsData,7,FALSE),IF(ISERROR(FIND("H/F",WardrobeCarcassMaterial))=FALSE,(0.1*($C91/1000))*VLOOKUP("H/F (22mm)",SheetsData,7,FALSE),"Door - not tower - new material")))),"Channel - not tower - handle set to other")),IF(ISERROR(FIND("Tower",$A91))=FALSE,IF(WardrobeHandleFinish="Match carcass",IF(ISERROR(FIND("Walnut",WardrobeCarcassMaterial))=FALSE,(0.035*0.075*($B91/1000))*VLOOKUP("Walnut (solid m3)",SolidData,4,FALSE),IF(ISERROR(FIND("Oak",WardrobeCarcassMaterial))=FALSE,(0.035*0.075*($B91/1000))*VLOOKUP("Oak (solid m3)",SolidData,4,FALSE),IF(ISERROR(FIND("ply",WardrobeCarcassMaterial))=FALSE,(0.1*($B91/1000))*VLOOKUP("Birch ply (24mm)",SheetsData,7,FALSE),IF(ISERROR(FIND("H/F",WardrobeCarcassMaterial))=FALSE,(0.1*($C91/1000))*VLOOKUP("H/F (22mm)",SheetsData,7,FALSE),"Carcass - tower - new material")))),IF(WardrobeHandleFinish="Match door",IF(ISERROR(FIND("Walnut",WardrobeDoorMaterial))=FALSE,(0.035*0.075*($B91/1000))*VLOOKUP("Walnut (solid m3)",SolidData,4,FALSE),IF(ISERROR(FIND("Oak",WardrobeDoorMaterial))=FALSE,(0.035*0.075*($B91/1000))*VLOOKUP("Oak (solid m3)",SolidData,4,FALSE),IF(ISERROR(FIND("ply",WardrobeDoorMaterial))=FALSE,(0.1*($B91/1000))*VLOOKUP("Birch ply (24mm)",SheetData,7,FALSE),IF(ISERROR(FIND("H/F",WardrobeCarcassMaterial))=FALSE,(0.1*($C91/1000))*VLOOKUP("H/F (22mm)",SheetsData,7,FALSE),"Door - tower - new material")))),"Channel - tower - handle set to other")))),"")</f>
        <v/>
      </c>
    </row>
    <row r="92">
      <c r="A92" s="150"/>
      <c r="B92" s="160" t="str">
        <f t="shared" si="1"/>
        <v/>
      </c>
      <c r="C92" s="160" t="str">
        <f>IFERROR(__xludf.DUMMYFUNCTION("IF(A92="""","""",IF(ISERROR(FIND(""arcass"",A92))=FALSE,MID(A92,FIND(""*"",A92)+1,FIND(""*"",A92,FIND(""*"",A92)+1)-FIND(""*"",A92)-1),IF(ISERROR(FIND(""End panel"",A92))=FALSE,RIGHT(A92,3),IF(OR(ISERROR(FIND(""drawer"",A92))=FALSE,ISERROR(FIND(""door"",A"&amp;"92))=FALSE,ISERROR(FIND(""shelf"",A92))=FALSE,ISERROR(FIND(""panel"",A92))=FALSE,ISERROR(FIND(""Plinth"",A92))=FALSE,ISERROR(FIND(""Cornice"",A92))=FALSE,ISERROR(FIND(""Fillers"",A92))=FALSE,ISERROR(FIND(""Pelmet"",A92))=FALSE,ISERROR(FIND(""Fireplace up "&amp;"to 1600"",A92))=FALSE),RIGHT(A92,LEN(A92)-LEN(regexextract(A92,"".* ""))),IF(ISERROR(FIND(""table"",A92))=FALSE,""560"",IF(ISERROR(FIND(""Office pod"",A92))=FALSE,""1600"",IF(ISERROR(FIND(""Fireplace over 1600"",A92))=FALSE,""2400"",IF(ISERROR(FIND(""Work"&amp;"top"",A92))=FALSE,""650"",""Whoops""))))))))"),"")</f>
        <v/>
      </c>
      <c r="D92" s="161" t="str">
        <f t="shared" si="2"/>
        <v/>
      </c>
      <c r="E92" s="152" t="str">
        <f>IF(OR(A92="",AND(ISERROR(FIND("drawer",A92))=FALSE,WardrobeDrawerType="")),"",IF(ISERROR(FIND("door",A92))=FALSE,IF(WardrobeDoorStyle="Flat",((B92/1000)*(C92/1000))*VLOOKUP(WardrobeDoorMaterial,SheetsData,8,0),IF(LEFT(WardrobeDoorStyle,5)="Panel",(((((B92/1000)*2)*0.08)+((((C92/1000)-0.16)*2)*0.08))*VLOOKUP("H/F (22mm)",SheetsData,8,0))+(((B92/1000)-0.14)*((C92/1000)-0.14)*VLOOKUP("H/F (9mm)",SheetsData,8,0)),IF(WardrobeDoorStyle="In-frame flat",((((((B92/1000)*0.019)*0.038)+((((C92-38)/1000)*0.038)*0.038))*2)*VLOOKUP("Tulip (solid m3)",SolidData,4,0))+(((B92-76)/1000)*((C92-38)/1000))*VLOOKUP("H/F (22mm)",SheetsData,8,0),IF(LEFT(WardrobeDoorStyle,14)="In-frame panel",(((((((B92/1000)*0.019)*0.038)+((((C92-38)/1000)*0.038)*0.038))*2)*VLOOKUP("Tulip (solid m3)",SolidData,4,0))+(((((((B92-76)/1000)*2)*0.08)+(((((C92-198)/1000)*2)*0.08)))*VLOOKUP("H/F (22mm)",SheetsData,8,0))+(((B92-216)/1000)*((C92-178)/1000)*VLOOKUP("H/F (9mm)",SheetsData,8,0)))))))),IF(AND(ISERROR(FIND("arcass",A92))=FALSE,ISERROR(FIND("ost corner",A92))=TRUE),IF(AND(VALUE(B92)&lt;1211,VALUE(C92)&lt;1211,VALUE(D92)&lt;606),1*VLOOKUP(WardrobeCarcassMaterial,SheetsData,5,FALSE),IF(AND(VALUE(B92)&lt;2421,VALUE(C92)&lt;2421,VALUE(D92)&lt;606),2*VLOOKUP(WardrobeCarcassMaterial,SheetsData,5,FALSE),IF(AND(VALUE(B92)&lt;2421,VALUE(C92)&lt;1211,VALUE(D92)&lt;1211),3*VLOOKUP(WardrobeCarcassMaterial,SheetsData,5,FALSE),IF(AND(VALUE(B92)&lt;2421,VALUE(C92)&lt;2421,VALUE(D92)&lt;1211),4*VLOOKUP(WardrobeCarcassMaterial,SheetsData,5,FALSE))))),IF(AND(ISERROR(FIND("arcass",A92))=FALSE,ISERROR(FIND("ost corner",A92))=FALSE),IF(AND(VALUE(B92)&lt;1211,VALUE(C92)&lt;1211,VALUE(D92)&lt;606),(1*VLOOKUP(WardrobeCarcassMaterial,SheetsData,5,FALSE))+(VLOOKUP("H/F (22mm)",SheetsData,7,FALSE)*1.44),IF(AND(VALUE(B92)&lt;2421,VALUE(C92)&lt;2421,VALUE(D92)&lt;606),(2*VLOOKUP(WardrobeCarcassMaterial,SheetsData,5,FALSE))+(VLOOKUP("H/F (22mm)",SheetsData,7,FALSE)*1.44),IF(AND(VALUE(B92)&lt;2421,VALUE(C92)&lt;1211,VALUE(D92)&lt;1211),(3*VLOOKUP(WardrobeCarcassMaterial,SheetsData,5,FALSE))+(VLOOKUP("H/F (22mm)",SheetsData,7,FALSE)*1.44),IF(AND(VALUE(B92)&lt;2421,VALUE(C92)&lt;2421,VALUE(D92)&lt;1211),(4*VLOOKUP(WardrobeCarcassMaterial,SheetsData,5,FALSE))+(VLOOKUP("H/F (22mm)",SheetsData,7,FALSE)*1.44))))),IF(ISERROR(FIND("drawer front",A92))=FALSE,((B92/1000)*(C92/1000))*VLOOKUP(WardrobeDoorMaterial,SheetsData,8,0),IF(AND(WardrobeDrawerType="Match carcass",ISERROR(FIND("drawer box",A92))=FALSE),(((((B92/1000)*(C92/1000))+((B92/1000)*(D92/1000)))*2)*VLOOKUP(WardrobeCarcassMaterial,SheetsData,8,0))+(((C92/1000)*(D92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box",A92))=FALSE),(((((B92/1000)*(C92/1000))+((B92/1000)*(D92/1000)))*2)*(16/1000)*VLOOKUP(LEFT(WardrobeCarcassMaterial,FIND(" ",WardrobeCarcassMaterial))&amp;"(solid m3)",SolidData,4,0))+(((C92/1000)*(D92/1000))*VLOOKUP(LEFT(WardrobeCarcassMaterial,FIND("(",WardrobeCarcassMaterial)-1)&amp;IF(OR(ISERROR(FIND("ply",WardrobeCarcassMaterial))=FALSE,ISERROR(FIND("H/F",WardrobeCarcassMaterial))=FALSE),"(9mm)","(10mm)"),SheetsData,8,0)),IF(ISERROR(FIND("shelf",A92))=FALSE,((C92/1000)*(D92/1000))*VLOOKUP(WardrobeCarcassMaterial,SheetsData,7,FALSE),IF(ISERROR(FIND("Office pod",A92))=FALSE,3*VLOOKUP(WardrobeCarcassMaterial,SheetsData,5,0),IF(ISERROR(FIND(" panel",A92))=FALSE,((B92/1000)*(C92/1000))*VLOOKUP(WardrobeDoorMaterial,SheetsData,8,0),IF(ISERROR(FIND("Fillers",A92))=FALSE,(((0.06*(C92/1000))*2)*VLOOKUP("H/F (18mm)",SheetsData,8,0))+(((0.06*(C92/1000))*2)*VLOOKUP("H/F (9mm)",SheetsData,8,0)),IF(ISERROR(FIND("Cornice (stacked)",A92))=FALSE,((0.08*(C92/1000))*2)*VLOOKUP("H/F (22mm)",SheetsData,8,0),IF(OR(ISERROR(FIND("Plinth",A92))=FALSE,ISERROR(FIND("Cornice (flat)",A92))=FALSE),((B92/1000)*(C92/1000))*VLOOKUP("H/F (18mm)",SheetsData,8,0),IF(ISERROR(FIND("Pelmet",A92))=FALSE,((((B92/1000)*(C92/1000))*2)*VLOOKUP("H/F (18mm)",SheetsData,8,0)),IF(ISERROR(FIND("Fireplace",A92))=FALSE,IF(ISERROR(FIND("over 1600",A92))=FALSE,2*VLOOKUP(WardrobeCarcassMaterial,SheetsData,5,FALSE),VLOOKUP(WardrobeCarcassMaterial,SheetsData,5,FALSE)),IF(ISERROR(FIND("table",A92))=FALSE,((B92/1000)*0.6)*VLOOKUP("Birch ply (24mm)",SheetsData,7,FALSE),IF(ISERROR(FIND("Worktop",A92))=FALSE,((B92/1000)*(C92/1000))*VLOOKUP(WardrobeDoorMaterial,SheetsData,7,FALSE),"Check formula")))))))))))))))))</f>
        <v/>
      </c>
      <c r="F92" s="152" t="str">
        <f>IFERROR(__xludf.DUMMYFUNCTION("IF(OR(A92="""",AND(ISERROR(FIND(""drawer box"",A92))=FALSE,WardrobeDrawerType=""Solid dovetail"")),"""",IF(ISERROR(FIND(""bins"",A92))=FALSE,VLOOKUP(""Base carcass 600"",Wardrobes_etcData,6,0),IF(OR(ISERROR(FIND(""larder"",A92))=FALSE,ISERROR(FIND(""unit"&amp;""",A92))=FALSE),VLOOKUP(LEFT(A92,FIND("" "",A92))&amp;""carcass ""&amp;RIGHT(A92,LEN(A92)-len(regexextract(A92,"".* ""))),Wardrobes_etcData,6,0),IF(ISERROR(FIND(""drawer front"",A92))=FALSE,IF(ISERROR(FIND(""veneer"",WardrobeCarcassMaterial))=TRUE,0,(((B92+C92)/1"&amp;"000)*2)*VLOOKUP(""Edge banding (per M)"",SheetsData,5,0)),IF(ISERROR(FIND(""drawer box"",A92))=FALSE,IF(ISERROR(FIND(""veneer"",WardrobeCarcassMaterial))=TRUE,0,(((C92+D92)/1000)*2)*VLOOKUP(""Edge banding (per M)"",SheetsData,5,0)),IF(ISERROR(FIND(""shelf"&amp;""",A92))=FALSE,IF(ISERROR(FIND(""veneer"",WardrobeCarcassMaterial))=TRUE,0,(C92/1000)*VLOOKUP(""Edge banding (per M)"",SheetsData,5,0)),IF(AND(OR(ISERROR(FIND(""arcass"",A92))=FALSE,ISERROR(FIND(""Fireplace"",A92))=FALSE),ISERROR(FIND(""shelf"",A92))=TRUE"&amp;"),IF(ISERROR(FIND(""veneer"",WardrobeCarcassMaterial))=TRUE,0,((2*(B92+C92))/1000)*VLOOKUP(""Edge banding (per M)"",SheetsData,5,0)),IF(ISERROR(FIND(""door"",A92))=TRUE,"""",IF(ISERROR(FIND(""veneer"",WardrobeDoorMaterial))=TRUE,"""",((2*(B92+C92))/1000)*"&amp;"VLOOKUP(""Edge banding (per M)"",SheetsData,5,0))))))))))"),"")</f>
        <v/>
      </c>
      <c r="G92" s="153" t="str">
        <f>IF(A92="","",IF(AND(ISERROR(FIND("arcass",A92))=TRUE,ISERROR(FIND("Fireplace",A92))=TRUE),"",IF(VALUE(C92)&lt;606,4*VLOOKUP("Plinth foot (2 Parts 80mm)",FurnitureData,5,FALSE),IF(VALUE(C92)&lt;1211,6*VLOOKUP("Plinth foot (2 Parts 80mm)",FurnitureData,5,FALSE),8*VLOOKUP("Plinth foot (2 Parts 80mm)",FurnitureData,5,FALSE)))))</f>
        <v/>
      </c>
      <c r="H92" s="115" t="str">
        <f>IF(OR(A92="",ISERROR(FIND("door",A92))=TRUE),"",VLOOKUP("Hinges &amp; plates (Hettich thick door)",FurnitureData,5,0)*5)</f>
        <v/>
      </c>
      <c r="I92" s="115" t="str">
        <f>IF(ISERROR(FIND("shelf",A92))=FALSE,(VLOOKUP("Shelf pegs",FurnitureData,5,0)/100)*4,"")</f>
        <v/>
      </c>
      <c r="J92" s="152" t="str">
        <f>IF(OR(ISERROR(FIND("fridge/freezer",A92))=FALSE,ISERROR(FIND("sink",A92))=FALSE,ISERROR(FIND("larder",A92))=FALSE),VLOOKUP("Deep shelf "&amp;C92,Wardrobes_etcData,18,0),IF(OR(ISERROR(FIND("single oven",A92))=FALSE,ISERROR(FIND("Base carcass",A92))=FALSE),2*VLOOKUP("Deep shelf "&amp;C92,Wardrobes_etcData,18,0),IF(AND(ISERROR(FIND("wall carcass",A92))=FALSE,ISERROR(FIND("Boiler",A92))=TRUE),2*VLOOKUP("Shallow shelf "&amp;C92,Wardrobes_etcData,18,0),IF(ISERROR(FIND("double oven",A92))=FALSE,3*VLOOKUP("Deep shelf "&amp;C92,Wardrobes_etcData,18,0),IF(ISERROR(FIND("Tower carcass",A92))=FALSE,6*VLOOKUP("Deep shelf "&amp;C92,Wardrobes_etcData,18,0),"")))))</f>
        <v/>
      </c>
      <c r="K92" s="152" t="str">
        <f>IF(ISERROR(FIND("sink",A92))=FALSE,VLOOKUP("Sink liner - Aluminium "&amp;RIGHT(A92,LEN(A92)-22)&amp;"mm",ExceptionalData,5,0),IF(ISERROR(FIND("bins",A92))=FALSE,VLOOKUP("Drawer runners and clip set for bin unit (500) Dynapro",FurnitureData,5,0)+(2*VLOOKUP("Bin (42L Anthracite)",FurnitureData,5,0)),IF(ISERROR(FIND("larder",A92))=FALSE,VLOOKUP("Pull out larder unit 600mm",FurnitureData,5,0),IF(AND(ISERROR(FIND("drawer box",A92))=FALSE,ISERROR(FIND("internal",A92))=TRUE),VLOOKUP("Drawer runners and clip set (550) Dynapro",FurnitureData,5,0),IF(ISERROR(FIND("internal drawer box",A92))=FALSE,VLOOKUP("Drawer runners and clip set (450) Dynapro",FurnitureData,5,0),IF(ISERROR(FIND("table",A92))=FALSE,VLOOKUP("Hairpin Leg (12mm Black "&amp;MID(A92,FIND("(",A92)+1,LEN(A92)-(FIND("(",A92))-1)&amp;"mm)",ExceptionalData,4,FALSE),""))))))</f>
        <v/>
      </c>
      <c r="L92" s="152" t="str">
        <f t="shared" si="3"/>
        <v/>
      </c>
      <c r="M92" s="154" t="str">
        <f>IF(A92="","",IF(AND(ISERROR(FIND("drawer front",A92))=FALSE,WardrobeDoorStyle="Flat"),(((B92/1000)*(C92/1000))*2)+((((B92+C92)/1000)*2)*0.022),IF(AND(ISERROR(FIND("drawer front",A92))=FALSE,LEFT(WardrobeDoorStyle,5)="Panel"),(((B92/1000)*(C92/1000))*2)+((((B92+C92)/1000)*2)*0.022)+((((C92/1000)-0.16)*0.013)*2)+((((D92/1000)-0.16)*0.013)*2),IF(AND(ISERROR(FIND("drawer front",A92))=FALSE,WardrobeDoorStyle="In-frame flat"),((((B92-76)/1000)*((C92-38)/1000))*2)+(MID(WardrobeDoorMaterial,FIND("(",WardrobeDoorMaterial)+1,2)/1000)*((((B92-76)+(C92-38))/1000)*2)+(((B92/1000)*0.032)*2)+((((B92-76)/1000)*0.032)*2)+(((B92/1000)*0.019)*4)+(((C92/1000)*0.032)*2)+((((C92-38)/1000)*0.032)*2)+(((C92/1000)*0.038)*4),IF(AND(ISERROR(FIND("drawer front",A92))=FALSE,LEFT(WardrobeDoorStyle,14)="In-frame panel"),((((B92-76)/1000)*((C92-38)/1000))*2)+((MID(WardrobeDoorMaterial,FIND("(",WardrobeDoorMaterial)+1,2)/1000)*((((B92-76)+(C92-38))/1000)*2))+((((B92-236)/1000)+((C92-198)/1000)*2)*0.013)+(((B92/1000)*0.032)*2)+((((B92-76)/1000)*0.032)*2)+(((B92/1000)*0.019)*4)+(((C92/1000)*0.032)*2)+((((C92-38)/1000)*0.032)*2)+(((C92/1000)*0.038)*4),IF(ISERROR(FIND("drawer box",A92))=FALSE,((((B92/1000)*(D92/1000))+((B92/1000)*(C92/1000)))*4)+((((D92/1000)+(C92/1000))*0.016)*4)+(((C92/1000)*(D92/1000))*2),IF(OR(ISERROR(FIND("shelf",A92))=FALSE,ISERROR(FIND("Filler panel",A92))=FALSE),(((C92/1000)*(D92/1000))*2)+((((C92+D92)*2)/1000)*0.022),IF(ISERROR(FIND("Fireplace",A92))=FALSE,((B92/1000)*(C92/1000)),IF(ISERROR(FIND("Worktop",A92))=FALSE,(B92/1000)*(C92/1000),IF(ISERROR(FIND("table",A92))=FALSE,(B92/1000)*0.6,IF(ISERROR(FIND("arcass",A92))=FALSE,(((C92/1000)*(D92/1000))*2)+(((B92/1000)*(D92/1000))*2)+((B92/1000)*(C92/1000))+((((B92/1000)*0.025)+((C92/1000)*0.025))*2),IF(AND(ISERROR(FIND("door",A92))=FALSE,WardrobeDoorStyle="Flat"),(((B92/1000)*(C92/1000))*2)+(MID(WardrobeDoorMaterial,FIND("(",WardrobeDoorMaterial)+1,2)/1000)*(((B92+C92)/1000)*2),IF(AND(ISERROR(FIND("door",A92))=FALSE,LEFT(WardrobeDoorStyle,5)="Panel"),(((B92/1000)*(C92/1000))*2)+((MID(WardrobeDoorMaterial,FIND("(",WardrobeDoorMaterial)+1,2)/1000)*(((B92+C92)/1000)*2))+(((((B92-160)+(C92-160))*2)/1000)*(0.013)),IF(AND(ISERROR(FIND("door",A92))=FALSE,WardrobeDoorStyle="In-frame flat"),((((B92-76)/1000)*((C92-38)/1000))*2)+(MID(WardrobeDoorMaterial,FIND("(",WardrobeDoorMaterial)+1,2)/1000)*((((B92-76)+(C92-38))/1000)*2)+(((B92/1000)*0.032)*2)+((((B92-76)/1000)*0.032)*2)+(((B92/1000)*0.019)*4)+(((C92/1000)*0.032)*2)+((((C92-38)/1000)*0.032)*2)+(((C92/1000)*0.038)*4),IF(AND(ISERROR(FIND("door",A92))=FALSE,LEFT(WardrobeDoorStyle,14)="In-frame panel"),((((B92-76)/1000)*((C92-38)/1000))*2)+((MID(WardrobeDoorMaterial,FIND("(",WardrobeDoorMaterial)+1,2)/1000)*((((B92-76)+(C92-38))/1000)*2))+((((B92-236)/1000)+((C92-198)/1000)*2)*0.013)+(((B92/1000)*0.032)*2)+((((B92-76)/1000)*0.032)*2)+(((B92/1000)*0.019)*4)+(((C92/1000)*0.032)*2)+((((C92-38)/1000)*0.032)*2)+(((C92/1000)*0.038)*4),IF(ISERROR(FIND("Plinth",A92))=FALSE,((B92/1000)*(C92/1000))+(((C92/1000)*0.018)*2)+(((B92/1000)*0.018)*2),IF(ISERROR(FIND("Cornice",A92))=FALSE,(((C92/1000)*0.1)*2)+(((C92/1000)*0.044)*2)+(((B92/1000)*0.08)*2),IF(ISERROR(FIND("Office pod",A92))=FALSE,((2400/1000)*(1200/1000))*6,IF(ISERROR(FIND("panel",A92))=FALSE,((B92/1000)*(C92/1000))+(0.022*((B92/1000)+((C92/1000)*2)))+((B92/1000)*0.05),IF(ISERROR(FIND("Fillers",A92))=FALSE,((C92/1000)*0.06)+((C92/1000)*0.069)+((0.06*0.018)*2)+((0.06*0.009)*2)+((C92/1000)*0.009)+((C92/1000)*0.018),IF(ISERROR(FIND("Pelmet",A92))=FALSE,((C92/1000)*0.05)+((C92/1000)*0.068)+((0.05*0.018)*4)+(((C92/1000)*0.018))*2)))))))))))))))))))))</f>
        <v/>
      </c>
      <c r="N92" s="152" t="str">
        <f>IF(M92="","",IF(AND(ISERROR(FIND("carcass",A92))=TRUE,ISERROR(FIND("unit",A92))=TRUE,ISERROR(FIND("insert",A92))=TRUE,ISERROR(FIND("rack",A92))=TRUE,ISERROR(FIND("box",A92))=TRUE,ISERROR(FIND("shelf",A92))=TRUE),VLOOKUP(WardrobeDoorFinish,Finishing!$A$2:$K$10,9,0)*M92,IF(ISERROR(FIND("table",A92))=FALSE,VLOOKUP("Sayerlack AF0072 Interior Clear Self-Sealer",FinishingData,9,FALSE)*M92,VLOOKUP(WardrobeCarcassFinish,Finishing!$A$2:$K$40,9,0)*M92)))</f>
        <v/>
      </c>
      <c r="O92" s="159"/>
      <c r="P92" s="159"/>
      <c r="Q92" s="152" t="str">
        <f>IF(OR(O92="",P92=""),"",((O92*X92)*(VLOOKUP("Workshop",Labour!$A$3:$E$20,4,0)/8))+((P92*AE92)*(VLOOKUP("Finishing",Labour!$A$3:$E$20,4,0)/8)))</f>
        <v/>
      </c>
      <c r="R92" s="152" t="str">
        <f t="shared" si="4"/>
        <v/>
      </c>
      <c r="S92" s="156" t="str">
        <f>IF(OR(O92="",P92=""),"",IF(OR(ISERROR(FIND("carcass",$A92))=FALSE,ISERROR(FIND("unit",$A92))=FALSE),VLOOKUP(WardrobeCarcassMaterial,FixedListsCarcassMaterial,2,0),0))</f>
        <v/>
      </c>
      <c r="T92" s="156" t="str">
        <f>IF(OR(O92="",P92=""),"",IF(ISERROR(FIND("door",$A92))=FALSE,VLOOKUP(WardrobeDoorStyle,FixedListsDoorStyle,2,0),0))</f>
        <v/>
      </c>
      <c r="U92" s="156" t="str">
        <f>IF(OR(O92="",P92=""),"",IF(ISERROR(FIND("door",$A92))=FALSE,VLOOKUP(WardrobeDoorMaterial,FixedListsDoorMaterial,2,0),0))</f>
        <v/>
      </c>
      <c r="V92" s="156" t="str">
        <f>IF(OR(O92="",P92=""),"",IF(ISERROR(FIND("drawer",$A92))=FALSE,VLOOKUP(WardrobeDrawerType,FixedListsDrawerType,2,0),0))</f>
        <v/>
      </c>
      <c r="W92" s="156" t="str">
        <f>IF(OR(O92="",P92=""),"",IF(S92&gt;0,VLOOKUP(WardrobeHandleType,FixedListsHandleType,2,FALSE),0))</f>
        <v/>
      </c>
      <c r="X92" s="156" t="str">
        <f t="shared" si="5"/>
        <v/>
      </c>
      <c r="Y92" s="156" t="str">
        <f>IF(OR(O92="",P92=""),"",IF(OR(ISERROR(FIND("carcass",$A92))=FALSE,ISERROR(FIND("unit",$A92))=FALSE),VLOOKUP(WardrobeCarcassMaterial,FixedListsCarcassMaterial,3,0),0))</f>
        <v/>
      </c>
      <c r="Z92" s="156" t="str">
        <f>IF(OR(O92="",P92=""),"",IF(ISERROR(FIND("door",$A92))=FALSE,VLOOKUP(WardrobeDoorStyle,FixedListsDoorStyle,3,0),0))</f>
        <v/>
      </c>
      <c r="AA92" s="156" t="str">
        <f>IF(OR(O92="",P92=""),"",IF(ISERROR(FIND("door",$A92))=FALSE,VLOOKUP(WardrobeDoorMaterial,FixedListsDoorMaterial,3,0),0))</f>
        <v/>
      </c>
      <c r="AB92" s="156" t="str">
        <f>IF(OR(O92="",P92=""),"",IF(ISERROR(FIND("drawer",$A92))=FALSE,VLOOKUP(WardrobeDrawerType,FixedListsDrawerType,3,0),0))</f>
        <v/>
      </c>
      <c r="AC92" s="156" t="str">
        <f>IF(OR(O92="",P92=""),"",IF(S92&gt;0,VLOOKUP(WardrobeHandleType,FixedListsHandleType,3,FALSE),0))</f>
        <v/>
      </c>
      <c r="AD92" s="156" t="str">
        <f>IF(OR(O92="",P92=""),"",IF(OR(ISERROR(FIND("carcass",$A92))=FALSE,ISERROR(FIND("unit",$A92))=FALSE),VLOOKUP(WardrobeCarcassFinish,FixedListsFinishes,3,0),IF(OR(ISERROR(FIND("door",$A92))=FALSE,ISERROR(FIND("Plinth",$A92))=FALSE,ISERROR(FIND("Cornice",$A92))=FALSE,ISERROR(FIND("Fillers",$A92))=FALSE,ISERROR(FIND("Pelmet",$A92))=FALSE,ISERROR(FIND("panel",$A92))=FALSE,ISERROR(FIND("post",$A92))=FALSE),VLOOKUP(WardrobeDoorFinish,FixedListsFinishes,3,0),IF(OR(ISERROR(FIND("drawer",$A92))=FALSE,ISERROR(FIND("insert",$A92))=FALSE,ISERROR(FIND("rck",$A92))=FALSE),VLOOKUP(WardrobeCarcassFinish,FixedListsFinishes,3,0),0))))</f>
        <v/>
      </c>
      <c r="AE92" s="156" t="str">
        <f t="shared" si="6"/>
        <v/>
      </c>
      <c r="AF92" s="157" t="str">
        <f>IF(AND(WardrobeHandleType="Channel",OR(ISERROR(FIND("arcass",$A92))=FALSE,ISERROR(FIND("unit",$A92))=FALSE)),IF(ISERROR(FIND("Tower",$A92))=TRUE,IF(WardrobeHandleFinish="Match carcass",IF(ISERROR(FIND("Walnut",WardrobeCarcassMaterial))=FALSE,(0.035*0.075*($C92/1000))*VLOOKUP("Walnut (solid m3)",SolidData,4,FALSE),IF(ISERROR(FIND("Oak",WardrobeCarcassMaterial))=FALSE,(0.035*0.075*($C92/1000))*VLOOKUP("Oak (solid m3)",SolidData,4,FALSE),IF(ISERROR(FIND("ply",WardrobeCarcassMaterial))=FALSE,(0.1*($C92/1000))*VLOOKUP("Birch ply (24mm)",SheetsData,7,FALSE),IF(ISERROR(FIND("H/F",WardrobeCarcassMaterial))=FALSE,(0.1*($C92/1000))*VLOOKUP("H/F (22mm)",SheetsData,7,FALSE),"Carcass - not tower - new material")))),IF(WardrobeHandleFinish="Match door",IF(ISERROR(FIND("Walnut",WardrobeDoorMaterial))=FALSE,(0.035*0.075*($C92/1000))*VLOOKUP("Walnut (solid m3)",SolidData,4,FALSE),IF(ISERROR(FIND("Oak",WardrobeDoorMaterial))=FALSE,(0.035*0.075*($C92/1000))*VLOOKUP("Oak (solid m3)",SolidData,4,FALSE),IF(ISERROR(FIND("ply",WardrobeDoorMaterial))=FALSE,(0.1*($C92/1000))*VLOOKUP("Birch ply (24mm)",SheetsData,7,FALSE),IF(ISERROR(FIND("H/F",WardrobeCarcassMaterial))=FALSE,(0.1*($C92/1000))*VLOOKUP("H/F (22mm)",SheetsData,7,FALSE),"Door - not tower - new material")))),"Channel - not tower - handle set to other")),IF(ISERROR(FIND("Tower",$A92))=FALSE,IF(WardrobeHandleFinish="Match carcass",IF(ISERROR(FIND("Walnut",WardrobeCarcassMaterial))=FALSE,(0.035*0.075*($B92/1000))*VLOOKUP("Walnut (solid m3)",SolidData,4,FALSE),IF(ISERROR(FIND("Oak",WardrobeCarcassMaterial))=FALSE,(0.035*0.075*($B92/1000))*VLOOKUP("Oak (solid m3)",SolidData,4,FALSE),IF(ISERROR(FIND("ply",WardrobeCarcassMaterial))=FALSE,(0.1*($B92/1000))*VLOOKUP("Birch ply (24mm)",SheetsData,7,FALSE),IF(ISERROR(FIND("H/F",WardrobeCarcassMaterial))=FALSE,(0.1*($C92/1000))*VLOOKUP("H/F (22mm)",SheetsData,7,FALSE),"Carcass - tower - new material")))),IF(WardrobeHandleFinish="Match door",IF(ISERROR(FIND("Walnut",WardrobeDoorMaterial))=FALSE,(0.035*0.075*($B92/1000))*VLOOKUP("Walnut (solid m3)",SolidData,4,FALSE),IF(ISERROR(FIND("Oak",WardrobeDoorMaterial))=FALSE,(0.035*0.075*($B92/1000))*VLOOKUP("Oak (solid m3)",SolidData,4,FALSE),IF(ISERROR(FIND("ply",WardrobeDoorMaterial))=FALSE,(0.1*($B92/1000))*VLOOKUP("Birch ply (24mm)",SheetData,7,FALSE),IF(ISERROR(FIND("H/F",WardrobeCarcassMaterial))=FALSE,(0.1*($C92/1000))*VLOOKUP("H/F (22mm)",SheetsData,7,FALSE),"Door - tower - new material")))),"Channel - tower - handle set to other")))),"")</f>
        <v/>
      </c>
    </row>
    <row r="93">
      <c r="A93" s="150"/>
      <c r="B93" s="160" t="str">
        <f t="shared" si="1"/>
        <v/>
      </c>
      <c r="C93" s="160" t="str">
        <f>IFERROR(__xludf.DUMMYFUNCTION("IF(A93="""","""",IF(ISERROR(FIND(""arcass"",A93))=FALSE,MID(A93,FIND(""*"",A93)+1,FIND(""*"",A93,FIND(""*"",A93)+1)-FIND(""*"",A93)-1),IF(ISERROR(FIND(""End panel"",A93))=FALSE,RIGHT(A93,3),IF(OR(ISERROR(FIND(""drawer"",A93))=FALSE,ISERROR(FIND(""door"",A"&amp;"93))=FALSE,ISERROR(FIND(""shelf"",A93))=FALSE,ISERROR(FIND(""panel"",A93))=FALSE,ISERROR(FIND(""Plinth"",A93))=FALSE,ISERROR(FIND(""Cornice"",A93))=FALSE,ISERROR(FIND(""Fillers"",A93))=FALSE,ISERROR(FIND(""Pelmet"",A93))=FALSE,ISERROR(FIND(""Fireplace up "&amp;"to 1600"",A93))=FALSE),RIGHT(A93,LEN(A93)-LEN(regexextract(A93,"".* ""))),IF(ISERROR(FIND(""table"",A93))=FALSE,""560"",IF(ISERROR(FIND(""Office pod"",A93))=FALSE,""1600"",IF(ISERROR(FIND(""Fireplace over 1600"",A93))=FALSE,""2400"",IF(ISERROR(FIND(""Work"&amp;"top"",A93))=FALSE,""650"",""Whoops""))))))))"),"")</f>
        <v/>
      </c>
      <c r="D93" s="161" t="str">
        <f t="shared" si="2"/>
        <v/>
      </c>
      <c r="E93" s="152" t="str">
        <f>IF(OR(A93="",AND(ISERROR(FIND("drawer",A93))=FALSE,WardrobeDrawerType="")),"",IF(ISERROR(FIND("door",A93))=FALSE,IF(WardrobeDoorStyle="Flat",((B93/1000)*(C93/1000))*VLOOKUP(WardrobeDoorMaterial,SheetsData,8,0),IF(LEFT(WardrobeDoorStyle,5)="Panel",(((((B93/1000)*2)*0.08)+((((C93/1000)-0.16)*2)*0.08))*VLOOKUP("H/F (22mm)",SheetsData,8,0))+(((B93/1000)-0.14)*((C93/1000)-0.14)*VLOOKUP("H/F (9mm)",SheetsData,8,0)),IF(WardrobeDoorStyle="In-frame flat",((((((B93/1000)*0.019)*0.038)+((((C93-38)/1000)*0.038)*0.038))*2)*VLOOKUP("Tulip (solid m3)",SolidData,4,0))+(((B93-76)/1000)*((C93-38)/1000))*VLOOKUP("H/F (22mm)",SheetsData,8,0),IF(LEFT(WardrobeDoorStyle,14)="In-frame panel",(((((((B93/1000)*0.019)*0.038)+((((C93-38)/1000)*0.038)*0.038))*2)*VLOOKUP("Tulip (solid m3)",SolidData,4,0))+(((((((B93-76)/1000)*2)*0.08)+(((((C93-198)/1000)*2)*0.08)))*VLOOKUP("H/F (22mm)",SheetsData,8,0))+(((B93-216)/1000)*((C93-178)/1000)*VLOOKUP("H/F (9mm)",SheetsData,8,0)))))))),IF(AND(ISERROR(FIND("arcass",A93))=FALSE,ISERROR(FIND("ost corner",A93))=TRUE),IF(AND(VALUE(B93)&lt;1211,VALUE(C93)&lt;1211,VALUE(D93)&lt;606),1*VLOOKUP(WardrobeCarcassMaterial,SheetsData,5,FALSE),IF(AND(VALUE(B93)&lt;2421,VALUE(C93)&lt;2421,VALUE(D93)&lt;606),2*VLOOKUP(WardrobeCarcassMaterial,SheetsData,5,FALSE),IF(AND(VALUE(B93)&lt;2421,VALUE(C93)&lt;1211,VALUE(D93)&lt;1211),3*VLOOKUP(WardrobeCarcassMaterial,SheetsData,5,FALSE),IF(AND(VALUE(B93)&lt;2421,VALUE(C93)&lt;2421,VALUE(D93)&lt;1211),4*VLOOKUP(WardrobeCarcassMaterial,SheetsData,5,FALSE))))),IF(AND(ISERROR(FIND("arcass",A93))=FALSE,ISERROR(FIND("ost corner",A93))=FALSE),IF(AND(VALUE(B93)&lt;1211,VALUE(C93)&lt;1211,VALUE(D93)&lt;606),(1*VLOOKUP(WardrobeCarcassMaterial,SheetsData,5,FALSE))+(VLOOKUP("H/F (22mm)",SheetsData,7,FALSE)*1.44),IF(AND(VALUE(B93)&lt;2421,VALUE(C93)&lt;2421,VALUE(D93)&lt;606),(2*VLOOKUP(WardrobeCarcassMaterial,SheetsData,5,FALSE))+(VLOOKUP("H/F (22mm)",SheetsData,7,FALSE)*1.44),IF(AND(VALUE(B93)&lt;2421,VALUE(C93)&lt;1211,VALUE(D93)&lt;1211),(3*VLOOKUP(WardrobeCarcassMaterial,SheetsData,5,FALSE))+(VLOOKUP("H/F (22mm)",SheetsData,7,FALSE)*1.44),IF(AND(VALUE(B93)&lt;2421,VALUE(C93)&lt;2421,VALUE(D93)&lt;1211),(4*VLOOKUP(WardrobeCarcassMaterial,SheetsData,5,FALSE))+(VLOOKUP("H/F (22mm)",SheetsData,7,FALSE)*1.44))))),IF(ISERROR(FIND("drawer front",A93))=FALSE,((B93/1000)*(C93/1000))*VLOOKUP(WardrobeDoorMaterial,SheetsData,8,0),IF(AND(WardrobeDrawerType="Match carcass",ISERROR(FIND("drawer box",A93))=FALSE),(((((B93/1000)*(C93/1000))+((B93/1000)*(D93/1000)))*2)*VLOOKUP(WardrobeCarcassMaterial,SheetsData,8,0))+(((C93/1000)*(D93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box",A93))=FALSE),(((((B93/1000)*(C93/1000))+((B93/1000)*(D93/1000)))*2)*(16/1000)*VLOOKUP(LEFT(WardrobeCarcassMaterial,FIND(" ",WardrobeCarcassMaterial))&amp;"(solid m3)",SolidData,4,0))+(((C93/1000)*(D93/1000))*VLOOKUP(LEFT(WardrobeCarcassMaterial,FIND("(",WardrobeCarcassMaterial)-1)&amp;IF(OR(ISERROR(FIND("ply",WardrobeCarcassMaterial))=FALSE,ISERROR(FIND("H/F",WardrobeCarcassMaterial))=FALSE),"(9mm)","(10mm)"),SheetsData,8,0)),IF(ISERROR(FIND("shelf",A93))=FALSE,((C93/1000)*(D93/1000))*VLOOKUP(WardrobeCarcassMaterial,SheetsData,7,FALSE),IF(ISERROR(FIND("Office pod",A93))=FALSE,3*VLOOKUP(WardrobeCarcassMaterial,SheetsData,5,0),IF(ISERROR(FIND(" panel",A93))=FALSE,((B93/1000)*(C93/1000))*VLOOKUP(WardrobeDoorMaterial,SheetsData,8,0),IF(ISERROR(FIND("Fillers",A93))=FALSE,(((0.06*(C93/1000))*2)*VLOOKUP("H/F (18mm)",SheetsData,8,0))+(((0.06*(C93/1000))*2)*VLOOKUP("H/F (9mm)",SheetsData,8,0)),IF(ISERROR(FIND("Cornice (stacked)",A93))=FALSE,((0.08*(C93/1000))*2)*VLOOKUP("H/F (22mm)",SheetsData,8,0),IF(OR(ISERROR(FIND("Plinth",A93))=FALSE,ISERROR(FIND("Cornice (flat)",A93))=FALSE),((B93/1000)*(C93/1000))*VLOOKUP("H/F (18mm)",SheetsData,8,0),IF(ISERROR(FIND("Pelmet",A93))=FALSE,((((B93/1000)*(C93/1000))*2)*VLOOKUP("H/F (18mm)",SheetsData,8,0)),IF(ISERROR(FIND("Fireplace",A93))=FALSE,IF(ISERROR(FIND("over 1600",A93))=FALSE,2*VLOOKUP(WardrobeCarcassMaterial,SheetsData,5,FALSE),VLOOKUP(WardrobeCarcassMaterial,SheetsData,5,FALSE)),IF(ISERROR(FIND("table",A93))=FALSE,((B93/1000)*0.6)*VLOOKUP("Birch ply (24mm)",SheetsData,7,FALSE),IF(ISERROR(FIND("Worktop",A93))=FALSE,((B93/1000)*(C93/1000))*VLOOKUP(WardrobeDoorMaterial,SheetsData,7,FALSE),"Check formula")))))))))))))))))</f>
        <v/>
      </c>
      <c r="F93" s="152" t="str">
        <f>IFERROR(__xludf.DUMMYFUNCTION("IF(OR(A93="""",AND(ISERROR(FIND(""drawer box"",A93))=FALSE,WardrobeDrawerType=""Solid dovetail"")),"""",IF(ISERROR(FIND(""bins"",A93))=FALSE,VLOOKUP(""Base carcass 600"",Wardrobes_etcData,6,0),IF(OR(ISERROR(FIND(""larder"",A93))=FALSE,ISERROR(FIND(""unit"&amp;""",A93))=FALSE),VLOOKUP(LEFT(A93,FIND("" "",A93))&amp;""carcass ""&amp;RIGHT(A93,LEN(A93)-len(regexextract(A93,"".* ""))),Wardrobes_etcData,6,0),IF(ISERROR(FIND(""drawer front"",A93))=FALSE,IF(ISERROR(FIND(""veneer"",WardrobeCarcassMaterial))=TRUE,0,(((B93+C93)/1"&amp;"000)*2)*VLOOKUP(""Edge banding (per M)"",SheetsData,5,0)),IF(ISERROR(FIND(""drawer box"",A93))=FALSE,IF(ISERROR(FIND(""veneer"",WardrobeCarcassMaterial))=TRUE,0,(((C93+D93)/1000)*2)*VLOOKUP(""Edge banding (per M)"",SheetsData,5,0)),IF(ISERROR(FIND(""shelf"&amp;""",A93))=FALSE,IF(ISERROR(FIND(""veneer"",WardrobeCarcassMaterial))=TRUE,0,(C93/1000)*VLOOKUP(""Edge banding (per M)"",SheetsData,5,0)),IF(AND(OR(ISERROR(FIND(""arcass"",A93))=FALSE,ISERROR(FIND(""Fireplace"",A93))=FALSE),ISERROR(FIND(""shelf"",A93))=TRUE"&amp;"),IF(ISERROR(FIND(""veneer"",WardrobeCarcassMaterial))=TRUE,0,((2*(B93+C93))/1000)*VLOOKUP(""Edge banding (per M)"",SheetsData,5,0)),IF(ISERROR(FIND(""door"",A93))=TRUE,"""",IF(ISERROR(FIND(""veneer"",WardrobeDoorMaterial))=TRUE,"""",((2*(B93+C93))/1000)*"&amp;"VLOOKUP(""Edge banding (per M)"",SheetsData,5,0))))))))))"),"")</f>
        <v/>
      </c>
      <c r="G93" s="153" t="str">
        <f>IF(A93="","",IF(AND(ISERROR(FIND("arcass",A93))=TRUE,ISERROR(FIND("Fireplace",A93))=TRUE),"",IF(VALUE(C93)&lt;606,4*VLOOKUP("Plinth foot (2 Parts 80mm)",FurnitureData,5,FALSE),IF(VALUE(C93)&lt;1211,6*VLOOKUP("Plinth foot (2 Parts 80mm)",FurnitureData,5,FALSE),8*VLOOKUP("Plinth foot (2 Parts 80mm)",FurnitureData,5,FALSE)))))</f>
        <v/>
      </c>
      <c r="H93" s="115" t="str">
        <f>IF(OR(A93="",ISERROR(FIND("door",A93))=TRUE),"",VLOOKUP("Hinges &amp; plates (Hettich thick door)",FurnitureData,5,0)*5)</f>
        <v/>
      </c>
      <c r="I93" s="115" t="str">
        <f>IF(ISERROR(FIND("shelf",A93))=FALSE,(VLOOKUP("Shelf pegs",FurnitureData,5,0)/100)*4,"")</f>
        <v/>
      </c>
      <c r="J93" s="152" t="str">
        <f>IF(OR(ISERROR(FIND("fridge/freezer",A93))=FALSE,ISERROR(FIND("sink",A93))=FALSE,ISERROR(FIND("larder",A93))=FALSE),VLOOKUP("Deep shelf "&amp;C93,Wardrobes_etcData,18,0),IF(OR(ISERROR(FIND("single oven",A93))=FALSE,ISERROR(FIND("Base carcass",A93))=FALSE),2*VLOOKUP("Deep shelf "&amp;C93,Wardrobes_etcData,18,0),IF(AND(ISERROR(FIND("wall carcass",A93))=FALSE,ISERROR(FIND("Boiler",A93))=TRUE),2*VLOOKUP("Shallow shelf "&amp;C93,Wardrobes_etcData,18,0),IF(ISERROR(FIND("double oven",A93))=FALSE,3*VLOOKUP("Deep shelf "&amp;C93,Wardrobes_etcData,18,0),IF(ISERROR(FIND("Tower carcass",A93))=FALSE,6*VLOOKUP("Deep shelf "&amp;C93,Wardrobes_etcData,18,0),"")))))</f>
        <v/>
      </c>
      <c r="K93" s="152" t="str">
        <f>IF(ISERROR(FIND("sink",A93))=FALSE,VLOOKUP("Sink liner - Aluminium "&amp;RIGHT(A93,LEN(A93)-22)&amp;"mm",ExceptionalData,5,0),IF(ISERROR(FIND("bins",A93))=FALSE,VLOOKUP("Drawer runners and clip set for bin unit (500) Dynapro",FurnitureData,5,0)+(2*VLOOKUP("Bin (42L Anthracite)",FurnitureData,5,0)),IF(ISERROR(FIND("larder",A93))=FALSE,VLOOKUP("Pull out larder unit 600mm",FurnitureData,5,0),IF(AND(ISERROR(FIND("drawer box",A93))=FALSE,ISERROR(FIND("internal",A93))=TRUE),VLOOKUP("Drawer runners and clip set (550) Dynapro",FurnitureData,5,0),IF(ISERROR(FIND("internal drawer box",A93))=FALSE,VLOOKUP("Drawer runners and clip set (450) Dynapro",FurnitureData,5,0),IF(ISERROR(FIND("table",A93))=FALSE,VLOOKUP("Hairpin Leg (12mm Black "&amp;MID(A93,FIND("(",A93)+1,LEN(A93)-(FIND("(",A93))-1)&amp;"mm)",ExceptionalData,4,FALSE),""))))))</f>
        <v/>
      </c>
      <c r="L93" s="152" t="str">
        <f t="shared" si="3"/>
        <v/>
      </c>
      <c r="M93" s="154" t="str">
        <f>IF(A93="","",IF(AND(ISERROR(FIND("drawer front",A93))=FALSE,WardrobeDoorStyle="Flat"),(((B93/1000)*(C93/1000))*2)+((((B93+C93)/1000)*2)*0.022),IF(AND(ISERROR(FIND("drawer front",A93))=FALSE,LEFT(WardrobeDoorStyle,5)="Panel"),(((B93/1000)*(C93/1000))*2)+((((B93+C93)/1000)*2)*0.022)+((((C93/1000)-0.16)*0.013)*2)+((((D93/1000)-0.16)*0.013)*2),IF(AND(ISERROR(FIND("drawer front",A93))=FALSE,WardrobeDoorStyle="In-frame flat"),((((B93-76)/1000)*((C93-38)/1000))*2)+(MID(WardrobeDoorMaterial,FIND("(",WardrobeDoorMaterial)+1,2)/1000)*((((B93-76)+(C93-38))/1000)*2)+(((B93/1000)*0.032)*2)+((((B93-76)/1000)*0.032)*2)+(((B93/1000)*0.019)*4)+(((C93/1000)*0.032)*2)+((((C93-38)/1000)*0.032)*2)+(((C93/1000)*0.038)*4),IF(AND(ISERROR(FIND("drawer front",A93))=FALSE,LEFT(WardrobeDoorStyle,14)="In-frame panel"),((((B93-76)/1000)*((C93-38)/1000))*2)+((MID(WardrobeDoorMaterial,FIND("(",WardrobeDoorMaterial)+1,2)/1000)*((((B93-76)+(C93-38))/1000)*2))+((((B93-236)/1000)+((C93-198)/1000)*2)*0.013)+(((B93/1000)*0.032)*2)+((((B93-76)/1000)*0.032)*2)+(((B93/1000)*0.019)*4)+(((C93/1000)*0.032)*2)+((((C93-38)/1000)*0.032)*2)+(((C93/1000)*0.038)*4),IF(ISERROR(FIND("drawer box",A93))=FALSE,((((B93/1000)*(D93/1000))+((B93/1000)*(C93/1000)))*4)+((((D93/1000)+(C93/1000))*0.016)*4)+(((C93/1000)*(D93/1000))*2),IF(OR(ISERROR(FIND("shelf",A93))=FALSE,ISERROR(FIND("Filler panel",A93))=FALSE),(((C93/1000)*(D93/1000))*2)+((((C93+D93)*2)/1000)*0.022),IF(ISERROR(FIND("Fireplace",A93))=FALSE,((B93/1000)*(C93/1000)),IF(ISERROR(FIND("Worktop",A93))=FALSE,(B93/1000)*(C93/1000),IF(ISERROR(FIND("table",A93))=FALSE,(B93/1000)*0.6,IF(ISERROR(FIND("arcass",A93))=FALSE,(((C93/1000)*(D93/1000))*2)+(((B93/1000)*(D93/1000))*2)+((B93/1000)*(C93/1000))+((((B93/1000)*0.025)+((C93/1000)*0.025))*2),IF(AND(ISERROR(FIND("door",A93))=FALSE,WardrobeDoorStyle="Flat"),(((B93/1000)*(C93/1000))*2)+(MID(WardrobeDoorMaterial,FIND("(",WardrobeDoorMaterial)+1,2)/1000)*(((B93+C93)/1000)*2),IF(AND(ISERROR(FIND("door",A93))=FALSE,LEFT(WardrobeDoorStyle,5)="Panel"),(((B93/1000)*(C93/1000))*2)+((MID(WardrobeDoorMaterial,FIND("(",WardrobeDoorMaterial)+1,2)/1000)*(((B93+C93)/1000)*2))+(((((B93-160)+(C93-160))*2)/1000)*(0.013)),IF(AND(ISERROR(FIND("door",A93))=FALSE,WardrobeDoorStyle="In-frame flat"),((((B93-76)/1000)*((C93-38)/1000))*2)+(MID(WardrobeDoorMaterial,FIND("(",WardrobeDoorMaterial)+1,2)/1000)*((((B93-76)+(C93-38))/1000)*2)+(((B93/1000)*0.032)*2)+((((B93-76)/1000)*0.032)*2)+(((B93/1000)*0.019)*4)+(((C93/1000)*0.032)*2)+((((C93-38)/1000)*0.032)*2)+(((C93/1000)*0.038)*4),IF(AND(ISERROR(FIND("door",A93))=FALSE,LEFT(WardrobeDoorStyle,14)="In-frame panel"),((((B93-76)/1000)*((C93-38)/1000))*2)+((MID(WardrobeDoorMaterial,FIND("(",WardrobeDoorMaterial)+1,2)/1000)*((((B93-76)+(C93-38))/1000)*2))+((((B93-236)/1000)+((C93-198)/1000)*2)*0.013)+(((B93/1000)*0.032)*2)+((((B93-76)/1000)*0.032)*2)+(((B93/1000)*0.019)*4)+(((C93/1000)*0.032)*2)+((((C93-38)/1000)*0.032)*2)+(((C93/1000)*0.038)*4),IF(ISERROR(FIND("Plinth",A93))=FALSE,((B93/1000)*(C93/1000))+(((C93/1000)*0.018)*2)+(((B93/1000)*0.018)*2),IF(ISERROR(FIND("Cornice",A93))=FALSE,(((C93/1000)*0.1)*2)+(((C93/1000)*0.044)*2)+(((B93/1000)*0.08)*2),IF(ISERROR(FIND("Office pod",A93))=FALSE,((2400/1000)*(1200/1000))*6,IF(ISERROR(FIND("panel",A93))=FALSE,((B93/1000)*(C93/1000))+(0.022*((B93/1000)+((C93/1000)*2)))+((B93/1000)*0.05),IF(ISERROR(FIND("Fillers",A93))=FALSE,((C93/1000)*0.06)+((C93/1000)*0.069)+((0.06*0.018)*2)+((0.06*0.009)*2)+((C93/1000)*0.009)+((C93/1000)*0.018),IF(ISERROR(FIND("Pelmet",A93))=FALSE,((C93/1000)*0.05)+((C93/1000)*0.068)+((0.05*0.018)*4)+(((C93/1000)*0.018))*2)))))))))))))))))))))</f>
        <v/>
      </c>
      <c r="N93" s="152" t="str">
        <f>IF(M93="","",IF(AND(ISERROR(FIND("carcass",A93))=TRUE,ISERROR(FIND("unit",A93))=TRUE,ISERROR(FIND("insert",A93))=TRUE,ISERROR(FIND("rack",A93))=TRUE,ISERROR(FIND("box",A93))=TRUE,ISERROR(FIND("shelf",A93))=TRUE),VLOOKUP(WardrobeDoorFinish,Finishing!$A$2:$K$10,9,0)*M93,IF(ISERROR(FIND("table",A93))=FALSE,VLOOKUP("Sayerlack AF0072 Interior Clear Self-Sealer",FinishingData,9,FALSE)*M93,VLOOKUP(WardrobeCarcassFinish,Finishing!$A$2:$K$40,9,0)*M93)))</f>
        <v/>
      </c>
      <c r="O93" s="159"/>
      <c r="P93" s="159"/>
      <c r="Q93" s="152" t="str">
        <f>IF(OR(O93="",P93=""),"",((O93*X93)*(VLOOKUP("Workshop",Labour!$A$3:$E$20,4,0)/8))+((P93*AE93)*(VLOOKUP("Finishing",Labour!$A$3:$E$20,4,0)/8)))</f>
        <v/>
      </c>
      <c r="R93" s="152" t="str">
        <f t="shared" si="4"/>
        <v/>
      </c>
      <c r="S93" s="156" t="str">
        <f>IF(OR(O93="",P93=""),"",IF(OR(ISERROR(FIND("carcass",$A93))=FALSE,ISERROR(FIND("unit",$A93))=FALSE),VLOOKUP(WardrobeCarcassMaterial,FixedListsCarcassMaterial,2,0),0))</f>
        <v/>
      </c>
      <c r="T93" s="156" t="str">
        <f>IF(OR(O93="",P93=""),"",IF(ISERROR(FIND("door",$A93))=FALSE,VLOOKUP(WardrobeDoorStyle,FixedListsDoorStyle,2,0),0))</f>
        <v/>
      </c>
      <c r="U93" s="156" t="str">
        <f>IF(OR(O93="",P93=""),"",IF(ISERROR(FIND("door",$A93))=FALSE,VLOOKUP(WardrobeDoorMaterial,FixedListsDoorMaterial,2,0),0))</f>
        <v/>
      </c>
      <c r="V93" s="156" t="str">
        <f>IF(OR(O93="",P93=""),"",IF(ISERROR(FIND("drawer",$A93))=FALSE,VLOOKUP(WardrobeDrawerType,FixedListsDrawerType,2,0),0))</f>
        <v/>
      </c>
      <c r="W93" s="156" t="str">
        <f>IF(OR(O93="",P93=""),"",IF(S93&gt;0,VLOOKUP(WardrobeHandleType,FixedListsHandleType,2,FALSE),0))</f>
        <v/>
      </c>
      <c r="X93" s="156" t="str">
        <f t="shared" si="5"/>
        <v/>
      </c>
      <c r="Y93" s="156" t="str">
        <f>IF(OR(O93="",P93=""),"",IF(OR(ISERROR(FIND("carcass",$A93))=FALSE,ISERROR(FIND("unit",$A93))=FALSE),VLOOKUP(WardrobeCarcassMaterial,FixedListsCarcassMaterial,3,0),0))</f>
        <v/>
      </c>
      <c r="Z93" s="156" t="str">
        <f>IF(OR(O93="",P93=""),"",IF(ISERROR(FIND("door",$A93))=FALSE,VLOOKUP(WardrobeDoorStyle,FixedListsDoorStyle,3,0),0))</f>
        <v/>
      </c>
      <c r="AA93" s="156" t="str">
        <f>IF(OR(O93="",P93=""),"",IF(ISERROR(FIND("door",$A93))=FALSE,VLOOKUP(WardrobeDoorMaterial,FixedListsDoorMaterial,3,0),0))</f>
        <v/>
      </c>
      <c r="AB93" s="156" t="str">
        <f>IF(OR(O93="",P93=""),"",IF(ISERROR(FIND("drawer",$A93))=FALSE,VLOOKUP(WardrobeDrawerType,FixedListsDrawerType,3,0),0))</f>
        <v/>
      </c>
      <c r="AC93" s="156" t="str">
        <f>IF(OR(O93="",P93=""),"",IF(S93&gt;0,VLOOKUP(WardrobeHandleType,FixedListsHandleType,3,FALSE),0))</f>
        <v/>
      </c>
      <c r="AD93" s="156" t="str">
        <f>IF(OR(O93="",P93=""),"",IF(OR(ISERROR(FIND("carcass",$A93))=FALSE,ISERROR(FIND("unit",$A93))=FALSE),VLOOKUP(WardrobeCarcassFinish,FixedListsFinishes,3,0),IF(OR(ISERROR(FIND("door",$A93))=FALSE,ISERROR(FIND("Plinth",$A93))=FALSE,ISERROR(FIND("Cornice",$A93))=FALSE,ISERROR(FIND("Fillers",$A93))=FALSE,ISERROR(FIND("Pelmet",$A93))=FALSE,ISERROR(FIND("panel",$A93))=FALSE,ISERROR(FIND("post",$A93))=FALSE),VLOOKUP(WardrobeDoorFinish,FixedListsFinishes,3,0),IF(OR(ISERROR(FIND("drawer",$A93))=FALSE,ISERROR(FIND("insert",$A93))=FALSE,ISERROR(FIND("rck",$A93))=FALSE),VLOOKUP(WardrobeCarcassFinish,FixedListsFinishes,3,0),0))))</f>
        <v/>
      </c>
      <c r="AE93" s="156" t="str">
        <f t="shared" si="6"/>
        <v/>
      </c>
      <c r="AF93" s="157" t="str">
        <f>IF(AND(WardrobeHandleType="Channel",OR(ISERROR(FIND("arcass",$A93))=FALSE,ISERROR(FIND("unit",$A93))=FALSE)),IF(ISERROR(FIND("Tower",$A93))=TRUE,IF(WardrobeHandleFinish="Match carcass",IF(ISERROR(FIND("Walnut",WardrobeCarcassMaterial))=FALSE,(0.035*0.075*($C93/1000))*VLOOKUP("Walnut (solid m3)",SolidData,4,FALSE),IF(ISERROR(FIND("Oak",WardrobeCarcassMaterial))=FALSE,(0.035*0.075*($C93/1000))*VLOOKUP("Oak (solid m3)",SolidData,4,FALSE),IF(ISERROR(FIND("ply",WardrobeCarcassMaterial))=FALSE,(0.1*($C93/1000))*VLOOKUP("Birch ply (24mm)",SheetsData,7,FALSE),IF(ISERROR(FIND("H/F",WardrobeCarcassMaterial))=FALSE,(0.1*($C93/1000))*VLOOKUP("H/F (22mm)",SheetsData,7,FALSE),"Carcass - not tower - new material")))),IF(WardrobeHandleFinish="Match door",IF(ISERROR(FIND("Walnut",WardrobeDoorMaterial))=FALSE,(0.035*0.075*($C93/1000))*VLOOKUP("Walnut (solid m3)",SolidData,4,FALSE),IF(ISERROR(FIND("Oak",WardrobeDoorMaterial))=FALSE,(0.035*0.075*($C93/1000))*VLOOKUP("Oak (solid m3)",SolidData,4,FALSE),IF(ISERROR(FIND("ply",WardrobeDoorMaterial))=FALSE,(0.1*($C93/1000))*VLOOKUP("Birch ply (24mm)",SheetsData,7,FALSE),IF(ISERROR(FIND("H/F",WardrobeCarcassMaterial))=FALSE,(0.1*($C93/1000))*VLOOKUP("H/F (22mm)",SheetsData,7,FALSE),"Door - not tower - new material")))),"Channel - not tower - handle set to other")),IF(ISERROR(FIND("Tower",$A93))=FALSE,IF(WardrobeHandleFinish="Match carcass",IF(ISERROR(FIND("Walnut",WardrobeCarcassMaterial))=FALSE,(0.035*0.075*($B93/1000))*VLOOKUP("Walnut (solid m3)",SolidData,4,FALSE),IF(ISERROR(FIND("Oak",WardrobeCarcassMaterial))=FALSE,(0.035*0.075*($B93/1000))*VLOOKUP("Oak (solid m3)",SolidData,4,FALSE),IF(ISERROR(FIND("ply",WardrobeCarcassMaterial))=FALSE,(0.1*($B93/1000))*VLOOKUP("Birch ply (24mm)",SheetsData,7,FALSE),IF(ISERROR(FIND("H/F",WardrobeCarcassMaterial))=FALSE,(0.1*($C93/1000))*VLOOKUP("H/F (22mm)",SheetsData,7,FALSE),"Carcass - tower - new material")))),IF(WardrobeHandleFinish="Match door",IF(ISERROR(FIND("Walnut",WardrobeDoorMaterial))=FALSE,(0.035*0.075*($B93/1000))*VLOOKUP("Walnut (solid m3)",SolidData,4,FALSE),IF(ISERROR(FIND("Oak",WardrobeDoorMaterial))=FALSE,(0.035*0.075*($B93/1000))*VLOOKUP("Oak (solid m3)",SolidData,4,FALSE),IF(ISERROR(FIND("ply",WardrobeDoorMaterial))=FALSE,(0.1*($B93/1000))*VLOOKUP("Birch ply (24mm)",SheetData,7,FALSE),IF(ISERROR(FIND("H/F",WardrobeCarcassMaterial))=FALSE,(0.1*($C93/1000))*VLOOKUP("H/F (22mm)",SheetsData,7,FALSE),"Door - tower - new material")))),"Channel - tower - handle set to other")))),"")</f>
        <v/>
      </c>
    </row>
    <row r="94">
      <c r="A94" s="150"/>
      <c r="B94" s="160" t="str">
        <f t="shared" si="1"/>
        <v/>
      </c>
      <c r="C94" s="160" t="str">
        <f>IFERROR(__xludf.DUMMYFUNCTION("IF(A94="""","""",IF(ISERROR(FIND(""arcass"",A94))=FALSE,MID(A94,FIND(""*"",A94)+1,FIND(""*"",A94,FIND(""*"",A94)+1)-FIND(""*"",A94)-1),IF(ISERROR(FIND(""End panel"",A94))=FALSE,RIGHT(A94,3),IF(OR(ISERROR(FIND(""drawer"",A94))=FALSE,ISERROR(FIND(""door"",A"&amp;"94))=FALSE,ISERROR(FIND(""shelf"",A94))=FALSE,ISERROR(FIND(""panel"",A94))=FALSE,ISERROR(FIND(""Plinth"",A94))=FALSE,ISERROR(FIND(""Cornice"",A94))=FALSE,ISERROR(FIND(""Fillers"",A94))=FALSE,ISERROR(FIND(""Pelmet"",A94))=FALSE,ISERROR(FIND(""Fireplace up "&amp;"to 1600"",A94))=FALSE),RIGHT(A94,LEN(A94)-LEN(regexextract(A94,"".* ""))),IF(ISERROR(FIND(""table"",A94))=FALSE,""560"",IF(ISERROR(FIND(""Office pod"",A94))=FALSE,""1600"",IF(ISERROR(FIND(""Fireplace over 1600"",A94))=FALSE,""2400"",IF(ISERROR(FIND(""Work"&amp;"top"",A94))=FALSE,""650"",""Whoops""))))))))"),"")</f>
        <v/>
      </c>
      <c r="D94" s="161" t="str">
        <f t="shared" si="2"/>
        <v/>
      </c>
      <c r="E94" s="152" t="str">
        <f>IF(OR(A94="",AND(ISERROR(FIND("drawer",A94))=FALSE,WardrobeDrawerType="")),"",IF(ISERROR(FIND("door",A94))=FALSE,IF(WardrobeDoorStyle="Flat",((B94/1000)*(C94/1000))*VLOOKUP(WardrobeDoorMaterial,SheetsData,8,0),IF(LEFT(WardrobeDoorStyle,5)="Panel",(((((B94/1000)*2)*0.08)+((((C94/1000)-0.16)*2)*0.08))*VLOOKUP("H/F (22mm)",SheetsData,8,0))+(((B94/1000)-0.14)*((C94/1000)-0.14)*VLOOKUP("H/F (9mm)",SheetsData,8,0)),IF(WardrobeDoorStyle="In-frame flat",((((((B94/1000)*0.019)*0.038)+((((C94-38)/1000)*0.038)*0.038))*2)*VLOOKUP("Tulip (solid m3)",SolidData,4,0))+(((B94-76)/1000)*((C94-38)/1000))*VLOOKUP("H/F (22mm)",SheetsData,8,0),IF(LEFT(WardrobeDoorStyle,14)="In-frame panel",(((((((B94/1000)*0.019)*0.038)+((((C94-38)/1000)*0.038)*0.038))*2)*VLOOKUP("Tulip (solid m3)",SolidData,4,0))+(((((((B94-76)/1000)*2)*0.08)+(((((C94-198)/1000)*2)*0.08)))*VLOOKUP("H/F (22mm)",SheetsData,8,0))+(((B94-216)/1000)*((C94-178)/1000)*VLOOKUP("H/F (9mm)",SheetsData,8,0)))))))),IF(AND(ISERROR(FIND("arcass",A94))=FALSE,ISERROR(FIND("ost corner",A94))=TRUE),IF(AND(VALUE(B94)&lt;1211,VALUE(C94)&lt;1211,VALUE(D94)&lt;606),1*VLOOKUP(WardrobeCarcassMaterial,SheetsData,5,FALSE),IF(AND(VALUE(B94)&lt;2421,VALUE(C94)&lt;2421,VALUE(D94)&lt;606),2*VLOOKUP(WardrobeCarcassMaterial,SheetsData,5,FALSE),IF(AND(VALUE(B94)&lt;2421,VALUE(C94)&lt;1211,VALUE(D94)&lt;1211),3*VLOOKUP(WardrobeCarcassMaterial,SheetsData,5,FALSE),IF(AND(VALUE(B94)&lt;2421,VALUE(C94)&lt;2421,VALUE(D94)&lt;1211),4*VLOOKUP(WardrobeCarcassMaterial,SheetsData,5,FALSE))))),IF(AND(ISERROR(FIND("arcass",A94))=FALSE,ISERROR(FIND("ost corner",A94))=FALSE),IF(AND(VALUE(B94)&lt;1211,VALUE(C94)&lt;1211,VALUE(D94)&lt;606),(1*VLOOKUP(WardrobeCarcassMaterial,SheetsData,5,FALSE))+(VLOOKUP("H/F (22mm)",SheetsData,7,FALSE)*1.44),IF(AND(VALUE(B94)&lt;2421,VALUE(C94)&lt;2421,VALUE(D94)&lt;606),(2*VLOOKUP(WardrobeCarcassMaterial,SheetsData,5,FALSE))+(VLOOKUP("H/F (22mm)",SheetsData,7,FALSE)*1.44),IF(AND(VALUE(B94)&lt;2421,VALUE(C94)&lt;1211,VALUE(D94)&lt;1211),(3*VLOOKUP(WardrobeCarcassMaterial,SheetsData,5,FALSE))+(VLOOKUP("H/F (22mm)",SheetsData,7,FALSE)*1.44),IF(AND(VALUE(B94)&lt;2421,VALUE(C94)&lt;2421,VALUE(D94)&lt;1211),(4*VLOOKUP(WardrobeCarcassMaterial,SheetsData,5,FALSE))+(VLOOKUP("H/F (22mm)",SheetsData,7,FALSE)*1.44))))),IF(ISERROR(FIND("drawer front",A94))=FALSE,((B94/1000)*(C94/1000))*VLOOKUP(WardrobeDoorMaterial,SheetsData,8,0),IF(AND(WardrobeDrawerType="Match carcass",ISERROR(FIND("drawer box",A94))=FALSE),(((((B94/1000)*(C94/1000))+((B94/1000)*(D94/1000)))*2)*VLOOKUP(WardrobeCarcassMaterial,SheetsData,8,0))+(((C94/1000)*(D94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box",A94))=FALSE),(((((B94/1000)*(C94/1000))+((B94/1000)*(D94/1000)))*2)*(16/1000)*VLOOKUP(LEFT(WardrobeCarcassMaterial,FIND(" ",WardrobeCarcassMaterial))&amp;"(solid m3)",SolidData,4,0))+(((C94/1000)*(D94/1000))*VLOOKUP(LEFT(WardrobeCarcassMaterial,FIND("(",WardrobeCarcassMaterial)-1)&amp;IF(OR(ISERROR(FIND("ply",WardrobeCarcassMaterial))=FALSE,ISERROR(FIND("H/F",WardrobeCarcassMaterial))=FALSE),"(9mm)","(10mm)"),SheetsData,8,0)),IF(ISERROR(FIND("shelf",A94))=FALSE,((C94/1000)*(D94/1000))*VLOOKUP(WardrobeCarcassMaterial,SheetsData,7,FALSE),IF(ISERROR(FIND("Office pod",A94))=FALSE,3*VLOOKUP(WardrobeCarcassMaterial,SheetsData,5,0),IF(ISERROR(FIND(" panel",A94))=FALSE,((B94/1000)*(C94/1000))*VLOOKUP(WardrobeDoorMaterial,SheetsData,8,0),IF(ISERROR(FIND("Fillers",A94))=FALSE,(((0.06*(C94/1000))*2)*VLOOKUP("H/F (18mm)",SheetsData,8,0))+(((0.06*(C94/1000))*2)*VLOOKUP("H/F (9mm)",SheetsData,8,0)),IF(ISERROR(FIND("Cornice (stacked)",A94))=FALSE,((0.08*(C94/1000))*2)*VLOOKUP("H/F (22mm)",SheetsData,8,0),IF(OR(ISERROR(FIND("Plinth",A94))=FALSE,ISERROR(FIND("Cornice (flat)",A94))=FALSE),((B94/1000)*(C94/1000))*VLOOKUP("H/F (18mm)",SheetsData,8,0),IF(ISERROR(FIND("Pelmet",A94))=FALSE,((((B94/1000)*(C94/1000))*2)*VLOOKUP("H/F (18mm)",SheetsData,8,0)),IF(ISERROR(FIND("Fireplace",A94))=FALSE,IF(ISERROR(FIND("over 1600",A94))=FALSE,2*VLOOKUP(WardrobeCarcassMaterial,SheetsData,5,FALSE),VLOOKUP(WardrobeCarcassMaterial,SheetsData,5,FALSE)),IF(ISERROR(FIND("table",A94))=FALSE,((B94/1000)*0.6)*VLOOKUP("Birch ply (24mm)",SheetsData,7,FALSE),IF(ISERROR(FIND("Worktop",A94))=FALSE,((B94/1000)*(C94/1000))*VLOOKUP(WardrobeDoorMaterial,SheetsData,7,FALSE),"Check formula")))))))))))))))))</f>
        <v/>
      </c>
      <c r="F94" s="152" t="str">
        <f>IFERROR(__xludf.DUMMYFUNCTION("IF(OR(A94="""",AND(ISERROR(FIND(""drawer box"",A94))=FALSE,WardrobeDrawerType=""Solid dovetail"")),"""",IF(ISERROR(FIND(""bins"",A94))=FALSE,VLOOKUP(""Base carcass 600"",Wardrobes_etcData,6,0),IF(OR(ISERROR(FIND(""larder"",A94))=FALSE,ISERROR(FIND(""unit"&amp;""",A94))=FALSE),VLOOKUP(LEFT(A94,FIND("" "",A94))&amp;""carcass ""&amp;RIGHT(A94,LEN(A94)-len(regexextract(A94,"".* ""))),Wardrobes_etcData,6,0),IF(ISERROR(FIND(""drawer front"",A94))=FALSE,IF(ISERROR(FIND(""veneer"",WardrobeCarcassMaterial))=TRUE,0,(((B94+C94)/1"&amp;"000)*2)*VLOOKUP(""Edge banding (per M)"",SheetsData,5,0)),IF(ISERROR(FIND(""drawer box"",A94))=FALSE,IF(ISERROR(FIND(""veneer"",WardrobeCarcassMaterial))=TRUE,0,(((C94+D94)/1000)*2)*VLOOKUP(""Edge banding (per M)"",SheetsData,5,0)),IF(ISERROR(FIND(""shelf"&amp;""",A94))=FALSE,IF(ISERROR(FIND(""veneer"",WardrobeCarcassMaterial))=TRUE,0,(C94/1000)*VLOOKUP(""Edge banding (per M)"",SheetsData,5,0)),IF(AND(OR(ISERROR(FIND(""arcass"",A94))=FALSE,ISERROR(FIND(""Fireplace"",A94))=FALSE),ISERROR(FIND(""shelf"",A94))=TRUE"&amp;"),IF(ISERROR(FIND(""veneer"",WardrobeCarcassMaterial))=TRUE,0,((2*(B94+C94))/1000)*VLOOKUP(""Edge banding (per M)"",SheetsData,5,0)),IF(ISERROR(FIND(""door"",A94))=TRUE,"""",IF(ISERROR(FIND(""veneer"",WardrobeDoorMaterial))=TRUE,"""",((2*(B94+C94))/1000)*"&amp;"VLOOKUP(""Edge banding (per M)"",SheetsData,5,0))))))))))"),"")</f>
        <v/>
      </c>
      <c r="G94" s="153" t="str">
        <f>IF(A94="","",IF(AND(ISERROR(FIND("arcass",A94))=TRUE,ISERROR(FIND("Fireplace",A94))=TRUE),"",IF(VALUE(C94)&lt;606,4*VLOOKUP("Plinth foot (2 Parts 80mm)",FurnitureData,5,FALSE),IF(VALUE(C94)&lt;1211,6*VLOOKUP("Plinth foot (2 Parts 80mm)",FurnitureData,5,FALSE),8*VLOOKUP("Plinth foot (2 Parts 80mm)",FurnitureData,5,FALSE)))))</f>
        <v/>
      </c>
      <c r="H94" s="115" t="str">
        <f>IF(OR(A94="",ISERROR(FIND("door",A94))=TRUE),"",VLOOKUP("Hinges &amp; plates (Hettich thick door)",FurnitureData,5,0)*5)</f>
        <v/>
      </c>
      <c r="I94" s="115" t="str">
        <f>IF(ISERROR(FIND("shelf",A94))=FALSE,(VLOOKUP("Shelf pegs",FurnitureData,5,0)/100)*4,"")</f>
        <v/>
      </c>
      <c r="J94" s="152" t="str">
        <f>IF(OR(ISERROR(FIND("fridge/freezer",A94))=FALSE,ISERROR(FIND("sink",A94))=FALSE,ISERROR(FIND("larder",A94))=FALSE),VLOOKUP("Deep shelf "&amp;C94,Wardrobes_etcData,18,0),IF(OR(ISERROR(FIND("single oven",A94))=FALSE,ISERROR(FIND("Base carcass",A94))=FALSE),2*VLOOKUP("Deep shelf "&amp;C94,Wardrobes_etcData,18,0),IF(AND(ISERROR(FIND("wall carcass",A94))=FALSE,ISERROR(FIND("Boiler",A94))=TRUE),2*VLOOKUP("Shallow shelf "&amp;C94,Wardrobes_etcData,18,0),IF(ISERROR(FIND("double oven",A94))=FALSE,3*VLOOKUP("Deep shelf "&amp;C94,Wardrobes_etcData,18,0),IF(ISERROR(FIND("Tower carcass",A94))=FALSE,6*VLOOKUP("Deep shelf "&amp;C94,Wardrobes_etcData,18,0),"")))))</f>
        <v/>
      </c>
      <c r="K94" s="152" t="str">
        <f>IF(ISERROR(FIND("sink",A94))=FALSE,VLOOKUP("Sink liner - Aluminium "&amp;RIGHT(A94,LEN(A94)-22)&amp;"mm",ExceptionalData,5,0),IF(ISERROR(FIND("bins",A94))=FALSE,VLOOKUP("Drawer runners and clip set for bin unit (500) Dynapro",FurnitureData,5,0)+(2*VLOOKUP("Bin (42L Anthracite)",FurnitureData,5,0)),IF(ISERROR(FIND("larder",A94))=FALSE,VLOOKUP("Pull out larder unit 600mm",FurnitureData,5,0),IF(AND(ISERROR(FIND("drawer box",A94))=FALSE,ISERROR(FIND("internal",A94))=TRUE),VLOOKUP("Drawer runners and clip set (550) Dynapro",FurnitureData,5,0),IF(ISERROR(FIND("internal drawer box",A94))=FALSE,VLOOKUP("Drawer runners and clip set (450) Dynapro",FurnitureData,5,0),IF(ISERROR(FIND("table",A94))=FALSE,VLOOKUP("Hairpin Leg (12mm Black "&amp;MID(A94,FIND("(",A94)+1,LEN(A94)-(FIND("(",A94))-1)&amp;"mm)",ExceptionalData,4,FALSE),""))))))</f>
        <v/>
      </c>
      <c r="L94" s="152" t="str">
        <f t="shared" si="3"/>
        <v/>
      </c>
      <c r="M94" s="154" t="str">
        <f>IF(A94="","",IF(AND(ISERROR(FIND("drawer front",A94))=FALSE,WardrobeDoorStyle="Flat"),(((B94/1000)*(C94/1000))*2)+((((B94+C94)/1000)*2)*0.022),IF(AND(ISERROR(FIND("drawer front",A94))=FALSE,LEFT(WardrobeDoorStyle,5)="Panel"),(((B94/1000)*(C94/1000))*2)+((((B94+C94)/1000)*2)*0.022)+((((C94/1000)-0.16)*0.013)*2)+((((D94/1000)-0.16)*0.013)*2),IF(AND(ISERROR(FIND("drawer front",A94))=FALSE,WardrobeDoorStyle="In-frame flat"),((((B94-76)/1000)*((C94-38)/1000))*2)+(MID(WardrobeDoorMaterial,FIND("(",WardrobeDoorMaterial)+1,2)/1000)*((((B94-76)+(C94-38))/1000)*2)+(((B94/1000)*0.032)*2)+((((B94-76)/1000)*0.032)*2)+(((B94/1000)*0.019)*4)+(((C94/1000)*0.032)*2)+((((C94-38)/1000)*0.032)*2)+(((C94/1000)*0.038)*4),IF(AND(ISERROR(FIND("drawer front",A94))=FALSE,LEFT(WardrobeDoorStyle,14)="In-frame panel"),((((B94-76)/1000)*((C94-38)/1000))*2)+((MID(WardrobeDoorMaterial,FIND("(",WardrobeDoorMaterial)+1,2)/1000)*((((B94-76)+(C94-38))/1000)*2))+((((B94-236)/1000)+((C94-198)/1000)*2)*0.013)+(((B94/1000)*0.032)*2)+((((B94-76)/1000)*0.032)*2)+(((B94/1000)*0.019)*4)+(((C94/1000)*0.032)*2)+((((C94-38)/1000)*0.032)*2)+(((C94/1000)*0.038)*4),IF(ISERROR(FIND("drawer box",A94))=FALSE,((((B94/1000)*(D94/1000))+((B94/1000)*(C94/1000)))*4)+((((D94/1000)+(C94/1000))*0.016)*4)+(((C94/1000)*(D94/1000))*2),IF(OR(ISERROR(FIND("shelf",A94))=FALSE,ISERROR(FIND("Filler panel",A94))=FALSE),(((C94/1000)*(D94/1000))*2)+((((C94+D94)*2)/1000)*0.022),IF(ISERROR(FIND("Fireplace",A94))=FALSE,((B94/1000)*(C94/1000)),IF(ISERROR(FIND("Worktop",A94))=FALSE,(B94/1000)*(C94/1000),IF(ISERROR(FIND("table",A94))=FALSE,(B94/1000)*0.6,IF(ISERROR(FIND("arcass",A94))=FALSE,(((C94/1000)*(D94/1000))*2)+(((B94/1000)*(D94/1000))*2)+((B94/1000)*(C94/1000))+((((B94/1000)*0.025)+((C94/1000)*0.025))*2),IF(AND(ISERROR(FIND("door",A94))=FALSE,WardrobeDoorStyle="Flat"),(((B94/1000)*(C94/1000))*2)+(MID(WardrobeDoorMaterial,FIND("(",WardrobeDoorMaterial)+1,2)/1000)*(((B94+C94)/1000)*2),IF(AND(ISERROR(FIND("door",A94))=FALSE,LEFT(WardrobeDoorStyle,5)="Panel"),(((B94/1000)*(C94/1000))*2)+((MID(WardrobeDoorMaterial,FIND("(",WardrobeDoorMaterial)+1,2)/1000)*(((B94+C94)/1000)*2))+(((((B94-160)+(C94-160))*2)/1000)*(0.013)),IF(AND(ISERROR(FIND("door",A94))=FALSE,WardrobeDoorStyle="In-frame flat"),((((B94-76)/1000)*((C94-38)/1000))*2)+(MID(WardrobeDoorMaterial,FIND("(",WardrobeDoorMaterial)+1,2)/1000)*((((B94-76)+(C94-38))/1000)*2)+(((B94/1000)*0.032)*2)+((((B94-76)/1000)*0.032)*2)+(((B94/1000)*0.019)*4)+(((C94/1000)*0.032)*2)+((((C94-38)/1000)*0.032)*2)+(((C94/1000)*0.038)*4),IF(AND(ISERROR(FIND("door",A94))=FALSE,LEFT(WardrobeDoorStyle,14)="In-frame panel"),((((B94-76)/1000)*((C94-38)/1000))*2)+((MID(WardrobeDoorMaterial,FIND("(",WardrobeDoorMaterial)+1,2)/1000)*((((B94-76)+(C94-38))/1000)*2))+((((B94-236)/1000)+((C94-198)/1000)*2)*0.013)+(((B94/1000)*0.032)*2)+((((B94-76)/1000)*0.032)*2)+(((B94/1000)*0.019)*4)+(((C94/1000)*0.032)*2)+((((C94-38)/1000)*0.032)*2)+(((C94/1000)*0.038)*4),IF(ISERROR(FIND("Plinth",A94))=FALSE,((B94/1000)*(C94/1000))+(((C94/1000)*0.018)*2)+(((B94/1000)*0.018)*2),IF(ISERROR(FIND("Cornice",A94))=FALSE,(((C94/1000)*0.1)*2)+(((C94/1000)*0.044)*2)+(((B94/1000)*0.08)*2),IF(ISERROR(FIND("Office pod",A94))=FALSE,((2400/1000)*(1200/1000))*6,IF(ISERROR(FIND("panel",A94))=FALSE,((B94/1000)*(C94/1000))+(0.022*((B94/1000)+((C94/1000)*2)))+((B94/1000)*0.05),IF(ISERROR(FIND("Fillers",A94))=FALSE,((C94/1000)*0.06)+((C94/1000)*0.069)+((0.06*0.018)*2)+((0.06*0.009)*2)+((C94/1000)*0.009)+((C94/1000)*0.018),IF(ISERROR(FIND("Pelmet",A94))=FALSE,((C94/1000)*0.05)+((C94/1000)*0.068)+((0.05*0.018)*4)+(((C94/1000)*0.018))*2)))))))))))))))))))))</f>
        <v/>
      </c>
      <c r="N94" s="152" t="str">
        <f>IF(M94="","",IF(AND(ISERROR(FIND("carcass",A94))=TRUE,ISERROR(FIND("unit",A94))=TRUE,ISERROR(FIND("insert",A94))=TRUE,ISERROR(FIND("rack",A94))=TRUE,ISERROR(FIND("box",A94))=TRUE,ISERROR(FIND("shelf",A94))=TRUE),VLOOKUP(WardrobeDoorFinish,Finishing!$A$2:$K$10,9,0)*M94,IF(ISERROR(FIND("table",A94))=FALSE,VLOOKUP("Sayerlack AF0072 Interior Clear Self-Sealer",FinishingData,9,FALSE)*M94,VLOOKUP(WardrobeCarcassFinish,Finishing!$A$2:$K$40,9,0)*M94)))</f>
        <v/>
      </c>
      <c r="O94" s="159"/>
      <c r="P94" s="159"/>
      <c r="Q94" s="152" t="str">
        <f>IF(OR(O94="",P94=""),"",((O94*X94)*(VLOOKUP("Workshop",Labour!$A$3:$E$20,4,0)/8))+((P94*AE94)*(VLOOKUP("Finishing",Labour!$A$3:$E$20,4,0)/8)))</f>
        <v/>
      </c>
      <c r="R94" s="152" t="str">
        <f t="shared" si="4"/>
        <v/>
      </c>
      <c r="S94" s="156" t="str">
        <f>IF(OR(O94="",P94=""),"",IF(OR(ISERROR(FIND("carcass",$A94))=FALSE,ISERROR(FIND("unit",$A94))=FALSE),VLOOKUP(WardrobeCarcassMaterial,FixedListsCarcassMaterial,2,0),0))</f>
        <v/>
      </c>
      <c r="T94" s="156" t="str">
        <f>IF(OR(O94="",P94=""),"",IF(ISERROR(FIND("door",$A94))=FALSE,VLOOKUP(WardrobeDoorStyle,FixedListsDoorStyle,2,0),0))</f>
        <v/>
      </c>
      <c r="U94" s="156" t="str">
        <f>IF(OR(O94="",P94=""),"",IF(ISERROR(FIND("door",$A94))=FALSE,VLOOKUP(WardrobeDoorMaterial,FixedListsDoorMaterial,2,0),0))</f>
        <v/>
      </c>
      <c r="V94" s="156" t="str">
        <f>IF(OR(O94="",P94=""),"",IF(ISERROR(FIND("drawer",$A94))=FALSE,VLOOKUP(WardrobeDrawerType,FixedListsDrawerType,2,0),0))</f>
        <v/>
      </c>
      <c r="W94" s="156" t="str">
        <f>IF(OR(O94="",P94=""),"",IF(S94&gt;0,VLOOKUP(WardrobeHandleType,FixedListsHandleType,2,FALSE),0))</f>
        <v/>
      </c>
      <c r="X94" s="156" t="str">
        <f t="shared" si="5"/>
        <v/>
      </c>
      <c r="Y94" s="156" t="str">
        <f>IF(OR(O94="",P94=""),"",IF(OR(ISERROR(FIND("carcass",$A94))=FALSE,ISERROR(FIND("unit",$A94))=FALSE),VLOOKUP(WardrobeCarcassMaterial,FixedListsCarcassMaterial,3,0),0))</f>
        <v/>
      </c>
      <c r="Z94" s="156" t="str">
        <f>IF(OR(O94="",P94=""),"",IF(ISERROR(FIND("door",$A94))=FALSE,VLOOKUP(WardrobeDoorStyle,FixedListsDoorStyle,3,0),0))</f>
        <v/>
      </c>
      <c r="AA94" s="156" t="str">
        <f>IF(OR(O94="",P94=""),"",IF(ISERROR(FIND("door",$A94))=FALSE,VLOOKUP(WardrobeDoorMaterial,FixedListsDoorMaterial,3,0),0))</f>
        <v/>
      </c>
      <c r="AB94" s="156" t="str">
        <f>IF(OR(O94="",P94=""),"",IF(ISERROR(FIND("drawer",$A94))=FALSE,VLOOKUP(WardrobeDrawerType,FixedListsDrawerType,3,0),0))</f>
        <v/>
      </c>
      <c r="AC94" s="156" t="str">
        <f>IF(OR(O94="",P94=""),"",IF(S94&gt;0,VLOOKUP(WardrobeHandleType,FixedListsHandleType,3,FALSE),0))</f>
        <v/>
      </c>
      <c r="AD94" s="156" t="str">
        <f>IF(OR(O94="",P94=""),"",IF(OR(ISERROR(FIND("carcass",$A94))=FALSE,ISERROR(FIND("unit",$A94))=FALSE),VLOOKUP(WardrobeCarcassFinish,FixedListsFinishes,3,0),IF(OR(ISERROR(FIND("door",$A94))=FALSE,ISERROR(FIND("Plinth",$A94))=FALSE,ISERROR(FIND("Cornice",$A94))=FALSE,ISERROR(FIND("Fillers",$A94))=FALSE,ISERROR(FIND("Pelmet",$A94))=FALSE,ISERROR(FIND("panel",$A94))=FALSE,ISERROR(FIND("post",$A94))=FALSE),VLOOKUP(WardrobeDoorFinish,FixedListsFinishes,3,0),IF(OR(ISERROR(FIND("drawer",$A94))=FALSE,ISERROR(FIND("insert",$A94))=FALSE,ISERROR(FIND("rck",$A94))=FALSE),VLOOKUP(WardrobeCarcassFinish,FixedListsFinishes,3,0),0))))</f>
        <v/>
      </c>
      <c r="AE94" s="156" t="str">
        <f t="shared" si="6"/>
        <v/>
      </c>
      <c r="AF94" s="157" t="str">
        <f>IF(AND(WardrobeHandleType="Channel",OR(ISERROR(FIND("arcass",$A94))=FALSE,ISERROR(FIND("unit",$A94))=FALSE)),IF(ISERROR(FIND("Tower",$A94))=TRUE,IF(WardrobeHandleFinish="Match carcass",IF(ISERROR(FIND("Walnut",WardrobeCarcassMaterial))=FALSE,(0.035*0.075*($C94/1000))*VLOOKUP("Walnut (solid m3)",SolidData,4,FALSE),IF(ISERROR(FIND("Oak",WardrobeCarcassMaterial))=FALSE,(0.035*0.075*($C94/1000))*VLOOKUP("Oak (solid m3)",SolidData,4,FALSE),IF(ISERROR(FIND("ply",WardrobeCarcassMaterial))=FALSE,(0.1*($C94/1000))*VLOOKUP("Birch ply (24mm)",SheetsData,7,FALSE),IF(ISERROR(FIND("H/F",WardrobeCarcassMaterial))=FALSE,(0.1*($C94/1000))*VLOOKUP("H/F (22mm)",SheetsData,7,FALSE),"Carcass - not tower - new material")))),IF(WardrobeHandleFinish="Match door",IF(ISERROR(FIND("Walnut",WardrobeDoorMaterial))=FALSE,(0.035*0.075*($C94/1000))*VLOOKUP("Walnut (solid m3)",SolidData,4,FALSE),IF(ISERROR(FIND("Oak",WardrobeDoorMaterial))=FALSE,(0.035*0.075*($C94/1000))*VLOOKUP("Oak (solid m3)",SolidData,4,FALSE),IF(ISERROR(FIND("ply",WardrobeDoorMaterial))=FALSE,(0.1*($C94/1000))*VLOOKUP("Birch ply (24mm)",SheetsData,7,FALSE),IF(ISERROR(FIND("H/F",WardrobeCarcassMaterial))=FALSE,(0.1*($C94/1000))*VLOOKUP("H/F (22mm)",SheetsData,7,FALSE),"Door - not tower - new material")))),"Channel - not tower - handle set to other")),IF(ISERROR(FIND("Tower",$A94))=FALSE,IF(WardrobeHandleFinish="Match carcass",IF(ISERROR(FIND("Walnut",WardrobeCarcassMaterial))=FALSE,(0.035*0.075*($B94/1000))*VLOOKUP("Walnut (solid m3)",SolidData,4,FALSE),IF(ISERROR(FIND("Oak",WardrobeCarcassMaterial))=FALSE,(0.035*0.075*($B94/1000))*VLOOKUP("Oak (solid m3)",SolidData,4,FALSE),IF(ISERROR(FIND("ply",WardrobeCarcassMaterial))=FALSE,(0.1*($B94/1000))*VLOOKUP("Birch ply (24mm)",SheetsData,7,FALSE),IF(ISERROR(FIND("H/F",WardrobeCarcassMaterial))=FALSE,(0.1*($C94/1000))*VLOOKUP("H/F (22mm)",SheetsData,7,FALSE),"Carcass - tower - new material")))),IF(WardrobeHandleFinish="Match door",IF(ISERROR(FIND("Walnut",WardrobeDoorMaterial))=FALSE,(0.035*0.075*($B94/1000))*VLOOKUP("Walnut (solid m3)",SolidData,4,FALSE),IF(ISERROR(FIND("Oak",WardrobeDoorMaterial))=FALSE,(0.035*0.075*($B94/1000))*VLOOKUP("Oak (solid m3)",SolidData,4,FALSE),IF(ISERROR(FIND("ply",WardrobeDoorMaterial))=FALSE,(0.1*($B94/1000))*VLOOKUP("Birch ply (24mm)",SheetData,7,FALSE),IF(ISERROR(FIND("H/F",WardrobeCarcassMaterial))=FALSE,(0.1*($C94/1000))*VLOOKUP("H/F (22mm)",SheetsData,7,FALSE),"Door - tower - new material")))),"Channel - tower - handle set to other")))),"")</f>
        <v/>
      </c>
    </row>
    <row r="95">
      <c r="A95" s="150"/>
      <c r="B95" s="160" t="str">
        <f t="shared" si="1"/>
        <v/>
      </c>
      <c r="C95" s="160" t="str">
        <f>IFERROR(__xludf.DUMMYFUNCTION("IF(A95="""","""",IF(ISERROR(FIND(""arcass"",A95))=FALSE,MID(A95,FIND(""*"",A95)+1,FIND(""*"",A95,FIND(""*"",A95)+1)-FIND(""*"",A95)-1),IF(ISERROR(FIND(""End panel"",A95))=FALSE,RIGHT(A95,3),IF(OR(ISERROR(FIND(""drawer"",A95))=FALSE,ISERROR(FIND(""door"",A"&amp;"95))=FALSE,ISERROR(FIND(""shelf"",A95))=FALSE,ISERROR(FIND(""panel"",A95))=FALSE,ISERROR(FIND(""Plinth"",A95))=FALSE,ISERROR(FIND(""Cornice"",A95))=FALSE,ISERROR(FIND(""Fillers"",A95))=FALSE,ISERROR(FIND(""Pelmet"",A95))=FALSE,ISERROR(FIND(""Fireplace up "&amp;"to 1600"",A95))=FALSE),RIGHT(A95,LEN(A95)-LEN(regexextract(A95,"".* ""))),IF(ISERROR(FIND(""table"",A95))=FALSE,""560"",IF(ISERROR(FIND(""Office pod"",A95))=FALSE,""1600"",IF(ISERROR(FIND(""Fireplace over 1600"",A95))=FALSE,""2400"",IF(ISERROR(FIND(""Work"&amp;"top"",A95))=FALSE,""650"",""Whoops""))))))))"),"")</f>
        <v/>
      </c>
      <c r="D95" s="161" t="str">
        <f t="shared" si="2"/>
        <v/>
      </c>
      <c r="E95" s="152" t="str">
        <f>IF(OR(A95="",AND(ISERROR(FIND("drawer",A95))=FALSE,WardrobeDrawerType="")),"",IF(ISERROR(FIND("door",A95))=FALSE,IF(WardrobeDoorStyle="Flat",((B95/1000)*(C95/1000))*VLOOKUP(WardrobeDoorMaterial,SheetsData,8,0),IF(LEFT(WardrobeDoorStyle,5)="Panel",(((((B95/1000)*2)*0.08)+((((C95/1000)-0.16)*2)*0.08))*VLOOKUP("H/F (22mm)",SheetsData,8,0))+(((B95/1000)-0.14)*((C95/1000)-0.14)*VLOOKUP("H/F (9mm)",SheetsData,8,0)),IF(WardrobeDoorStyle="In-frame flat",((((((B95/1000)*0.019)*0.038)+((((C95-38)/1000)*0.038)*0.038))*2)*VLOOKUP("Tulip (solid m3)",SolidData,4,0))+(((B95-76)/1000)*((C95-38)/1000))*VLOOKUP("H/F (22mm)",SheetsData,8,0),IF(LEFT(WardrobeDoorStyle,14)="In-frame panel",(((((((B95/1000)*0.019)*0.038)+((((C95-38)/1000)*0.038)*0.038))*2)*VLOOKUP("Tulip (solid m3)",SolidData,4,0))+(((((((B95-76)/1000)*2)*0.08)+(((((C95-198)/1000)*2)*0.08)))*VLOOKUP("H/F (22mm)",SheetsData,8,0))+(((B95-216)/1000)*((C95-178)/1000)*VLOOKUP("H/F (9mm)",SheetsData,8,0)))))))),IF(AND(ISERROR(FIND("arcass",A95))=FALSE,ISERROR(FIND("ost corner",A95))=TRUE),IF(AND(VALUE(B95)&lt;1211,VALUE(C95)&lt;1211,VALUE(D95)&lt;606),1*VLOOKUP(WardrobeCarcassMaterial,SheetsData,5,FALSE),IF(AND(VALUE(B95)&lt;2421,VALUE(C95)&lt;2421,VALUE(D95)&lt;606),2*VLOOKUP(WardrobeCarcassMaterial,SheetsData,5,FALSE),IF(AND(VALUE(B95)&lt;2421,VALUE(C95)&lt;1211,VALUE(D95)&lt;1211),3*VLOOKUP(WardrobeCarcassMaterial,SheetsData,5,FALSE),IF(AND(VALUE(B95)&lt;2421,VALUE(C95)&lt;2421,VALUE(D95)&lt;1211),4*VLOOKUP(WardrobeCarcassMaterial,SheetsData,5,FALSE))))),IF(AND(ISERROR(FIND("arcass",A95))=FALSE,ISERROR(FIND("ost corner",A95))=FALSE),IF(AND(VALUE(B95)&lt;1211,VALUE(C95)&lt;1211,VALUE(D95)&lt;606),(1*VLOOKUP(WardrobeCarcassMaterial,SheetsData,5,FALSE))+(VLOOKUP("H/F (22mm)",SheetsData,7,FALSE)*1.44),IF(AND(VALUE(B95)&lt;2421,VALUE(C95)&lt;2421,VALUE(D95)&lt;606),(2*VLOOKUP(WardrobeCarcassMaterial,SheetsData,5,FALSE))+(VLOOKUP("H/F (22mm)",SheetsData,7,FALSE)*1.44),IF(AND(VALUE(B95)&lt;2421,VALUE(C95)&lt;1211,VALUE(D95)&lt;1211),(3*VLOOKUP(WardrobeCarcassMaterial,SheetsData,5,FALSE))+(VLOOKUP("H/F (22mm)",SheetsData,7,FALSE)*1.44),IF(AND(VALUE(B95)&lt;2421,VALUE(C95)&lt;2421,VALUE(D95)&lt;1211),(4*VLOOKUP(WardrobeCarcassMaterial,SheetsData,5,FALSE))+(VLOOKUP("H/F (22mm)",SheetsData,7,FALSE)*1.44))))),IF(ISERROR(FIND("drawer front",A95))=FALSE,((B95/1000)*(C95/1000))*VLOOKUP(WardrobeDoorMaterial,SheetsData,8,0),IF(AND(WardrobeDrawerType="Match carcass",ISERROR(FIND("drawer box",A95))=FALSE),(((((B95/1000)*(C95/1000))+((B95/1000)*(D95/1000)))*2)*VLOOKUP(WardrobeCarcassMaterial,SheetsData,8,0))+(((C95/1000)*(D95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box",A95))=FALSE),(((((B95/1000)*(C95/1000))+((B95/1000)*(D95/1000)))*2)*(16/1000)*VLOOKUP(LEFT(WardrobeCarcassMaterial,FIND(" ",WardrobeCarcassMaterial))&amp;"(solid m3)",SolidData,4,0))+(((C95/1000)*(D95/1000))*VLOOKUP(LEFT(WardrobeCarcassMaterial,FIND("(",WardrobeCarcassMaterial)-1)&amp;IF(OR(ISERROR(FIND("ply",WardrobeCarcassMaterial))=FALSE,ISERROR(FIND("H/F",WardrobeCarcassMaterial))=FALSE),"(9mm)","(10mm)"),SheetsData,8,0)),IF(ISERROR(FIND("shelf",A95))=FALSE,((C95/1000)*(D95/1000))*VLOOKUP(WardrobeCarcassMaterial,SheetsData,7,FALSE),IF(ISERROR(FIND("Office pod",A95))=FALSE,3*VLOOKUP(WardrobeCarcassMaterial,SheetsData,5,0),IF(ISERROR(FIND(" panel",A95))=FALSE,((B95/1000)*(C95/1000))*VLOOKUP(WardrobeDoorMaterial,SheetsData,8,0),IF(ISERROR(FIND("Fillers",A95))=FALSE,(((0.06*(C95/1000))*2)*VLOOKUP("H/F (18mm)",SheetsData,8,0))+(((0.06*(C95/1000))*2)*VLOOKUP("H/F (9mm)",SheetsData,8,0)),IF(ISERROR(FIND("Cornice (stacked)",A95))=FALSE,((0.08*(C95/1000))*2)*VLOOKUP("H/F (22mm)",SheetsData,8,0),IF(OR(ISERROR(FIND("Plinth",A95))=FALSE,ISERROR(FIND("Cornice (flat)",A95))=FALSE),((B95/1000)*(C95/1000))*VLOOKUP("H/F (18mm)",SheetsData,8,0),IF(ISERROR(FIND("Pelmet",A95))=FALSE,((((B95/1000)*(C95/1000))*2)*VLOOKUP("H/F (18mm)",SheetsData,8,0)),IF(ISERROR(FIND("Fireplace",A95))=FALSE,IF(ISERROR(FIND("over 1600",A95))=FALSE,2*VLOOKUP(WardrobeCarcassMaterial,SheetsData,5,FALSE),VLOOKUP(WardrobeCarcassMaterial,SheetsData,5,FALSE)),IF(ISERROR(FIND("table",A95))=FALSE,((B95/1000)*0.6)*VLOOKUP("Birch ply (24mm)",SheetsData,7,FALSE),IF(ISERROR(FIND("Worktop",A95))=FALSE,((B95/1000)*(C95/1000))*VLOOKUP(WardrobeDoorMaterial,SheetsData,7,FALSE),"Check formula")))))))))))))))))</f>
        <v/>
      </c>
      <c r="F95" s="152" t="str">
        <f>IFERROR(__xludf.DUMMYFUNCTION("IF(OR(A95="""",AND(ISERROR(FIND(""drawer box"",A95))=FALSE,WardrobeDrawerType=""Solid dovetail"")),"""",IF(ISERROR(FIND(""bins"",A95))=FALSE,VLOOKUP(""Base carcass 600"",Wardrobes_etcData,6,0),IF(OR(ISERROR(FIND(""larder"",A95))=FALSE,ISERROR(FIND(""unit"&amp;""",A95))=FALSE),VLOOKUP(LEFT(A95,FIND("" "",A95))&amp;""carcass ""&amp;RIGHT(A95,LEN(A95)-len(regexextract(A95,"".* ""))),Wardrobes_etcData,6,0),IF(ISERROR(FIND(""drawer front"",A95))=FALSE,IF(ISERROR(FIND(""veneer"",WardrobeCarcassMaterial))=TRUE,0,(((B95+C95)/1"&amp;"000)*2)*VLOOKUP(""Edge banding (per M)"",SheetsData,5,0)),IF(ISERROR(FIND(""drawer box"",A95))=FALSE,IF(ISERROR(FIND(""veneer"",WardrobeCarcassMaterial))=TRUE,0,(((C95+D95)/1000)*2)*VLOOKUP(""Edge banding (per M)"",SheetsData,5,0)),IF(ISERROR(FIND(""shelf"&amp;""",A95))=FALSE,IF(ISERROR(FIND(""veneer"",WardrobeCarcassMaterial))=TRUE,0,(C95/1000)*VLOOKUP(""Edge banding (per M)"",SheetsData,5,0)),IF(AND(OR(ISERROR(FIND(""arcass"",A95))=FALSE,ISERROR(FIND(""Fireplace"",A95))=FALSE),ISERROR(FIND(""shelf"",A95))=TRUE"&amp;"),IF(ISERROR(FIND(""veneer"",WardrobeCarcassMaterial))=TRUE,0,((2*(B95+C95))/1000)*VLOOKUP(""Edge banding (per M)"",SheetsData,5,0)),IF(ISERROR(FIND(""door"",A95))=TRUE,"""",IF(ISERROR(FIND(""veneer"",WardrobeDoorMaterial))=TRUE,"""",((2*(B95+C95))/1000)*"&amp;"VLOOKUP(""Edge banding (per M)"",SheetsData,5,0))))))))))"),"")</f>
        <v/>
      </c>
      <c r="G95" s="153" t="str">
        <f>IF(A95="","",IF(AND(ISERROR(FIND("arcass",A95))=TRUE,ISERROR(FIND("Fireplace",A95))=TRUE),"",IF(VALUE(C95)&lt;606,4*VLOOKUP("Plinth foot (2 Parts 80mm)",FurnitureData,5,FALSE),IF(VALUE(C95)&lt;1211,6*VLOOKUP("Plinth foot (2 Parts 80mm)",FurnitureData,5,FALSE),8*VLOOKUP("Plinth foot (2 Parts 80mm)",FurnitureData,5,FALSE)))))</f>
        <v/>
      </c>
      <c r="H95" s="115" t="str">
        <f>IF(OR(A95="",ISERROR(FIND("door",A95))=TRUE),"",VLOOKUP("Hinges &amp; plates (Hettich thick door)",FurnitureData,5,0)*5)</f>
        <v/>
      </c>
      <c r="I95" s="115" t="str">
        <f>IF(ISERROR(FIND("shelf",A95))=FALSE,(VLOOKUP("Shelf pegs",FurnitureData,5,0)/100)*4,"")</f>
        <v/>
      </c>
      <c r="J95" s="152" t="str">
        <f>IF(OR(ISERROR(FIND("fridge/freezer",A95))=FALSE,ISERROR(FIND("sink",A95))=FALSE,ISERROR(FIND("larder",A95))=FALSE),VLOOKUP("Deep shelf "&amp;C95,Wardrobes_etcData,18,0),IF(OR(ISERROR(FIND("single oven",A95))=FALSE,ISERROR(FIND("Base carcass",A95))=FALSE),2*VLOOKUP("Deep shelf "&amp;C95,Wardrobes_etcData,18,0),IF(AND(ISERROR(FIND("wall carcass",A95))=FALSE,ISERROR(FIND("Boiler",A95))=TRUE),2*VLOOKUP("Shallow shelf "&amp;C95,Wardrobes_etcData,18,0),IF(ISERROR(FIND("double oven",A95))=FALSE,3*VLOOKUP("Deep shelf "&amp;C95,Wardrobes_etcData,18,0),IF(ISERROR(FIND("Tower carcass",A95))=FALSE,6*VLOOKUP("Deep shelf "&amp;C95,Wardrobes_etcData,18,0),"")))))</f>
        <v/>
      </c>
      <c r="K95" s="152" t="str">
        <f>IF(ISERROR(FIND("sink",A95))=FALSE,VLOOKUP("Sink liner - Aluminium "&amp;RIGHT(A95,LEN(A95)-22)&amp;"mm",ExceptionalData,5,0),IF(ISERROR(FIND("bins",A95))=FALSE,VLOOKUP("Drawer runners and clip set for bin unit (500) Dynapro",FurnitureData,5,0)+(2*VLOOKUP("Bin (42L Anthracite)",FurnitureData,5,0)),IF(ISERROR(FIND("larder",A95))=FALSE,VLOOKUP("Pull out larder unit 600mm",FurnitureData,5,0),IF(AND(ISERROR(FIND("drawer box",A95))=FALSE,ISERROR(FIND("internal",A95))=TRUE),VLOOKUP("Drawer runners and clip set (550) Dynapro",FurnitureData,5,0),IF(ISERROR(FIND("internal drawer box",A95))=FALSE,VLOOKUP("Drawer runners and clip set (450) Dynapro",FurnitureData,5,0),IF(ISERROR(FIND("table",A95))=FALSE,VLOOKUP("Hairpin Leg (12mm Black "&amp;MID(A95,FIND("(",A95)+1,LEN(A95)-(FIND("(",A95))-1)&amp;"mm)",ExceptionalData,4,FALSE),""))))))</f>
        <v/>
      </c>
      <c r="L95" s="152" t="str">
        <f t="shared" si="3"/>
        <v/>
      </c>
      <c r="M95" s="154" t="str">
        <f>IF(A95="","",IF(AND(ISERROR(FIND("drawer front",A95))=FALSE,WardrobeDoorStyle="Flat"),(((B95/1000)*(C95/1000))*2)+((((B95+C95)/1000)*2)*0.022),IF(AND(ISERROR(FIND("drawer front",A95))=FALSE,LEFT(WardrobeDoorStyle,5)="Panel"),(((B95/1000)*(C95/1000))*2)+((((B95+C95)/1000)*2)*0.022)+((((C95/1000)-0.16)*0.013)*2)+((((D95/1000)-0.16)*0.013)*2),IF(AND(ISERROR(FIND("drawer front",A95))=FALSE,WardrobeDoorStyle="In-frame flat"),((((B95-76)/1000)*((C95-38)/1000))*2)+(MID(WardrobeDoorMaterial,FIND("(",WardrobeDoorMaterial)+1,2)/1000)*((((B95-76)+(C95-38))/1000)*2)+(((B95/1000)*0.032)*2)+((((B95-76)/1000)*0.032)*2)+(((B95/1000)*0.019)*4)+(((C95/1000)*0.032)*2)+((((C95-38)/1000)*0.032)*2)+(((C95/1000)*0.038)*4),IF(AND(ISERROR(FIND("drawer front",A95))=FALSE,LEFT(WardrobeDoorStyle,14)="In-frame panel"),((((B95-76)/1000)*((C95-38)/1000))*2)+((MID(WardrobeDoorMaterial,FIND("(",WardrobeDoorMaterial)+1,2)/1000)*((((B95-76)+(C95-38))/1000)*2))+((((B95-236)/1000)+((C95-198)/1000)*2)*0.013)+(((B95/1000)*0.032)*2)+((((B95-76)/1000)*0.032)*2)+(((B95/1000)*0.019)*4)+(((C95/1000)*0.032)*2)+((((C95-38)/1000)*0.032)*2)+(((C95/1000)*0.038)*4),IF(ISERROR(FIND("drawer box",A95))=FALSE,((((B95/1000)*(D95/1000))+((B95/1000)*(C95/1000)))*4)+((((D95/1000)+(C95/1000))*0.016)*4)+(((C95/1000)*(D95/1000))*2),IF(OR(ISERROR(FIND("shelf",A95))=FALSE,ISERROR(FIND("Filler panel",A95))=FALSE),(((C95/1000)*(D95/1000))*2)+((((C95+D95)*2)/1000)*0.022),IF(ISERROR(FIND("Fireplace",A95))=FALSE,((B95/1000)*(C95/1000)),IF(ISERROR(FIND("Worktop",A95))=FALSE,(B95/1000)*(C95/1000),IF(ISERROR(FIND("table",A95))=FALSE,(B95/1000)*0.6,IF(ISERROR(FIND("arcass",A95))=FALSE,(((C95/1000)*(D95/1000))*2)+(((B95/1000)*(D95/1000))*2)+((B95/1000)*(C95/1000))+((((B95/1000)*0.025)+((C95/1000)*0.025))*2),IF(AND(ISERROR(FIND("door",A95))=FALSE,WardrobeDoorStyle="Flat"),(((B95/1000)*(C95/1000))*2)+(MID(WardrobeDoorMaterial,FIND("(",WardrobeDoorMaterial)+1,2)/1000)*(((B95+C95)/1000)*2),IF(AND(ISERROR(FIND("door",A95))=FALSE,LEFT(WardrobeDoorStyle,5)="Panel"),(((B95/1000)*(C95/1000))*2)+((MID(WardrobeDoorMaterial,FIND("(",WardrobeDoorMaterial)+1,2)/1000)*(((B95+C95)/1000)*2))+(((((B95-160)+(C95-160))*2)/1000)*(0.013)),IF(AND(ISERROR(FIND("door",A95))=FALSE,WardrobeDoorStyle="In-frame flat"),((((B95-76)/1000)*((C95-38)/1000))*2)+(MID(WardrobeDoorMaterial,FIND("(",WardrobeDoorMaterial)+1,2)/1000)*((((B95-76)+(C95-38))/1000)*2)+(((B95/1000)*0.032)*2)+((((B95-76)/1000)*0.032)*2)+(((B95/1000)*0.019)*4)+(((C95/1000)*0.032)*2)+((((C95-38)/1000)*0.032)*2)+(((C95/1000)*0.038)*4),IF(AND(ISERROR(FIND("door",A95))=FALSE,LEFT(WardrobeDoorStyle,14)="In-frame panel"),((((B95-76)/1000)*((C95-38)/1000))*2)+((MID(WardrobeDoorMaterial,FIND("(",WardrobeDoorMaterial)+1,2)/1000)*((((B95-76)+(C95-38))/1000)*2))+((((B95-236)/1000)+((C95-198)/1000)*2)*0.013)+(((B95/1000)*0.032)*2)+((((B95-76)/1000)*0.032)*2)+(((B95/1000)*0.019)*4)+(((C95/1000)*0.032)*2)+((((C95-38)/1000)*0.032)*2)+(((C95/1000)*0.038)*4),IF(ISERROR(FIND("Plinth",A95))=FALSE,((B95/1000)*(C95/1000))+(((C95/1000)*0.018)*2)+(((B95/1000)*0.018)*2),IF(ISERROR(FIND("Cornice",A95))=FALSE,(((C95/1000)*0.1)*2)+(((C95/1000)*0.044)*2)+(((B95/1000)*0.08)*2),IF(ISERROR(FIND("Office pod",A95))=FALSE,((2400/1000)*(1200/1000))*6,IF(ISERROR(FIND("panel",A95))=FALSE,((B95/1000)*(C95/1000))+(0.022*((B95/1000)+((C95/1000)*2)))+((B95/1000)*0.05),IF(ISERROR(FIND("Fillers",A95))=FALSE,((C95/1000)*0.06)+((C95/1000)*0.069)+((0.06*0.018)*2)+((0.06*0.009)*2)+((C95/1000)*0.009)+((C95/1000)*0.018),IF(ISERROR(FIND("Pelmet",A95))=FALSE,((C95/1000)*0.05)+((C95/1000)*0.068)+((0.05*0.018)*4)+(((C95/1000)*0.018))*2)))))))))))))))))))))</f>
        <v/>
      </c>
      <c r="N95" s="152" t="str">
        <f>IF(M95="","",IF(AND(ISERROR(FIND("carcass",A95))=TRUE,ISERROR(FIND("unit",A95))=TRUE,ISERROR(FIND("insert",A95))=TRUE,ISERROR(FIND("rack",A95))=TRUE,ISERROR(FIND("box",A95))=TRUE,ISERROR(FIND("shelf",A95))=TRUE),VLOOKUP(WardrobeDoorFinish,Finishing!$A$2:$K$10,9,0)*M95,IF(ISERROR(FIND("table",A95))=FALSE,VLOOKUP("Sayerlack AF0072 Interior Clear Self-Sealer",FinishingData,9,FALSE)*M95,VLOOKUP(WardrobeCarcassFinish,Finishing!$A$2:$K$40,9,0)*M95)))</f>
        <v/>
      </c>
      <c r="O95" s="159"/>
      <c r="P95" s="159"/>
      <c r="Q95" s="152" t="str">
        <f>IF(OR(O95="",P95=""),"",((O95*X95)*(VLOOKUP("Workshop",Labour!$A$3:$E$20,4,0)/8))+((P95*AE95)*(VLOOKUP("Finishing",Labour!$A$3:$E$20,4,0)/8)))</f>
        <v/>
      </c>
      <c r="R95" s="152" t="str">
        <f t="shared" si="4"/>
        <v/>
      </c>
      <c r="S95" s="156" t="str">
        <f>IF(OR(O95="",P95=""),"",IF(OR(ISERROR(FIND("carcass",$A95))=FALSE,ISERROR(FIND("unit",$A95))=FALSE),VLOOKUP(WardrobeCarcassMaterial,FixedListsCarcassMaterial,2,0),0))</f>
        <v/>
      </c>
      <c r="T95" s="156" t="str">
        <f>IF(OR(O95="",P95=""),"",IF(ISERROR(FIND("door",$A95))=FALSE,VLOOKUP(WardrobeDoorStyle,FixedListsDoorStyle,2,0),0))</f>
        <v/>
      </c>
      <c r="U95" s="156" t="str">
        <f>IF(OR(O95="",P95=""),"",IF(ISERROR(FIND("door",$A95))=FALSE,VLOOKUP(WardrobeDoorMaterial,FixedListsDoorMaterial,2,0),0))</f>
        <v/>
      </c>
      <c r="V95" s="156" t="str">
        <f>IF(OR(O95="",P95=""),"",IF(ISERROR(FIND("drawer",$A95))=FALSE,VLOOKUP(WardrobeDrawerType,FixedListsDrawerType,2,0),0))</f>
        <v/>
      </c>
      <c r="W95" s="156" t="str">
        <f>IF(OR(O95="",P95=""),"",IF(S95&gt;0,VLOOKUP(WardrobeHandleType,FixedListsHandleType,2,FALSE),0))</f>
        <v/>
      </c>
      <c r="X95" s="156" t="str">
        <f t="shared" si="5"/>
        <v/>
      </c>
      <c r="Y95" s="156" t="str">
        <f>IF(OR(O95="",P95=""),"",IF(OR(ISERROR(FIND("carcass",$A95))=FALSE,ISERROR(FIND("unit",$A95))=FALSE),VLOOKUP(WardrobeCarcassMaterial,FixedListsCarcassMaterial,3,0),0))</f>
        <v/>
      </c>
      <c r="Z95" s="156" t="str">
        <f>IF(OR(O95="",P95=""),"",IF(ISERROR(FIND("door",$A95))=FALSE,VLOOKUP(WardrobeDoorStyle,FixedListsDoorStyle,3,0),0))</f>
        <v/>
      </c>
      <c r="AA95" s="156" t="str">
        <f>IF(OR(O95="",P95=""),"",IF(ISERROR(FIND("door",$A95))=FALSE,VLOOKUP(WardrobeDoorMaterial,FixedListsDoorMaterial,3,0),0))</f>
        <v/>
      </c>
      <c r="AB95" s="156" t="str">
        <f>IF(OR(O95="",P95=""),"",IF(ISERROR(FIND("drawer",$A95))=FALSE,VLOOKUP(WardrobeDrawerType,FixedListsDrawerType,3,0),0))</f>
        <v/>
      </c>
      <c r="AC95" s="156" t="str">
        <f>IF(OR(O95="",P95=""),"",IF(S95&gt;0,VLOOKUP(WardrobeHandleType,FixedListsHandleType,3,FALSE),0))</f>
        <v/>
      </c>
      <c r="AD95" s="156" t="str">
        <f>IF(OR(O95="",P95=""),"",IF(OR(ISERROR(FIND("carcass",$A95))=FALSE,ISERROR(FIND("unit",$A95))=FALSE),VLOOKUP(WardrobeCarcassFinish,FixedListsFinishes,3,0),IF(OR(ISERROR(FIND("door",$A95))=FALSE,ISERROR(FIND("Plinth",$A95))=FALSE,ISERROR(FIND("Cornice",$A95))=FALSE,ISERROR(FIND("Fillers",$A95))=FALSE,ISERROR(FIND("Pelmet",$A95))=FALSE,ISERROR(FIND("panel",$A95))=FALSE,ISERROR(FIND("post",$A95))=FALSE),VLOOKUP(WardrobeDoorFinish,FixedListsFinishes,3,0),IF(OR(ISERROR(FIND("drawer",$A95))=FALSE,ISERROR(FIND("insert",$A95))=FALSE,ISERROR(FIND("rck",$A95))=FALSE),VLOOKUP(WardrobeCarcassFinish,FixedListsFinishes,3,0),0))))</f>
        <v/>
      </c>
      <c r="AE95" s="156" t="str">
        <f t="shared" si="6"/>
        <v/>
      </c>
      <c r="AF95" s="157" t="str">
        <f>IF(AND(WardrobeHandleType="Channel",OR(ISERROR(FIND("arcass",$A95))=FALSE,ISERROR(FIND("unit",$A95))=FALSE)),IF(ISERROR(FIND("Tower",$A95))=TRUE,IF(WardrobeHandleFinish="Match carcass",IF(ISERROR(FIND("Walnut",WardrobeCarcassMaterial))=FALSE,(0.035*0.075*($C95/1000))*VLOOKUP("Walnut (solid m3)",SolidData,4,FALSE),IF(ISERROR(FIND("Oak",WardrobeCarcassMaterial))=FALSE,(0.035*0.075*($C95/1000))*VLOOKUP("Oak (solid m3)",SolidData,4,FALSE),IF(ISERROR(FIND("ply",WardrobeCarcassMaterial))=FALSE,(0.1*($C95/1000))*VLOOKUP("Birch ply (24mm)",SheetsData,7,FALSE),IF(ISERROR(FIND("H/F",WardrobeCarcassMaterial))=FALSE,(0.1*($C95/1000))*VLOOKUP("H/F (22mm)",SheetsData,7,FALSE),"Carcass - not tower - new material")))),IF(WardrobeHandleFinish="Match door",IF(ISERROR(FIND("Walnut",WardrobeDoorMaterial))=FALSE,(0.035*0.075*($C95/1000))*VLOOKUP("Walnut (solid m3)",SolidData,4,FALSE),IF(ISERROR(FIND("Oak",WardrobeDoorMaterial))=FALSE,(0.035*0.075*($C95/1000))*VLOOKUP("Oak (solid m3)",SolidData,4,FALSE),IF(ISERROR(FIND("ply",WardrobeDoorMaterial))=FALSE,(0.1*($C95/1000))*VLOOKUP("Birch ply (24mm)",SheetsData,7,FALSE),IF(ISERROR(FIND("H/F",WardrobeCarcassMaterial))=FALSE,(0.1*($C95/1000))*VLOOKUP("H/F (22mm)",SheetsData,7,FALSE),"Door - not tower - new material")))),"Channel - not tower - handle set to other")),IF(ISERROR(FIND("Tower",$A95))=FALSE,IF(WardrobeHandleFinish="Match carcass",IF(ISERROR(FIND("Walnut",WardrobeCarcassMaterial))=FALSE,(0.035*0.075*($B95/1000))*VLOOKUP("Walnut (solid m3)",SolidData,4,FALSE),IF(ISERROR(FIND("Oak",WardrobeCarcassMaterial))=FALSE,(0.035*0.075*($B95/1000))*VLOOKUP("Oak (solid m3)",SolidData,4,FALSE),IF(ISERROR(FIND("ply",WardrobeCarcassMaterial))=FALSE,(0.1*($B95/1000))*VLOOKUP("Birch ply (24mm)",SheetsData,7,FALSE),IF(ISERROR(FIND("H/F",WardrobeCarcassMaterial))=FALSE,(0.1*($C95/1000))*VLOOKUP("H/F (22mm)",SheetsData,7,FALSE),"Carcass - tower - new material")))),IF(WardrobeHandleFinish="Match door",IF(ISERROR(FIND("Walnut",WardrobeDoorMaterial))=FALSE,(0.035*0.075*($B95/1000))*VLOOKUP("Walnut (solid m3)",SolidData,4,FALSE),IF(ISERROR(FIND("Oak",WardrobeDoorMaterial))=FALSE,(0.035*0.075*($B95/1000))*VLOOKUP("Oak (solid m3)",SolidData,4,FALSE),IF(ISERROR(FIND("ply",WardrobeDoorMaterial))=FALSE,(0.1*($B95/1000))*VLOOKUP("Birch ply (24mm)",SheetData,7,FALSE),IF(ISERROR(FIND("H/F",WardrobeCarcassMaterial))=FALSE,(0.1*($C95/1000))*VLOOKUP("H/F (22mm)",SheetsData,7,FALSE),"Door - tower - new material")))),"Channel - tower - handle set to other")))),"")</f>
        <v/>
      </c>
    </row>
    <row r="96">
      <c r="A96" s="150"/>
      <c r="B96" s="160" t="str">
        <f t="shared" si="1"/>
        <v/>
      </c>
      <c r="C96" s="160" t="str">
        <f>IFERROR(__xludf.DUMMYFUNCTION("IF(A96="""","""",IF(ISERROR(FIND(""arcass"",A96))=FALSE,MID(A96,FIND(""*"",A96)+1,FIND(""*"",A96,FIND(""*"",A96)+1)-FIND(""*"",A96)-1),IF(ISERROR(FIND(""End panel"",A96))=FALSE,RIGHT(A96,3),IF(OR(ISERROR(FIND(""drawer"",A96))=FALSE,ISERROR(FIND(""door"",A"&amp;"96))=FALSE,ISERROR(FIND(""shelf"",A96))=FALSE,ISERROR(FIND(""panel"",A96))=FALSE,ISERROR(FIND(""Plinth"",A96))=FALSE,ISERROR(FIND(""Cornice"",A96))=FALSE,ISERROR(FIND(""Fillers"",A96))=FALSE,ISERROR(FIND(""Pelmet"",A96))=FALSE,ISERROR(FIND(""Fireplace up "&amp;"to 1600"",A96))=FALSE),RIGHT(A96,LEN(A96)-LEN(regexextract(A96,"".* ""))),IF(ISERROR(FIND(""table"",A96))=FALSE,""560"",IF(ISERROR(FIND(""Office pod"",A96))=FALSE,""1600"",IF(ISERROR(FIND(""Fireplace over 1600"",A96))=FALSE,""2400"",IF(ISERROR(FIND(""Work"&amp;"top"",A96))=FALSE,""650"",""Whoops""))))))))"),"")</f>
        <v/>
      </c>
      <c r="D96" s="161" t="str">
        <f t="shared" si="2"/>
        <v/>
      </c>
      <c r="E96" s="152" t="str">
        <f>IF(OR(A96="",AND(ISERROR(FIND("drawer",A96))=FALSE,WardrobeDrawerType="")),"",IF(ISERROR(FIND("door",A96))=FALSE,IF(WardrobeDoorStyle="Flat",((B96/1000)*(C96/1000))*VLOOKUP(WardrobeDoorMaterial,SheetsData,8,0),IF(LEFT(WardrobeDoorStyle,5)="Panel",(((((B96/1000)*2)*0.08)+((((C96/1000)-0.16)*2)*0.08))*VLOOKUP("H/F (22mm)",SheetsData,8,0))+(((B96/1000)-0.14)*((C96/1000)-0.14)*VLOOKUP("H/F (9mm)",SheetsData,8,0)),IF(WardrobeDoorStyle="In-frame flat",((((((B96/1000)*0.019)*0.038)+((((C96-38)/1000)*0.038)*0.038))*2)*VLOOKUP("Tulip (solid m3)",SolidData,4,0))+(((B96-76)/1000)*((C96-38)/1000))*VLOOKUP("H/F (22mm)",SheetsData,8,0),IF(LEFT(WardrobeDoorStyle,14)="In-frame panel",(((((((B96/1000)*0.019)*0.038)+((((C96-38)/1000)*0.038)*0.038))*2)*VLOOKUP("Tulip (solid m3)",SolidData,4,0))+(((((((B96-76)/1000)*2)*0.08)+(((((C96-198)/1000)*2)*0.08)))*VLOOKUP("H/F (22mm)",SheetsData,8,0))+(((B96-216)/1000)*((C96-178)/1000)*VLOOKUP("H/F (9mm)",SheetsData,8,0)))))))),IF(AND(ISERROR(FIND("arcass",A96))=FALSE,ISERROR(FIND("ost corner",A96))=TRUE),IF(AND(VALUE(B96)&lt;1211,VALUE(C96)&lt;1211,VALUE(D96)&lt;606),1*VLOOKUP(WardrobeCarcassMaterial,SheetsData,5,FALSE),IF(AND(VALUE(B96)&lt;2421,VALUE(C96)&lt;2421,VALUE(D96)&lt;606),2*VLOOKUP(WardrobeCarcassMaterial,SheetsData,5,FALSE),IF(AND(VALUE(B96)&lt;2421,VALUE(C96)&lt;1211,VALUE(D96)&lt;1211),3*VLOOKUP(WardrobeCarcassMaterial,SheetsData,5,FALSE),IF(AND(VALUE(B96)&lt;2421,VALUE(C96)&lt;2421,VALUE(D96)&lt;1211),4*VLOOKUP(WardrobeCarcassMaterial,SheetsData,5,FALSE))))),IF(AND(ISERROR(FIND("arcass",A96))=FALSE,ISERROR(FIND("ost corner",A96))=FALSE),IF(AND(VALUE(B96)&lt;1211,VALUE(C96)&lt;1211,VALUE(D96)&lt;606),(1*VLOOKUP(WardrobeCarcassMaterial,SheetsData,5,FALSE))+(VLOOKUP("H/F (22mm)",SheetsData,7,FALSE)*1.44),IF(AND(VALUE(B96)&lt;2421,VALUE(C96)&lt;2421,VALUE(D96)&lt;606),(2*VLOOKUP(WardrobeCarcassMaterial,SheetsData,5,FALSE))+(VLOOKUP("H/F (22mm)",SheetsData,7,FALSE)*1.44),IF(AND(VALUE(B96)&lt;2421,VALUE(C96)&lt;1211,VALUE(D96)&lt;1211),(3*VLOOKUP(WardrobeCarcassMaterial,SheetsData,5,FALSE))+(VLOOKUP("H/F (22mm)",SheetsData,7,FALSE)*1.44),IF(AND(VALUE(B96)&lt;2421,VALUE(C96)&lt;2421,VALUE(D96)&lt;1211),(4*VLOOKUP(WardrobeCarcassMaterial,SheetsData,5,FALSE))+(VLOOKUP("H/F (22mm)",SheetsData,7,FALSE)*1.44))))),IF(ISERROR(FIND("drawer front",A96))=FALSE,((B96/1000)*(C96/1000))*VLOOKUP(WardrobeDoorMaterial,SheetsData,8,0),IF(AND(WardrobeDrawerType="Match carcass",ISERROR(FIND("drawer box",A96))=FALSE),(((((B96/1000)*(C96/1000))+((B96/1000)*(D96/1000)))*2)*VLOOKUP(WardrobeCarcassMaterial,SheetsData,8,0))+(((C96/1000)*(D96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box",A96))=FALSE),(((((B96/1000)*(C96/1000))+((B96/1000)*(D96/1000)))*2)*(16/1000)*VLOOKUP(LEFT(WardrobeCarcassMaterial,FIND(" ",WardrobeCarcassMaterial))&amp;"(solid m3)",SolidData,4,0))+(((C96/1000)*(D96/1000))*VLOOKUP(LEFT(WardrobeCarcassMaterial,FIND("(",WardrobeCarcassMaterial)-1)&amp;IF(OR(ISERROR(FIND("ply",WardrobeCarcassMaterial))=FALSE,ISERROR(FIND("H/F",WardrobeCarcassMaterial))=FALSE),"(9mm)","(10mm)"),SheetsData,8,0)),IF(ISERROR(FIND("shelf",A96))=FALSE,((C96/1000)*(D96/1000))*VLOOKUP(WardrobeCarcassMaterial,SheetsData,7,FALSE),IF(ISERROR(FIND("Office pod",A96))=FALSE,3*VLOOKUP(WardrobeCarcassMaterial,SheetsData,5,0),IF(ISERROR(FIND(" panel",A96))=FALSE,((B96/1000)*(C96/1000))*VLOOKUP(WardrobeDoorMaterial,SheetsData,8,0),IF(ISERROR(FIND("Fillers",A96))=FALSE,(((0.06*(C96/1000))*2)*VLOOKUP("H/F (18mm)",SheetsData,8,0))+(((0.06*(C96/1000))*2)*VLOOKUP("H/F (9mm)",SheetsData,8,0)),IF(ISERROR(FIND("Cornice (stacked)",A96))=FALSE,((0.08*(C96/1000))*2)*VLOOKUP("H/F (22mm)",SheetsData,8,0),IF(OR(ISERROR(FIND("Plinth",A96))=FALSE,ISERROR(FIND("Cornice (flat)",A96))=FALSE),((B96/1000)*(C96/1000))*VLOOKUP("H/F (18mm)",SheetsData,8,0),IF(ISERROR(FIND("Pelmet",A96))=FALSE,((((B96/1000)*(C96/1000))*2)*VLOOKUP("H/F (18mm)",SheetsData,8,0)),IF(ISERROR(FIND("Fireplace",A96))=FALSE,IF(ISERROR(FIND("over 1600",A96))=FALSE,2*VLOOKUP(WardrobeCarcassMaterial,SheetsData,5,FALSE),VLOOKUP(WardrobeCarcassMaterial,SheetsData,5,FALSE)),IF(ISERROR(FIND("table",A96))=FALSE,((B96/1000)*0.6)*VLOOKUP("Birch ply (24mm)",SheetsData,7,FALSE),IF(ISERROR(FIND("Worktop",A96))=FALSE,((B96/1000)*(C96/1000))*VLOOKUP(WardrobeDoorMaterial,SheetsData,7,FALSE),"Check formula")))))))))))))))))</f>
        <v/>
      </c>
      <c r="F96" s="152" t="str">
        <f>IFERROR(__xludf.DUMMYFUNCTION("IF(OR(A96="""",AND(ISERROR(FIND(""drawer box"",A96))=FALSE,WardrobeDrawerType=""Solid dovetail"")),"""",IF(ISERROR(FIND(""bins"",A96))=FALSE,VLOOKUP(""Base carcass 600"",Wardrobes_etcData,6,0),IF(OR(ISERROR(FIND(""larder"",A96))=FALSE,ISERROR(FIND(""unit"&amp;""",A96))=FALSE),VLOOKUP(LEFT(A96,FIND("" "",A96))&amp;""carcass ""&amp;RIGHT(A96,LEN(A96)-len(regexextract(A96,"".* ""))),Wardrobes_etcData,6,0),IF(ISERROR(FIND(""drawer front"",A96))=FALSE,IF(ISERROR(FIND(""veneer"",WardrobeCarcassMaterial))=TRUE,0,(((B96+C96)/1"&amp;"000)*2)*VLOOKUP(""Edge banding (per M)"",SheetsData,5,0)),IF(ISERROR(FIND(""drawer box"",A96))=FALSE,IF(ISERROR(FIND(""veneer"",WardrobeCarcassMaterial))=TRUE,0,(((C96+D96)/1000)*2)*VLOOKUP(""Edge banding (per M)"",SheetsData,5,0)),IF(ISERROR(FIND(""shelf"&amp;""",A96))=FALSE,IF(ISERROR(FIND(""veneer"",WardrobeCarcassMaterial))=TRUE,0,(C96/1000)*VLOOKUP(""Edge banding (per M)"",SheetsData,5,0)),IF(AND(OR(ISERROR(FIND(""arcass"",A96))=FALSE,ISERROR(FIND(""Fireplace"",A96))=FALSE),ISERROR(FIND(""shelf"",A96))=TRUE"&amp;"),IF(ISERROR(FIND(""veneer"",WardrobeCarcassMaterial))=TRUE,0,((2*(B96+C96))/1000)*VLOOKUP(""Edge banding (per M)"",SheetsData,5,0)),IF(ISERROR(FIND(""door"",A96))=TRUE,"""",IF(ISERROR(FIND(""veneer"",WardrobeDoorMaterial))=TRUE,"""",((2*(B96+C96))/1000)*"&amp;"VLOOKUP(""Edge banding (per M)"",SheetsData,5,0))))))))))"),"")</f>
        <v/>
      </c>
      <c r="G96" s="153" t="str">
        <f>IF(A96="","",IF(AND(ISERROR(FIND("arcass",A96))=TRUE,ISERROR(FIND("Fireplace",A96))=TRUE),"",IF(VALUE(C96)&lt;606,4*VLOOKUP("Plinth foot (2 Parts 80mm)",FurnitureData,5,FALSE),IF(VALUE(C96)&lt;1211,6*VLOOKUP("Plinth foot (2 Parts 80mm)",FurnitureData,5,FALSE),8*VLOOKUP("Plinth foot (2 Parts 80mm)",FurnitureData,5,FALSE)))))</f>
        <v/>
      </c>
      <c r="H96" s="115" t="str">
        <f>IF(OR(A96="",ISERROR(FIND("door",A96))=TRUE),"",VLOOKUP("Hinges &amp; plates (Hettich thick door)",FurnitureData,5,0)*5)</f>
        <v/>
      </c>
      <c r="I96" s="115" t="str">
        <f>IF(ISERROR(FIND("shelf",A96))=FALSE,(VLOOKUP("Shelf pegs",FurnitureData,5,0)/100)*4,"")</f>
        <v/>
      </c>
      <c r="J96" s="152" t="str">
        <f>IF(OR(ISERROR(FIND("fridge/freezer",A96))=FALSE,ISERROR(FIND("sink",A96))=FALSE,ISERROR(FIND("larder",A96))=FALSE),VLOOKUP("Deep shelf "&amp;C96,Wardrobes_etcData,18,0),IF(OR(ISERROR(FIND("single oven",A96))=FALSE,ISERROR(FIND("Base carcass",A96))=FALSE),2*VLOOKUP("Deep shelf "&amp;C96,Wardrobes_etcData,18,0),IF(AND(ISERROR(FIND("wall carcass",A96))=FALSE,ISERROR(FIND("Boiler",A96))=TRUE),2*VLOOKUP("Shallow shelf "&amp;C96,Wardrobes_etcData,18,0),IF(ISERROR(FIND("double oven",A96))=FALSE,3*VLOOKUP("Deep shelf "&amp;C96,Wardrobes_etcData,18,0),IF(ISERROR(FIND("Tower carcass",A96))=FALSE,6*VLOOKUP("Deep shelf "&amp;C96,Wardrobes_etcData,18,0),"")))))</f>
        <v/>
      </c>
      <c r="K96" s="152" t="str">
        <f>IF(ISERROR(FIND("sink",A96))=FALSE,VLOOKUP("Sink liner - Aluminium "&amp;RIGHT(A96,LEN(A96)-22)&amp;"mm",ExceptionalData,5,0),IF(ISERROR(FIND("bins",A96))=FALSE,VLOOKUP("Drawer runners and clip set for bin unit (500) Dynapro",FurnitureData,5,0)+(2*VLOOKUP("Bin (42L Anthracite)",FurnitureData,5,0)),IF(ISERROR(FIND("larder",A96))=FALSE,VLOOKUP("Pull out larder unit 600mm",FurnitureData,5,0),IF(AND(ISERROR(FIND("drawer box",A96))=FALSE,ISERROR(FIND("internal",A96))=TRUE),VLOOKUP("Drawer runners and clip set (550) Dynapro",FurnitureData,5,0),IF(ISERROR(FIND("internal drawer box",A96))=FALSE,VLOOKUP("Drawer runners and clip set (450) Dynapro",FurnitureData,5,0),IF(ISERROR(FIND("table",A96))=FALSE,VLOOKUP("Hairpin Leg (12mm Black "&amp;MID(A96,FIND("(",A96)+1,LEN(A96)-(FIND("(",A96))-1)&amp;"mm)",ExceptionalData,4,FALSE),""))))))</f>
        <v/>
      </c>
      <c r="L96" s="152" t="str">
        <f t="shared" si="3"/>
        <v/>
      </c>
      <c r="M96" s="154" t="str">
        <f>IF(A96="","",IF(AND(ISERROR(FIND("drawer front",A96))=FALSE,WardrobeDoorStyle="Flat"),(((B96/1000)*(C96/1000))*2)+((((B96+C96)/1000)*2)*0.022),IF(AND(ISERROR(FIND("drawer front",A96))=FALSE,LEFT(WardrobeDoorStyle,5)="Panel"),(((B96/1000)*(C96/1000))*2)+((((B96+C96)/1000)*2)*0.022)+((((C96/1000)-0.16)*0.013)*2)+((((D96/1000)-0.16)*0.013)*2),IF(AND(ISERROR(FIND("drawer front",A96))=FALSE,WardrobeDoorStyle="In-frame flat"),((((B96-76)/1000)*((C96-38)/1000))*2)+(MID(WardrobeDoorMaterial,FIND("(",WardrobeDoorMaterial)+1,2)/1000)*((((B96-76)+(C96-38))/1000)*2)+(((B96/1000)*0.032)*2)+((((B96-76)/1000)*0.032)*2)+(((B96/1000)*0.019)*4)+(((C96/1000)*0.032)*2)+((((C96-38)/1000)*0.032)*2)+(((C96/1000)*0.038)*4),IF(AND(ISERROR(FIND("drawer front",A96))=FALSE,LEFT(WardrobeDoorStyle,14)="In-frame panel"),((((B96-76)/1000)*((C96-38)/1000))*2)+((MID(WardrobeDoorMaterial,FIND("(",WardrobeDoorMaterial)+1,2)/1000)*((((B96-76)+(C96-38))/1000)*2))+((((B96-236)/1000)+((C96-198)/1000)*2)*0.013)+(((B96/1000)*0.032)*2)+((((B96-76)/1000)*0.032)*2)+(((B96/1000)*0.019)*4)+(((C96/1000)*0.032)*2)+((((C96-38)/1000)*0.032)*2)+(((C96/1000)*0.038)*4),IF(ISERROR(FIND("drawer box",A96))=FALSE,((((B96/1000)*(D96/1000))+((B96/1000)*(C96/1000)))*4)+((((D96/1000)+(C96/1000))*0.016)*4)+(((C96/1000)*(D96/1000))*2),IF(OR(ISERROR(FIND("shelf",A96))=FALSE,ISERROR(FIND("Filler panel",A96))=FALSE),(((C96/1000)*(D96/1000))*2)+((((C96+D96)*2)/1000)*0.022),IF(ISERROR(FIND("Fireplace",A96))=FALSE,((B96/1000)*(C96/1000)),IF(ISERROR(FIND("Worktop",A96))=FALSE,(B96/1000)*(C96/1000),IF(ISERROR(FIND("table",A96))=FALSE,(B96/1000)*0.6,IF(ISERROR(FIND("arcass",A96))=FALSE,(((C96/1000)*(D96/1000))*2)+(((B96/1000)*(D96/1000))*2)+((B96/1000)*(C96/1000))+((((B96/1000)*0.025)+((C96/1000)*0.025))*2),IF(AND(ISERROR(FIND("door",A96))=FALSE,WardrobeDoorStyle="Flat"),(((B96/1000)*(C96/1000))*2)+(MID(WardrobeDoorMaterial,FIND("(",WardrobeDoorMaterial)+1,2)/1000)*(((B96+C96)/1000)*2),IF(AND(ISERROR(FIND("door",A96))=FALSE,LEFT(WardrobeDoorStyle,5)="Panel"),(((B96/1000)*(C96/1000))*2)+((MID(WardrobeDoorMaterial,FIND("(",WardrobeDoorMaterial)+1,2)/1000)*(((B96+C96)/1000)*2))+(((((B96-160)+(C96-160))*2)/1000)*(0.013)),IF(AND(ISERROR(FIND("door",A96))=FALSE,WardrobeDoorStyle="In-frame flat"),((((B96-76)/1000)*((C96-38)/1000))*2)+(MID(WardrobeDoorMaterial,FIND("(",WardrobeDoorMaterial)+1,2)/1000)*((((B96-76)+(C96-38))/1000)*2)+(((B96/1000)*0.032)*2)+((((B96-76)/1000)*0.032)*2)+(((B96/1000)*0.019)*4)+(((C96/1000)*0.032)*2)+((((C96-38)/1000)*0.032)*2)+(((C96/1000)*0.038)*4),IF(AND(ISERROR(FIND("door",A96))=FALSE,LEFT(WardrobeDoorStyle,14)="In-frame panel"),((((B96-76)/1000)*((C96-38)/1000))*2)+((MID(WardrobeDoorMaterial,FIND("(",WardrobeDoorMaterial)+1,2)/1000)*((((B96-76)+(C96-38))/1000)*2))+((((B96-236)/1000)+((C96-198)/1000)*2)*0.013)+(((B96/1000)*0.032)*2)+((((B96-76)/1000)*0.032)*2)+(((B96/1000)*0.019)*4)+(((C96/1000)*0.032)*2)+((((C96-38)/1000)*0.032)*2)+(((C96/1000)*0.038)*4),IF(ISERROR(FIND("Plinth",A96))=FALSE,((B96/1000)*(C96/1000))+(((C96/1000)*0.018)*2)+(((B96/1000)*0.018)*2),IF(ISERROR(FIND("Cornice",A96))=FALSE,(((C96/1000)*0.1)*2)+(((C96/1000)*0.044)*2)+(((B96/1000)*0.08)*2),IF(ISERROR(FIND("Office pod",A96))=FALSE,((2400/1000)*(1200/1000))*6,IF(ISERROR(FIND("panel",A96))=FALSE,((B96/1000)*(C96/1000))+(0.022*((B96/1000)+((C96/1000)*2)))+((B96/1000)*0.05),IF(ISERROR(FIND("Fillers",A96))=FALSE,((C96/1000)*0.06)+((C96/1000)*0.069)+((0.06*0.018)*2)+((0.06*0.009)*2)+((C96/1000)*0.009)+((C96/1000)*0.018),IF(ISERROR(FIND("Pelmet",A96))=FALSE,((C96/1000)*0.05)+((C96/1000)*0.068)+((0.05*0.018)*4)+(((C96/1000)*0.018))*2)))))))))))))))))))))</f>
        <v/>
      </c>
      <c r="N96" s="152" t="str">
        <f>IF(M96="","",IF(AND(ISERROR(FIND("carcass",A96))=TRUE,ISERROR(FIND("unit",A96))=TRUE,ISERROR(FIND("insert",A96))=TRUE,ISERROR(FIND("rack",A96))=TRUE,ISERROR(FIND("box",A96))=TRUE,ISERROR(FIND("shelf",A96))=TRUE),VLOOKUP(WardrobeDoorFinish,Finishing!$A$2:$K$10,9,0)*M96,IF(ISERROR(FIND("table",A96))=FALSE,VLOOKUP("Sayerlack AF0072 Interior Clear Self-Sealer",FinishingData,9,FALSE)*M96,VLOOKUP(WardrobeCarcassFinish,Finishing!$A$2:$K$40,9,0)*M96)))</f>
        <v/>
      </c>
      <c r="O96" s="159"/>
      <c r="P96" s="159"/>
      <c r="Q96" s="152" t="str">
        <f>IF(OR(O96="",P96=""),"",((O96*X96)*(VLOOKUP("Workshop",Labour!$A$3:$E$20,4,0)/8))+((P96*AE96)*(VLOOKUP("Finishing",Labour!$A$3:$E$20,4,0)/8)))</f>
        <v/>
      </c>
      <c r="R96" s="152" t="str">
        <f t="shared" si="4"/>
        <v/>
      </c>
      <c r="S96" s="156" t="str">
        <f>IF(OR(O96="",P96=""),"",IF(OR(ISERROR(FIND("carcass",$A96))=FALSE,ISERROR(FIND("unit",$A96))=FALSE),VLOOKUP(WardrobeCarcassMaterial,FixedListsCarcassMaterial,2,0),0))</f>
        <v/>
      </c>
      <c r="T96" s="156" t="str">
        <f>IF(OR(O96="",P96=""),"",IF(ISERROR(FIND("door",$A96))=FALSE,VLOOKUP(WardrobeDoorStyle,FixedListsDoorStyle,2,0),0))</f>
        <v/>
      </c>
      <c r="U96" s="156" t="str">
        <f>IF(OR(O96="",P96=""),"",IF(ISERROR(FIND("door",$A96))=FALSE,VLOOKUP(WardrobeDoorMaterial,FixedListsDoorMaterial,2,0),0))</f>
        <v/>
      </c>
      <c r="V96" s="156" t="str">
        <f>IF(OR(O96="",P96=""),"",IF(ISERROR(FIND("drawer",$A96))=FALSE,VLOOKUP(WardrobeDrawerType,FixedListsDrawerType,2,0),0))</f>
        <v/>
      </c>
      <c r="W96" s="156" t="str">
        <f>IF(OR(O96="",P96=""),"",IF(S96&gt;0,VLOOKUP(WardrobeHandleType,FixedListsHandleType,2,FALSE),0))</f>
        <v/>
      </c>
      <c r="X96" s="156" t="str">
        <f t="shared" si="5"/>
        <v/>
      </c>
      <c r="Y96" s="156" t="str">
        <f>IF(OR(O96="",P96=""),"",IF(OR(ISERROR(FIND("carcass",$A96))=FALSE,ISERROR(FIND("unit",$A96))=FALSE),VLOOKUP(WardrobeCarcassMaterial,FixedListsCarcassMaterial,3,0),0))</f>
        <v/>
      </c>
      <c r="Z96" s="156" t="str">
        <f>IF(OR(O96="",P96=""),"",IF(ISERROR(FIND("door",$A96))=FALSE,VLOOKUP(WardrobeDoorStyle,FixedListsDoorStyle,3,0),0))</f>
        <v/>
      </c>
      <c r="AA96" s="156" t="str">
        <f>IF(OR(O96="",P96=""),"",IF(ISERROR(FIND("door",$A96))=FALSE,VLOOKUP(WardrobeDoorMaterial,FixedListsDoorMaterial,3,0),0))</f>
        <v/>
      </c>
      <c r="AB96" s="156" t="str">
        <f>IF(OR(O96="",P96=""),"",IF(ISERROR(FIND("drawer",$A96))=FALSE,VLOOKUP(WardrobeDrawerType,FixedListsDrawerType,3,0),0))</f>
        <v/>
      </c>
      <c r="AC96" s="156" t="str">
        <f>IF(OR(O96="",P96=""),"",IF(S96&gt;0,VLOOKUP(WardrobeHandleType,FixedListsHandleType,3,FALSE),0))</f>
        <v/>
      </c>
      <c r="AD96" s="156" t="str">
        <f>IF(OR(O96="",P96=""),"",IF(OR(ISERROR(FIND("carcass",$A96))=FALSE,ISERROR(FIND("unit",$A96))=FALSE),VLOOKUP(WardrobeCarcassFinish,FixedListsFinishes,3,0),IF(OR(ISERROR(FIND("door",$A96))=FALSE,ISERROR(FIND("Plinth",$A96))=FALSE,ISERROR(FIND("Cornice",$A96))=FALSE,ISERROR(FIND("Fillers",$A96))=FALSE,ISERROR(FIND("Pelmet",$A96))=FALSE,ISERROR(FIND("panel",$A96))=FALSE,ISERROR(FIND("post",$A96))=FALSE),VLOOKUP(WardrobeDoorFinish,FixedListsFinishes,3,0),IF(OR(ISERROR(FIND("drawer",$A96))=FALSE,ISERROR(FIND("insert",$A96))=FALSE,ISERROR(FIND("rck",$A96))=FALSE),VLOOKUP(WardrobeCarcassFinish,FixedListsFinishes,3,0),0))))</f>
        <v/>
      </c>
      <c r="AE96" s="156" t="str">
        <f t="shared" si="6"/>
        <v/>
      </c>
      <c r="AF96" s="157" t="str">
        <f>IF(AND(WardrobeHandleType="Channel",OR(ISERROR(FIND("arcass",$A96))=FALSE,ISERROR(FIND("unit",$A96))=FALSE)),IF(ISERROR(FIND("Tower",$A96))=TRUE,IF(WardrobeHandleFinish="Match carcass",IF(ISERROR(FIND("Walnut",WardrobeCarcassMaterial))=FALSE,(0.035*0.075*($C96/1000))*VLOOKUP("Walnut (solid m3)",SolidData,4,FALSE),IF(ISERROR(FIND("Oak",WardrobeCarcassMaterial))=FALSE,(0.035*0.075*($C96/1000))*VLOOKUP("Oak (solid m3)",SolidData,4,FALSE),IF(ISERROR(FIND("ply",WardrobeCarcassMaterial))=FALSE,(0.1*($C96/1000))*VLOOKUP("Birch ply (24mm)",SheetsData,7,FALSE),IF(ISERROR(FIND("H/F",WardrobeCarcassMaterial))=FALSE,(0.1*($C96/1000))*VLOOKUP("H/F (22mm)",SheetsData,7,FALSE),"Carcass - not tower - new material")))),IF(WardrobeHandleFinish="Match door",IF(ISERROR(FIND("Walnut",WardrobeDoorMaterial))=FALSE,(0.035*0.075*($C96/1000))*VLOOKUP("Walnut (solid m3)",SolidData,4,FALSE),IF(ISERROR(FIND("Oak",WardrobeDoorMaterial))=FALSE,(0.035*0.075*($C96/1000))*VLOOKUP("Oak (solid m3)",SolidData,4,FALSE),IF(ISERROR(FIND("ply",WardrobeDoorMaterial))=FALSE,(0.1*($C96/1000))*VLOOKUP("Birch ply (24mm)",SheetsData,7,FALSE),IF(ISERROR(FIND("H/F",WardrobeCarcassMaterial))=FALSE,(0.1*($C96/1000))*VLOOKUP("H/F (22mm)",SheetsData,7,FALSE),"Door - not tower - new material")))),"Channel - not tower - handle set to other")),IF(ISERROR(FIND("Tower",$A96))=FALSE,IF(WardrobeHandleFinish="Match carcass",IF(ISERROR(FIND("Walnut",WardrobeCarcassMaterial))=FALSE,(0.035*0.075*($B96/1000))*VLOOKUP("Walnut (solid m3)",SolidData,4,FALSE),IF(ISERROR(FIND("Oak",WardrobeCarcassMaterial))=FALSE,(0.035*0.075*($B96/1000))*VLOOKUP("Oak (solid m3)",SolidData,4,FALSE),IF(ISERROR(FIND("ply",WardrobeCarcassMaterial))=FALSE,(0.1*($B96/1000))*VLOOKUP("Birch ply (24mm)",SheetsData,7,FALSE),IF(ISERROR(FIND("H/F",WardrobeCarcassMaterial))=FALSE,(0.1*($C96/1000))*VLOOKUP("H/F (22mm)",SheetsData,7,FALSE),"Carcass - tower - new material")))),IF(WardrobeHandleFinish="Match door",IF(ISERROR(FIND("Walnut",WardrobeDoorMaterial))=FALSE,(0.035*0.075*($B96/1000))*VLOOKUP("Walnut (solid m3)",SolidData,4,FALSE),IF(ISERROR(FIND("Oak",WardrobeDoorMaterial))=FALSE,(0.035*0.075*($B96/1000))*VLOOKUP("Oak (solid m3)",SolidData,4,FALSE),IF(ISERROR(FIND("ply",WardrobeDoorMaterial))=FALSE,(0.1*($B96/1000))*VLOOKUP("Birch ply (24mm)",SheetData,7,FALSE),IF(ISERROR(FIND("H/F",WardrobeCarcassMaterial))=FALSE,(0.1*($C96/1000))*VLOOKUP("H/F (22mm)",SheetsData,7,FALSE),"Door - tower - new material")))),"Channel - tower - handle set to other")))),"")</f>
        <v/>
      </c>
    </row>
    <row r="97">
      <c r="A97" s="150"/>
      <c r="B97" s="160" t="str">
        <f t="shared" si="1"/>
        <v/>
      </c>
      <c r="C97" s="160" t="str">
        <f>IFERROR(__xludf.DUMMYFUNCTION("IF(A97="""","""",IF(ISERROR(FIND(""arcass"",A97))=FALSE,MID(A97,FIND(""*"",A97)+1,FIND(""*"",A97,FIND(""*"",A97)+1)-FIND(""*"",A97)-1),IF(ISERROR(FIND(""End panel"",A97))=FALSE,RIGHT(A97,3),IF(OR(ISERROR(FIND(""drawer"",A97))=FALSE,ISERROR(FIND(""door"",A"&amp;"97))=FALSE,ISERROR(FIND(""shelf"",A97))=FALSE,ISERROR(FIND(""panel"",A97))=FALSE,ISERROR(FIND(""Plinth"",A97))=FALSE,ISERROR(FIND(""Cornice"",A97))=FALSE,ISERROR(FIND(""Fillers"",A97))=FALSE,ISERROR(FIND(""Pelmet"",A97))=FALSE,ISERROR(FIND(""Fireplace up "&amp;"to 1600"",A97))=FALSE),RIGHT(A97,LEN(A97)-LEN(regexextract(A97,"".* ""))),IF(ISERROR(FIND(""table"",A97))=FALSE,""560"",IF(ISERROR(FIND(""Office pod"",A97))=FALSE,""1600"",IF(ISERROR(FIND(""Fireplace over 1600"",A97))=FALSE,""2400"",IF(ISERROR(FIND(""Work"&amp;"top"",A97))=FALSE,""650"",""Whoops""))))))))"),"")</f>
        <v/>
      </c>
      <c r="D97" s="161" t="str">
        <f t="shared" si="2"/>
        <v/>
      </c>
      <c r="E97" s="152" t="str">
        <f>IF(OR(A97="",AND(ISERROR(FIND("drawer",A97))=FALSE,WardrobeDrawerType="")),"",IF(ISERROR(FIND("door",A97))=FALSE,IF(WardrobeDoorStyle="Flat",((B97/1000)*(C97/1000))*VLOOKUP(WardrobeDoorMaterial,SheetsData,8,0),IF(LEFT(WardrobeDoorStyle,5)="Panel",(((((B97/1000)*2)*0.08)+((((C97/1000)-0.16)*2)*0.08))*VLOOKUP("H/F (22mm)",SheetsData,8,0))+(((B97/1000)-0.14)*((C97/1000)-0.14)*VLOOKUP("H/F (9mm)",SheetsData,8,0)),IF(WardrobeDoorStyle="In-frame flat",((((((B97/1000)*0.019)*0.038)+((((C97-38)/1000)*0.038)*0.038))*2)*VLOOKUP("Tulip (solid m3)",SolidData,4,0))+(((B97-76)/1000)*((C97-38)/1000))*VLOOKUP("H/F (22mm)",SheetsData,8,0),IF(LEFT(WardrobeDoorStyle,14)="In-frame panel",(((((((B97/1000)*0.019)*0.038)+((((C97-38)/1000)*0.038)*0.038))*2)*VLOOKUP("Tulip (solid m3)",SolidData,4,0))+(((((((B97-76)/1000)*2)*0.08)+(((((C97-198)/1000)*2)*0.08)))*VLOOKUP("H/F (22mm)",SheetsData,8,0))+(((B97-216)/1000)*((C97-178)/1000)*VLOOKUP("H/F (9mm)",SheetsData,8,0)))))))),IF(AND(ISERROR(FIND("arcass",A97))=FALSE,ISERROR(FIND("ost corner",A97))=TRUE),IF(AND(VALUE(B97)&lt;1211,VALUE(C97)&lt;1211,VALUE(D97)&lt;606),1*VLOOKUP(WardrobeCarcassMaterial,SheetsData,5,FALSE),IF(AND(VALUE(B97)&lt;2421,VALUE(C97)&lt;2421,VALUE(D97)&lt;606),2*VLOOKUP(WardrobeCarcassMaterial,SheetsData,5,FALSE),IF(AND(VALUE(B97)&lt;2421,VALUE(C97)&lt;1211,VALUE(D97)&lt;1211),3*VLOOKUP(WardrobeCarcassMaterial,SheetsData,5,FALSE),IF(AND(VALUE(B97)&lt;2421,VALUE(C97)&lt;2421,VALUE(D97)&lt;1211),4*VLOOKUP(WardrobeCarcassMaterial,SheetsData,5,FALSE))))),IF(AND(ISERROR(FIND("arcass",A97))=FALSE,ISERROR(FIND("ost corner",A97))=FALSE),IF(AND(VALUE(B97)&lt;1211,VALUE(C97)&lt;1211,VALUE(D97)&lt;606),(1*VLOOKUP(WardrobeCarcassMaterial,SheetsData,5,FALSE))+(VLOOKUP("H/F (22mm)",SheetsData,7,FALSE)*1.44),IF(AND(VALUE(B97)&lt;2421,VALUE(C97)&lt;2421,VALUE(D97)&lt;606),(2*VLOOKUP(WardrobeCarcassMaterial,SheetsData,5,FALSE))+(VLOOKUP("H/F (22mm)",SheetsData,7,FALSE)*1.44),IF(AND(VALUE(B97)&lt;2421,VALUE(C97)&lt;1211,VALUE(D97)&lt;1211),(3*VLOOKUP(WardrobeCarcassMaterial,SheetsData,5,FALSE))+(VLOOKUP("H/F (22mm)",SheetsData,7,FALSE)*1.44),IF(AND(VALUE(B97)&lt;2421,VALUE(C97)&lt;2421,VALUE(D97)&lt;1211),(4*VLOOKUP(WardrobeCarcassMaterial,SheetsData,5,FALSE))+(VLOOKUP("H/F (22mm)",SheetsData,7,FALSE)*1.44))))),IF(ISERROR(FIND("drawer front",A97))=FALSE,((B97/1000)*(C97/1000))*VLOOKUP(WardrobeDoorMaterial,SheetsData,8,0),IF(AND(WardrobeDrawerType="Match carcass",ISERROR(FIND("drawer box",A97))=FALSE),(((((B97/1000)*(C97/1000))+((B97/1000)*(D97/1000)))*2)*VLOOKUP(WardrobeCarcassMaterial,SheetsData,8,0))+(((C97/1000)*(D97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box",A97))=FALSE),(((((B97/1000)*(C97/1000))+((B97/1000)*(D97/1000)))*2)*(16/1000)*VLOOKUP(LEFT(WardrobeCarcassMaterial,FIND(" ",WardrobeCarcassMaterial))&amp;"(solid m3)",SolidData,4,0))+(((C97/1000)*(D97/1000))*VLOOKUP(LEFT(WardrobeCarcassMaterial,FIND("(",WardrobeCarcassMaterial)-1)&amp;IF(OR(ISERROR(FIND("ply",WardrobeCarcassMaterial))=FALSE,ISERROR(FIND("H/F",WardrobeCarcassMaterial))=FALSE),"(9mm)","(10mm)"),SheetsData,8,0)),IF(ISERROR(FIND("shelf",A97))=FALSE,((C97/1000)*(D97/1000))*VLOOKUP(WardrobeCarcassMaterial,SheetsData,7,FALSE),IF(ISERROR(FIND("Office pod",A97))=FALSE,3*VLOOKUP(WardrobeCarcassMaterial,SheetsData,5,0),IF(ISERROR(FIND(" panel",A97))=FALSE,((B97/1000)*(C97/1000))*VLOOKUP(WardrobeDoorMaterial,SheetsData,8,0),IF(ISERROR(FIND("Fillers",A97))=FALSE,(((0.06*(C97/1000))*2)*VLOOKUP("H/F (18mm)",SheetsData,8,0))+(((0.06*(C97/1000))*2)*VLOOKUP("H/F (9mm)",SheetsData,8,0)),IF(ISERROR(FIND("Cornice (stacked)",A97))=FALSE,((0.08*(C97/1000))*2)*VLOOKUP("H/F (22mm)",SheetsData,8,0),IF(OR(ISERROR(FIND("Plinth",A97))=FALSE,ISERROR(FIND("Cornice (flat)",A97))=FALSE),((B97/1000)*(C97/1000))*VLOOKUP("H/F (18mm)",SheetsData,8,0),IF(ISERROR(FIND("Pelmet",A97))=FALSE,((((B97/1000)*(C97/1000))*2)*VLOOKUP("H/F (18mm)",SheetsData,8,0)),IF(ISERROR(FIND("Fireplace",A97))=FALSE,IF(ISERROR(FIND("over 1600",A97))=FALSE,2*VLOOKUP(WardrobeCarcassMaterial,SheetsData,5,FALSE),VLOOKUP(WardrobeCarcassMaterial,SheetsData,5,FALSE)),IF(ISERROR(FIND("table",A97))=FALSE,((B97/1000)*0.6)*VLOOKUP("Birch ply (24mm)",SheetsData,7,FALSE),IF(ISERROR(FIND("Worktop",A97))=FALSE,((B97/1000)*(C97/1000))*VLOOKUP(WardrobeDoorMaterial,SheetsData,7,FALSE),"Check formula")))))))))))))))))</f>
        <v/>
      </c>
      <c r="F97" s="152" t="str">
        <f>IFERROR(__xludf.DUMMYFUNCTION("IF(OR(A97="""",AND(ISERROR(FIND(""drawer box"",A97))=FALSE,WardrobeDrawerType=""Solid dovetail"")),"""",IF(ISERROR(FIND(""bins"",A97))=FALSE,VLOOKUP(""Base carcass 600"",Wardrobes_etcData,6,0),IF(OR(ISERROR(FIND(""larder"",A97))=FALSE,ISERROR(FIND(""unit"&amp;""",A97))=FALSE),VLOOKUP(LEFT(A97,FIND("" "",A97))&amp;""carcass ""&amp;RIGHT(A97,LEN(A97)-len(regexextract(A97,"".* ""))),Wardrobes_etcData,6,0),IF(ISERROR(FIND(""drawer front"",A97))=FALSE,IF(ISERROR(FIND(""veneer"",WardrobeCarcassMaterial))=TRUE,0,(((B97+C97)/1"&amp;"000)*2)*VLOOKUP(""Edge banding (per M)"",SheetsData,5,0)),IF(ISERROR(FIND(""drawer box"",A97))=FALSE,IF(ISERROR(FIND(""veneer"",WardrobeCarcassMaterial))=TRUE,0,(((C97+D97)/1000)*2)*VLOOKUP(""Edge banding (per M)"",SheetsData,5,0)),IF(ISERROR(FIND(""shelf"&amp;""",A97))=FALSE,IF(ISERROR(FIND(""veneer"",WardrobeCarcassMaterial))=TRUE,0,(C97/1000)*VLOOKUP(""Edge banding (per M)"",SheetsData,5,0)),IF(AND(OR(ISERROR(FIND(""arcass"",A97))=FALSE,ISERROR(FIND(""Fireplace"",A97))=FALSE),ISERROR(FIND(""shelf"",A97))=TRUE"&amp;"),IF(ISERROR(FIND(""veneer"",WardrobeCarcassMaterial))=TRUE,0,((2*(B97+C97))/1000)*VLOOKUP(""Edge banding (per M)"",SheetsData,5,0)),IF(ISERROR(FIND(""door"",A97))=TRUE,"""",IF(ISERROR(FIND(""veneer"",WardrobeDoorMaterial))=TRUE,"""",((2*(B97+C97))/1000)*"&amp;"VLOOKUP(""Edge banding (per M)"",SheetsData,5,0))))))))))"),"")</f>
        <v/>
      </c>
      <c r="G97" s="153" t="str">
        <f>IF(A97="","",IF(AND(ISERROR(FIND("arcass",A97))=TRUE,ISERROR(FIND("Fireplace",A97))=TRUE),"",IF(VALUE(C97)&lt;606,4*VLOOKUP("Plinth foot (2 Parts 80mm)",FurnitureData,5,FALSE),IF(VALUE(C97)&lt;1211,6*VLOOKUP("Plinth foot (2 Parts 80mm)",FurnitureData,5,FALSE),8*VLOOKUP("Plinth foot (2 Parts 80mm)",FurnitureData,5,FALSE)))))</f>
        <v/>
      </c>
      <c r="H97" s="115" t="str">
        <f>IF(OR(A97="",ISERROR(FIND("door",A97))=TRUE),"",VLOOKUP("Hinges &amp; plates (Hettich thick door)",FurnitureData,5,0)*5)</f>
        <v/>
      </c>
      <c r="I97" s="115" t="str">
        <f>IF(ISERROR(FIND("shelf",A97))=FALSE,(VLOOKUP("Shelf pegs",FurnitureData,5,0)/100)*4,"")</f>
        <v/>
      </c>
      <c r="J97" s="152" t="str">
        <f>IF(OR(ISERROR(FIND("fridge/freezer",A97))=FALSE,ISERROR(FIND("sink",A97))=FALSE,ISERROR(FIND("larder",A97))=FALSE),VLOOKUP("Deep shelf "&amp;C97,Wardrobes_etcData,18,0),IF(OR(ISERROR(FIND("single oven",A97))=FALSE,ISERROR(FIND("Base carcass",A97))=FALSE),2*VLOOKUP("Deep shelf "&amp;C97,Wardrobes_etcData,18,0),IF(AND(ISERROR(FIND("wall carcass",A97))=FALSE,ISERROR(FIND("Boiler",A97))=TRUE),2*VLOOKUP("Shallow shelf "&amp;C97,Wardrobes_etcData,18,0),IF(ISERROR(FIND("double oven",A97))=FALSE,3*VLOOKUP("Deep shelf "&amp;C97,Wardrobes_etcData,18,0),IF(ISERROR(FIND("Tower carcass",A97))=FALSE,6*VLOOKUP("Deep shelf "&amp;C97,Wardrobes_etcData,18,0),"")))))</f>
        <v/>
      </c>
      <c r="K97" s="152" t="str">
        <f>IF(ISERROR(FIND("sink",A97))=FALSE,VLOOKUP("Sink liner - Aluminium "&amp;RIGHT(A97,LEN(A97)-22)&amp;"mm",ExceptionalData,5,0),IF(ISERROR(FIND("bins",A97))=FALSE,VLOOKUP("Drawer runners and clip set for bin unit (500) Dynapro",FurnitureData,5,0)+(2*VLOOKUP("Bin (42L Anthracite)",FurnitureData,5,0)),IF(ISERROR(FIND("larder",A97))=FALSE,VLOOKUP("Pull out larder unit 600mm",FurnitureData,5,0),IF(AND(ISERROR(FIND("drawer box",A97))=FALSE,ISERROR(FIND("internal",A97))=TRUE),VLOOKUP("Drawer runners and clip set (550) Dynapro",FurnitureData,5,0),IF(ISERROR(FIND("internal drawer box",A97))=FALSE,VLOOKUP("Drawer runners and clip set (450) Dynapro",FurnitureData,5,0),IF(ISERROR(FIND("table",A97))=FALSE,VLOOKUP("Hairpin Leg (12mm Black "&amp;MID(A97,FIND("(",A97)+1,LEN(A97)-(FIND("(",A97))-1)&amp;"mm)",ExceptionalData,4,FALSE),""))))))</f>
        <v/>
      </c>
      <c r="L97" s="152" t="str">
        <f t="shared" si="3"/>
        <v/>
      </c>
      <c r="M97" s="154" t="str">
        <f>IF(A97="","",IF(AND(ISERROR(FIND("drawer front",A97))=FALSE,WardrobeDoorStyle="Flat"),(((B97/1000)*(C97/1000))*2)+((((B97+C97)/1000)*2)*0.022),IF(AND(ISERROR(FIND("drawer front",A97))=FALSE,LEFT(WardrobeDoorStyle,5)="Panel"),(((B97/1000)*(C97/1000))*2)+((((B97+C97)/1000)*2)*0.022)+((((C97/1000)-0.16)*0.013)*2)+((((D97/1000)-0.16)*0.013)*2),IF(AND(ISERROR(FIND("drawer front",A97))=FALSE,WardrobeDoorStyle="In-frame flat"),((((B97-76)/1000)*((C97-38)/1000))*2)+(MID(WardrobeDoorMaterial,FIND("(",WardrobeDoorMaterial)+1,2)/1000)*((((B97-76)+(C97-38))/1000)*2)+(((B97/1000)*0.032)*2)+((((B97-76)/1000)*0.032)*2)+(((B97/1000)*0.019)*4)+(((C97/1000)*0.032)*2)+((((C97-38)/1000)*0.032)*2)+(((C97/1000)*0.038)*4),IF(AND(ISERROR(FIND("drawer front",A97))=FALSE,LEFT(WardrobeDoorStyle,14)="In-frame panel"),((((B97-76)/1000)*((C97-38)/1000))*2)+((MID(WardrobeDoorMaterial,FIND("(",WardrobeDoorMaterial)+1,2)/1000)*((((B97-76)+(C97-38))/1000)*2))+((((B97-236)/1000)+((C97-198)/1000)*2)*0.013)+(((B97/1000)*0.032)*2)+((((B97-76)/1000)*0.032)*2)+(((B97/1000)*0.019)*4)+(((C97/1000)*0.032)*2)+((((C97-38)/1000)*0.032)*2)+(((C97/1000)*0.038)*4),IF(ISERROR(FIND("drawer box",A97))=FALSE,((((B97/1000)*(D97/1000))+((B97/1000)*(C97/1000)))*4)+((((D97/1000)+(C97/1000))*0.016)*4)+(((C97/1000)*(D97/1000))*2),IF(OR(ISERROR(FIND("shelf",A97))=FALSE,ISERROR(FIND("Filler panel",A97))=FALSE),(((C97/1000)*(D97/1000))*2)+((((C97+D97)*2)/1000)*0.022),IF(ISERROR(FIND("Fireplace",A97))=FALSE,((B97/1000)*(C97/1000)),IF(ISERROR(FIND("Worktop",A97))=FALSE,(B97/1000)*(C97/1000),IF(ISERROR(FIND("table",A97))=FALSE,(B97/1000)*0.6,IF(ISERROR(FIND("arcass",A97))=FALSE,(((C97/1000)*(D97/1000))*2)+(((B97/1000)*(D97/1000))*2)+((B97/1000)*(C97/1000))+((((B97/1000)*0.025)+((C97/1000)*0.025))*2),IF(AND(ISERROR(FIND("door",A97))=FALSE,WardrobeDoorStyle="Flat"),(((B97/1000)*(C97/1000))*2)+(MID(WardrobeDoorMaterial,FIND("(",WardrobeDoorMaterial)+1,2)/1000)*(((B97+C97)/1000)*2),IF(AND(ISERROR(FIND("door",A97))=FALSE,LEFT(WardrobeDoorStyle,5)="Panel"),(((B97/1000)*(C97/1000))*2)+((MID(WardrobeDoorMaterial,FIND("(",WardrobeDoorMaterial)+1,2)/1000)*(((B97+C97)/1000)*2))+(((((B97-160)+(C97-160))*2)/1000)*(0.013)),IF(AND(ISERROR(FIND("door",A97))=FALSE,WardrobeDoorStyle="In-frame flat"),((((B97-76)/1000)*((C97-38)/1000))*2)+(MID(WardrobeDoorMaterial,FIND("(",WardrobeDoorMaterial)+1,2)/1000)*((((B97-76)+(C97-38))/1000)*2)+(((B97/1000)*0.032)*2)+((((B97-76)/1000)*0.032)*2)+(((B97/1000)*0.019)*4)+(((C97/1000)*0.032)*2)+((((C97-38)/1000)*0.032)*2)+(((C97/1000)*0.038)*4),IF(AND(ISERROR(FIND("door",A97))=FALSE,LEFT(WardrobeDoorStyle,14)="In-frame panel"),((((B97-76)/1000)*((C97-38)/1000))*2)+((MID(WardrobeDoorMaterial,FIND("(",WardrobeDoorMaterial)+1,2)/1000)*((((B97-76)+(C97-38))/1000)*2))+((((B97-236)/1000)+((C97-198)/1000)*2)*0.013)+(((B97/1000)*0.032)*2)+((((B97-76)/1000)*0.032)*2)+(((B97/1000)*0.019)*4)+(((C97/1000)*0.032)*2)+((((C97-38)/1000)*0.032)*2)+(((C97/1000)*0.038)*4),IF(ISERROR(FIND("Plinth",A97))=FALSE,((B97/1000)*(C97/1000))+(((C97/1000)*0.018)*2)+(((B97/1000)*0.018)*2),IF(ISERROR(FIND("Cornice",A97))=FALSE,(((C97/1000)*0.1)*2)+(((C97/1000)*0.044)*2)+(((B97/1000)*0.08)*2),IF(ISERROR(FIND("Office pod",A97))=FALSE,((2400/1000)*(1200/1000))*6,IF(ISERROR(FIND("panel",A97))=FALSE,((B97/1000)*(C97/1000))+(0.022*((B97/1000)+((C97/1000)*2)))+((B97/1000)*0.05),IF(ISERROR(FIND("Fillers",A97))=FALSE,((C97/1000)*0.06)+((C97/1000)*0.069)+((0.06*0.018)*2)+((0.06*0.009)*2)+((C97/1000)*0.009)+((C97/1000)*0.018),IF(ISERROR(FIND("Pelmet",A97))=FALSE,((C97/1000)*0.05)+((C97/1000)*0.068)+((0.05*0.018)*4)+(((C97/1000)*0.018))*2)))))))))))))))))))))</f>
        <v/>
      </c>
      <c r="N97" s="152" t="str">
        <f>IF(M97="","",IF(AND(ISERROR(FIND("carcass",A97))=TRUE,ISERROR(FIND("unit",A97))=TRUE,ISERROR(FIND("insert",A97))=TRUE,ISERROR(FIND("rack",A97))=TRUE,ISERROR(FIND("box",A97))=TRUE,ISERROR(FIND("shelf",A97))=TRUE),VLOOKUP(WardrobeDoorFinish,Finishing!$A$2:$K$10,9,0)*M97,IF(ISERROR(FIND("table",A97))=FALSE,VLOOKUP("Sayerlack AF0072 Interior Clear Self-Sealer",FinishingData,9,FALSE)*M97,VLOOKUP(WardrobeCarcassFinish,Finishing!$A$2:$K$40,9,0)*M97)))</f>
        <v/>
      </c>
      <c r="O97" s="159"/>
      <c r="P97" s="159"/>
      <c r="Q97" s="152" t="str">
        <f>IF(OR(O97="",P97=""),"",((O97*X97)*(VLOOKUP("Workshop",Labour!$A$3:$E$20,4,0)/8))+((P97*AE97)*(VLOOKUP("Finishing",Labour!$A$3:$E$20,4,0)/8)))</f>
        <v/>
      </c>
      <c r="R97" s="152" t="str">
        <f t="shared" si="4"/>
        <v/>
      </c>
      <c r="S97" s="156" t="str">
        <f>IF(OR(O97="",P97=""),"",IF(OR(ISERROR(FIND("carcass",$A97))=FALSE,ISERROR(FIND("unit",$A97))=FALSE),VLOOKUP(WardrobeCarcassMaterial,FixedListsCarcassMaterial,2,0),0))</f>
        <v/>
      </c>
      <c r="T97" s="156" t="str">
        <f>IF(OR(O97="",P97=""),"",IF(ISERROR(FIND("door",$A97))=FALSE,VLOOKUP(WardrobeDoorStyle,FixedListsDoorStyle,2,0),0))</f>
        <v/>
      </c>
      <c r="U97" s="156" t="str">
        <f>IF(OR(O97="",P97=""),"",IF(ISERROR(FIND("door",$A97))=FALSE,VLOOKUP(WardrobeDoorMaterial,FixedListsDoorMaterial,2,0),0))</f>
        <v/>
      </c>
      <c r="V97" s="156" t="str">
        <f>IF(OR(O97="",P97=""),"",IF(ISERROR(FIND("drawer",$A97))=FALSE,VLOOKUP(WardrobeDrawerType,FixedListsDrawerType,2,0),0))</f>
        <v/>
      </c>
      <c r="W97" s="156" t="str">
        <f>IF(OR(O97="",P97=""),"",IF(S97&gt;0,VLOOKUP(WardrobeHandleType,FixedListsHandleType,2,FALSE),0))</f>
        <v/>
      </c>
      <c r="X97" s="156" t="str">
        <f t="shared" si="5"/>
        <v/>
      </c>
      <c r="Y97" s="156" t="str">
        <f>IF(OR(O97="",P97=""),"",IF(OR(ISERROR(FIND("carcass",$A97))=FALSE,ISERROR(FIND("unit",$A97))=FALSE),VLOOKUP(WardrobeCarcassMaterial,FixedListsCarcassMaterial,3,0),0))</f>
        <v/>
      </c>
      <c r="Z97" s="156" t="str">
        <f>IF(OR(O97="",P97=""),"",IF(ISERROR(FIND("door",$A97))=FALSE,VLOOKUP(WardrobeDoorStyle,FixedListsDoorStyle,3,0),0))</f>
        <v/>
      </c>
      <c r="AA97" s="156" t="str">
        <f>IF(OR(O97="",P97=""),"",IF(ISERROR(FIND("door",$A97))=FALSE,VLOOKUP(WardrobeDoorMaterial,FixedListsDoorMaterial,3,0),0))</f>
        <v/>
      </c>
      <c r="AB97" s="156" t="str">
        <f>IF(OR(O97="",P97=""),"",IF(ISERROR(FIND("drawer",$A97))=FALSE,VLOOKUP(WardrobeDrawerType,FixedListsDrawerType,3,0),0))</f>
        <v/>
      </c>
      <c r="AC97" s="156" t="str">
        <f>IF(OR(O97="",P97=""),"",IF(S97&gt;0,VLOOKUP(WardrobeHandleType,FixedListsHandleType,3,FALSE),0))</f>
        <v/>
      </c>
      <c r="AD97" s="156" t="str">
        <f>IF(OR(O97="",P97=""),"",IF(OR(ISERROR(FIND("carcass",$A97))=FALSE,ISERROR(FIND("unit",$A97))=FALSE),VLOOKUP(WardrobeCarcassFinish,FixedListsFinishes,3,0),IF(OR(ISERROR(FIND("door",$A97))=FALSE,ISERROR(FIND("Plinth",$A97))=FALSE,ISERROR(FIND("Cornice",$A97))=FALSE,ISERROR(FIND("Fillers",$A97))=FALSE,ISERROR(FIND("Pelmet",$A97))=FALSE,ISERROR(FIND("panel",$A97))=FALSE,ISERROR(FIND("post",$A97))=FALSE),VLOOKUP(WardrobeDoorFinish,FixedListsFinishes,3,0),IF(OR(ISERROR(FIND("drawer",$A97))=FALSE,ISERROR(FIND("insert",$A97))=FALSE,ISERROR(FIND("rck",$A97))=FALSE),VLOOKUP(WardrobeCarcassFinish,FixedListsFinishes,3,0),0))))</f>
        <v/>
      </c>
      <c r="AE97" s="156" t="str">
        <f t="shared" si="6"/>
        <v/>
      </c>
      <c r="AF97" s="157" t="str">
        <f>IF(AND(WardrobeHandleType="Channel",OR(ISERROR(FIND("arcass",$A97))=FALSE,ISERROR(FIND("unit",$A97))=FALSE)),IF(ISERROR(FIND("Tower",$A97))=TRUE,IF(WardrobeHandleFinish="Match carcass",IF(ISERROR(FIND("Walnut",WardrobeCarcassMaterial))=FALSE,(0.035*0.075*($C97/1000))*VLOOKUP("Walnut (solid m3)",SolidData,4,FALSE),IF(ISERROR(FIND("Oak",WardrobeCarcassMaterial))=FALSE,(0.035*0.075*($C97/1000))*VLOOKUP("Oak (solid m3)",SolidData,4,FALSE),IF(ISERROR(FIND("ply",WardrobeCarcassMaterial))=FALSE,(0.1*($C97/1000))*VLOOKUP("Birch ply (24mm)",SheetsData,7,FALSE),IF(ISERROR(FIND("H/F",WardrobeCarcassMaterial))=FALSE,(0.1*($C97/1000))*VLOOKUP("H/F (22mm)",SheetsData,7,FALSE),"Carcass - not tower - new material")))),IF(WardrobeHandleFinish="Match door",IF(ISERROR(FIND("Walnut",WardrobeDoorMaterial))=FALSE,(0.035*0.075*($C97/1000))*VLOOKUP("Walnut (solid m3)",SolidData,4,FALSE),IF(ISERROR(FIND("Oak",WardrobeDoorMaterial))=FALSE,(0.035*0.075*($C97/1000))*VLOOKUP("Oak (solid m3)",SolidData,4,FALSE),IF(ISERROR(FIND("ply",WardrobeDoorMaterial))=FALSE,(0.1*($C97/1000))*VLOOKUP("Birch ply (24mm)",SheetsData,7,FALSE),IF(ISERROR(FIND("H/F",WardrobeCarcassMaterial))=FALSE,(0.1*($C97/1000))*VLOOKUP("H/F (22mm)",SheetsData,7,FALSE),"Door - not tower - new material")))),"Channel - not tower - handle set to other")),IF(ISERROR(FIND("Tower",$A97))=FALSE,IF(WardrobeHandleFinish="Match carcass",IF(ISERROR(FIND("Walnut",WardrobeCarcassMaterial))=FALSE,(0.035*0.075*($B97/1000))*VLOOKUP("Walnut (solid m3)",SolidData,4,FALSE),IF(ISERROR(FIND("Oak",WardrobeCarcassMaterial))=FALSE,(0.035*0.075*($B97/1000))*VLOOKUP("Oak (solid m3)",SolidData,4,FALSE),IF(ISERROR(FIND("ply",WardrobeCarcassMaterial))=FALSE,(0.1*($B97/1000))*VLOOKUP("Birch ply (24mm)",SheetsData,7,FALSE),IF(ISERROR(FIND("H/F",WardrobeCarcassMaterial))=FALSE,(0.1*($C97/1000))*VLOOKUP("H/F (22mm)",SheetsData,7,FALSE),"Carcass - tower - new material")))),IF(WardrobeHandleFinish="Match door",IF(ISERROR(FIND("Walnut",WardrobeDoorMaterial))=FALSE,(0.035*0.075*($B97/1000))*VLOOKUP("Walnut (solid m3)",SolidData,4,FALSE),IF(ISERROR(FIND("Oak",WardrobeDoorMaterial))=FALSE,(0.035*0.075*($B97/1000))*VLOOKUP("Oak (solid m3)",SolidData,4,FALSE),IF(ISERROR(FIND("ply",WardrobeDoorMaterial))=FALSE,(0.1*($B97/1000))*VLOOKUP("Birch ply (24mm)",SheetData,7,FALSE),IF(ISERROR(FIND("H/F",WardrobeCarcassMaterial))=FALSE,(0.1*($C97/1000))*VLOOKUP("H/F (22mm)",SheetsData,7,FALSE),"Door - tower - new material")))),"Channel - tower - handle set to other")))),"")</f>
        <v/>
      </c>
    </row>
    <row r="98">
      <c r="A98" s="150"/>
      <c r="B98" s="160" t="str">
        <f t="shared" si="1"/>
        <v/>
      </c>
      <c r="C98" s="160" t="str">
        <f>IFERROR(__xludf.DUMMYFUNCTION("IF(A98="""","""",IF(ISERROR(FIND(""arcass"",A98))=FALSE,MID(A98,FIND(""*"",A98)+1,FIND(""*"",A98,FIND(""*"",A98)+1)-FIND(""*"",A98)-1),IF(ISERROR(FIND(""End panel"",A98))=FALSE,RIGHT(A98,3),IF(OR(ISERROR(FIND(""drawer"",A98))=FALSE,ISERROR(FIND(""door"",A"&amp;"98))=FALSE,ISERROR(FIND(""shelf"",A98))=FALSE,ISERROR(FIND(""panel"",A98))=FALSE,ISERROR(FIND(""Plinth"",A98))=FALSE,ISERROR(FIND(""Cornice"",A98))=FALSE,ISERROR(FIND(""Fillers"",A98))=FALSE,ISERROR(FIND(""Pelmet"",A98))=FALSE,ISERROR(FIND(""Fireplace up "&amp;"to 1600"",A98))=FALSE),RIGHT(A98,LEN(A98)-LEN(regexextract(A98,"".* ""))),IF(ISERROR(FIND(""table"",A98))=FALSE,""560"",IF(ISERROR(FIND(""Office pod"",A98))=FALSE,""1600"",IF(ISERROR(FIND(""Fireplace over 1600"",A98))=FALSE,""2400"",IF(ISERROR(FIND(""Work"&amp;"top"",A98))=FALSE,""650"",""Whoops""))))))))"),"")</f>
        <v/>
      </c>
      <c r="D98" s="161" t="str">
        <f t="shared" si="2"/>
        <v/>
      </c>
      <c r="E98" s="152" t="str">
        <f>IF(OR(A98="",AND(ISERROR(FIND("drawer",A98))=FALSE,WardrobeDrawerType="")),"",IF(ISERROR(FIND("door",A98))=FALSE,IF(WardrobeDoorStyle="Flat",((B98/1000)*(C98/1000))*VLOOKUP(WardrobeDoorMaterial,SheetsData,8,0),IF(LEFT(WardrobeDoorStyle,5)="Panel",(((((B98/1000)*2)*0.08)+((((C98/1000)-0.16)*2)*0.08))*VLOOKUP("H/F (22mm)",SheetsData,8,0))+(((B98/1000)-0.14)*((C98/1000)-0.14)*VLOOKUP("H/F (9mm)",SheetsData,8,0)),IF(WardrobeDoorStyle="In-frame flat",((((((B98/1000)*0.019)*0.038)+((((C98-38)/1000)*0.038)*0.038))*2)*VLOOKUP("Tulip (solid m3)",SolidData,4,0))+(((B98-76)/1000)*((C98-38)/1000))*VLOOKUP("H/F (22mm)",SheetsData,8,0),IF(LEFT(WardrobeDoorStyle,14)="In-frame panel",(((((((B98/1000)*0.019)*0.038)+((((C98-38)/1000)*0.038)*0.038))*2)*VLOOKUP("Tulip (solid m3)",SolidData,4,0))+(((((((B98-76)/1000)*2)*0.08)+(((((C98-198)/1000)*2)*0.08)))*VLOOKUP("H/F (22mm)",SheetsData,8,0))+(((B98-216)/1000)*((C98-178)/1000)*VLOOKUP("H/F (9mm)",SheetsData,8,0)))))))),IF(AND(ISERROR(FIND("arcass",A98))=FALSE,ISERROR(FIND("ost corner",A98))=TRUE),IF(AND(VALUE(B98)&lt;1211,VALUE(C98)&lt;1211,VALUE(D98)&lt;606),1*VLOOKUP(WardrobeCarcassMaterial,SheetsData,5,FALSE),IF(AND(VALUE(B98)&lt;2421,VALUE(C98)&lt;2421,VALUE(D98)&lt;606),2*VLOOKUP(WardrobeCarcassMaterial,SheetsData,5,FALSE),IF(AND(VALUE(B98)&lt;2421,VALUE(C98)&lt;1211,VALUE(D98)&lt;1211),3*VLOOKUP(WardrobeCarcassMaterial,SheetsData,5,FALSE),IF(AND(VALUE(B98)&lt;2421,VALUE(C98)&lt;2421,VALUE(D98)&lt;1211),4*VLOOKUP(WardrobeCarcassMaterial,SheetsData,5,FALSE))))),IF(AND(ISERROR(FIND("arcass",A98))=FALSE,ISERROR(FIND("ost corner",A98))=FALSE),IF(AND(VALUE(B98)&lt;1211,VALUE(C98)&lt;1211,VALUE(D98)&lt;606),(1*VLOOKUP(WardrobeCarcassMaterial,SheetsData,5,FALSE))+(VLOOKUP("H/F (22mm)",SheetsData,7,FALSE)*1.44),IF(AND(VALUE(B98)&lt;2421,VALUE(C98)&lt;2421,VALUE(D98)&lt;606),(2*VLOOKUP(WardrobeCarcassMaterial,SheetsData,5,FALSE))+(VLOOKUP("H/F (22mm)",SheetsData,7,FALSE)*1.44),IF(AND(VALUE(B98)&lt;2421,VALUE(C98)&lt;1211,VALUE(D98)&lt;1211),(3*VLOOKUP(WardrobeCarcassMaterial,SheetsData,5,FALSE))+(VLOOKUP("H/F (22mm)",SheetsData,7,FALSE)*1.44),IF(AND(VALUE(B98)&lt;2421,VALUE(C98)&lt;2421,VALUE(D98)&lt;1211),(4*VLOOKUP(WardrobeCarcassMaterial,SheetsData,5,FALSE))+(VLOOKUP("H/F (22mm)",SheetsData,7,FALSE)*1.44))))),IF(ISERROR(FIND("drawer front",A98))=FALSE,((B98/1000)*(C98/1000))*VLOOKUP(WardrobeDoorMaterial,SheetsData,8,0),IF(AND(WardrobeDrawerType="Match carcass",ISERROR(FIND("drawer box",A98))=FALSE),(((((B98/1000)*(C98/1000))+((B98/1000)*(D98/1000)))*2)*VLOOKUP(WardrobeCarcassMaterial,SheetsData,8,0))+(((C98/1000)*(D98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box",A98))=FALSE),(((((B98/1000)*(C98/1000))+((B98/1000)*(D98/1000)))*2)*(16/1000)*VLOOKUP(LEFT(WardrobeCarcassMaterial,FIND(" ",WardrobeCarcassMaterial))&amp;"(solid m3)",SolidData,4,0))+(((C98/1000)*(D98/1000))*VLOOKUP(LEFT(WardrobeCarcassMaterial,FIND("(",WardrobeCarcassMaterial)-1)&amp;IF(OR(ISERROR(FIND("ply",WardrobeCarcassMaterial))=FALSE,ISERROR(FIND("H/F",WardrobeCarcassMaterial))=FALSE),"(9mm)","(10mm)"),SheetsData,8,0)),IF(ISERROR(FIND("shelf",A98))=FALSE,((C98/1000)*(D98/1000))*VLOOKUP(WardrobeCarcassMaterial,SheetsData,7,FALSE),IF(ISERROR(FIND("Office pod",A98))=FALSE,3*VLOOKUP(WardrobeCarcassMaterial,SheetsData,5,0),IF(ISERROR(FIND(" panel",A98))=FALSE,((B98/1000)*(C98/1000))*VLOOKUP(WardrobeDoorMaterial,SheetsData,8,0),IF(ISERROR(FIND("Fillers",A98))=FALSE,(((0.06*(C98/1000))*2)*VLOOKUP("H/F (18mm)",SheetsData,8,0))+(((0.06*(C98/1000))*2)*VLOOKUP("H/F (9mm)",SheetsData,8,0)),IF(ISERROR(FIND("Cornice (stacked)",A98))=FALSE,((0.08*(C98/1000))*2)*VLOOKUP("H/F (22mm)",SheetsData,8,0),IF(OR(ISERROR(FIND("Plinth",A98))=FALSE,ISERROR(FIND("Cornice (flat)",A98))=FALSE),((B98/1000)*(C98/1000))*VLOOKUP("H/F (18mm)",SheetsData,8,0),IF(ISERROR(FIND("Pelmet",A98))=FALSE,((((B98/1000)*(C98/1000))*2)*VLOOKUP("H/F (18mm)",SheetsData,8,0)),IF(ISERROR(FIND("Fireplace",A98))=FALSE,IF(ISERROR(FIND("over 1600",A98))=FALSE,2*VLOOKUP(WardrobeCarcassMaterial,SheetsData,5,FALSE),VLOOKUP(WardrobeCarcassMaterial,SheetsData,5,FALSE)),IF(ISERROR(FIND("table",A98))=FALSE,((B98/1000)*0.6)*VLOOKUP("Birch ply (24mm)",SheetsData,7,FALSE),IF(ISERROR(FIND("Worktop",A98))=FALSE,((B98/1000)*(C98/1000))*VLOOKUP(WardrobeDoorMaterial,SheetsData,7,FALSE),"Check formula")))))))))))))))))</f>
        <v/>
      </c>
      <c r="F98" s="152" t="str">
        <f>IFERROR(__xludf.DUMMYFUNCTION("IF(OR(A98="""",AND(ISERROR(FIND(""drawer box"",A98))=FALSE,WardrobeDrawerType=""Solid dovetail"")),"""",IF(ISERROR(FIND(""bins"",A98))=FALSE,VLOOKUP(""Base carcass 600"",Wardrobes_etcData,6,0),IF(OR(ISERROR(FIND(""larder"",A98))=FALSE,ISERROR(FIND(""unit"&amp;""",A98))=FALSE),VLOOKUP(LEFT(A98,FIND("" "",A98))&amp;""carcass ""&amp;RIGHT(A98,LEN(A98)-len(regexextract(A98,"".* ""))),Wardrobes_etcData,6,0),IF(ISERROR(FIND(""drawer front"",A98))=FALSE,IF(ISERROR(FIND(""veneer"",WardrobeCarcassMaterial))=TRUE,0,(((B98+C98)/1"&amp;"000)*2)*VLOOKUP(""Edge banding (per M)"",SheetsData,5,0)),IF(ISERROR(FIND(""drawer box"",A98))=FALSE,IF(ISERROR(FIND(""veneer"",WardrobeCarcassMaterial))=TRUE,0,(((C98+D98)/1000)*2)*VLOOKUP(""Edge banding (per M)"",SheetsData,5,0)),IF(ISERROR(FIND(""shelf"&amp;""",A98))=FALSE,IF(ISERROR(FIND(""veneer"",WardrobeCarcassMaterial))=TRUE,0,(C98/1000)*VLOOKUP(""Edge banding (per M)"",SheetsData,5,0)),IF(AND(OR(ISERROR(FIND(""arcass"",A98))=FALSE,ISERROR(FIND(""Fireplace"",A98))=FALSE),ISERROR(FIND(""shelf"",A98))=TRUE"&amp;"),IF(ISERROR(FIND(""veneer"",WardrobeCarcassMaterial))=TRUE,0,((2*(B98+C98))/1000)*VLOOKUP(""Edge banding (per M)"",SheetsData,5,0)),IF(ISERROR(FIND(""door"",A98))=TRUE,"""",IF(ISERROR(FIND(""veneer"",WardrobeDoorMaterial))=TRUE,"""",((2*(B98+C98))/1000)*"&amp;"VLOOKUP(""Edge banding (per M)"",SheetsData,5,0))))))))))"),"")</f>
        <v/>
      </c>
      <c r="G98" s="153" t="str">
        <f>IF(A98="","",IF(AND(ISERROR(FIND("arcass",A98))=TRUE,ISERROR(FIND("Fireplace",A98))=TRUE),"",IF(VALUE(C98)&lt;606,4*VLOOKUP("Plinth foot (2 Parts 80mm)",FurnitureData,5,FALSE),IF(VALUE(C98)&lt;1211,6*VLOOKUP("Plinth foot (2 Parts 80mm)",FurnitureData,5,FALSE),8*VLOOKUP("Plinth foot (2 Parts 80mm)",FurnitureData,5,FALSE)))))</f>
        <v/>
      </c>
      <c r="H98" s="115" t="str">
        <f>IF(OR(A98="",ISERROR(FIND("door",A98))=TRUE),"",VLOOKUP("Hinges &amp; plates (Hettich thick door)",FurnitureData,5,0)*5)</f>
        <v/>
      </c>
      <c r="I98" s="115" t="str">
        <f>IF(ISERROR(FIND("shelf",A98))=FALSE,(VLOOKUP("Shelf pegs",FurnitureData,5,0)/100)*4,"")</f>
        <v/>
      </c>
      <c r="J98" s="152" t="str">
        <f>IF(OR(ISERROR(FIND("fridge/freezer",A98))=FALSE,ISERROR(FIND("sink",A98))=FALSE,ISERROR(FIND("larder",A98))=FALSE),VLOOKUP("Deep shelf "&amp;C98,Wardrobes_etcData,18,0),IF(OR(ISERROR(FIND("single oven",A98))=FALSE,ISERROR(FIND("Base carcass",A98))=FALSE),2*VLOOKUP("Deep shelf "&amp;C98,Wardrobes_etcData,18,0),IF(AND(ISERROR(FIND("wall carcass",A98))=FALSE,ISERROR(FIND("Boiler",A98))=TRUE),2*VLOOKUP("Shallow shelf "&amp;C98,Wardrobes_etcData,18,0),IF(ISERROR(FIND("double oven",A98))=FALSE,3*VLOOKUP("Deep shelf "&amp;C98,Wardrobes_etcData,18,0),IF(ISERROR(FIND("Tower carcass",A98))=FALSE,6*VLOOKUP("Deep shelf "&amp;C98,Wardrobes_etcData,18,0),"")))))</f>
        <v/>
      </c>
      <c r="K98" s="152" t="str">
        <f>IF(ISERROR(FIND("sink",A98))=FALSE,VLOOKUP("Sink liner - Aluminium "&amp;RIGHT(A98,LEN(A98)-22)&amp;"mm",ExceptionalData,5,0),IF(ISERROR(FIND("bins",A98))=FALSE,VLOOKUP("Drawer runners and clip set for bin unit (500) Dynapro",FurnitureData,5,0)+(2*VLOOKUP("Bin (42L Anthracite)",FurnitureData,5,0)),IF(ISERROR(FIND("larder",A98))=FALSE,VLOOKUP("Pull out larder unit 600mm",FurnitureData,5,0),IF(AND(ISERROR(FIND("drawer box",A98))=FALSE,ISERROR(FIND("internal",A98))=TRUE),VLOOKUP("Drawer runners and clip set (550) Dynapro",FurnitureData,5,0),IF(ISERROR(FIND("internal drawer box",A98))=FALSE,VLOOKUP("Drawer runners and clip set (450) Dynapro",FurnitureData,5,0),IF(ISERROR(FIND("table",A98))=FALSE,VLOOKUP("Hairpin Leg (12mm Black "&amp;MID(A98,FIND("(",A98)+1,LEN(A98)-(FIND("(",A98))-1)&amp;"mm)",ExceptionalData,4,FALSE),""))))))</f>
        <v/>
      </c>
      <c r="L98" s="152" t="str">
        <f t="shared" si="3"/>
        <v/>
      </c>
      <c r="M98" s="154" t="str">
        <f>IF(A98="","",IF(AND(ISERROR(FIND("drawer front",A98))=FALSE,WardrobeDoorStyle="Flat"),(((B98/1000)*(C98/1000))*2)+((((B98+C98)/1000)*2)*0.022),IF(AND(ISERROR(FIND("drawer front",A98))=FALSE,LEFT(WardrobeDoorStyle,5)="Panel"),(((B98/1000)*(C98/1000))*2)+((((B98+C98)/1000)*2)*0.022)+((((C98/1000)-0.16)*0.013)*2)+((((D98/1000)-0.16)*0.013)*2),IF(AND(ISERROR(FIND("drawer front",A98))=FALSE,WardrobeDoorStyle="In-frame flat"),((((B98-76)/1000)*((C98-38)/1000))*2)+(MID(WardrobeDoorMaterial,FIND("(",WardrobeDoorMaterial)+1,2)/1000)*((((B98-76)+(C98-38))/1000)*2)+(((B98/1000)*0.032)*2)+((((B98-76)/1000)*0.032)*2)+(((B98/1000)*0.019)*4)+(((C98/1000)*0.032)*2)+((((C98-38)/1000)*0.032)*2)+(((C98/1000)*0.038)*4),IF(AND(ISERROR(FIND("drawer front",A98))=FALSE,LEFT(WardrobeDoorStyle,14)="In-frame panel"),((((B98-76)/1000)*((C98-38)/1000))*2)+((MID(WardrobeDoorMaterial,FIND("(",WardrobeDoorMaterial)+1,2)/1000)*((((B98-76)+(C98-38))/1000)*2))+((((B98-236)/1000)+((C98-198)/1000)*2)*0.013)+(((B98/1000)*0.032)*2)+((((B98-76)/1000)*0.032)*2)+(((B98/1000)*0.019)*4)+(((C98/1000)*0.032)*2)+((((C98-38)/1000)*0.032)*2)+(((C98/1000)*0.038)*4),IF(ISERROR(FIND("drawer box",A98))=FALSE,((((B98/1000)*(D98/1000))+((B98/1000)*(C98/1000)))*4)+((((D98/1000)+(C98/1000))*0.016)*4)+(((C98/1000)*(D98/1000))*2),IF(OR(ISERROR(FIND("shelf",A98))=FALSE,ISERROR(FIND("Filler panel",A98))=FALSE),(((C98/1000)*(D98/1000))*2)+((((C98+D98)*2)/1000)*0.022),IF(ISERROR(FIND("Fireplace",A98))=FALSE,((B98/1000)*(C98/1000)),IF(ISERROR(FIND("Worktop",A98))=FALSE,(B98/1000)*(C98/1000),IF(ISERROR(FIND("table",A98))=FALSE,(B98/1000)*0.6,IF(ISERROR(FIND("arcass",A98))=FALSE,(((C98/1000)*(D98/1000))*2)+(((B98/1000)*(D98/1000))*2)+((B98/1000)*(C98/1000))+((((B98/1000)*0.025)+((C98/1000)*0.025))*2),IF(AND(ISERROR(FIND("door",A98))=FALSE,WardrobeDoorStyle="Flat"),(((B98/1000)*(C98/1000))*2)+(MID(WardrobeDoorMaterial,FIND("(",WardrobeDoorMaterial)+1,2)/1000)*(((B98+C98)/1000)*2),IF(AND(ISERROR(FIND("door",A98))=FALSE,LEFT(WardrobeDoorStyle,5)="Panel"),(((B98/1000)*(C98/1000))*2)+((MID(WardrobeDoorMaterial,FIND("(",WardrobeDoorMaterial)+1,2)/1000)*(((B98+C98)/1000)*2))+(((((B98-160)+(C98-160))*2)/1000)*(0.013)),IF(AND(ISERROR(FIND("door",A98))=FALSE,WardrobeDoorStyle="In-frame flat"),((((B98-76)/1000)*((C98-38)/1000))*2)+(MID(WardrobeDoorMaterial,FIND("(",WardrobeDoorMaterial)+1,2)/1000)*((((B98-76)+(C98-38))/1000)*2)+(((B98/1000)*0.032)*2)+((((B98-76)/1000)*0.032)*2)+(((B98/1000)*0.019)*4)+(((C98/1000)*0.032)*2)+((((C98-38)/1000)*0.032)*2)+(((C98/1000)*0.038)*4),IF(AND(ISERROR(FIND("door",A98))=FALSE,LEFT(WardrobeDoorStyle,14)="In-frame panel"),((((B98-76)/1000)*((C98-38)/1000))*2)+((MID(WardrobeDoorMaterial,FIND("(",WardrobeDoorMaterial)+1,2)/1000)*((((B98-76)+(C98-38))/1000)*2))+((((B98-236)/1000)+((C98-198)/1000)*2)*0.013)+(((B98/1000)*0.032)*2)+((((B98-76)/1000)*0.032)*2)+(((B98/1000)*0.019)*4)+(((C98/1000)*0.032)*2)+((((C98-38)/1000)*0.032)*2)+(((C98/1000)*0.038)*4),IF(ISERROR(FIND("Plinth",A98))=FALSE,((B98/1000)*(C98/1000))+(((C98/1000)*0.018)*2)+(((B98/1000)*0.018)*2),IF(ISERROR(FIND("Cornice",A98))=FALSE,(((C98/1000)*0.1)*2)+(((C98/1000)*0.044)*2)+(((B98/1000)*0.08)*2),IF(ISERROR(FIND("Office pod",A98))=FALSE,((2400/1000)*(1200/1000))*6,IF(ISERROR(FIND("panel",A98))=FALSE,((B98/1000)*(C98/1000))+(0.022*((B98/1000)+((C98/1000)*2)))+((B98/1000)*0.05),IF(ISERROR(FIND("Fillers",A98))=FALSE,((C98/1000)*0.06)+((C98/1000)*0.069)+((0.06*0.018)*2)+((0.06*0.009)*2)+((C98/1000)*0.009)+((C98/1000)*0.018),IF(ISERROR(FIND("Pelmet",A98))=FALSE,((C98/1000)*0.05)+((C98/1000)*0.068)+((0.05*0.018)*4)+(((C98/1000)*0.018))*2)))))))))))))))))))))</f>
        <v/>
      </c>
      <c r="N98" s="152" t="str">
        <f>IF(M98="","",IF(AND(ISERROR(FIND("carcass",A98))=TRUE,ISERROR(FIND("unit",A98))=TRUE,ISERROR(FIND("insert",A98))=TRUE,ISERROR(FIND("rack",A98))=TRUE,ISERROR(FIND("box",A98))=TRUE,ISERROR(FIND("shelf",A98))=TRUE),VLOOKUP(WardrobeDoorFinish,Finishing!$A$2:$K$10,9,0)*M98,IF(ISERROR(FIND("table",A98))=FALSE,VLOOKUP("Sayerlack AF0072 Interior Clear Self-Sealer",FinishingData,9,FALSE)*M98,VLOOKUP(WardrobeCarcassFinish,Finishing!$A$2:$K$40,9,0)*M98)))</f>
        <v/>
      </c>
      <c r="O98" s="159"/>
      <c r="P98" s="159"/>
      <c r="Q98" s="152" t="str">
        <f>IF(OR(O98="",P98=""),"",((O98*X98)*(VLOOKUP("Workshop",Labour!$A$3:$E$20,4,0)/8))+((P98*AE98)*(VLOOKUP("Finishing",Labour!$A$3:$E$20,4,0)/8)))</f>
        <v/>
      </c>
      <c r="R98" s="152" t="str">
        <f t="shared" si="4"/>
        <v/>
      </c>
      <c r="S98" s="156" t="str">
        <f>IF(OR(O98="",P98=""),"",IF(OR(ISERROR(FIND("carcass",$A98))=FALSE,ISERROR(FIND("unit",$A98))=FALSE),VLOOKUP(WardrobeCarcassMaterial,FixedListsCarcassMaterial,2,0),0))</f>
        <v/>
      </c>
      <c r="T98" s="156" t="str">
        <f>IF(OR(O98="",P98=""),"",IF(ISERROR(FIND("door",$A98))=FALSE,VLOOKUP(WardrobeDoorStyle,FixedListsDoorStyle,2,0),0))</f>
        <v/>
      </c>
      <c r="U98" s="156" t="str">
        <f>IF(OR(O98="",P98=""),"",IF(ISERROR(FIND("door",$A98))=FALSE,VLOOKUP(WardrobeDoorMaterial,FixedListsDoorMaterial,2,0),0))</f>
        <v/>
      </c>
      <c r="V98" s="156" t="str">
        <f>IF(OR(O98="",P98=""),"",IF(ISERROR(FIND("drawer",$A98))=FALSE,VLOOKUP(WardrobeDrawerType,FixedListsDrawerType,2,0),0))</f>
        <v/>
      </c>
      <c r="W98" s="156" t="str">
        <f>IF(OR(O98="",P98=""),"",IF(S98&gt;0,VLOOKUP(WardrobeHandleType,FixedListsHandleType,2,FALSE),0))</f>
        <v/>
      </c>
      <c r="X98" s="156" t="str">
        <f t="shared" si="5"/>
        <v/>
      </c>
      <c r="Y98" s="156" t="str">
        <f>IF(OR(O98="",P98=""),"",IF(OR(ISERROR(FIND("carcass",$A98))=FALSE,ISERROR(FIND("unit",$A98))=FALSE),VLOOKUP(WardrobeCarcassMaterial,FixedListsCarcassMaterial,3,0),0))</f>
        <v/>
      </c>
      <c r="Z98" s="156" t="str">
        <f>IF(OR(O98="",P98=""),"",IF(ISERROR(FIND("door",$A98))=FALSE,VLOOKUP(WardrobeDoorStyle,FixedListsDoorStyle,3,0),0))</f>
        <v/>
      </c>
      <c r="AA98" s="156" t="str">
        <f>IF(OR(O98="",P98=""),"",IF(ISERROR(FIND("door",$A98))=FALSE,VLOOKUP(WardrobeDoorMaterial,FixedListsDoorMaterial,3,0),0))</f>
        <v/>
      </c>
      <c r="AB98" s="156" t="str">
        <f>IF(OR(O98="",P98=""),"",IF(ISERROR(FIND("drawer",$A98))=FALSE,VLOOKUP(WardrobeDrawerType,FixedListsDrawerType,3,0),0))</f>
        <v/>
      </c>
      <c r="AC98" s="156" t="str">
        <f>IF(OR(O98="",P98=""),"",IF(S98&gt;0,VLOOKUP(WardrobeHandleType,FixedListsHandleType,3,FALSE),0))</f>
        <v/>
      </c>
      <c r="AD98" s="156" t="str">
        <f>IF(OR(O98="",P98=""),"",IF(OR(ISERROR(FIND("carcass",$A98))=FALSE,ISERROR(FIND("unit",$A98))=FALSE),VLOOKUP(WardrobeCarcassFinish,FixedListsFinishes,3,0),IF(OR(ISERROR(FIND("door",$A98))=FALSE,ISERROR(FIND("Plinth",$A98))=FALSE,ISERROR(FIND("Cornice",$A98))=FALSE,ISERROR(FIND("Fillers",$A98))=FALSE,ISERROR(FIND("Pelmet",$A98))=FALSE,ISERROR(FIND("panel",$A98))=FALSE,ISERROR(FIND("post",$A98))=FALSE),VLOOKUP(WardrobeDoorFinish,FixedListsFinishes,3,0),IF(OR(ISERROR(FIND("drawer",$A98))=FALSE,ISERROR(FIND("insert",$A98))=FALSE,ISERROR(FIND("rck",$A98))=FALSE),VLOOKUP(WardrobeCarcassFinish,FixedListsFinishes,3,0),0))))</f>
        <v/>
      </c>
      <c r="AE98" s="156" t="str">
        <f t="shared" si="6"/>
        <v/>
      </c>
      <c r="AF98" s="157" t="str">
        <f>IF(AND(WardrobeHandleType="Channel",OR(ISERROR(FIND("arcass",$A98))=FALSE,ISERROR(FIND("unit",$A98))=FALSE)),IF(ISERROR(FIND("Tower",$A98))=TRUE,IF(WardrobeHandleFinish="Match carcass",IF(ISERROR(FIND("Walnut",WardrobeCarcassMaterial))=FALSE,(0.035*0.075*($C98/1000))*VLOOKUP("Walnut (solid m3)",SolidData,4,FALSE),IF(ISERROR(FIND("Oak",WardrobeCarcassMaterial))=FALSE,(0.035*0.075*($C98/1000))*VLOOKUP("Oak (solid m3)",SolidData,4,FALSE),IF(ISERROR(FIND("ply",WardrobeCarcassMaterial))=FALSE,(0.1*($C98/1000))*VLOOKUP("Birch ply (24mm)",SheetsData,7,FALSE),IF(ISERROR(FIND("H/F",WardrobeCarcassMaterial))=FALSE,(0.1*($C98/1000))*VLOOKUP("H/F (22mm)",SheetsData,7,FALSE),"Carcass - not tower - new material")))),IF(WardrobeHandleFinish="Match door",IF(ISERROR(FIND("Walnut",WardrobeDoorMaterial))=FALSE,(0.035*0.075*($C98/1000))*VLOOKUP("Walnut (solid m3)",SolidData,4,FALSE),IF(ISERROR(FIND("Oak",WardrobeDoorMaterial))=FALSE,(0.035*0.075*($C98/1000))*VLOOKUP("Oak (solid m3)",SolidData,4,FALSE),IF(ISERROR(FIND("ply",WardrobeDoorMaterial))=FALSE,(0.1*($C98/1000))*VLOOKUP("Birch ply (24mm)",SheetsData,7,FALSE),IF(ISERROR(FIND("H/F",WardrobeCarcassMaterial))=FALSE,(0.1*($C98/1000))*VLOOKUP("H/F (22mm)",SheetsData,7,FALSE),"Door - not tower - new material")))),"Channel - not tower - handle set to other")),IF(ISERROR(FIND("Tower",$A98))=FALSE,IF(WardrobeHandleFinish="Match carcass",IF(ISERROR(FIND("Walnut",WardrobeCarcassMaterial))=FALSE,(0.035*0.075*($B98/1000))*VLOOKUP("Walnut (solid m3)",SolidData,4,FALSE),IF(ISERROR(FIND("Oak",WardrobeCarcassMaterial))=FALSE,(0.035*0.075*($B98/1000))*VLOOKUP("Oak (solid m3)",SolidData,4,FALSE),IF(ISERROR(FIND("ply",WardrobeCarcassMaterial))=FALSE,(0.1*($B98/1000))*VLOOKUP("Birch ply (24mm)",SheetsData,7,FALSE),IF(ISERROR(FIND("H/F",WardrobeCarcassMaterial))=FALSE,(0.1*($C98/1000))*VLOOKUP("H/F (22mm)",SheetsData,7,FALSE),"Carcass - tower - new material")))),IF(WardrobeHandleFinish="Match door",IF(ISERROR(FIND("Walnut",WardrobeDoorMaterial))=FALSE,(0.035*0.075*($B98/1000))*VLOOKUP("Walnut (solid m3)",SolidData,4,FALSE),IF(ISERROR(FIND("Oak",WardrobeDoorMaterial))=FALSE,(0.035*0.075*($B98/1000))*VLOOKUP("Oak (solid m3)",SolidData,4,FALSE),IF(ISERROR(FIND("ply",WardrobeDoorMaterial))=FALSE,(0.1*($B98/1000))*VLOOKUP("Birch ply (24mm)",SheetData,7,FALSE),IF(ISERROR(FIND("H/F",WardrobeCarcassMaterial))=FALSE,(0.1*($C98/1000))*VLOOKUP("H/F (22mm)",SheetsData,7,FALSE),"Door - tower - new material")))),"Channel - tower - handle set to other")))),"")</f>
        <v/>
      </c>
    </row>
    <row r="99">
      <c r="A99" s="150"/>
      <c r="B99" s="160" t="str">
        <f t="shared" si="1"/>
        <v/>
      </c>
      <c r="C99" s="160" t="str">
        <f>IFERROR(__xludf.DUMMYFUNCTION("IF(A99="""","""",IF(ISERROR(FIND(""arcass"",A99))=FALSE,MID(A99,FIND(""*"",A99)+1,FIND(""*"",A99,FIND(""*"",A99)+1)-FIND(""*"",A99)-1),IF(ISERROR(FIND(""End panel"",A99))=FALSE,RIGHT(A99,3),IF(OR(ISERROR(FIND(""drawer"",A99))=FALSE,ISERROR(FIND(""door"",A"&amp;"99))=FALSE,ISERROR(FIND(""shelf"",A99))=FALSE,ISERROR(FIND(""panel"",A99))=FALSE,ISERROR(FIND(""Plinth"",A99))=FALSE,ISERROR(FIND(""Cornice"",A99))=FALSE,ISERROR(FIND(""Fillers"",A99))=FALSE,ISERROR(FIND(""Pelmet"",A99))=FALSE,ISERROR(FIND(""Fireplace up "&amp;"to 1600"",A99))=FALSE),RIGHT(A99,LEN(A99)-LEN(regexextract(A99,"".* ""))),IF(ISERROR(FIND(""table"",A99))=FALSE,""560"",IF(ISERROR(FIND(""Office pod"",A99))=FALSE,""1600"",IF(ISERROR(FIND(""Fireplace over 1600"",A99))=FALSE,""2400"",IF(ISERROR(FIND(""Work"&amp;"top"",A99))=FALSE,""650"",""Whoops""))))))))"),"")</f>
        <v/>
      </c>
      <c r="D99" s="161" t="str">
        <f t="shared" si="2"/>
        <v/>
      </c>
      <c r="E99" s="152" t="str">
        <f>IF(OR(A99="",AND(ISERROR(FIND("drawer",A99))=FALSE,WardrobeDrawerType="")),"",IF(ISERROR(FIND("door",A99))=FALSE,IF(WardrobeDoorStyle="Flat",((B99/1000)*(C99/1000))*VLOOKUP(WardrobeDoorMaterial,SheetsData,8,0),IF(LEFT(WardrobeDoorStyle,5)="Panel",(((((B99/1000)*2)*0.08)+((((C99/1000)-0.16)*2)*0.08))*VLOOKUP("H/F (22mm)",SheetsData,8,0))+(((B99/1000)-0.14)*((C99/1000)-0.14)*VLOOKUP("H/F (9mm)",SheetsData,8,0)),IF(WardrobeDoorStyle="In-frame flat",((((((B99/1000)*0.019)*0.038)+((((C99-38)/1000)*0.038)*0.038))*2)*VLOOKUP("Tulip (solid m3)",SolidData,4,0))+(((B99-76)/1000)*((C99-38)/1000))*VLOOKUP("H/F (22mm)",SheetsData,8,0),IF(LEFT(WardrobeDoorStyle,14)="In-frame panel",(((((((B99/1000)*0.019)*0.038)+((((C99-38)/1000)*0.038)*0.038))*2)*VLOOKUP("Tulip (solid m3)",SolidData,4,0))+(((((((B99-76)/1000)*2)*0.08)+(((((C99-198)/1000)*2)*0.08)))*VLOOKUP("H/F (22mm)",SheetsData,8,0))+(((B99-216)/1000)*((C99-178)/1000)*VLOOKUP("H/F (9mm)",SheetsData,8,0)))))))),IF(AND(ISERROR(FIND("arcass",A99))=FALSE,ISERROR(FIND("ost corner",A99))=TRUE),IF(AND(VALUE(B99)&lt;1211,VALUE(C99)&lt;1211,VALUE(D99)&lt;606),1*VLOOKUP(WardrobeCarcassMaterial,SheetsData,5,FALSE),IF(AND(VALUE(B99)&lt;2421,VALUE(C99)&lt;2421,VALUE(D99)&lt;606),2*VLOOKUP(WardrobeCarcassMaterial,SheetsData,5,FALSE),IF(AND(VALUE(B99)&lt;2421,VALUE(C99)&lt;1211,VALUE(D99)&lt;1211),3*VLOOKUP(WardrobeCarcassMaterial,SheetsData,5,FALSE),IF(AND(VALUE(B99)&lt;2421,VALUE(C99)&lt;2421,VALUE(D99)&lt;1211),4*VLOOKUP(WardrobeCarcassMaterial,SheetsData,5,FALSE))))),IF(AND(ISERROR(FIND("arcass",A99))=FALSE,ISERROR(FIND("ost corner",A99))=FALSE),IF(AND(VALUE(B99)&lt;1211,VALUE(C99)&lt;1211,VALUE(D99)&lt;606),(1*VLOOKUP(WardrobeCarcassMaterial,SheetsData,5,FALSE))+(VLOOKUP("H/F (22mm)",SheetsData,7,FALSE)*1.44),IF(AND(VALUE(B99)&lt;2421,VALUE(C99)&lt;2421,VALUE(D99)&lt;606),(2*VLOOKUP(WardrobeCarcassMaterial,SheetsData,5,FALSE))+(VLOOKUP("H/F (22mm)",SheetsData,7,FALSE)*1.44),IF(AND(VALUE(B99)&lt;2421,VALUE(C99)&lt;1211,VALUE(D99)&lt;1211),(3*VLOOKUP(WardrobeCarcassMaterial,SheetsData,5,FALSE))+(VLOOKUP("H/F (22mm)",SheetsData,7,FALSE)*1.44),IF(AND(VALUE(B99)&lt;2421,VALUE(C99)&lt;2421,VALUE(D99)&lt;1211),(4*VLOOKUP(WardrobeCarcassMaterial,SheetsData,5,FALSE))+(VLOOKUP("H/F (22mm)",SheetsData,7,FALSE)*1.44))))),IF(ISERROR(FIND("drawer front",A99))=FALSE,((B99/1000)*(C99/1000))*VLOOKUP(WardrobeDoorMaterial,SheetsData,8,0),IF(AND(WardrobeDrawerType="Match carcass",ISERROR(FIND("drawer box",A99))=FALSE),(((((B99/1000)*(C99/1000))+((B99/1000)*(D99/1000)))*2)*VLOOKUP(WardrobeCarcassMaterial,SheetsData,8,0))+(((C99/1000)*(D99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box",A99))=FALSE),(((((B99/1000)*(C99/1000))+((B99/1000)*(D99/1000)))*2)*(16/1000)*VLOOKUP(LEFT(WardrobeCarcassMaterial,FIND(" ",WardrobeCarcassMaterial))&amp;"(solid m3)",SolidData,4,0))+(((C99/1000)*(D99/1000))*VLOOKUP(LEFT(WardrobeCarcassMaterial,FIND("(",WardrobeCarcassMaterial)-1)&amp;IF(OR(ISERROR(FIND("ply",WardrobeCarcassMaterial))=FALSE,ISERROR(FIND("H/F",WardrobeCarcassMaterial))=FALSE),"(9mm)","(10mm)"),SheetsData,8,0)),IF(ISERROR(FIND("shelf",A99))=FALSE,((C99/1000)*(D99/1000))*VLOOKUP(WardrobeCarcassMaterial,SheetsData,7,FALSE),IF(ISERROR(FIND("Office pod",A99))=FALSE,3*VLOOKUP(WardrobeCarcassMaterial,SheetsData,5,0),IF(ISERROR(FIND(" panel",A99))=FALSE,((B99/1000)*(C99/1000))*VLOOKUP(WardrobeDoorMaterial,SheetsData,8,0),IF(ISERROR(FIND("Fillers",A99))=FALSE,(((0.06*(C99/1000))*2)*VLOOKUP("H/F (18mm)",SheetsData,8,0))+(((0.06*(C99/1000))*2)*VLOOKUP("H/F (9mm)",SheetsData,8,0)),IF(ISERROR(FIND("Cornice (stacked)",A99))=FALSE,((0.08*(C99/1000))*2)*VLOOKUP("H/F (22mm)",SheetsData,8,0),IF(OR(ISERROR(FIND("Plinth",A99))=FALSE,ISERROR(FIND("Cornice (flat)",A99))=FALSE),((B99/1000)*(C99/1000))*VLOOKUP("H/F (18mm)",SheetsData,8,0),IF(ISERROR(FIND("Pelmet",A99))=FALSE,((((B99/1000)*(C99/1000))*2)*VLOOKUP("H/F (18mm)",SheetsData,8,0)),IF(ISERROR(FIND("Fireplace",A99))=FALSE,IF(ISERROR(FIND("over 1600",A99))=FALSE,2*VLOOKUP(WardrobeCarcassMaterial,SheetsData,5,FALSE),VLOOKUP(WardrobeCarcassMaterial,SheetsData,5,FALSE)),IF(ISERROR(FIND("table",A99))=FALSE,((B99/1000)*0.6)*VLOOKUP("Birch ply (24mm)",SheetsData,7,FALSE),IF(ISERROR(FIND("Worktop",A99))=FALSE,((B99/1000)*(C99/1000))*VLOOKUP(WardrobeDoorMaterial,SheetsData,7,FALSE),"Check formula")))))))))))))))))</f>
        <v/>
      </c>
      <c r="F99" s="152" t="str">
        <f>IFERROR(__xludf.DUMMYFUNCTION("IF(OR(A99="""",AND(ISERROR(FIND(""drawer box"",A99))=FALSE,WardrobeDrawerType=""Solid dovetail"")),"""",IF(ISERROR(FIND(""bins"",A99))=FALSE,VLOOKUP(""Base carcass 600"",Wardrobes_etcData,6,0),IF(OR(ISERROR(FIND(""larder"",A99))=FALSE,ISERROR(FIND(""unit"&amp;""",A99))=FALSE),VLOOKUP(LEFT(A99,FIND("" "",A99))&amp;""carcass ""&amp;RIGHT(A99,LEN(A99)-len(regexextract(A99,"".* ""))),Wardrobes_etcData,6,0),IF(ISERROR(FIND(""drawer front"",A99))=FALSE,IF(ISERROR(FIND(""veneer"",WardrobeCarcassMaterial))=TRUE,0,(((B99+C99)/1"&amp;"000)*2)*VLOOKUP(""Edge banding (per M)"",SheetsData,5,0)),IF(ISERROR(FIND(""drawer box"",A99))=FALSE,IF(ISERROR(FIND(""veneer"",WardrobeCarcassMaterial))=TRUE,0,(((C99+D99)/1000)*2)*VLOOKUP(""Edge banding (per M)"",SheetsData,5,0)),IF(ISERROR(FIND(""shelf"&amp;""",A99))=FALSE,IF(ISERROR(FIND(""veneer"",WardrobeCarcassMaterial))=TRUE,0,(C99/1000)*VLOOKUP(""Edge banding (per M)"",SheetsData,5,0)),IF(AND(OR(ISERROR(FIND(""arcass"",A99))=FALSE,ISERROR(FIND(""Fireplace"",A99))=FALSE),ISERROR(FIND(""shelf"",A99))=TRUE"&amp;"),IF(ISERROR(FIND(""veneer"",WardrobeCarcassMaterial))=TRUE,0,((2*(B99+C99))/1000)*VLOOKUP(""Edge banding (per M)"",SheetsData,5,0)),IF(ISERROR(FIND(""door"",A99))=TRUE,"""",IF(ISERROR(FIND(""veneer"",WardrobeDoorMaterial))=TRUE,"""",((2*(B99+C99))/1000)*"&amp;"VLOOKUP(""Edge banding (per M)"",SheetsData,5,0))))))))))"),"")</f>
        <v/>
      </c>
      <c r="G99" s="153" t="str">
        <f>IF(A99="","",IF(AND(ISERROR(FIND("arcass",A99))=TRUE,ISERROR(FIND("Fireplace",A99))=TRUE),"",IF(VALUE(C99)&lt;606,4*VLOOKUP("Plinth foot (2 Parts 80mm)",FurnitureData,5,FALSE),IF(VALUE(C99)&lt;1211,6*VLOOKUP("Plinth foot (2 Parts 80mm)",FurnitureData,5,FALSE),8*VLOOKUP("Plinth foot (2 Parts 80mm)",FurnitureData,5,FALSE)))))</f>
        <v/>
      </c>
      <c r="H99" s="115" t="str">
        <f>IF(OR(A99="",ISERROR(FIND("door",A99))=TRUE),"",VLOOKUP("Hinges &amp; plates (Hettich thick door)",FurnitureData,5,0)*5)</f>
        <v/>
      </c>
      <c r="I99" s="115" t="str">
        <f>IF(ISERROR(FIND("shelf",A99))=FALSE,(VLOOKUP("Shelf pegs",FurnitureData,5,0)/100)*4,"")</f>
        <v/>
      </c>
      <c r="J99" s="152" t="str">
        <f>IF(OR(ISERROR(FIND("fridge/freezer",A99))=FALSE,ISERROR(FIND("sink",A99))=FALSE,ISERROR(FIND("larder",A99))=FALSE),VLOOKUP("Deep shelf "&amp;C99,Wardrobes_etcData,18,0),IF(OR(ISERROR(FIND("single oven",A99))=FALSE,ISERROR(FIND("Base carcass",A99))=FALSE),2*VLOOKUP("Deep shelf "&amp;C99,Wardrobes_etcData,18,0),IF(AND(ISERROR(FIND("wall carcass",A99))=FALSE,ISERROR(FIND("Boiler",A99))=TRUE),2*VLOOKUP("Shallow shelf "&amp;C99,Wardrobes_etcData,18,0),IF(ISERROR(FIND("double oven",A99))=FALSE,3*VLOOKUP("Deep shelf "&amp;C99,Wardrobes_etcData,18,0),IF(ISERROR(FIND("Tower carcass",A99))=FALSE,6*VLOOKUP("Deep shelf "&amp;C99,Wardrobes_etcData,18,0),"")))))</f>
        <v/>
      </c>
      <c r="K99" s="152" t="str">
        <f>IF(ISERROR(FIND("sink",A99))=FALSE,VLOOKUP("Sink liner - Aluminium "&amp;RIGHT(A99,LEN(A99)-22)&amp;"mm",ExceptionalData,5,0),IF(ISERROR(FIND("bins",A99))=FALSE,VLOOKUP("Drawer runners and clip set for bin unit (500) Dynapro",FurnitureData,5,0)+(2*VLOOKUP("Bin (42L Anthracite)",FurnitureData,5,0)),IF(ISERROR(FIND("larder",A99))=FALSE,VLOOKUP("Pull out larder unit 600mm",FurnitureData,5,0),IF(AND(ISERROR(FIND("drawer box",A99))=FALSE,ISERROR(FIND("internal",A99))=TRUE),VLOOKUP("Drawer runners and clip set (550) Dynapro",FurnitureData,5,0),IF(ISERROR(FIND("internal drawer box",A99))=FALSE,VLOOKUP("Drawer runners and clip set (450) Dynapro",FurnitureData,5,0),IF(ISERROR(FIND("table",A99))=FALSE,VLOOKUP("Hairpin Leg (12mm Black "&amp;MID(A99,FIND("(",A99)+1,LEN(A99)-(FIND("(",A99))-1)&amp;"mm)",ExceptionalData,4,FALSE),""))))))</f>
        <v/>
      </c>
      <c r="L99" s="152" t="str">
        <f t="shared" si="3"/>
        <v/>
      </c>
      <c r="M99" s="154" t="str">
        <f>IF(A99="","",IF(AND(ISERROR(FIND("drawer front",A99))=FALSE,WardrobeDoorStyle="Flat"),(((B99/1000)*(C99/1000))*2)+((((B99+C99)/1000)*2)*0.022),IF(AND(ISERROR(FIND("drawer front",A99))=FALSE,LEFT(WardrobeDoorStyle,5)="Panel"),(((B99/1000)*(C99/1000))*2)+((((B99+C99)/1000)*2)*0.022)+((((C99/1000)-0.16)*0.013)*2)+((((D99/1000)-0.16)*0.013)*2),IF(AND(ISERROR(FIND("drawer front",A99))=FALSE,WardrobeDoorStyle="In-frame flat"),((((B99-76)/1000)*((C99-38)/1000))*2)+(MID(WardrobeDoorMaterial,FIND("(",WardrobeDoorMaterial)+1,2)/1000)*((((B99-76)+(C99-38))/1000)*2)+(((B99/1000)*0.032)*2)+((((B99-76)/1000)*0.032)*2)+(((B99/1000)*0.019)*4)+(((C99/1000)*0.032)*2)+((((C99-38)/1000)*0.032)*2)+(((C99/1000)*0.038)*4),IF(AND(ISERROR(FIND("drawer front",A99))=FALSE,LEFT(WardrobeDoorStyle,14)="In-frame panel"),((((B99-76)/1000)*((C99-38)/1000))*2)+((MID(WardrobeDoorMaterial,FIND("(",WardrobeDoorMaterial)+1,2)/1000)*((((B99-76)+(C99-38))/1000)*2))+((((B99-236)/1000)+((C99-198)/1000)*2)*0.013)+(((B99/1000)*0.032)*2)+((((B99-76)/1000)*0.032)*2)+(((B99/1000)*0.019)*4)+(((C99/1000)*0.032)*2)+((((C99-38)/1000)*0.032)*2)+(((C99/1000)*0.038)*4),IF(ISERROR(FIND("drawer box",A99))=FALSE,((((B99/1000)*(D99/1000))+((B99/1000)*(C99/1000)))*4)+((((D99/1000)+(C99/1000))*0.016)*4)+(((C99/1000)*(D99/1000))*2),IF(OR(ISERROR(FIND("shelf",A99))=FALSE,ISERROR(FIND("Filler panel",A99))=FALSE),(((C99/1000)*(D99/1000))*2)+((((C99+D99)*2)/1000)*0.022),IF(ISERROR(FIND("Fireplace",A99))=FALSE,((B99/1000)*(C99/1000)),IF(ISERROR(FIND("Worktop",A99))=FALSE,(B99/1000)*(C99/1000),IF(ISERROR(FIND("table",A99))=FALSE,(B99/1000)*0.6,IF(ISERROR(FIND("arcass",A99))=FALSE,(((C99/1000)*(D99/1000))*2)+(((B99/1000)*(D99/1000))*2)+((B99/1000)*(C99/1000))+((((B99/1000)*0.025)+((C99/1000)*0.025))*2),IF(AND(ISERROR(FIND("door",A99))=FALSE,WardrobeDoorStyle="Flat"),(((B99/1000)*(C99/1000))*2)+(MID(WardrobeDoorMaterial,FIND("(",WardrobeDoorMaterial)+1,2)/1000)*(((B99+C99)/1000)*2),IF(AND(ISERROR(FIND("door",A99))=FALSE,LEFT(WardrobeDoorStyle,5)="Panel"),(((B99/1000)*(C99/1000))*2)+((MID(WardrobeDoorMaterial,FIND("(",WardrobeDoorMaterial)+1,2)/1000)*(((B99+C99)/1000)*2))+(((((B99-160)+(C99-160))*2)/1000)*(0.013)),IF(AND(ISERROR(FIND("door",A99))=FALSE,WardrobeDoorStyle="In-frame flat"),((((B99-76)/1000)*((C99-38)/1000))*2)+(MID(WardrobeDoorMaterial,FIND("(",WardrobeDoorMaterial)+1,2)/1000)*((((B99-76)+(C99-38))/1000)*2)+(((B99/1000)*0.032)*2)+((((B99-76)/1000)*0.032)*2)+(((B99/1000)*0.019)*4)+(((C99/1000)*0.032)*2)+((((C99-38)/1000)*0.032)*2)+(((C99/1000)*0.038)*4),IF(AND(ISERROR(FIND("door",A99))=FALSE,LEFT(WardrobeDoorStyle,14)="In-frame panel"),((((B99-76)/1000)*((C99-38)/1000))*2)+((MID(WardrobeDoorMaterial,FIND("(",WardrobeDoorMaterial)+1,2)/1000)*((((B99-76)+(C99-38))/1000)*2))+((((B99-236)/1000)+((C99-198)/1000)*2)*0.013)+(((B99/1000)*0.032)*2)+((((B99-76)/1000)*0.032)*2)+(((B99/1000)*0.019)*4)+(((C99/1000)*0.032)*2)+((((C99-38)/1000)*0.032)*2)+(((C99/1000)*0.038)*4),IF(ISERROR(FIND("Plinth",A99))=FALSE,((B99/1000)*(C99/1000))+(((C99/1000)*0.018)*2)+(((B99/1000)*0.018)*2),IF(ISERROR(FIND("Cornice",A99))=FALSE,(((C99/1000)*0.1)*2)+(((C99/1000)*0.044)*2)+(((B99/1000)*0.08)*2),IF(ISERROR(FIND("Office pod",A99))=FALSE,((2400/1000)*(1200/1000))*6,IF(ISERROR(FIND("panel",A99))=FALSE,((B99/1000)*(C99/1000))+(0.022*((B99/1000)+((C99/1000)*2)))+((B99/1000)*0.05),IF(ISERROR(FIND("Fillers",A99))=FALSE,((C99/1000)*0.06)+((C99/1000)*0.069)+((0.06*0.018)*2)+((0.06*0.009)*2)+((C99/1000)*0.009)+((C99/1000)*0.018),IF(ISERROR(FIND("Pelmet",A99))=FALSE,((C99/1000)*0.05)+((C99/1000)*0.068)+((0.05*0.018)*4)+(((C99/1000)*0.018))*2)))))))))))))))))))))</f>
        <v/>
      </c>
      <c r="N99" s="152" t="str">
        <f>IF(M99="","",IF(AND(ISERROR(FIND("carcass",A99))=TRUE,ISERROR(FIND("unit",A99))=TRUE,ISERROR(FIND("insert",A99))=TRUE,ISERROR(FIND("rack",A99))=TRUE,ISERROR(FIND("box",A99))=TRUE,ISERROR(FIND("shelf",A99))=TRUE),VLOOKUP(WardrobeDoorFinish,Finishing!$A$2:$K$10,9,0)*M99,IF(ISERROR(FIND("table",A99))=FALSE,VLOOKUP("Sayerlack AF0072 Interior Clear Self-Sealer",FinishingData,9,FALSE)*M99,VLOOKUP(WardrobeCarcassFinish,Finishing!$A$2:$K$40,9,0)*M99)))</f>
        <v/>
      </c>
      <c r="O99" s="159"/>
      <c r="P99" s="159"/>
      <c r="Q99" s="152" t="str">
        <f>IF(OR(O99="",P99=""),"",((O99*X99)*(VLOOKUP("Workshop",Labour!$A$3:$E$20,4,0)/8))+((P99*AE99)*(VLOOKUP("Finishing",Labour!$A$3:$E$20,4,0)/8)))</f>
        <v/>
      </c>
      <c r="R99" s="152" t="str">
        <f t="shared" si="4"/>
        <v/>
      </c>
      <c r="S99" s="156" t="str">
        <f>IF(OR(O99="",P99=""),"",IF(OR(ISERROR(FIND("carcass",$A99))=FALSE,ISERROR(FIND("unit",$A99))=FALSE),VLOOKUP(WardrobeCarcassMaterial,FixedListsCarcassMaterial,2,0),0))</f>
        <v/>
      </c>
      <c r="T99" s="156" t="str">
        <f>IF(OR(O99="",P99=""),"",IF(ISERROR(FIND("door",$A99))=FALSE,VLOOKUP(WardrobeDoorStyle,FixedListsDoorStyle,2,0),0))</f>
        <v/>
      </c>
      <c r="U99" s="156" t="str">
        <f>IF(OR(O99="",P99=""),"",IF(ISERROR(FIND("door",$A99))=FALSE,VLOOKUP(WardrobeDoorMaterial,FixedListsDoorMaterial,2,0),0))</f>
        <v/>
      </c>
      <c r="V99" s="156" t="str">
        <f>IF(OR(O99="",P99=""),"",IF(ISERROR(FIND("drawer",$A99))=FALSE,VLOOKUP(WardrobeDrawerType,FixedListsDrawerType,2,0),0))</f>
        <v/>
      </c>
      <c r="W99" s="156" t="str">
        <f>IF(OR(O99="",P99=""),"",IF(S99&gt;0,VLOOKUP(WardrobeHandleType,FixedListsHandleType,2,FALSE),0))</f>
        <v/>
      </c>
      <c r="X99" s="156" t="str">
        <f t="shared" si="5"/>
        <v/>
      </c>
      <c r="Y99" s="156" t="str">
        <f>IF(OR(O99="",P99=""),"",IF(OR(ISERROR(FIND("carcass",$A99))=FALSE,ISERROR(FIND("unit",$A99))=FALSE),VLOOKUP(WardrobeCarcassMaterial,FixedListsCarcassMaterial,3,0),0))</f>
        <v/>
      </c>
      <c r="Z99" s="156" t="str">
        <f>IF(OR(O99="",P99=""),"",IF(ISERROR(FIND("door",$A99))=FALSE,VLOOKUP(WardrobeDoorStyle,FixedListsDoorStyle,3,0),0))</f>
        <v/>
      </c>
      <c r="AA99" s="156" t="str">
        <f>IF(OR(O99="",P99=""),"",IF(ISERROR(FIND("door",$A99))=FALSE,VLOOKUP(WardrobeDoorMaterial,FixedListsDoorMaterial,3,0),0))</f>
        <v/>
      </c>
      <c r="AB99" s="156" t="str">
        <f>IF(OR(O99="",P99=""),"",IF(ISERROR(FIND("drawer",$A99))=FALSE,VLOOKUP(WardrobeDrawerType,FixedListsDrawerType,3,0),0))</f>
        <v/>
      </c>
      <c r="AC99" s="156" t="str">
        <f>IF(OR(O99="",P99=""),"",IF(S99&gt;0,VLOOKUP(WardrobeHandleType,FixedListsHandleType,3,FALSE),0))</f>
        <v/>
      </c>
      <c r="AD99" s="156" t="str">
        <f>IF(OR(O99="",P99=""),"",IF(OR(ISERROR(FIND("carcass",$A99))=FALSE,ISERROR(FIND("unit",$A99))=FALSE),VLOOKUP(WardrobeCarcassFinish,FixedListsFinishes,3,0),IF(OR(ISERROR(FIND("door",$A99))=FALSE,ISERROR(FIND("Plinth",$A99))=FALSE,ISERROR(FIND("Cornice",$A99))=FALSE,ISERROR(FIND("Fillers",$A99))=FALSE,ISERROR(FIND("Pelmet",$A99))=FALSE,ISERROR(FIND("panel",$A99))=FALSE,ISERROR(FIND("post",$A99))=FALSE),VLOOKUP(WardrobeDoorFinish,FixedListsFinishes,3,0),IF(OR(ISERROR(FIND("drawer",$A99))=FALSE,ISERROR(FIND("insert",$A99))=FALSE,ISERROR(FIND("rck",$A99))=FALSE),VLOOKUP(WardrobeCarcassFinish,FixedListsFinishes,3,0),0))))</f>
        <v/>
      </c>
      <c r="AE99" s="156" t="str">
        <f t="shared" si="6"/>
        <v/>
      </c>
      <c r="AF99" s="157" t="str">
        <f>IF(AND(WardrobeHandleType="Channel",OR(ISERROR(FIND("arcass",$A99))=FALSE,ISERROR(FIND("unit",$A99))=FALSE)),IF(ISERROR(FIND("Tower",$A99))=TRUE,IF(WardrobeHandleFinish="Match carcass",IF(ISERROR(FIND("Walnut",WardrobeCarcassMaterial))=FALSE,(0.035*0.075*($C99/1000))*VLOOKUP("Walnut (solid m3)",SolidData,4,FALSE),IF(ISERROR(FIND("Oak",WardrobeCarcassMaterial))=FALSE,(0.035*0.075*($C99/1000))*VLOOKUP("Oak (solid m3)",SolidData,4,FALSE),IF(ISERROR(FIND("ply",WardrobeCarcassMaterial))=FALSE,(0.1*($C99/1000))*VLOOKUP("Birch ply (24mm)",SheetsData,7,FALSE),IF(ISERROR(FIND("H/F",WardrobeCarcassMaterial))=FALSE,(0.1*($C99/1000))*VLOOKUP("H/F (22mm)",SheetsData,7,FALSE),"Carcass - not tower - new material")))),IF(WardrobeHandleFinish="Match door",IF(ISERROR(FIND("Walnut",WardrobeDoorMaterial))=FALSE,(0.035*0.075*($C99/1000))*VLOOKUP("Walnut (solid m3)",SolidData,4,FALSE),IF(ISERROR(FIND("Oak",WardrobeDoorMaterial))=FALSE,(0.035*0.075*($C99/1000))*VLOOKUP("Oak (solid m3)",SolidData,4,FALSE),IF(ISERROR(FIND("ply",WardrobeDoorMaterial))=FALSE,(0.1*($C99/1000))*VLOOKUP("Birch ply (24mm)",SheetsData,7,FALSE),IF(ISERROR(FIND("H/F",WardrobeCarcassMaterial))=FALSE,(0.1*($C99/1000))*VLOOKUP("H/F (22mm)",SheetsData,7,FALSE),"Door - not tower - new material")))),"Channel - not tower - handle set to other")),IF(ISERROR(FIND("Tower",$A99))=FALSE,IF(WardrobeHandleFinish="Match carcass",IF(ISERROR(FIND("Walnut",WardrobeCarcassMaterial))=FALSE,(0.035*0.075*($B99/1000))*VLOOKUP("Walnut (solid m3)",SolidData,4,FALSE),IF(ISERROR(FIND("Oak",WardrobeCarcassMaterial))=FALSE,(0.035*0.075*($B99/1000))*VLOOKUP("Oak (solid m3)",SolidData,4,FALSE),IF(ISERROR(FIND("ply",WardrobeCarcassMaterial))=FALSE,(0.1*($B99/1000))*VLOOKUP("Birch ply (24mm)",SheetsData,7,FALSE),IF(ISERROR(FIND("H/F",WardrobeCarcassMaterial))=FALSE,(0.1*($C99/1000))*VLOOKUP("H/F (22mm)",SheetsData,7,FALSE),"Carcass - tower - new material")))),IF(WardrobeHandleFinish="Match door",IF(ISERROR(FIND("Walnut",WardrobeDoorMaterial))=FALSE,(0.035*0.075*($B99/1000))*VLOOKUP("Walnut (solid m3)",SolidData,4,FALSE),IF(ISERROR(FIND("Oak",WardrobeDoorMaterial))=FALSE,(0.035*0.075*($B99/1000))*VLOOKUP("Oak (solid m3)",SolidData,4,FALSE),IF(ISERROR(FIND("ply",WardrobeDoorMaterial))=FALSE,(0.1*($B99/1000))*VLOOKUP("Birch ply (24mm)",SheetData,7,FALSE),IF(ISERROR(FIND("H/F",WardrobeCarcassMaterial))=FALSE,(0.1*($C99/1000))*VLOOKUP("H/F (22mm)",SheetsData,7,FALSE),"Door - tower - new material")))),"Channel - tower - handle set to other")))),"")</f>
        <v/>
      </c>
    </row>
    <row r="100">
      <c r="A100" s="150"/>
      <c r="B100" s="160" t="str">
        <f t="shared" si="1"/>
        <v/>
      </c>
      <c r="C100" s="160" t="str">
        <f>IFERROR(__xludf.DUMMYFUNCTION("IF(A100="""","""",IF(ISERROR(FIND(""arcass"",A100))=FALSE,MID(A100,FIND(""*"",A100)+1,FIND(""*"",A100,FIND(""*"",A100)+1)-FIND(""*"",A100)-1),IF(ISERROR(FIND(""End panel"",A100))=FALSE,RIGHT(A100,3),IF(OR(ISERROR(FIND(""drawer"",A100))=FALSE,ISERROR(FIND("&amp;"""door"",A100))=FALSE,ISERROR(FIND(""shelf"",A100))=FALSE,ISERROR(FIND(""panel"",A100))=FALSE,ISERROR(FIND(""Plinth"",A100))=FALSE,ISERROR(FIND(""Cornice"",A100))=FALSE,ISERROR(FIND(""Fillers"",A100))=FALSE,ISERROR(FIND(""Pelmet"",A100))=FALSE,ISERROR(FIN"&amp;"D(""Fireplace up to 1600"",A100))=FALSE),RIGHT(A100,LEN(A100)-LEN(regexextract(A100,"".* ""))),IF(ISERROR(FIND(""table"",A100))=FALSE,""560"",IF(ISERROR(FIND(""Office pod"",A100))=FALSE,""1600"",IF(ISERROR(FIND(""Fireplace over 1600"",A100))=FALSE,""2400"&amp;""",IF(ISERROR(FIND(""Worktop"",A100))=FALSE,""650"",""Whoops""))))))))"),"")</f>
        <v/>
      </c>
      <c r="D100" s="161" t="str">
        <f t="shared" si="2"/>
        <v/>
      </c>
      <c r="E100" s="152" t="str">
        <f>IF(OR(A100="",AND(ISERROR(FIND("drawer",A100))=FALSE,WardrobeDrawerType="")),"",IF(ISERROR(FIND("door",A100))=FALSE,IF(WardrobeDoorStyle="Flat",((B100/1000)*(C100/1000))*VLOOKUP(WardrobeDoorMaterial,SheetsData,8,0),IF(LEFT(WardrobeDoorStyle,5)="Panel",(((((B100/1000)*2)*0.08)+((((C100/1000)-0.16)*2)*0.08))*VLOOKUP("H/F (22mm)",SheetsData,8,0))+(((B100/1000)-0.14)*((C100/1000)-0.14)*VLOOKUP("H/F (9mm)",SheetsData,8,0)),IF(WardrobeDoorStyle="In-frame flat",((((((B100/1000)*0.019)*0.038)+((((C100-38)/1000)*0.038)*0.038))*2)*VLOOKUP("Tulip (solid m3)",SolidData,4,0))+(((B100-76)/1000)*((C100-38)/1000))*VLOOKUP("H/F (22mm)",SheetsData,8,0),IF(LEFT(WardrobeDoorStyle,14)="In-frame panel",(((((((B100/1000)*0.019)*0.038)+((((C100-38)/1000)*0.038)*0.038))*2)*VLOOKUP("Tulip (solid m3)",SolidData,4,0))+(((((((B100-76)/1000)*2)*0.08)+(((((C100-198)/1000)*2)*0.08)))*VLOOKUP("H/F (22mm)",SheetsData,8,0))+(((B100-216)/1000)*((C100-178)/1000)*VLOOKUP("H/F (9mm)",SheetsData,8,0)))))))),IF(AND(ISERROR(FIND("arcass",A100))=FALSE,ISERROR(FIND("ost corner",A100))=TRUE),IF(AND(VALUE(B100)&lt;1211,VALUE(C100)&lt;1211,VALUE(D100)&lt;606),1*VLOOKUP(WardrobeCarcassMaterial,SheetsData,5,FALSE),IF(AND(VALUE(B100)&lt;2421,VALUE(C100)&lt;2421,VALUE(D100)&lt;606),2*VLOOKUP(WardrobeCarcassMaterial,SheetsData,5,FALSE),IF(AND(VALUE(B100)&lt;2421,VALUE(C100)&lt;1211,VALUE(D100)&lt;1211),3*VLOOKUP(WardrobeCarcassMaterial,SheetsData,5,FALSE),IF(AND(VALUE(B100)&lt;2421,VALUE(C100)&lt;2421,VALUE(D100)&lt;1211),4*VLOOKUP(WardrobeCarcassMaterial,SheetsData,5,FALSE))))),IF(AND(ISERROR(FIND("arcass",A100))=FALSE,ISERROR(FIND("ost corner",A100))=FALSE),IF(AND(VALUE(B100)&lt;1211,VALUE(C100)&lt;1211,VALUE(D100)&lt;606),(1*VLOOKUP(WardrobeCarcassMaterial,SheetsData,5,FALSE))+(VLOOKUP("H/F (22mm)",SheetsData,7,FALSE)*1.44),IF(AND(VALUE(B100)&lt;2421,VALUE(C100)&lt;2421,VALUE(D100)&lt;606),(2*VLOOKUP(WardrobeCarcassMaterial,SheetsData,5,FALSE))+(VLOOKUP("H/F (22mm)",SheetsData,7,FALSE)*1.44),IF(AND(VALUE(B100)&lt;2421,VALUE(C100)&lt;1211,VALUE(D100)&lt;1211),(3*VLOOKUP(WardrobeCarcassMaterial,SheetsData,5,FALSE))+(VLOOKUP("H/F (22mm)",SheetsData,7,FALSE)*1.44),IF(AND(VALUE(B100)&lt;2421,VALUE(C100)&lt;2421,VALUE(D100)&lt;1211),(4*VLOOKUP(WardrobeCarcassMaterial,SheetsData,5,FALSE))+(VLOOKUP("H/F (22mm)",SheetsData,7,FALSE)*1.44))))),IF(ISERROR(FIND("drawer front",A100))=FALSE,((B100/1000)*(C100/1000))*VLOOKUP(WardrobeDoorMaterial,SheetsData,8,0),IF(AND(WardrobeDrawerType="Match carcass",ISERROR(FIND("drawer box",A100))=FALSE),(((((B100/1000)*(C100/1000))+((B100/1000)*(D100/1000)))*2)*VLOOKUP(WardrobeCarcassMaterial,SheetsData,8,0))+(((C100/1000)*(D100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box",A100))=FALSE),(((((B100/1000)*(C100/1000))+((B100/1000)*(D100/1000)))*2)*(16/1000)*VLOOKUP(LEFT(WardrobeCarcassMaterial,FIND(" ",WardrobeCarcassMaterial))&amp;"(solid m3)",SolidData,4,0))+(((C100/1000)*(D100/1000))*VLOOKUP(LEFT(WardrobeCarcassMaterial,FIND("(",WardrobeCarcassMaterial)-1)&amp;IF(OR(ISERROR(FIND("ply",WardrobeCarcassMaterial))=FALSE,ISERROR(FIND("H/F",WardrobeCarcassMaterial))=FALSE),"(9mm)","(10mm)"),SheetsData,8,0)),IF(ISERROR(FIND("shelf",A100))=FALSE,((C100/1000)*(D100/1000))*VLOOKUP(WardrobeCarcassMaterial,SheetsData,7,FALSE),IF(ISERROR(FIND("Office pod",A100))=FALSE,3*VLOOKUP(WardrobeCarcassMaterial,SheetsData,5,0),IF(ISERROR(FIND(" panel",A100))=FALSE,((B100/1000)*(C100/1000))*VLOOKUP(WardrobeDoorMaterial,SheetsData,8,0),IF(ISERROR(FIND("Fillers",A100))=FALSE,(((0.06*(C100/1000))*2)*VLOOKUP("H/F (18mm)",SheetsData,8,0))+(((0.06*(C100/1000))*2)*VLOOKUP("H/F (9mm)",SheetsData,8,0)),IF(ISERROR(FIND("Cornice (stacked)",A100))=FALSE,((0.08*(C100/1000))*2)*VLOOKUP("H/F (22mm)",SheetsData,8,0),IF(OR(ISERROR(FIND("Plinth",A100))=FALSE,ISERROR(FIND("Cornice (flat)",A100))=FALSE),((B100/1000)*(C100/1000))*VLOOKUP("H/F (18mm)",SheetsData,8,0),IF(ISERROR(FIND("Pelmet",A100))=FALSE,((((B100/1000)*(C100/1000))*2)*VLOOKUP("H/F (18mm)",SheetsData,8,0)),IF(ISERROR(FIND("Fireplace",A100))=FALSE,IF(ISERROR(FIND("over 1600",A100))=FALSE,2*VLOOKUP(WardrobeCarcassMaterial,SheetsData,5,FALSE),VLOOKUP(WardrobeCarcassMaterial,SheetsData,5,FALSE)),IF(ISERROR(FIND("table",A100))=FALSE,((B100/1000)*0.6)*VLOOKUP("Birch ply (24mm)",SheetsData,7,FALSE),IF(ISERROR(FIND("Worktop",A100))=FALSE,((B100/1000)*(C100/1000))*VLOOKUP(WardrobeDoorMaterial,SheetsData,7,FALSE),"Check formula")))))))))))))))))</f>
        <v/>
      </c>
      <c r="F100" s="152" t="str">
        <f>IFERROR(__xludf.DUMMYFUNCTION("IF(OR(A100="""",AND(ISERROR(FIND(""drawer box"",A100))=FALSE,WardrobeDrawerType=""Solid dovetail"")),"""",IF(ISERROR(FIND(""bins"",A100))=FALSE,VLOOKUP(""Base carcass 600"",Wardrobes_etcData,6,0),IF(OR(ISERROR(FIND(""larder"",A100))=FALSE,ISERROR(FIND(""u"&amp;"nit"",A100))=FALSE),VLOOKUP(LEFT(A100,FIND("" "",A100))&amp;""carcass ""&amp;RIGHT(A100,LEN(A100)-len(regexextract(A100,"".* ""))),Wardrobes_etcData,6,0),IF(ISERROR(FIND(""drawer front"",A100))=FALSE,IF(ISERROR(FIND(""veneer"",WardrobeCarcassMaterial))=TRUE,0,((("&amp;"B100+C100)/1000)*2)*VLOOKUP(""Edge banding (per M)"",SheetsData,5,0)),IF(ISERROR(FIND(""drawer box"",A100))=FALSE,IF(ISERROR(FIND(""veneer"",WardrobeCarcassMaterial))=TRUE,0,(((C100+D100)/1000)*2)*VLOOKUP(""Edge banding (per M)"",SheetsData,5,0)),IF(ISERR"&amp;"OR(FIND(""shelf"",A100))=FALSE,IF(ISERROR(FIND(""veneer"",WardrobeCarcassMaterial))=TRUE,0,(C100/1000)*VLOOKUP(""Edge banding (per M)"",SheetsData,5,0)),IF(AND(OR(ISERROR(FIND(""arcass"",A100))=FALSE,ISERROR(FIND(""Fireplace"",A100))=FALSE),ISERROR(FIND("&amp;"""shelf"",A100))=TRUE),IF(ISERROR(FIND(""veneer"",WardrobeCarcassMaterial))=TRUE,0,((2*(B100+C100))/1000)*VLOOKUP(""Edge banding (per M)"",SheetsData,5,0)),IF(ISERROR(FIND(""door"",A100))=TRUE,"""",IF(ISERROR(FIND(""veneer"",WardrobeDoorMaterial))=TRUE,"""&amp;""",((2*(B100+C100))/1000)*VLOOKUP(""Edge banding (per M)"",SheetsData,5,0))))))))))"),"")</f>
        <v/>
      </c>
      <c r="G100" s="153" t="str">
        <f>IF(A100="","",IF(AND(ISERROR(FIND("arcass",A100))=TRUE,ISERROR(FIND("Fireplace",A100))=TRUE),"",IF(VALUE(C100)&lt;606,4*VLOOKUP("Plinth foot (2 Parts 80mm)",FurnitureData,5,FALSE),IF(VALUE(C100)&lt;1211,6*VLOOKUP("Plinth foot (2 Parts 80mm)",FurnitureData,5,FALSE),8*VLOOKUP("Plinth foot (2 Parts 80mm)",FurnitureData,5,FALSE)))))</f>
        <v/>
      </c>
      <c r="H100" s="115" t="str">
        <f>IF(OR(A100="",ISERROR(FIND("door",A100))=TRUE),"",VLOOKUP("Hinges &amp; plates (Hettich thick door)",FurnitureData,5,0)*5)</f>
        <v/>
      </c>
      <c r="I100" s="115" t="str">
        <f>IF(ISERROR(FIND("shelf",A100))=FALSE,(VLOOKUP("Shelf pegs",FurnitureData,5,0)/100)*4,"")</f>
        <v/>
      </c>
      <c r="J100" s="152" t="str">
        <f>IF(OR(ISERROR(FIND("fridge/freezer",A100))=FALSE,ISERROR(FIND("sink",A100))=FALSE,ISERROR(FIND("larder",A100))=FALSE),VLOOKUP("Deep shelf "&amp;C100,Wardrobes_etcData,18,0),IF(OR(ISERROR(FIND("single oven",A100))=FALSE,ISERROR(FIND("Base carcass",A100))=FALSE),2*VLOOKUP("Deep shelf "&amp;C100,Wardrobes_etcData,18,0),IF(AND(ISERROR(FIND("wall carcass",A100))=FALSE,ISERROR(FIND("Boiler",A100))=TRUE),2*VLOOKUP("Shallow shelf "&amp;C100,Wardrobes_etcData,18,0),IF(ISERROR(FIND("double oven",A100))=FALSE,3*VLOOKUP("Deep shelf "&amp;C100,Wardrobes_etcData,18,0),IF(ISERROR(FIND("Tower carcass",A100))=FALSE,6*VLOOKUP("Deep shelf "&amp;C100,Wardrobes_etcData,18,0),"")))))</f>
        <v/>
      </c>
      <c r="K100" s="152" t="str">
        <f>IF(ISERROR(FIND("sink",A100))=FALSE,VLOOKUP("Sink liner - Aluminium "&amp;RIGHT(A100,LEN(A100)-22)&amp;"mm",ExceptionalData,5,0),IF(ISERROR(FIND("bins",A100))=FALSE,VLOOKUP("Drawer runners and clip set for bin unit (500) Dynapro",FurnitureData,5,0)+(2*VLOOKUP("Bin (42L Anthracite)",FurnitureData,5,0)),IF(ISERROR(FIND("larder",A100))=FALSE,VLOOKUP("Pull out larder unit 600mm",FurnitureData,5,0),IF(AND(ISERROR(FIND("drawer box",A100))=FALSE,ISERROR(FIND("internal",A100))=TRUE),VLOOKUP("Drawer runners and clip set (550) Dynapro",FurnitureData,5,0),IF(ISERROR(FIND("internal drawer box",A100))=FALSE,VLOOKUP("Drawer runners and clip set (450) Dynapro",FurnitureData,5,0),IF(ISERROR(FIND("table",A100))=FALSE,VLOOKUP("Hairpin Leg (12mm Black "&amp;MID(A100,FIND("(",A100)+1,LEN(A100)-(FIND("(",A100))-1)&amp;"mm)",ExceptionalData,4,FALSE),""))))))</f>
        <v/>
      </c>
      <c r="L100" s="152" t="str">
        <f t="shared" si="3"/>
        <v/>
      </c>
      <c r="M100" s="154" t="str">
        <f>IF(A100="","",IF(AND(ISERROR(FIND("drawer front",A100))=FALSE,WardrobeDoorStyle="Flat"),(((B100/1000)*(C100/1000))*2)+((((B100+C100)/1000)*2)*0.022),IF(AND(ISERROR(FIND("drawer front",A100))=FALSE,LEFT(WardrobeDoorStyle,5)="Panel"),(((B100/1000)*(C100/1000))*2)+((((B100+C100)/1000)*2)*0.022)+((((C100/1000)-0.16)*0.013)*2)+((((D100/1000)-0.16)*0.013)*2),IF(AND(ISERROR(FIND("drawer front",A100))=FALSE,WardrobeDoorStyle="In-frame flat"),((((B100-76)/1000)*((C100-38)/1000))*2)+(MID(WardrobeDoorMaterial,FIND("(",WardrobeDoorMaterial)+1,2)/1000)*((((B100-76)+(C100-38))/1000)*2)+(((B100/1000)*0.032)*2)+((((B100-76)/1000)*0.032)*2)+(((B100/1000)*0.019)*4)+(((C100/1000)*0.032)*2)+((((C100-38)/1000)*0.032)*2)+(((C100/1000)*0.038)*4),IF(AND(ISERROR(FIND("drawer front",A100))=FALSE,LEFT(WardrobeDoorStyle,14)="In-frame panel"),((((B100-76)/1000)*((C100-38)/1000))*2)+((MID(WardrobeDoorMaterial,FIND("(",WardrobeDoorMaterial)+1,2)/1000)*((((B100-76)+(C100-38))/1000)*2))+((((B100-236)/1000)+((C100-198)/1000)*2)*0.013)+(((B100/1000)*0.032)*2)+((((B100-76)/1000)*0.032)*2)+(((B100/1000)*0.019)*4)+(((C100/1000)*0.032)*2)+((((C100-38)/1000)*0.032)*2)+(((C100/1000)*0.038)*4),IF(ISERROR(FIND("drawer box",A100))=FALSE,((((B100/1000)*(D100/1000))+((B100/1000)*(C100/1000)))*4)+((((D100/1000)+(C100/1000))*0.016)*4)+(((C100/1000)*(D100/1000))*2),IF(OR(ISERROR(FIND("shelf",A100))=FALSE,ISERROR(FIND("Filler panel",A100))=FALSE),(((C100/1000)*(D100/1000))*2)+((((C100+D100)*2)/1000)*0.022),IF(ISERROR(FIND("Fireplace",A100))=FALSE,((B100/1000)*(C100/1000)),IF(ISERROR(FIND("Worktop",A100))=FALSE,(B100/1000)*(C100/1000),IF(ISERROR(FIND("table",A100))=FALSE,(B100/1000)*0.6,IF(ISERROR(FIND("arcass",A100))=FALSE,(((C100/1000)*(D100/1000))*2)+(((B100/1000)*(D100/1000))*2)+((B100/1000)*(C100/1000))+((((B100/1000)*0.025)+((C100/1000)*0.025))*2),IF(AND(ISERROR(FIND("door",A100))=FALSE,WardrobeDoorStyle="Flat"),(((B100/1000)*(C100/1000))*2)+(MID(WardrobeDoorMaterial,FIND("(",WardrobeDoorMaterial)+1,2)/1000)*(((B100+C100)/1000)*2),IF(AND(ISERROR(FIND("door",A100))=FALSE,LEFT(WardrobeDoorStyle,5)="Panel"),(((B100/1000)*(C100/1000))*2)+((MID(WardrobeDoorMaterial,FIND("(",WardrobeDoorMaterial)+1,2)/1000)*(((B100+C100)/1000)*2))+(((((B100-160)+(C100-160))*2)/1000)*(0.013)),IF(AND(ISERROR(FIND("door",A100))=FALSE,WardrobeDoorStyle="In-frame flat"),((((B100-76)/1000)*((C100-38)/1000))*2)+(MID(WardrobeDoorMaterial,FIND("(",WardrobeDoorMaterial)+1,2)/1000)*((((B100-76)+(C100-38))/1000)*2)+(((B100/1000)*0.032)*2)+((((B100-76)/1000)*0.032)*2)+(((B100/1000)*0.019)*4)+(((C100/1000)*0.032)*2)+((((C100-38)/1000)*0.032)*2)+(((C100/1000)*0.038)*4),IF(AND(ISERROR(FIND("door",A100))=FALSE,LEFT(WardrobeDoorStyle,14)="In-frame panel"),((((B100-76)/1000)*((C100-38)/1000))*2)+((MID(WardrobeDoorMaterial,FIND("(",WardrobeDoorMaterial)+1,2)/1000)*((((B100-76)+(C100-38))/1000)*2))+((((B100-236)/1000)+((C100-198)/1000)*2)*0.013)+(((B100/1000)*0.032)*2)+((((B100-76)/1000)*0.032)*2)+(((B100/1000)*0.019)*4)+(((C100/1000)*0.032)*2)+((((C100-38)/1000)*0.032)*2)+(((C100/1000)*0.038)*4),IF(ISERROR(FIND("Plinth",A100))=FALSE,((B100/1000)*(C100/1000))+(((C100/1000)*0.018)*2)+(((B100/1000)*0.018)*2),IF(ISERROR(FIND("Cornice",A100))=FALSE,(((C100/1000)*0.1)*2)+(((C100/1000)*0.044)*2)+(((B100/1000)*0.08)*2),IF(ISERROR(FIND("Office pod",A100))=FALSE,((2400/1000)*(1200/1000))*6,IF(ISERROR(FIND("panel",A100))=FALSE,((B100/1000)*(C100/1000))+(0.022*((B100/1000)+((C100/1000)*2)))+((B100/1000)*0.05),IF(ISERROR(FIND("Fillers",A100))=FALSE,((C100/1000)*0.06)+((C100/1000)*0.069)+((0.06*0.018)*2)+((0.06*0.009)*2)+((C100/1000)*0.009)+((C100/1000)*0.018),IF(ISERROR(FIND("Pelmet",A100))=FALSE,((C100/1000)*0.05)+((C100/1000)*0.068)+((0.05*0.018)*4)+(((C100/1000)*0.018))*2)))))))))))))))))))))</f>
        <v/>
      </c>
      <c r="N100" s="152" t="str">
        <f>IF(M100="","",IF(AND(ISERROR(FIND("carcass",A100))=TRUE,ISERROR(FIND("unit",A100))=TRUE,ISERROR(FIND("insert",A100))=TRUE,ISERROR(FIND("rack",A100))=TRUE,ISERROR(FIND("box",A100))=TRUE,ISERROR(FIND("shelf",A100))=TRUE),VLOOKUP(WardrobeDoorFinish,Finishing!$A$2:$K$10,9,0)*M100,IF(ISERROR(FIND("table",A100))=FALSE,VLOOKUP("Sayerlack AF0072 Interior Clear Self-Sealer",FinishingData,9,FALSE)*M100,VLOOKUP(WardrobeCarcassFinish,Finishing!$A$2:$K$40,9,0)*M100)))</f>
        <v/>
      </c>
      <c r="O100" s="159"/>
      <c r="P100" s="159"/>
      <c r="Q100" s="152" t="str">
        <f>IF(OR(O100="",P100=""),"",((O100*X100)*(VLOOKUP("Workshop",Labour!$A$3:$E$20,4,0)/8))+((P100*AE100)*(VLOOKUP("Finishing",Labour!$A$3:$E$20,4,0)/8)))</f>
        <v/>
      </c>
      <c r="R100" s="152" t="str">
        <f t="shared" si="4"/>
        <v/>
      </c>
      <c r="S100" s="156" t="str">
        <f>IF(OR(O100="",P100=""),"",IF(OR(ISERROR(FIND("carcass",$A100))=FALSE,ISERROR(FIND("unit",$A100))=FALSE),VLOOKUP(WardrobeCarcassMaterial,FixedListsCarcassMaterial,2,0),0))</f>
        <v/>
      </c>
      <c r="T100" s="156" t="str">
        <f>IF(OR(O100="",P100=""),"",IF(ISERROR(FIND("door",$A100))=FALSE,VLOOKUP(WardrobeDoorStyle,FixedListsDoorStyle,2,0),0))</f>
        <v/>
      </c>
      <c r="U100" s="156" t="str">
        <f>IF(OR(O100="",P100=""),"",IF(ISERROR(FIND("door",$A100))=FALSE,VLOOKUP(WardrobeDoorMaterial,FixedListsDoorMaterial,2,0),0))</f>
        <v/>
      </c>
      <c r="V100" s="156" t="str">
        <f>IF(OR(O100="",P100=""),"",IF(ISERROR(FIND("drawer",$A100))=FALSE,VLOOKUP(WardrobeDrawerType,FixedListsDrawerType,2,0),0))</f>
        <v/>
      </c>
      <c r="W100" s="156" t="str">
        <f>IF(OR(O100="",P100=""),"",IF(S100&gt;0,VLOOKUP(WardrobeHandleType,FixedListsHandleType,2,FALSE),0))</f>
        <v/>
      </c>
      <c r="X100" s="156" t="str">
        <f t="shared" si="5"/>
        <v/>
      </c>
      <c r="Y100" s="156" t="str">
        <f>IF(OR(O100="",P100=""),"",IF(OR(ISERROR(FIND("carcass",$A100))=FALSE,ISERROR(FIND("unit",$A100))=FALSE),VLOOKUP(WardrobeCarcassMaterial,FixedListsCarcassMaterial,3,0),0))</f>
        <v/>
      </c>
      <c r="Z100" s="156" t="str">
        <f>IF(OR(O100="",P100=""),"",IF(ISERROR(FIND("door",$A100))=FALSE,VLOOKUP(WardrobeDoorStyle,FixedListsDoorStyle,3,0),0))</f>
        <v/>
      </c>
      <c r="AA100" s="156" t="str">
        <f>IF(OR(O100="",P100=""),"",IF(ISERROR(FIND("door",$A100))=FALSE,VLOOKUP(WardrobeDoorMaterial,FixedListsDoorMaterial,3,0),0))</f>
        <v/>
      </c>
      <c r="AB100" s="156" t="str">
        <f>IF(OR(O100="",P100=""),"",IF(ISERROR(FIND("drawer",$A100))=FALSE,VLOOKUP(WardrobeDrawerType,FixedListsDrawerType,3,0),0))</f>
        <v/>
      </c>
      <c r="AC100" s="156" t="str">
        <f>IF(OR(O100="",P100=""),"",IF(S100&gt;0,VLOOKUP(WardrobeHandleType,FixedListsHandleType,3,FALSE),0))</f>
        <v/>
      </c>
      <c r="AD100" s="156" t="str">
        <f>IF(OR(O100="",P100=""),"",IF(OR(ISERROR(FIND("carcass",$A100))=FALSE,ISERROR(FIND("unit",$A100))=FALSE),VLOOKUP(WardrobeCarcassFinish,FixedListsFinishes,3,0),IF(OR(ISERROR(FIND("door",$A100))=FALSE,ISERROR(FIND("Plinth",$A100))=FALSE,ISERROR(FIND("Cornice",$A100))=FALSE,ISERROR(FIND("Fillers",$A100))=FALSE,ISERROR(FIND("Pelmet",$A100))=FALSE,ISERROR(FIND("panel",$A100))=FALSE,ISERROR(FIND("post",$A100))=FALSE),VLOOKUP(WardrobeDoorFinish,FixedListsFinishes,3,0),IF(OR(ISERROR(FIND("drawer",$A100))=FALSE,ISERROR(FIND("insert",$A100))=FALSE,ISERROR(FIND("rck",$A100))=FALSE),VLOOKUP(WardrobeCarcassFinish,FixedListsFinishes,3,0),0))))</f>
        <v/>
      </c>
      <c r="AE100" s="156" t="str">
        <f t="shared" si="6"/>
        <v/>
      </c>
      <c r="AF100" s="157" t="str">
        <f>IF(AND(WardrobeHandleType="Channel",OR(ISERROR(FIND("arcass",$A100))=FALSE,ISERROR(FIND("unit",$A100))=FALSE)),IF(ISERROR(FIND("Tower",$A100))=TRUE,IF(WardrobeHandleFinish="Match carcass",IF(ISERROR(FIND("Walnut",WardrobeCarcassMaterial))=FALSE,(0.035*0.075*($C100/1000))*VLOOKUP("Walnut (solid m3)",SolidData,4,FALSE),IF(ISERROR(FIND("Oak",WardrobeCarcassMaterial))=FALSE,(0.035*0.075*($C100/1000))*VLOOKUP("Oak (solid m3)",SolidData,4,FALSE),IF(ISERROR(FIND("ply",WardrobeCarcassMaterial))=FALSE,(0.1*($C100/1000))*VLOOKUP("Birch ply (24mm)",SheetsData,7,FALSE),IF(ISERROR(FIND("H/F",WardrobeCarcassMaterial))=FALSE,(0.1*($C100/1000))*VLOOKUP("H/F (22mm)",SheetsData,7,FALSE),"Carcass - not tower - new material")))),IF(WardrobeHandleFinish="Match door",IF(ISERROR(FIND("Walnut",WardrobeDoorMaterial))=FALSE,(0.035*0.075*($C100/1000))*VLOOKUP("Walnut (solid m3)",SolidData,4,FALSE),IF(ISERROR(FIND("Oak",WardrobeDoorMaterial))=FALSE,(0.035*0.075*($C100/1000))*VLOOKUP("Oak (solid m3)",SolidData,4,FALSE),IF(ISERROR(FIND("ply",WardrobeDoorMaterial))=FALSE,(0.1*($C100/1000))*VLOOKUP("Birch ply (24mm)",SheetsData,7,FALSE),IF(ISERROR(FIND("H/F",WardrobeCarcassMaterial))=FALSE,(0.1*($C100/1000))*VLOOKUP("H/F (22mm)",SheetsData,7,FALSE),"Door - not tower - new material")))),"Channel - not tower - handle set to other")),IF(ISERROR(FIND("Tower",$A100))=FALSE,IF(WardrobeHandleFinish="Match carcass",IF(ISERROR(FIND("Walnut",WardrobeCarcassMaterial))=FALSE,(0.035*0.075*($B100/1000))*VLOOKUP("Walnut (solid m3)",SolidData,4,FALSE),IF(ISERROR(FIND("Oak",WardrobeCarcassMaterial))=FALSE,(0.035*0.075*($B100/1000))*VLOOKUP("Oak (solid m3)",SolidData,4,FALSE),IF(ISERROR(FIND("ply",WardrobeCarcassMaterial))=FALSE,(0.1*($B100/1000))*VLOOKUP("Birch ply (24mm)",SheetsData,7,FALSE),IF(ISERROR(FIND("H/F",WardrobeCarcassMaterial))=FALSE,(0.1*($C100/1000))*VLOOKUP("H/F (22mm)",SheetsData,7,FALSE),"Carcass - tower - new material")))),IF(WardrobeHandleFinish="Match door",IF(ISERROR(FIND("Walnut",WardrobeDoorMaterial))=FALSE,(0.035*0.075*($B100/1000))*VLOOKUP("Walnut (solid m3)",SolidData,4,FALSE),IF(ISERROR(FIND("Oak",WardrobeDoorMaterial))=FALSE,(0.035*0.075*($B100/1000))*VLOOKUP("Oak (solid m3)",SolidData,4,FALSE),IF(ISERROR(FIND("ply",WardrobeDoorMaterial))=FALSE,(0.1*($B100/1000))*VLOOKUP("Birch ply (24mm)",SheetData,7,FALSE),IF(ISERROR(FIND("H/F",WardrobeCarcassMaterial))=FALSE,(0.1*($C100/1000))*VLOOKUP("H/F (22mm)",SheetsData,7,FALSE),"Door - tower - new material")))),"Channel - tower - handle set to other")))),"")</f>
        <v/>
      </c>
    </row>
    <row r="101">
      <c r="A101" s="150"/>
      <c r="B101" s="160" t="str">
        <f t="shared" si="1"/>
        <v/>
      </c>
      <c r="C101" s="160" t="str">
        <f>IFERROR(__xludf.DUMMYFUNCTION("IF(A101="""","""",IF(ISERROR(FIND(""arcass"",A101))=FALSE,MID(A101,FIND(""*"",A101)+1,FIND(""*"",A101,FIND(""*"",A101)+1)-FIND(""*"",A101)-1),IF(ISERROR(FIND(""End panel"",A101))=FALSE,RIGHT(A101,3),IF(OR(ISERROR(FIND(""drawer"",A101))=FALSE,ISERROR(FIND("&amp;"""door"",A101))=FALSE,ISERROR(FIND(""shelf"",A101))=FALSE,ISERROR(FIND(""panel"",A101))=FALSE,ISERROR(FIND(""Plinth"",A101))=FALSE,ISERROR(FIND(""Cornice"",A101))=FALSE,ISERROR(FIND(""Fillers"",A101))=FALSE,ISERROR(FIND(""Pelmet"",A101))=FALSE,ISERROR(FIN"&amp;"D(""Fireplace up to 1600"",A101))=FALSE),RIGHT(A101,LEN(A101)-LEN(regexextract(A101,"".* ""))),IF(ISERROR(FIND(""table"",A101))=FALSE,""560"",IF(ISERROR(FIND(""Office pod"",A101))=FALSE,""1600"",IF(ISERROR(FIND(""Fireplace over 1600"",A101))=FALSE,""2400"&amp;""",IF(ISERROR(FIND(""Worktop"",A101))=FALSE,""650"",""Whoops""))))))))"),"")</f>
        <v/>
      </c>
      <c r="D101" s="161" t="str">
        <f t="shared" si="2"/>
        <v/>
      </c>
      <c r="E101" s="152" t="str">
        <f>IF(OR(A101="",AND(ISERROR(FIND("drawer",A101))=FALSE,WardrobeDrawerType="")),"",IF(ISERROR(FIND("door",A101))=FALSE,IF(WardrobeDoorStyle="Flat",((B101/1000)*(C101/1000))*VLOOKUP(WardrobeDoorMaterial,SheetsData,8,0),IF(LEFT(WardrobeDoorStyle,5)="Panel",(((((B101/1000)*2)*0.08)+((((C101/1000)-0.16)*2)*0.08))*VLOOKUP("H/F (22mm)",SheetsData,8,0))+(((B101/1000)-0.14)*((C101/1000)-0.14)*VLOOKUP("H/F (9mm)",SheetsData,8,0)),IF(WardrobeDoorStyle="In-frame flat",((((((B101/1000)*0.019)*0.038)+((((C101-38)/1000)*0.038)*0.038))*2)*VLOOKUP("Tulip (solid m3)",SolidData,4,0))+(((B101-76)/1000)*((C101-38)/1000))*VLOOKUP("H/F (22mm)",SheetsData,8,0),IF(LEFT(WardrobeDoorStyle,14)="In-frame panel",(((((((B101/1000)*0.019)*0.038)+((((C101-38)/1000)*0.038)*0.038))*2)*VLOOKUP("Tulip (solid m3)",SolidData,4,0))+(((((((B101-76)/1000)*2)*0.08)+(((((C101-198)/1000)*2)*0.08)))*VLOOKUP("H/F (22mm)",SheetsData,8,0))+(((B101-216)/1000)*((C101-178)/1000)*VLOOKUP("H/F (9mm)",SheetsData,8,0)))))))),IF(AND(ISERROR(FIND("arcass",A101))=FALSE,ISERROR(FIND("ost corner",A101))=TRUE),IF(AND(VALUE(B101)&lt;1211,VALUE(C101)&lt;1211,VALUE(D101)&lt;606),1*VLOOKUP(WardrobeCarcassMaterial,SheetsData,5,FALSE),IF(AND(VALUE(B101)&lt;2421,VALUE(C101)&lt;2421,VALUE(D101)&lt;606),2*VLOOKUP(WardrobeCarcassMaterial,SheetsData,5,FALSE),IF(AND(VALUE(B101)&lt;2421,VALUE(C101)&lt;1211,VALUE(D101)&lt;1211),3*VLOOKUP(WardrobeCarcassMaterial,SheetsData,5,FALSE),IF(AND(VALUE(B101)&lt;2421,VALUE(C101)&lt;2421,VALUE(D101)&lt;1211),4*VLOOKUP(WardrobeCarcassMaterial,SheetsData,5,FALSE))))),IF(AND(ISERROR(FIND("arcass",A101))=FALSE,ISERROR(FIND("ost corner",A101))=FALSE),IF(AND(VALUE(B101)&lt;1211,VALUE(C101)&lt;1211,VALUE(D101)&lt;606),(1*VLOOKUP(WardrobeCarcassMaterial,SheetsData,5,FALSE))+(VLOOKUP("H/F (22mm)",SheetsData,7,FALSE)*1.44),IF(AND(VALUE(B101)&lt;2421,VALUE(C101)&lt;2421,VALUE(D101)&lt;606),(2*VLOOKUP(WardrobeCarcassMaterial,SheetsData,5,FALSE))+(VLOOKUP("H/F (22mm)",SheetsData,7,FALSE)*1.44),IF(AND(VALUE(B101)&lt;2421,VALUE(C101)&lt;1211,VALUE(D101)&lt;1211),(3*VLOOKUP(WardrobeCarcassMaterial,SheetsData,5,FALSE))+(VLOOKUP("H/F (22mm)",SheetsData,7,FALSE)*1.44),IF(AND(VALUE(B101)&lt;2421,VALUE(C101)&lt;2421,VALUE(D101)&lt;1211),(4*VLOOKUP(WardrobeCarcassMaterial,SheetsData,5,FALSE))+(VLOOKUP("H/F (22mm)",SheetsData,7,FALSE)*1.44))))),IF(ISERROR(FIND("drawer front",A101))=FALSE,((B101/1000)*(C101/1000))*VLOOKUP(WardrobeDoorMaterial,SheetsData,8,0),IF(AND(WardrobeDrawerType="Match carcass",ISERROR(FIND("drawer box",A101))=FALSE),(((((B101/1000)*(C101/1000))+((B101/1000)*(D101/1000)))*2)*VLOOKUP(WardrobeCarcassMaterial,SheetsData,8,0))+(((C101/1000)*(D101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box",A101))=FALSE),(((((B101/1000)*(C101/1000))+((B101/1000)*(D101/1000)))*2)*(16/1000)*VLOOKUP(LEFT(WardrobeCarcassMaterial,FIND(" ",WardrobeCarcassMaterial))&amp;"(solid m3)",SolidData,4,0))+(((C101/1000)*(D101/1000))*VLOOKUP(LEFT(WardrobeCarcassMaterial,FIND("(",WardrobeCarcassMaterial)-1)&amp;IF(OR(ISERROR(FIND("ply",WardrobeCarcassMaterial))=FALSE,ISERROR(FIND("H/F",WardrobeCarcassMaterial))=FALSE),"(9mm)","(10mm)"),SheetsData,8,0)),IF(ISERROR(FIND("shelf",A101))=FALSE,((C101/1000)*(D101/1000))*VLOOKUP(WardrobeCarcassMaterial,SheetsData,7,FALSE),IF(ISERROR(FIND("Office pod",A101))=FALSE,3*VLOOKUP(WardrobeCarcassMaterial,SheetsData,5,0),IF(ISERROR(FIND(" panel",A101))=FALSE,((B101/1000)*(C101/1000))*VLOOKUP(WardrobeDoorMaterial,SheetsData,8,0),IF(ISERROR(FIND("Fillers",A101))=FALSE,(((0.06*(C101/1000))*2)*VLOOKUP("H/F (18mm)",SheetsData,8,0))+(((0.06*(C101/1000))*2)*VLOOKUP("H/F (9mm)",SheetsData,8,0)),IF(ISERROR(FIND("Cornice (stacked)",A101))=FALSE,((0.08*(C101/1000))*2)*VLOOKUP("H/F (22mm)",SheetsData,8,0),IF(OR(ISERROR(FIND("Plinth",A101))=FALSE,ISERROR(FIND("Cornice (flat)",A101))=FALSE),((B101/1000)*(C101/1000))*VLOOKUP("H/F (18mm)",SheetsData,8,0),IF(ISERROR(FIND("Pelmet",A101))=FALSE,((((B101/1000)*(C101/1000))*2)*VLOOKUP("H/F (18mm)",SheetsData,8,0)),IF(ISERROR(FIND("Fireplace",A101))=FALSE,IF(ISERROR(FIND("over 1600",A101))=FALSE,2*VLOOKUP(WardrobeCarcassMaterial,SheetsData,5,FALSE),VLOOKUP(WardrobeCarcassMaterial,SheetsData,5,FALSE)),IF(ISERROR(FIND("table",A101))=FALSE,((B101/1000)*0.6)*VLOOKUP("Birch ply (24mm)",SheetsData,7,FALSE),IF(ISERROR(FIND("Worktop",A101))=FALSE,((B101/1000)*(C101/1000))*VLOOKUP(WardrobeDoorMaterial,SheetsData,7,FALSE),"Check formula")))))))))))))))))</f>
        <v/>
      </c>
      <c r="F101" s="152" t="str">
        <f>IFERROR(__xludf.DUMMYFUNCTION("IF(OR(A101="""",AND(ISERROR(FIND(""drawer box"",A101))=FALSE,WardrobeDrawerType=""Solid dovetail"")),"""",IF(ISERROR(FIND(""bins"",A101))=FALSE,VLOOKUP(""Base carcass 600"",Wardrobes_etcData,6,0),IF(OR(ISERROR(FIND(""larder"",A101))=FALSE,ISERROR(FIND(""u"&amp;"nit"",A101))=FALSE),VLOOKUP(LEFT(A101,FIND("" "",A101))&amp;""carcass ""&amp;RIGHT(A101,LEN(A101)-len(regexextract(A101,"".* ""))),Wardrobes_etcData,6,0),IF(ISERROR(FIND(""drawer front"",A101))=FALSE,IF(ISERROR(FIND(""veneer"",WardrobeCarcassMaterial))=TRUE,0,((("&amp;"B101+C101)/1000)*2)*VLOOKUP(""Edge banding (per M)"",SheetsData,5,0)),IF(ISERROR(FIND(""drawer box"",A101))=FALSE,IF(ISERROR(FIND(""veneer"",WardrobeCarcassMaterial))=TRUE,0,(((C101+D101)/1000)*2)*VLOOKUP(""Edge banding (per M)"",SheetsData,5,0)),IF(ISERR"&amp;"OR(FIND(""shelf"",A101))=FALSE,IF(ISERROR(FIND(""veneer"",WardrobeCarcassMaterial))=TRUE,0,(C101/1000)*VLOOKUP(""Edge banding (per M)"",SheetsData,5,0)),IF(AND(OR(ISERROR(FIND(""arcass"",A101))=FALSE,ISERROR(FIND(""Fireplace"",A101))=FALSE),ISERROR(FIND("&amp;"""shelf"",A101))=TRUE),IF(ISERROR(FIND(""veneer"",WardrobeCarcassMaterial))=TRUE,0,((2*(B101+C101))/1000)*VLOOKUP(""Edge banding (per M)"",SheetsData,5,0)),IF(ISERROR(FIND(""door"",A101))=TRUE,"""",IF(ISERROR(FIND(""veneer"",WardrobeDoorMaterial))=TRUE,"""&amp;""",((2*(B101+C101))/1000)*VLOOKUP(""Edge banding (per M)"",SheetsData,5,0))))))))))"),"")</f>
        <v/>
      </c>
      <c r="G101" s="153" t="str">
        <f>IF(A101="","",IF(AND(ISERROR(FIND("arcass",A101))=TRUE,ISERROR(FIND("Fireplace",A101))=TRUE),"",IF(VALUE(C101)&lt;606,4*VLOOKUP("Plinth foot (2 Parts 80mm)",FurnitureData,5,FALSE),IF(VALUE(C101)&lt;1211,6*VLOOKUP("Plinth foot (2 Parts 80mm)",FurnitureData,5,FALSE),8*VLOOKUP("Plinth foot (2 Parts 80mm)",FurnitureData,5,FALSE)))))</f>
        <v/>
      </c>
      <c r="H101" s="115" t="str">
        <f>IF(OR(A101="",ISERROR(FIND("door",A101))=TRUE),"",VLOOKUP("Hinges &amp; plates (Hettich thick door)",FurnitureData,5,0)*5)</f>
        <v/>
      </c>
      <c r="I101" s="115" t="str">
        <f>IF(ISERROR(FIND("shelf",A101))=FALSE,(VLOOKUP("Shelf pegs",FurnitureData,5,0)/100)*4,"")</f>
        <v/>
      </c>
      <c r="J101" s="152" t="str">
        <f>IF(OR(ISERROR(FIND("fridge/freezer",A101))=FALSE,ISERROR(FIND("sink",A101))=FALSE,ISERROR(FIND("larder",A101))=FALSE),VLOOKUP("Deep shelf "&amp;C101,Wardrobes_etcData,18,0),IF(OR(ISERROR(FIND("single oven",A101))=FALSE,ISERROR(FIND("Base carcass",A101))=FALSE),2*VLOOKUP("Deep shelf "&amp;C101,Wardrobes_etcData,18,0),IF(AND(ISERROR(FIND("wall carcass",A101))=FALSE,ISERROR(FIND("Boiler",A101))=TRUE),2*VLOOKUP("Shallow shelf "&amp;C101,Wardrobes_etcData,18,0),IF(ISERROR(FIND("double oven",A101))=FALSE,3*VLOOKUP("Deep shelf "&amp;C101,Wardrobes_etcData,18,0),IF(ISERROR(FIND("Tower carcass",A101))=FALSE,6*VLOOKUP("Deep shelf "&amp;C101,Wardrobes_etcData,18,0),"")))))</f>
        <v/>
      </c>
      <c r="K101" s="152" t="str">
        <f>IF(ISERROR(FIND("sink",A101))=FALSE,VLOOKUP("Sink liner - Aluminium "&amp;RIGHT(A101,LEN(A101)-22)&amp;"mm",ExceptionalData,5,0),IF(ISERROR(FIND("bins",A101))=FALSE,VLOOKUP("Drawer runners and clip set for bin unit (500) Dynapro",FurnitureData,5,0)+(2*VLOOKUP("Bin (42L Anthracite)",FurnitureData,5,0)),IF(ISERROR(FIND("larder",A101))=FALSE,VLOOKUP("Pull out larder unit 600mm",FurnitureData,5,0),IF(AND(ISERROR(FIND("drawer box",A101))=FALSE,ISERROR(FIND("internal",A101))=TRUE),VLOOKUP("Drawer runners and clip set (550) Dynapro",FurnitureData,5,0),IF(ISERROR(FIND("internal drawer box",A101))=FALSE,VLOOKUP("Drawer runners and clip set (450) Dynapro",FurnitureData,5,0),IF(ISERROR(FIND("table",A101))=FALSE,VLOOKUP("Hairpin Leg (12mm Black "&amp;MID(A101,FIND("(",A101)+1,LEN(A101)-(FIND("(",A101))-1)&amp;"mm)",ExceptionalData,4,FALSE),""))))))</f>
        <v/>
      </c>
      <c r="L101" s="152" t="str">
        <f t="shared" si="3"/>
        <v/>
      </c>
      <c r="M101" s="154" t="str">
        <f>IF(A101="","",IF(AND(ISERROR(FIND("drawer front",A101))=FALSE,WardrobeDoorStyle="Flat"),(((B101/1000)*(C101/1000))*2)+((((B101+C101)/1000)*2)*0.022),IF(AND(ISERROR(FIND("drawer front",A101))=FALSE,LEFT(WardrobeDoorStyle,5)="Panel"),(((B101/1000)*(C101/1000))*2)+((((B101+C101)/1000)*2)*0.022)+((((C101/1000)-0.16)*0.013)*2)+((((D101/1000)-0.16)*0.013)*2),IF(AND(ISERROR(FIND("drawer front",A101))=FALSE,WardrobeDoorStyle="In-frame flat"),((((B101-76)/1000)*((C101-38)/1000))*2)+(MID(WardrobeDoorMaterial,FIND("(",WardrobeDoorMaterial)+1,2)/1000)*((((B101-76)+(C101-38))/1000)*2)+(((B101/1000)*0.032)*2)+((((B101-76)/1000)*0.032)*2)+(((B101/1000)*0.019)*4)+(((C101/1000)*0.032)*2)+((((C101-38)/1000)*0.032)*2)+(((C101/1000)*0.038)*4),IF(AND(ISERROR(FIND("drawer front",A101))=FALSE,LEFT(WardrobeDoorStyle,14)="In-frame panel"),((((B101-76)/1000)*((C101-38)/1000))*2)+((MID(WardrobeDoorMaterial,FIND("(",WardrobeDoorMaterial)+1,2)/1000)*((((B101-76)+(C101-38))/1000)*2))+((((B101-236)/1000)+((C101-198)/1000)*2)*0.013)+(((B101/1000)*0.032)*2)+((((B101-76)/1000)*0.032)*2)+(((B101/1000)*0.019)*4)+(((C101/1000)*0.032)*2)+((((C101-38)/1000)*0.032)*2)+(((C101/1000)*0.038)*4),IF(ISERROR(FIND("drawer box",A101))=FALSE,((((B101/1000)*(D101/1000))+((B101/1000)*(C101/1000)))*4)+((((D101/1000)+(C101/1000))*0.016)*4)+(((C101/1000)*(D101/1000))*2),IF(OR(ISERROR(FIND("shelf",A101))=FALSE,ISERROR(FIND("Filler panel",A101))=FALSE),(((C101/1000)*(D101/1000))*2)+((((C101+D101)*2)/1000)*0.022),IF(ISERROR(FIND("Fireplace",A101))=FALSE,((B101/1000)*(C101/1000)),IF(ISERROR(FIND("Worktop",A101))=FALSE,(B101/1000)*(C101/1000),IF(ISERROR(FIND("table",A101))=FALSE,(B101/1000)*0.6,IF(ISERROR(FIND("arcass",A101))=FALSE,(((C101/1000)*(D101/1000))*2)+(((B101/1000)*(D101/1000))*2)+((B101/1000)*(C101/1000))+((((B101/1000)*0.025)+((C101/1000)*0.025))*2),IF(AND(ISERROR(FIND("door",A101))=FALSE,WardrobeDoorStyle="Flat"),(((B101/1000)*(C101/1000))*2)+(MID(WardrobeDoorMaterial,FIND("(",WardrobeDoorMaterial)+1,2)/1000)*(((B101+C101)/1000)*2),IF(AND(ISERROR(FIND("door",A101))=FALSE,LEFT(WardrobeDoorStyle,5)="Panel"),(((B101/1000)*(C101/1000))*2)+((MID(WardrobeDoorMaterial,FIND("(",WardrobeDoorMaterial)+1,2)/1000)*(((B101+C101)/1000)*2))+(((((B101-160)+(C101-160))*2)/1000)*(0.013)),IF(AND(ISERROR(FIND("door",A101))=FALSE,WardrobeDoorStyle="In-frame flat"),((((B101-76)/1000)*((C101-38)/1000))*2)+(MID(WardrobeDoorMaterial,FIND("(",WardrobeDoorMaterial)+1,2)/1000)*((((B101-76)+(C101-38))/1000)*2)+(((B101/1000)*0.032)*2)+((((B101-76)/1000)*0.032)*2)+(((B101/1000)*0.019)*4)+(((C101/1000)*0.032)*2)+((((C101-38)/1000)*0.032)*2)+(((C101/1000)*0.038)*4),IF(AND(ISERROR(FIND("door",A101))=FALSE,LEFT(WardrobeDoorStyle,14)="In-frame panel"),((((B101-76)/1000)*((C101-38)/1000))*2)+((MID(WardrobeDoorMaterial,FIND("(",WardrobeDoorMaterial)+1,2)/1000)*((((B101-76)+(C101-38))/1000)*2))+((((B101-236)/1000)+((C101-198)/1000)*2)*0.013)+(((B101/1000)*0.032)*2)+((((B101-76)/1000)*0.032)*2)+(((B101/1000)*0.019)*4)+(((C101/1000)*0.032)*2)+((((C101-38)/1000)*0.032)*2)+(((C101/1000)*0.038)*4),IF(ISERROR(FIND("Plinth",A101))=FALSE,((B101/1000)*(C101/1000))+(((C101/1000)*0.018)*2)+(((B101/1000)*0.018)*2),IF(ISERROR(FIND("Cornice",A101))=FALSE,(((C101/1000)*0.1)*2)+(((C101/1000)*0.044)*2)+(((B101/1000)*0.08)*2),IF(ISERROR(FIND("Office pod",A101))=FALSE,((2400/1000)*(1200/1000))*6,IF(ISERROR(FIND("panel",A101))=FALSE,((B101/1000)*(C101/1000))+(0.022*((B101/1000)+((C101/1000)*2)))+((B101/1000)*0.05),IF(ISERROR(FIND("Fillers",A101))=FALSE,((C101/1000)*0.06)+((C101/1000)*0.069)+((0.06*0.018)*2)+((0.06*0.009)*2)+((C101/1000)*0.009)+((C101/1000)*0.018),IF(ISERROR(FIND("Pelmet",A101))=FALSE,((C101/1000)*0.05)+((C101/1000)*0.068)+((0.05*0.018)*4)+(((C101/1000)*0.018))*2)))))))))))))))))))))</f>
        <v/>
      </c>
      <c r="N101" s="152" t="str">
        <f>IF(M101="","",IF(AND(ISERROR(FIND("carcass",A101))=TRUE,ISERROR(FIND("unit",A101))=TRUE,ISERROR(FIND("insert",A101))=TRUE,ISERROR(FIND("rack",A101))=TRUE,ISERROR(FIND("box",A101))=TRUE,ISERROR(FIND("shelf",A101))=TRUE),VLOOKUP(WardrobeDoorFinish,Finishing!$A$2:$K$10,9,0)*M101,IF(ISERROR(FIND("table",A101))=FALSE,VLOOKUP("Sayerlack AF0072 Interior Clear Self-Sealer",FinishingData,9,FALSE)*M101,VLOOKUP(WardrobeCarcassFinish,Finishing!$A$2:$K$40,9,0)*M101)))</f>
        <v/>
      </c>
      <c r="O101" s="159"/>
      <c r="P101" s="159"/>
      <c r="Q101" s="152" t="str">
        <f>IF(OR(O101="",P101=""),"",((O101*X101)*(VLOOKUP("Workshop",Labour!$A$3:$E$20,4,0)/8))+((P101*AE101)*(VLOOKUP("Finishing",Labour!$A$3:$E$20,4,0)/8)))</f>
        <v/>
      </c>
      <c r="R101" s="152" t="str">
        <f t="shared" si="4"/>
        <v/>
      </c>
      <c r="S101" s="156" t="str">
        <f>IF(OR(O101="",P101=""),"",IF(OR(ISERROR(FIND("carcass",$A101))=FALSE,ISERROR(FIND("unit",$A101))=FALSE),VLOOKUP(WardrobeCarcassMaterial,FixedListsCarcassMaterial,2,0),0))</f>
        <v/>
      </c>
      <c r="T101" s="156" t="str">
        <f>IF(OR(O101="",P101=""),"",IF(ISERROR(FIND("door",$A101))=FALSE,VLOOKUP(WardrobeDoorStyle,FixedListsDoorStyle,2,0),0))</f>
        <v/>
      </c>
      <c r="U101" s="156" t="str">
        <f>IF(OR(O101="",P101=""),"",IF(ISERROR(FIND("door",$A101))=FALSE,VLOOKUP(WardrobeDoorMaterial,FixedListsDoorMaterial,2,0),0))</f>
        <v/>
      </c>
      <c r="V101" s="156" t="str">
        <f>IF(OR(O101="",P101=""),"",IF(ISERROR(FIND("drawer",$A101))=FALSE,VLOOKUP(WardrobeDrawerType,FixedListsDrawerType,2,0),0))</f>
        <v/>
      </c>
      <c r="W101" s="156" t="str">
        <f>IF(OR(O101="",P101=""),"",IF(S101&gt;0,VLOOKUP(WardrobeHandleType,FixedListsHandleType,2,FALSE),0))</f>
        <v/>
      </c>
      <c r="X101" s="156" t="str">
        <f t="shared" si="5"/>
        <v/>
      </c>
      <c r="Y101" s="156" t="str">
        <f>IF(OR(O101="",P101=""),"",IF(OR(ISERROR(FIND("carcass",$A101))=FALSE,ISERROR(FIND("unit",$A101))=FALSE),VLOOKUP(WardrobeCarcassMaterial,FixedListsCarcassMaterial,3,0),0))</f>
        <v/>
      </c>
      <c r="Z101" s="156" t="str">
        <f>IF(OR(O101="",P101=""),"",IF(ISERROR(FIND("door",$A101))=FALSE,VLOOKUP(WardrobeDoorStyle,FixedListsDoorStyle,3,0),0))</f>
        <v/>
      </c>
      <c r="AA101" s="156" t="str">
        <f>IF(OR(O101="",P101=""),"",IF(ISERROR(FIND("door",$A101))=FALSE,VLOOKUP(WardrobeDoorMaterial,FixedListsDoorMaterial,3,0),0))</f>
        <v/>
      </c>
      <c r="AB101" s="156" t="str">
        <f>IF(OR(O101="",P101=""),"",IF(ISERROR(FIND("drawer",$A101))=FALSE,VLOOKUP(WardrobeDrawerType,FixedListsDrawerType,3,0),0))</f>
        <v/>
      </c>
      <c r="AC101" s="156" t="str">
        <f>IF(OR(O101="",P101=""),"",IF(S101&gt;0,VLOOKUP(WardrobeHandleType,FixedListsHandleType,3,FALSE),0))</f>
        <v/>
      </c>
      <c r="AD101" s="156" t="str">
        <f>IF(OR(O101="",P101=""),"",IF(OR(ISERROR(FIND("carcass",$A101))=FALSE,ISERROR(FIND("unit",$A101))=FALSE),VLOOKUP(WardrobeCarcassFinish,FixedListsFinishes,3,0),IF(OR(ISERROR(FIND("door",$A101))=FALSE,ISERROR(FIND("Plinth",$A101))=FALSE,ISERROR(FIND("Cornice",$A101))=FALSE,ISERROR(FIND("Fillers",$A101))=FALSE,ISERROR(FIND("Pelmet",$A101))=FALSE,ISERROR(FIND("panel",$A101))=FALSE,ISERROR(FIND("post",$A101))=FALSE),VLOOKUP(WardrobeDoorFinish,FixedListsFinishes,3,0),IF(OR(ISERROR(FIND("drawer",$A101))=FALSE,ISERROR(FIND("insert",$A101))=FALSE,ISERROR(FIND("rck",$A101))=FALSE),VLOOKUP(WardrobeCarcassFinish,FixedListsFinishes,3,0),0))))</f>
        <v/>
      </c>
      <c r="AE101" s="156" t="str">
        <f t="shared" si="6"/>
        <v/>
      </c>
      <c r="AF101" s="157" t="str">
        <f>IF(AND(WardrobeHandleType="Channel",OR(ISERROR(FIND("arcass",$A101))=FALSE,ISERROR(FIND("unit",$A101))=FALSE)),IF(ISERROR(FIND("Tower",$A101))=TRUE,IF(WardrobeHandleFinish="Match carcass",IF(ISERROR(FIND("Walnut",WardrobeCarcassMaterial))=FALSE,(0.035*0.075*($C101/1000))*VLOOKUP("Walnut (solid m3)",SolidData,4,FALSE),IF(ISERROR(FIND("Oak",WardrobeCarcassMaterial))=FALSE,(0.035*0.075*($C101/1000))*VLOOKUP("Oak (solid m3)",SolidData,4,FALSE),IF(ISERROR(FIND("ply",WardrobeCarcassMaterial))=FALSE,(0.1*($C101/1000))*VLOOKUP("Birch ply (24mm)",SheetsData,7,FALSE),IF(ISERROR(FIND("H/F",WardrobeCarcassMaterial))=FALSE,(0.1*($C101/1000))*VLOOKUP("H/F (22mm)",SheetsData,7,FALSE),"Carcass - not tower - new material")))),IF(WardrobeHandleFinish="Match door",IF(ISERROR(FIND("Walnut",WardrobeDoorMaterial))=FALSE,(0.035*0.075*($C101/1000))*VLOOKUP("Walnut (solid m3)",SolidData,4,FALSE),IF(ISERROR(FIND("Oak",WardrobeDoorMaterial))=FALSE,(0.035*0.075*($C101/1000))*VLOOKUP("Oak (solid m3)",SolidData,4,FALSE),IF(ISERROR(FIND("ply",WardrobeDoorMaterial))=FALSE,(0.1*($C101/1000))*VLOOKUP("Birch ply (24mm)",SheetsData,7,FALSE),IF(ISERROR(FIND("H/F",WardrobeCarcassMaterial))=FALSE,(0.1*($C101/1000))*VLOOKUP("H/F (22mm)",SheetsData,7,FALSE),"Door - not tower - new material")))),"Channel - not tower - handle set to other")),IF(ISERROR(FIND("Tower",$A101))=FALSE,IF(WardrobeHandleFinish="Match carcass",IF(ISERROR(FIND("Walnut",WardrobeCarcassMaterial))=FALSE,(0.035*0.075*($B101/1000))*VLOOKUP("Walnut (solid m3)",SolidData,4,FALSE),IF(ISERROR(FIND("Oak",WardrobeCarcassMaterial))=FALSE,(0.035*0.075*($B101/1000))*VLOOKUP("Oak (solid m3)",SolidData,4,FALSE),IF(ISERROR(FIND("ply",WardrobeCarcassMaterial))=FALSE,(0.1*($B101/1000))*VLOOKUP("Birch ply (24mm)",SheetsData,7,FALSE),IF(ISERROR(FIND("H/F",WardrobeCarcassMaterial))=FALSE,(0.1*($C101/1000))*VLOOKUP("H/F (22mm)",SheetsData,7,FALSE),"Carcass - tower - new material")))),IF(WardrobeHandleFinish="Match door",IF(ISERROR(FIND("Walnut",WardrobeDoorMaterial))=FALSE,(0.035*0.075*($B101/1000))*VLOOKUP("Walnut (solid m3)",SolidData,4,FALSE),IF(ISERROR(FIND("Oak",WardrobeDoorMaterial))=FALSE,(0.035*0.075*($B101/1000))*VLOOKUP("Oak (solid m3)",SolidData,4,FALSE),IF(ISERROR(FIND("ply",WardrobeDoorMaterial))=FALSE,(0.1*($B101/1000))*VLOOKUP("Birch ply (24mm)",SheetData,7,FALSE),IF(ISERROR(FIND("H/F",WardrobeCarcassMaterial))=FALSE,(0.1*($C101/1000))*VLOOKUP("H/F (22mm)",SheetsData,7,FALSE),"Door - tower - new material")))),"Channel - tower - handle set to other")))),"")</f>
        <v/>
      </c>
    </row>
    <row r="102">
      <c r="A102" s="150"/>
      <c r="B102" s="160" t="str">
        <f t="shared" si="1"/>
        <v/>
      </c>
      <c r="C102" s="160" t="str">
        <f>IFERROR(__xludf.DUMMYFUNCTION("IF(A102="""","""",IF(ISERROR(FIND(""arcass"",A102))=FALSE,MID(A102,FIND(""*"",A102)+1,FIND(""*"",A102,FIND(""*"",A102)+1)-FIND(""*"",A102)-1),IF(ISERROR(FIND(""End panel"",A102))=FALSE,RIGHT(A102,3),IF(OR(ISERROR(FIND(""drawer"",A102))=FALSE,ISERROR(FIND("&amp;"""door"",A102))=FALSE,ISERROR(FIND(""shelf"",A102))=FALSE,ISERROR(FIND(""panel"",A102))=FALSE,ISERROR(FIND(""Plinth"",A102))=FALSE,ISERROR(FIND(""Cornice"",A102))=FALSE,ISERROR(FIND(""Fillers"",A102))=FALSE,ISERROR(FIND(""Pelmet"",A102))=FALSE,ISERROR(FIN"&amp;"D(""Fireplace up to 1600"",A102))=FALSE),RIGHT(A102,LEN(A102)-LEN(regexextract(A102,"".* ""))),IF(ISERROR(FIND(""table"",A102))=FALSE,""560"",IF(ISERROR(FIND(""Office pod"",A102))=FALSE,""1600"",IF(ISERROR(FIND(""Fireplace over 1600"",A102))=FALSE,""2400"&amp;""",IF(ISERROR(FIND(""Worktop"",A102))=FALSE,""650"",""Whoops""))))))))"),"")</f>
        <v/>
      </c>
      <c r="D102" s="161" t="str">
        <f t="shared" si="2"/>
        <v/>
      </c>
      <c r="E102" s="152" t="str">
        <f>IF(OR(A102="",AND(ISERROR(FIND("drawer",A102))=FALSE,WardrobeDrawerType="")),"",IF(ISERROR(FIND("door",A102))=FALSE,IF(WardrobeDoorStyle="Flat",((B102/1000)*(C102/1000))*VLOOKUP(WardrobeDoorMaterial,SheetsData,8,0),IF(LEFT(WardrobeDoorStyle,5)="Panel",(((((B102/1000)*2)*0.08)+((((C102/1000)-0.16)*2)*0.08))*VLOOKUP("H/F (22mm)",SheetsData,8,0))+(((B102/1000)-0.14)*((C102/1000)-0.14)*VLOOKUP("H/F (9mm)",SheetsData,8,0)),IF(WardrobeDoorStyle="In-frame flat",((((((B102/1000)*0.019)*0.038)+((((C102-38)/1000)*0.038)*0.038))*2)*VLOOKUP("Tulip (solid m3)",SolidData,4,0))+(((B102-76)/1000)*((C102-38)/1000))*VLOOKUP("H/F (22mm)",SheetsData,8,0),IF(LEFT(WardrobeDoorStyle,14)="In-frame panel",(((((((B102/1000)*0.019)*0.038)+((((C102-38)/1000)*0.038)*0.038))*2)*VLOOKUP("Tulip (solid m3)",SolidData,4,0))+(((((((B102-76)/1000)*2)*0.08)+(((((C102-198)/1000)*2)*0.08)))*VLOOKUP("H/F (22mm)",SheetsData,8,0))+(((B102-216)/1000)*((C102-178)/1000)*VLOOKUP("H/F (9mm)",SheetsData,8,0)))))))),IF(AND(ISERROR(FIND("arcass",A102))=FALSE,ISERROR(FIND("ost corner",A102))=TRUE),IF(AND(VALUE(B102)&lt;1211,VALUE(C102)&lt;1211,VALUE(D102)&lt;606),1*VLOOKUP(WardrobeCarcassMaterial,SheetsData,5,FALSE),IF(AND(VALUE(B102)&lt;2421,VALUE(C102)&lt;2421,VALUE(D102)&lt;606),2*VLOOKUP(WardrobeCarcassMaterial,SheetsData,5,FALSE),IF(AND(VALUE(B102)&lt;2421,VALUE(C102)&lt;1211,VALUE(D102)&lt;1211),3*VLOOKUP(WardrobeCarcassMaterial,SheetsData,5,FALSE),IF(AND(VALUE(B102)&lt;2421,VALUE(C102)&lt;2421,VALUE(D102)&lt;1211),4*VLOOKUP(WardrobeCarcassMaterial,SheetsData,5,FALSE))))),IF(AND(ISERROR(FIND("arcass",A102))=FALSE,ISERROR(FIND("ost corner",A102))=FALSE),IF(AND(VALUE(B102)&lt;1211,VALUE(C102)&lt;1211,VALUE(D102)&lt;606),(1*VLOOKUP(WardrobeCarcassMaterial,SheetsData,5,FALSE))+(VLOOKUP("H/F (22mm)",SheetsData,7,FALSE)*1.44),IF(AND(VALUE(B102)&lt;2421,VALUE(C102)&lt;2421,VALUE(D102)&lt;606),(2*VLOOKUP(WardrobeCarcassMaterial,SheetsData,5,FALSE))+(VLOOKUP("H/F (22mm)",SheetsData,7,FALSE)*1.44),IF(AND(VALUE(B102)&lt;2421,VALUE(C102)&lt;1211,VALUE(D102)&lt;1211),(3*VLOOKUP(WardrobeCarcassMaterial,SheetsData,5,FALSE))+(VLOOKUP("H/F (22mm)",SheetsData,7,FALSE)*1.44),IF(AND(VALUE(B102)&lt;2421,VALUE(C102)&lt;2421,VALUE(D102)&lt;1211),(4*VLOOKUP(WardrobeCarcassMaterial,SheetsData,5,FALSE))+(VLOOKUP("H/F (22mm)",SheetsData,7,FALSE)*1.44))))),IF(ISERROR(FIND("drawer front",A102))=FALSE,((B102/1000)*(C102/1000))*VLOOKUP(WardrobeDoorMaterial,SheetsData,8,0),IF(AND(WardrobeDrawerType="Match carcass",ISERROR(FIND("drawer box",A102))=FALSE),(((((B102/1000)*(C102/1000))+((B102/1000)*(D102/1000)))*2)*VLOOKUP(WardrobeCarcassMaterial,SheetsData,8,0))+(((C102/1000)*(D102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box",A102))=FALSE),(((((B102/1000)*(C102/1000))+((B102/1000)*(D102/1000)))*2)*(16/1000)*VLOOKUP(LEFT(WardrobeCarcassMaterial,FIND(" ",WardrobeCarcassMaterial))&amp;"(solid m3)",SolidData,4,0))+(((C102/1000)*(D102/1000))*VLOOKUP(LEFT(WardrobeCarcassMaterial,FIND("(",WardrobeCarcassMaterial)-1)&amp;IF(OR(ISERROR(FIND("ply",WardrobeCarcassMaterial))=FALSE,ISERROR(FIND("H/F",WardrobeCarcassMaterial))=FALSE),"(9mm)","(10mm)"),SheetsData,8,0)),IF(ISERROR(FIND("shelf",A102))=FALSE,((C102/1000)*(D102/1000))*VLOOKUP(WardrobeCarcassMaterial,SheetsData,7,FALSE),IF(ISERROR(FIND("Office pod",A102))=FALSE,3*VLOOKUP(WardrobeCarcassMaterial,SheetsData,5,0),IF(ISERROR(FIND(" panel",A102))=FALSE,((B102/1000)*(C102/1000))*VLOOKUP(WardrobeDoorMaterial,SheetsData,8,0),IF(ISERROR(FIND("Fillers",A102))=FALSE,(((0.06*(C102/1000))*2)*VLOOKUP("H/F (18mm)",SheetsData,8,0))+(((0.06*(C102/1000))*2)*VLOOKUP("H/F (9mm)",SheetsData,8,0)),IF(ISERROR(FIND("Cornice (stacked)",A102))=FALSE,((0.08*(C102/1000))*2)*VLOOKUP("H/F (22mm)",SheetsData,8,0),IF(OR(ISERROR(FIND("Plinth",A102))=FALSE,ISERROR(FIND("Cornice (flat)",A102))=FALSE),((B102/1000)*(C102/1000))*VLOOKUP("H/F (18mm)",SheetsData,8,0),IF(ISERROR(FIND("Pelmet",A102))=FALSE,((((B102/1000)*(C102/1000))*2)*VLOOKUP("H/F (18mm)",SheetsData,8,0)),IF(ISERROR(FIND("Fireplace",A102))=FALSE,IF(ISERROR(FIND("over 1600",A102))=FALSE,2*VLOOKUP(WardrobeCarcassMaterial,SheetsData,5,FALSE),VLOOKUP(WardrobeCarcassMaterial,SheetsData,5,FALSE)),IF(ISERROR(FIND("table",A102))=FALSE,((B102/1000)*0.6)*VLOOKUP("Birch ply (24mm)",SheetsData,7,FALSE),IF(ISERROR(FIND("Worktop",A102))=FALSE,((B102/1000)*(C102/1000))*VLOOKUP(WardrobeDoorMaterial,SheetsData,7,FALSE),"Check formula")))))))))))))))))</f>
        <v/>
      </c>
      <c r="F102" s="152" t="str">
        <f>IFERROR(__xludf.DUMMYFUNCTION("IF(OR(A102="""",AND(ISERROR(FIND(""drawer box"",A102))=FALSE,WardrobeDrawerType=""Solid dovetail"")),"""",IF(ISERROR(FIND(""bins"",A102))=FALSE,VLOOKUP(""Base carcass 600"",Wardrobes_etcData,6,0),IF(OR(ISERROR(FIND(""larder"",A102))=FALSE,ISERROR(FIND(""u"&amp;"nit"",A102))=FALSE),VLOOKUP(LEFT(A102,FIND("" "",A102))&amp;""carcass ""&amp;RIGHT(A102,LEN(A102)-len(regexextract(A102,"".* ""))),Wardrobes_etcData,6,0),IF(ISERROR(FIND(""drawer front"",A102))=FALSE,IF(ISERROR(FIND(""veneer"",WardrobeCarcassMaterial))=TRUE,0,((("&amp;"B102+C102)/1000)*2)*VLOOKUP(""Edge banding (per M)"",SheetsData,5,0)),IF(ISERROR(FIND(""drawer box"",A102))=FALSE,IF(ISERROR(FIND(""veneer"",WardrobeCarcassMaterial))=TRUE,0,(((C102+D102)/1000)*2)*VLOOKUP(""Edge banding (per M)"",SheetsData,5,0)),IF(ISERR"&amp;"OR(FIND(""shelf"",A102))=FALSE,IF(ISERROR(FIND(""veneer"",WardrobeCarcassMaterial))=TRUE,0,(C102/1000)*VLOOKUP(""Edge banding (per M)"",SheetsData,5,0)),IF(AND(OR(ISERROR(FIND(""arcass"",A102))=FALSE,ISERROR(FIND(""Fireplace"",A102))=FALSE),ISERROR(FIND("&amp;"""shelf"",A102))=TRUE),IF(ISERROR(FIND(""veneer"",WardrobeCarcassMaterial))=TRUE,0,((2*(B102+C102))/1000)*VLOOKUP(""Edge banding (per M)"",SheetsData,5,0)),IF(ISERROR(FIND(""door"",A102))=TRUE,"""",IF(ISERROR(FIND(""veneer"",WardrobeDoorMaterial))=TRUE,"""&amp;""",((2*(B102+C102))/1000)*VLOOKUP(""Edge banding (per M)"",SheetsData,5,0))))))))))"),"")</f>
        <v/>
      </c>
      <c r="G102" s="153" t="str">
        <f>IF(A102="","",IF(AND(ISERROR(FIND("arcass",A102))=TRUE,ISERROR(FIND("Fireplace",A102))=TRUE),"",IF(VALUE(C102)&lt;606,4*VLOOKUP("Plinth foot (2 Parts 80mm)",FurnitureData,5,FALSE),IF(VALUE(C102)&lt;1211,6*VLOOKUP("Plinth foot (2 Parts 80mm)",FurnitureData,5,FALSE),8*VLOOKUP("Plinth foot (2 Parts 80mm)",FurnitureData,5,FALSE)))))</f>
        <v/>
      </c>
      <c r="H102" s="115" t="str">
        <f>IF(OR(A102="",ISERROR(FIND("door",A102))=TRUE),"",VLOOKUP("Hinges &amp; plates (Hettich thick door)",FurnitureData,5,0)*5)</f>
        <v/>
      </c>
      <c r="I102" s="115" t="str">
        <f>IF(ISERROR(FIND("shelf",A102))=FALSE,(VLOOKUP("Shelf pegs",FurnitureData,5,0)/100)*4,"")</f>
        <v/>
      </c>
      <c r="J102" s="152" t="str">
        <f>IF(OR(ISERROR(FIND("fridge/freezer",A102))=FALSE,ISERROR(FIND("sink",A102))=FALSE,ISERROR(FIND("larder",A102))=FALSE),VLOOKUP("Deep shelf "&amp;C102,Wardrobes_etcData,18,0),IF(OR(ISERROR(FIND("single oven",A102))=FALSE,ISERROR(FIND("Base carcass",A102))=FALSE),2*VLOOKUP("Deep shelf "&amp;C102,Wardrobes_etcData,18,0),IF(AND(ISERROR(FIND("wall carcass",A102))=FALSE,ISERROR(FIND("Boiler",A102))=TRUE),2*VLOOKUP("Shallow shelf "&amp;C102,Wardrobes_etcData,18,0),IF(ISERROR(FIND("double oven",A102))=FALSE,3*VLOOKUP("Deep shelf "&amp;C102,Wardrobes_etcData,18,0),IF(ISERROR(FIND("Tower carcass",A102))=FALSE,6*VLOOKUP("Deep shelf "&amp;C102,Wardrobes_etcData,18,0),"")))))</f>
        <v/>
      </c>
      <c r="K102" s="152" t="str">
        <f>IF(ISERROR(FIND("sink",A102))=FALSE,VLOOKUP("Sink liner - Aluminium "&amp;RIGHT(A102,LEN(A102)-22)&amp;"mm",ExceptionalData,5,0),IF(ISERROR(FIND("bins",A102))=FALSE,VLOOKUP("Drawer runners and clip set for bin unit (500) Dynapro",FurnitureData,5,0)+(2*VLOOKUP("Bin (42L Anthracite)",FurnitureData,5,0)),IF(ISERROR(FIND("larder",A102))=FALSE,VLOOKUP("Pull out larder unit 600mm",FurnitureData,5,0),IF(AND(ISERROR(FIND("drawer box",A102))=FALSE,ISERROR(FIND("internal",A102))=TRUE),VLOOKUP("Drawer runners and clip set (550) Dynapro",FurnitureData,5,0),IF(ISERROR(FIND("internal drawer box",A102))=FALSE,VLOOKUP("Drawer runners and clip set (450) Dynapro",FurnitureData,5,0),IF(ISERROR(FIND("table",A102))=FALSE,VLOOKUP("Hairpin Leg (12mm Black "&amp;MID(A102,FIND("(",A102)+1,LEN(A102)-(FIND("(",A102))-1)&amp;"mm)",ExceptionalData,4,FALSE),""))))))</f>
        <v/>
      </c>
      <c r="L102" s="152" t="str">
        <f t="shared" si="3"/>
        <v/>
      </c>
      <c r="M102" s="154" t="str">
        <f>IF(A102="","",IF(AND(ISERROR(FIND("drawer front",A102))=FALSE,WardrobeDoorStyle="Flat"),(((B102/1000)*(C102/1000))*2)+((((B102+C102)/1000)*2)*0.022),IF(AND(ISERROR(FIND("drawer front",A102))=FALSE,LEFT(WardrobeDoorStyle,5)="Panel"),(((B102/1000)*(C102/1000))*2)+((((B102+C102)/1000)*2)*0.022)+((((C102/1000)-0.16)*0.013)*2)+((((D102/1000)-0.16)*0.013)*2),IF(AND(ISERROR(FIND("drawer front",A102))=FALSE,WardrobeDoorStyle="In-frame flat"),((((B102-76)/1000)*((C102-38)/1000))*2)+(MID(WardrobeDoorMaterial,FIND("(",WardrobeDoorMaterial)+1,2)/1000)*((((B102-76)+(C102-38))/1000)*2)+(((B102/1000)*0.032)*2)+((((B102-76)/1000)*0.032)*2)+(((B102/1000)*0.019)*4)+(((C102/1000)*0.032)*2)+((((C102-38)/1000)*0.032)*2)+(((C102/1000)*0.038)*4),IF(AND(ISERROR(FIND("drawer front",A102))=FALSE,LEFT(WardrobeDoorStyle,14)="In-frame panel"),((((B102-76)/1000)*((C102-38)/1000))*2)+((MID(WardrobeDoorMaterial,FIND("(",WardrobeDoorMaterial)+1,2)/1000)*((((B102-76)+(C102-38))/1000)*2))+((((B102-236)/1000)+((C102-198)/1000)*2)*0.013)+(((B102/1000)*0.032)*2)+((((B102-76)/1000)*0.032)*2)+(((B102/1000)*0.019)*4)+(((C102/1000)*0.032)*2)+((((C102-38)/1000)*0.032)*2)+(((C102/1000)*0.038)*4),IF(ISERROR(FIND("drawer box",A102))=FALSE,((((B102/1000)*(D102/1000))+((B102/1000)*(C102/1000)))*4)+((((D102/1000)+(C102/1000))*0.016)*4)+(((C102/1000)*(D102/1000))*2),IF(OR(ISERROR(FIND("shelf",A102))=FALSE,ISERROR(FIND("Filler panel",A102))=FALSE),(((C102/1000)*(D102/1000))*2)+((((C102+D102)*2)/1000)*0.022),IF(ISERROR(FIND("Fireplace",A102))=FALSE,((B102/1000)*(C102/1000)),IF(ISERROR(FIND("Worktop",A102))=FALSE,(B102/1000)*(C102/1000),IF(ISERROR(FIND("table",A102))=FALSE,(B102/1000)*0.6,IF(ISERROR(FIND("arcass",A102))=FALSE,(((C102/1000)*(D102/1000))*2)+(((B102/1000)*(D102/1000))*2)+((B102/1000)*(C102/1000))+((((B102/1000)*0.025)+((C102/1000)*0.025))*2),IF(AND(ISERROR(FIND("door",A102))=FALSE,WardrobeDoorStyle="Flat"),(((B102/1000)*(C102/1000))*2)+(MID(WardrobeDoorMaterial,FIND("(",WardrobeDoorMaterial)+1,2)/1000)*(((B102+C102)/1000)*2),IF(AND(ISERROR(FIND("door",A102))=FALSE,LEFT(WardrobeDoorStyle,5)="Panel"),(((B102/1000)*(C102/1000))*2)+((MID(WardrobeDoorMaterial,FIND("(",WardrobeDoorMaterial)+1,2)/1000)*(((B102+C102)/1000)*2))+(((((B102-160)+(C102-160))*2)/1000)*(0.013)),IF(AND(ISERROR(FIND("door",A102))=FALSE,WardrobeDoorStyle="In-frame flat"),((((B102-76)/1000)*((C102-38)/1000))*2)+(MID(WardrobeDoorMaterial,FIND("(",WardrobeDoorMaterial)+1,2)/1000)*((((B102-76)+(C102-38))/1000)*2)+(((B102/1000)*0.032)*2)+((((B102-76)/1000)*0.032)*2)+(((B102/1000)*0.019)*4)+(((C102/1000)*0.032)*2)+((((C102-38)/1000)*0.032)*2)+(((C102/1000)*0.038)*4),IF(AND(ISERROR(FIND("door",A102))=FALSE,LEFT(WardrobeDoorStyle,14)="In-frame panel"),((((B102-76)/1000)*((C102-38)/1000))*2)+((MID(WardrobeDoorMaterial,FIND("(",WardrobeDoorMaterial)+1,2)/1000)*((((B102-76)+(C102-38))/1000)*2))+((((B102-236)/1000)+((C102-198)/1000)*2)*0.013)+(((B102/1000)*0.032)*2)+((((B102-76)/1000)*0.032)*2)+(((B102/1000)*0.019)*4)+(((C102/1000)*0.032)*2)+((((C102-38)/1000)*0.032)*2)+(((C102/1000)*0.038)*4),IF(ISERROR(FIND("Plinth",A102))=FALSE,((B102/1000)*(C102/1000))+(((C102/1000)*0.018)*2)+(((B102/1000)*0.018)*2),IF(ISERROR(FIND("Cornice",A102))=FALSE,(((C102/1000)*0.1)*2)+(((C102/1000)*0.044)*2)+(((B102/1000)*0.08)*2),IF(ISERROR(FIND("Office pod",A102))=FALSE,((2400/1000)*(1200/1000))*6,IF(ISERROR(FIND("panel",A102))=FALSE,((B102/1000)*(C102/1000))+(0.022*((B102/1000)+((C102/1000)*2)))+((B102/1000)*0.05),IF(ISERROR(FIND("Fillers",A102))=FALSE,((C102/1000)*0.06)+((C102/1000)*0.069)+((0.06*0.018)*2)+((0.06*0.009)*2)+((C102/1000)*0.009)+((C102/1000)*0.018),IF(ISERROR(FIND("Pelmet",A102))=FALSE,((C102/1000)*0.05)+((C102/1000)*0.068)+((0.05*0.018)*4)+(((C102/1000)*0.018))*2)))))))))))))))))))))</f>
        <v/>
      </c>
      <c r="N102" s="152" t="str">
        <f>IF(M102="","",IF(AND(ISERROR(FIND("carcass",A102))=TRUE,ISERROR(FIND("unit",A102))=TRUE,ISERROR(FIND("insert",A102))=TRUE,ISERROR(FIND("rack",A102))=TRUE,ISERROR(FIND("box",A102))=TRUE,ISERROR(FIND("shelf",A102))=TRUE),VLOOKUP(WardrobeDoorFinish,Finishing!$A$2:$K$10,9,0)*M102,IF(ISERROR(FIND("table",A102))=FALSE,VLOOKUP("Sayerlack AF0072 Interior Clear Self-Sealer",FinishingData,9,FALSE)*M102,VLOOKUP(WardrobeCarcassFinish,Finishing!$A$2:$K$40,9,0)*M102)))</f>
        <v/>
      </c>
      <c r="O102" s="159"/>
      <c r="P102" s="159"/>
      <c r="Q102" s="152" t="str">
        <f>IF(OR(O102="",P102=""),"",((O102*X102)*(VLOOKUP("Workshop",Labour!$A$3:$E$20,4,0)/8))+((P102*AE102)*(VLOOKUP("Finishing",Labour!$A$3:$E$20,4,0)/8)))</f>
        <v/>
      </c>
      <c r="R102" s="152" t="str">
        <f t="shared" si="4"/>
        <v/>
      </c>
      <c r="S102" s="156" t="str">
        <f>IF(OR(O102="",P102=""),"",IF(OR(ISERROR(FIND("carcass",$A102))=FALSE,ISERROR(FIND("unit",$A102))=FALSE),VLOOKUP(WardrobeCarcassMaterial,FixedListsCarcassMaterial,2,0),0))</f>
        <v/>
      </c>
      <c r="T102" s="156" t="str">
        <f>IF(OR(O102="",P102=""),"",IF(ISERROR(FIND("door",$A102))=FALSE,VLOOKUP(WardrobeDoorStyle,FixedListsDoorStyle,2,0),0))</f>
        <v/>
      </c>
      <c r="U102" s="156" t="str">
        <f>IF(OR(O102="",P102=""),"",IF(ISERROR(FIND("door",$A102))=FALSE,VLOOKUP(WardrobeDoorMaterial,FixedListsDoorMaterial,2,0),0))</f>
        <v/>
      </c>
      <c r="V102" s="156" t="str">
        <f>IF(OR(O102="",P102=""),"",IF(ISERROR(FIND("drawer",$A102))=FALSE,VLOOKUP(WardrobeDrawerType,FixedListsDrawerType,2,0),0))</f>
        <v/>
      </c>
      <c r="W102" s="156" t="str">
        <f>IF(OR(O102="",P102=""),"",IF(S102&gt;0,VLOOKUP(WardrobeHandleType,FixedListsHandleType,2,FALSE),0))</f>
        <v/>
      </c>
      <c r="X102" s="156" t="str">
        <f t="shared" si="5"/>
        <v/>
      </c>
      <c r="Y102" s="156" t="str">
        <f>IF(OR(O102="",P102=""),"",IF(OR(ISERROR(FIND("carcass",$A102))=FALSE,ISERROR(FIND("unit",$A102))=FALSE),VLOOKUP(WardrobeCarcassMaterial,FixedListsCarcassMaterial,3,0),0))</f>
        <v/>
      </c>
      <c r="Z102" s="156" t="str">
        <f>IF(OR(O102="",P102=""),"",IF(ISERROR(FIND("door",$A102))=FALSE,VLOOKUP(WardrobeDoorStyle,FixedListsDoorStyle,3,0),0))</f>
        <v/>
      </c>
      <c r="AA102" s="156" t="str">
        <f>IF(OR(O102="",P102=""),"",IF(ISERROR(FIND("door",$A102))=FALSE,VLOOKUP(WardrobeDoorMaterial,FixedListsDoorMaterial,3,0),0))</f>
        <v/>
      </c>
      <c r="AB102" s="156" t="str">
        <f>IF(OR(O102="",P102=""),"",IF(ISERROR(FIND("drawer",$A102))=FALSE,VLOOKUP(WardrobeDrawerType,FixedListsDrawerType,3,0),0))</f>
        <v/>
      </c>
      <c r="AC102" s="156" t="str">
        <f>IF(OR(O102="",P102=""),"",IF(S102&gt;0,VLOOKUP(WardrobeHandleType,FixedListsHandleType,3,FALSE),0))</f>
        <v/>
      </c>
      <c r="AD102" s="156" t="str">
        <f>IF(OR(O102="",P102=""),"",IF(OR(ISERROR(FIND("carcass",$A102))=FALSE,ISERROR(FIND("unit",$A102))=FALSE),VLOOKUP(WardrobeCarcassFinish,FixedListsFinishes,3,0),IF(OR(ISERROR(FIND("door",$A102))=FALSE,ISERROR(FIND("Plinth",$A102))=FALSE,ISERROR(FIND("Cornice",$A102))=FALSE,ISERROR(FIND("Fillers",$A102))=FALSE,ISERROR(FIND("Pelmet",$A102))=FALSE,ISERROR(FIND("panel",$A102))=FALSE,ISERROR(FIND("post",$A102))=FALSE),VLOOKUP(WardrobeDoorFinish,FixedListsFinishes,3,0),IF(OR(ISERROR(FIND("drawer",$A102))=FALSE,ISERROR(FIND("insert",$A102))=FALSE,ISERROR(FIND("rck",$A102))=FALSE),VLOOKUP(WardrobeCarcassFinish,FixedListsFinishes,3,0),0))))</f>
        <v/>
      </c>
      <c r="AE102" s="156" t="str">
        <f t="shared" si="6"/>
        <v/>
      </c>
      <c r="AF102" s="157" t="str">
        <f>IF(AND(WardrobeHandleType="Channel",OR(ISERROR(FIND("arcass",$A102))=FALSE,ISERROR(FIND("unit",$A102))=FALSE)),IF(ISERROR(FIND("Tower",$A102))=TRUE,IF(WardrobeHandleFinish="Match carcass",IF(ISERROR(FIND("Walnut",WardrobeCarcassMaterial))=FALSE,(0.035*0.075*($C102/1000))*VLOOKUP("Walnut (solid m3)",SolidData,4,FALSE),IF(ISERROR(FIND("Oak",WardrobeCarcassMaterial))=FALSE,(0.035*0.075*($C102/1000))*VLOOKUP("Oak (solid m3)",SolidData,4,FALSE),IF(ISERROR(FIND("ply",WardrobeCarcassMaterial))=FALSE,(0.1*($C102/1000))*VLOOKUP("Birch ply (24mm)",SheetsData,7,FALSE),IF(ISERROR(FIND("H/F",WardrobeCarcassMaterial))=FALSE,(0.1*($C102/1000))*VLOOKUP("H/F (22mm)",SheetsData,7,FALSE),"Carcass - not tower - new material")))),IF(WardrobeHandleFinish="Match door",IF(ISERROR(FIND("Walnut",WardrobeDoorMaterial))=FALSE,(0.035*0.075*($C102/1000))*VLOOKUP("Walnut (solid m3)",SolidData,4,FALSE),IF(ISERROR(FIND("Oak",WardrobeDoorMaterial))=FALSE,(0.035*0.075*($C102/1000))*VLOOKUP("Oak (solid m3)",SolidData,4,FALSE),IF(ISERROR(FIND("ply",WardrobeDoorMaterial))=FALSE,(0.1*($C102/1000))*VLOOKUP("Birch ply (24mm)",SheetsData,7,FALSE),IF(ISERROR(FIND("H/F",WardrobeCarcassMaterial))=FALSE,(0.1*($C102/1000))*VLOOKUP("H/F (22mm)",SheetsData,7,FALSE),"Door - not tower - new material")))),"Channel - not tower - handle set to other")),IF(ISERROR(FIND("Tower",$A102))=FALSE,IF(WardrobeHandleFinish="Match carcass",IF(ISERROR(FIND("Walnut",WardrobeCarcassMaterial))=FALSE,(0.035*0.075*($B102/1000))*VLOOKUP("Walnut (solid m3)",SolidData,4,FALSE),IF(ISERROR(FIND("Oak",WardrobeCarcassMaterial))=FALSE,(0.035*0.075*($B102/1000))*VLOOKUP("Oak (solid m3)",SolidData,4,FALSE),IF(ISERROR(FIND("ply",WardrobeCarcassMaterial))=FALSE,(0.1*($B102/1000))*VLOOKUP("Birch ply (24mm)",SheetsData,7,FALSE),IF(ISERROR(FIND("H/F",WardrobeCarcassMaterial))=FALSE,(0.1*($C102/1000))*VLOOKUP("H/F (22mm)",SheetsData,7,FALSE),"Carcass - tower - new material")))),IF(WardrobeHandleFinish="Match door",IF(ISERROR(FIND("Walnut",WardrobeDoorMaterial))=FALSE,(0.035*0.075*($B102/1000))*VLOOKUP("Walnut (solid m3)",SolidData,4,FALSE),IF(ISERROR(FIND("Oak",WardrobeDoorMaterial))=FALSE,(0.035*0.075*($B102/1000))*VLOOKUP("Oak (solid m3)",SolidData,4,FALSE),IF(ISERROR(FIND("ply",WardrobeDoorMaterial))=FALSE,(0.1*($B102/1000))*VLOOKUP("Birch ply (24mm)",SheetData,7,FALSE),IF(ISERROR(FIND("H/F",WardrobeCarcassMaterial))=FALSE,(0.1*($C102/1000))*VLOOKUP("H/F (22mm)",SheetsData,7,FALSE),"Door - tower - new material")))),"Channel - tower - handle set to other")))),"")</f>
        <v/>
      </c>
    </row>
    <row r="103">
      <c r="A103" s="150"/>
      <c r="B103" s="160" t="str">
        <f t="shared" si="1"/>
        <v/>
      </c>
      <c r="C103" s="160" t="str">
        <f>IFERROR(__xludf.DUMMYFUNCTION("IF(A103="""","""",IF(ISERROR(FIND(""arcass"",A103))=FALSE,MID(A103,FIND(""*"",A103)+1,FIND(""*"",A103,FIND(""*"",A103)+1)-FIND(""*"",A103)-1),IF(ISERROR(FIND(""End panel"",A103))=FALSE,RIGHT(A103,3),IF(OR(ISERROR(FIND(""drawer"",A103))=FALSE,ISERROR(FIND("&amp;"""door"",A103))=FALSE,ISERROR(FIND(""shelf"",A103))=FALSE,ISERROR(FIND(""panel"",A103))=FALSE,ISERROR(FIND(""Plinth"",A103))=FALSE,ISERROR(FIND(""Cornice"",A103))=FALSE,ISERROR(FIND(""Fillers"",A103))=FALSE,ISERROR(FIND(""Pelmet"",A103))=FALSE,ISERROR(FIN"&amp;"D(""Fireplace up to 1600"",A103))=FALSE),RIGHT(A103,LEN(A103)-LEN(regexextract(A103,"".* ""))),IF(ISERROR(FIND(""table"",A103))=FALSE,""560"",IF(ISERROR(FIND(""Office pod"",A103))=FALSE,""1600"",IF(ISERROR(FIND(""Fireplace over 1600"",A103))=FALSE,""2400"&amp;""",IF(ISERROR(FIND(""Worktop"",A103))=FALSE,""650"",""Whoops""))))))))"),"")</f>
        <v/>
      </c>
      <c r="D103" s="161" t="str">
        <f t="shared" si="2"/>
        <v/>
      </c>
      <c r="E103" s="152" t="str">
        <f>IF(OR(A103="",AND(ISERROR(FIND("drawer",A103))=FALSE,WardrobeDrawerType="")),"",IF(ISERROR(FIND("door",A103))=FALSE,IF(WardrobeDoorStyle="Flat",((B103/1000)*(C103/1000))*VLOOKUP(WardrobeDoorMaterial,SheetsData,8,0),IF(LEFT(WardrobeDoorStyle,5)="Panel",(((((B103/1000)*2)*0.08)+((((C103/1000)-0.16)*2)*0.08))*VLOOKUP("H/F (22mm)",SheetsData,8,0))+(((B103/1000)-0.14)*((C103/1000)-0.14)*VLOOKUP("H/F (9mm)",SheetsData,8,0)),IF(WardrobeDoorStyle="In-frame flat",((((((B103/1000)*0.019)*0.038)+((((C103-38)/1000)*0.038)*0.038))*2)*VLOOKUP("Tulip (solid m3)",SolidData,4,0))+(((B103-76)/1000)*((C103-38)/1000))*VLOOKUP("H/F (22mm)",SheetsData,8,0),IF(LEFT(WardrobeDoorStyle,14)="In-frame panel",(((((((B103/1000)*0.019)*0.038)+((((C103-38)/1000)*0.038)*0.038))*2)*VLOOKUP("Tulip (solid m3)",SolidData,4,0))+(((((((B103-76)/1000)*2)*0.08)+(((((C103-198)/1000)*2)*0.08)))*VLOOKUP("H/F (22mm)",SheetsData,8,0))+(((B103-216)/1000)*((C103-178)/1000)*VLOOKUP("H/F (9mm)",SheetsData,8,0)))))))),IF(AND(ISERROR(FIND("arcass",A103))=FALSE,ISERROR(FIND("ost corner",A103))=TRUE),IF(AND(VALUE(B103)&lt;1211,VALUE(C103)&lt;1211,VALUE(D103)&lt;606),1*VLOOKUP(WardrobeCarcassMaterial,SheetsData,5,FALSE),IF(AND(VALUE(B103)&lt;2421,VALUE(C103)&lt;2421,VALUE(D103)&lt;606),2*VLOOKUP(WardrobeCarcassMaterial,SheetsData,5,FALSE),IF(AND(VALUE(B103)&lt;2421,VALUE(C103)&lt;1211,VALUE(D103)&lt;1211),3*VLOOKUP(WardrobeCarcassMaterial,SheetsData,5,FALSE),IF(AND(VALUE(B103)&lt;2421,VALUE(C103)&lt;2421,VALUE(D103)&lt;1211),4*VLOOKUP(WardrobeCarcassMaterial,SheetsData,5,FALSE))))),IF(AND(ISERROR(FIND("arcass",A103))=FALSE,ISERROR(FIND("ost corner",A103))=FALSE),IF(AND(VALUE(B103)&lt;1211,VALUE(C103)&lt;1211,VALUE(D103)&lt;606),(1*VLOOKUP(WardrobeCarcassMaterial,SheetsData,5,FALSE))+(VLOOKUP("H/F (22mm)",SheetsData,7,FALSE)*1.44),IF(AND(VALUE(B103)&lt;2421,VALUE(C103)&lt;2421,VALUE(D103)&lt;606),(2*VLOOKUP(WardrobeCarcassMaterial,SheetsData,5,FALSE))+(VLOOKUP("H/F (22mm)",SheetsData,7,FALSE)*1.44),IF(AND(VALUE(B103)&lt;2421,VALUE(C103)&lt;1211,VALUE(D103)&lt;1211),(3*VLOOKUP(WardrobeCarcassMaterial,SheetsData,5,FALSE))+(VLOOKUP("H/F (22mm)",SheetsData,7,FALSE)*1.44),IF(AND(VALUE(B103)&lt;2421,VALUE(C103)&lt;2421,VALUE(D103)&lt;1211),(4*VLOOKUP(WardrobeCarcassMaterial,SheetsData,5,FALSE))+(VLOOKUP("H/F (22mm)",SheetsData,7,FALSE)*1.44))))),IF(ISERROR(FIND("drawer front",A103))=FALSE,((B103/1000)*(C103/1000))*VLOOKUP(WardrobeDoorMaterial,SheetsData,8,0),IF(AND(WardrobeDrawerType="Match carcass",ISERROR(FIND("drawer box",A103))=FALSE),(((((B103/1000)*(C103/1000))+((B103/1000)*(D103/1000)))*2)*VLOOKUP(WardrobeCarcassMaterial,SheetsData,8,0))+(((C103/1000)*(D103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box",A103))=FALSE),(((((B103/1000)*(C103/1000))+((B103/1000)*(D103/1000)))*2)*(16/1000)*VLOOKUP(LEFT(WardrobeCarcassMaterial,FIND(" ",WardrobeCarcassMaterial))&amp;"(solid m3)",SolidData,4,0))+(((C103/1000)*(D103/1000))*VLOOKUP(LEFT(WardrobeCarcassMaterial,FIND("(",WardrobeCarcassMaterial)-1)&amp;IF(OR(ISERROR(FIND("ply",WardrobeCarcassMaterial))=FALSE,ISERROR(FIND("H/F",WardrobeCarcassMaterial))=FALSE),"(9mm)","(10mm)"),SheetsData,8,0)),IF(ISERROR(FIND("shelf",A103))=FALSE,((C103/1000)*(D103/1000))*VLOOKUP(WardrobeCarcassMaterial,SheetsData,7,FALSE),IF(ISERROR(FIND("Office pod",A103))=FALSE,3*VLOOKUP(WardrobeCarcassMaterial,SheetsData,5,0),IF(ISERROR(FIND(" panel",A103))=FALSE,((B103/1000)*(C103/1000))*VLOOKUP(WardrobeDoorMaterial,SheetsData,8,0),IF(ISERROR(FIND("Fillers",A103))=FALSE,(((0.06*(C103/1000))*2)*VLOOKUP("H/F (18mm)",SheetsData,8,0))+(((0.06*(C103/1000))*2)*VLOOKUP("H/F (9mm)",SheetsData,8,0)),IF(ISERROR(FIND("Cornice (stacked)",A103))=FALSE,((0.08*(C103/1000))*2)*VLOOKUP("H/F (22mm)",SheetsData,8,0),IF(OR(ISERROR(FIND("Plinth",A103))=FALSE,ISERROR(FIND("Cornice (flat)",A103))=FALSE),((B103/1000)*(C103/1000))*VLOOKUP("H/F (18mm)",SheetsData,8,0),IF(ISERROR(FIND("Pelmet",A103))=FALSE,((((B103/1000)*(C103/1000))*2)*VLOOKUP("H/F (18mm)",SheetsData,8,0)),IF(ISERROR(FIND("Fireplace",A103))=FALSE,IF(ISERROR(FIND("over 1600",A103))=FALSE,2*VLOOKUP(WardrobeCarcassMaterial,SheetsData,5,FALSE),VLOOKUP(WardrobeCarcassMaterial,SheetsData,5,FALSE)),IF(ISERROR(FIND("table",A103))=FALSE,((B103/1000)*0.6)*VLOOKUP("Birch ply (24mm)",SheetsData,7,FALSE),IF(ISERROR(FIND("Worktop",A103))=FALSE,((B103/1000)*(C103/1000))*VLOOKUP(WardrobeDoorMaterial,SheetsData,7,FALSE),"Check formula")))))))))))))))))</f>
        <v/>
      </c>
      <c r="F103" s="152" t="str">
        <f>IFERROR(__xludf.DUMMYFUNCTION("IF(OR(A103="""",AND(ISERROR(FIND(""drawer box"",A103))=FALSE,WardrobeDrawerType=""Solid dovetail"")),"""",IF(ISERROR(FIND(""bins"",A103))=FALSE,VLOOKUP(""Base carcass 600"",Wardrobes_etcData,6,0),IF(OR(ISERROR(FIND(""larder"",A103))=FALSE,ISERROR(FIND(""u"&amp;"nit"",A103))=FALSE),VLOOKUP(LEFT(A103,FIND("" "",A103))&amp;""carcass ""&amp;RIGHT(A103,LEN(A103)-len(regexextract(A103,"".* ""))),Wardrobes_etcData,6,0),IF(ISERROR(FIND(""drawer front"",A103))=FALSE,IF(ISERROR(FIND(""veneer"",WardrobeCarcassMaterial))=TRUE,0,((("&amp;"B103+C103)/1000)*2)*VLOOKUP(""Edge banding (per M)"",SheetsData,5,0)),IF(ISERROR(FIND(""drawer box"",A103))=FALSE,IF(ISERROR(FIND(""veneer"",WardrobeCarcassMaterial))=TRUE,0,(((C103+D103)/1000)*2)*VLOOKUP(""Edge banding (per M)"",SheetsData,5,0)),IF(ISERR"&amp;"OR(FIND(""shelf"",A103))=FALSE,IF(ISERROR(FIND(""veneer"",WardrobeCarcassMaterial))=TRUE,0,(C103/1000)*VLOOKUP(""Edge banding (per M)"",SheetsData,5,0)),IF(AND(OR(ISERROR(FIND(""arcass"",A103))=FALSE,ISERROR(FIND(""Fireplace"",A103))=FALSE),ISERROR(FIND("&amp;"""shelf"",A103))=TRUE),IF(ISERROR(FIND(""veneer"",WardrobeCarcassMaterial))=TRUE,0,((2*(B103+C103))/1000)*VLOOKUP(""Edge banding (per M)"",SheetsData,5,0)),IF(ISERROR(FIND(""door"",A103))=TRUE,"""",IF(ISERROR(FIND(""veneer"",WardrobeDoorMaterial))=TRUE,"""&amp;""",((2*(B103+C103))/1000)*VLOOKUP(""Edge banding (per M)"",SheetsData,5,0))))))))))"),"")</f>
        <v/>
      </c>
      <c r="G103" s="153" t="str">
        <f>IF(A103="","",IF(AND(ISERROR(FIND("arcass",A103))=TRUE,ISERROR(FIND("Fireplace",A103))=TRUE),"",IF(VALUE(C103)&lt;606,4*VLOOKUP("Plinth foot (2 Parts 80mm)",FurnitureData,5,FALSE),IF(VALUE(C103)&lt;1211,6*VLOOKUP("Plinth foot (2 Parts 80mm)",FurnitureData,5,FALSE),8*VLOOKUP("Plinth foot (2 Parts 80mm)",FurnitureData,5,FALSE)))))</f>
        <v/>
      </c>
      <c r="H103" s="115" t="str">
        <f>IF(OR(A103="",ISERROR(FIND("door",A103))=TRUE),"",VLOOKUP("Hinges &amp; plates (Hettich thick door)",FurnitureData,5,0)*5)</f>
        <v/>
      </c>
      <c r="I103" s="115" t="str">
        <f>IF(ISERROR(FIND("shelf",A103))=FALSE,(VLOOKUP("Shelf pegs",FurnitureData,5,0)/100)*4,"")</f>
        <v/>
      </c>
      <c r="J103" s="152" t="str">
        <f>IF(OR(ISERROR(FIND("fridge/freezer",A103))=FALSE,ISERROR(FIND("sink",A103))=FALSE,ISERROR(FIND("larder",A103))=FALSE),VLOOKUP("Deep shelf "&amp;C103,Wardrobes_etcData,18,0),IF(OR(ISERROR(FIND("single oven",A103))=FALSE,ISERROR(FIND("Base carcass",A103))=FALSE),2*VLOOKUP("Deep shelf "&amp;C103,Wardrobes_etcData,18,0),IF(AND(ISERROR(FIND("wall carcass",A103))=FALSE,ISERROR(FIND("Boiler",A103))=TRUE),2*VLOOKUP("Shallow shelf "&amp;C103,Wardrobes_etcData,18,0),IF(ISERROR(FIND("double oven",A103))=FALSE,3*VLOOKUP("Deep shelf "&amp;C103,Wardrobes_etcData,18,0),IF(ISERROR(FIND("Tower carcass",A103))=FALSE,6*VLOOKUP("Deep shelf "&amp;C103,Wardrobes_etcData,18,0),"")))))</f>
        <v/>
      </c>
      <c r="K103" s="152" t="str">
        <f>IF(ISERROR(FIND("sink",A103))=FALSE,VLOOKUP("Sink liner - Aluminium "&amp;RIGHT(A103,LEN(A103)-22)&amp;"mm",ExceptionalData,5,0),IF(ISERROR(FIND("bins",A103))=FALSE,VLOOKUP("Drawer runners and clip set for bin unit (500) Dynapro",FurnitureData,5,0)+(2*VLOOKUP("Bin (42L Anthracite)",FurnitureData,5,0)),IF(ISERROR(FIND("larder",A103))=FALSE,VLOOKUP("Pull out larder unit 600mm",FurnitureData,5,0),IF(AND(ISERROR(FIND("drawer box",A103))=FALSE,ISERROR(FIND("internal",A103))=TRUE),VLOOKUP("Drawer runners and clip set (550) Dynapro",FurnitureData,5,0),IF(ISERROR(FIND("internal drawer box",A103))=FALSE,VLOOKUP("Drawer runners and clip set (450) Dynapro",FurnitureData,5,0),IF(ISERROR(FIND("table",A103))=FALSE,VLOOKUP("Hairpin Leg (12mm Black "&amp;MID(A103,FIND("(",A103)+1,LEN(A103)-(FIND("(",A103))-1)&amp;"mm)",ExceptionalData,4,FALSE),""))))))</f>
        <v/>
      </c>
      <c r="L103" s="152" t="str">
        <f t="shared" si="3"/>
        <v/>
      </c>
      <c r="M103" s="154" t="str">
        <f>IF(A103="","",IF(AND(ISERROR(FIND("drawer front",A103))=FALSE,WardrobeDoorStyle="Flat"),(((B103/1000)*(C103/1000))*2)+((((B103+C103)/1000)*2)*0.022),IF(AND(ISERROR(FIND("drawer front",A103))=FALSE,LEFT(WardrobeDoorStyle,5)="Panel"),(((B103/1000)*(C103/1000))*2)+((((B103+C103)/1000)*2)*0.022)+((((C103/1000)-0.16)*0.013)*2)+((((D103/1000)-0.16)*0.013)*2),IF(AND(ISERROR(FIND("drawer front",A103))=FALSE,WardrobeDoorStyle="In-frame flat"),((((B103-76)/1000)*((C103-38)/1000))*2)+(MID(WardrobeDoorMaterial,FIND("(",WardrobeDoorMaterial)+1,2)/1000)*((((B103-76)+(C103-38))/1000)*2)+(((B103/1000)*0.032)*2)+((((B103-76)/1000)*0.032)*2)+(((B103/1000)*0.019)*4)+(((C103/1000)*0.032)*2)+((((C103-38)/1000)*0.032)*2)+(((C103/1000)*0.038)*4),IF(AND(ISERROR(FIND("drawer front",A103))=FALSE,LEFT(WardrobeDoorStyle,14)="In-frame panel"),((((B103-76)/1000)*((C103-38)/1000))*2)+((MID(WardrobeDoorMaterial,FIND("(",WardrobeDoorMaterial)+1,2)/1000)*((((B103-76)+(C103-38))/1000)*2))+((((B103-236)/1000)+((C103-198)/1000)*2)*0.013)+(((B103/1000)*0.032)*2)+((((B103-76)/1000)*0.032)*2)+(((B103/1000)*0.019)*4)+(((C103/1000)*0.032)*2)+((((C103-38)/1000)*0.032)*2)+(((C103/1000)*0.038)*4),IF(ISERROR(FIND("drawer box",A103))=FALSE,((((B103/1000)*(D103/1000))+((B103/1000)*(C103/1000)))*4)+((((D103/1000)+(C103/1000))*0.016)*4)+(((C103/1000)*(D103/1000))*2),IF(OR(ISERROR(FIND("shelf",A103))=FALSE,ISERROR(FIND("Filler panel",A103))=FALSE),(((C103/1000)*(D103/1000))*2)+((((C103+D103)*2)/1000)*0.022),IF(ISERROR(FIND("Fireplace",A103))=FALSE,((B103/1000)*(C103/1000)),IF(ISERROR(FIND("Worktop",A103))=FALSE,(B103/1000)*(C103/1000),IF(ISERROR(FIND("table",A103))=FALSE,(B103/1000)*0.6,IF(ISERROR(FIND("arcass",A103))=FALSE,(((C103/1000)*(D103/1000))*2)+(((B103/1000)*(D103/1000))*2)+((B103/1000)*(C103/1000))+((((B103/1000)*0.025)+((C103/1000)*0.025))*2),IF(AND(ISERROR(FIND("door",A103))=FALSE,WardrobeDoorStyle="Flat"),(((B103/1000)*(C103/1000))*2)+(MID(WardrobeDoorMaterial,FIND("(",WardrobeDoorMaterial)+1,2)/1000)*(((B103+C103)/1000)*2),IF(AND(ISERROR(FIND("door",A103))=FALSE,LEFT(WardrobeDoorStyle,5)="Panel"),(((B103/1000)*(C103/1000))*2)+((MID(WardrobeDoorMaterial,FIND("(",WardrobeDoorMaterial)+1,2)/1000)*(((B103+C103)/1000)*2))+(((((B103-160)+(C103-160))*2)/1000)*(0.013)),IF(AND(ISERROR(FIND("door",A103))=FALSE,WardrobeDoorStyle="In-frame flat"),((((B103-76)/1000)*((C103-38)/1000))*2)+(MID(WardrobeDoorMaterial,FIND("(",WardrobeDoorMaterial)+1,2)/1000)*((((B103-76)+(C103-38))/1000)*2)+(((B103/1000)*0.032)*2)+((((B103-76)/1000)*0.032)*2)+(((B103/1000)*0.019)*4)+(((C103/1000)*0.032)*2)+((((C103-38)/1000)*0.032)*2)+(((C103/1000)*0.038)*4),IF(AND(ISERROR(FIND("door",A103))=FALSE,LEFT(WardrobeDoorStyle,14)="In-frame panel"),((((B103-76)/1000)*((C103-38)/1000))*2)+((MID(WardrobeDoorMaterial,FIND("(",WardrobeDoorMaterial)+1,2)/1000)*((((B103-76)+(C103-38))/1000)*2))+((((B103-236)/1000)+((C103-198)/1000)*2)*0.013)+(((B103/1000)*0.032)*2)+((((B103-76)/1000)*0.032)*2)+(((B103/1000)*0.019)*4)+(((C103/1000)*0.032)*2)+((((C103-38)/1000)*0.032)*2)+(((C103/1000)*0.038)*4),IF(ISERROR(FIND("Plinth",A103))=FALSE,((B103/1000)*(C103/1000))+(((C103/1000)*0.018)*2)+(((B103/1000)*0.018)*2),IF(ISERROR(FIND("Cornice",A103))=FALSE,(((C103/1000)*0.1)*2)+(((C103/1000)*0.044)*2)+(((B103/1000)*0.08)*2),IF(ISERROR(FIND("Office pod",A103))=FALSE,((2400/1000)*(1200/1000))*6,IF(ISERROR(FIND("panel",A103))=FALSE,((B103/1000)*(C103/1000))+(0.022*((B103/1000)+((C103/1000)*2)))+((B103/1000)*0.05),IF(ISERROR(FIND("Fillers",A103))=FALSE,((C103/1000)*0.06)+((C103/1000)*0.069)+((0.06*0.018)*2)+((0.06*0.009)*2)+((C103/1000)*0.009)+((C103/1000)*0.018),IF(ISERROR(FIND("Pelmet",A103))=FALSE,((C103/1000)*0.05)+((C103/1000)*0.068)+((0.05*0.018)*4)+(((C103/1000)*0.018))*2)))))))))))))))))))))</f>
        <v/>
      </c>
      <c r="N103" s="152" t="str">
        <f>IF(M103="","",IF(AND(ISERROR(FIND("carcass",A103))=TRUE,ISERROR(FIND("unit",A103))=TRUE,ISERROR(FIND("insert",A103))=TRUE,ISERROR(FIND("rack",A103))=TRUE,ISERROR(FIND("box",A103))=TRUE,ISERROR(FIND("shelf",A103))=TRUE),VLOOKUP(WardrobeDoorFinish,Finishing!$A$2:$K$10,9,0)*M103,IF(ISERROR(FIND("table",A103))=FALSE,VLOOKUP("Sayerlack AF0072 Interior Clear Self-Sealer",FinishingData,9,FALSE)*M103,VLOOKUP(WardrobeCarcassFinish,Finishing!$A$2:$K$40,9,0)*M103)))</f>
        <v/>
      </c>
      <c r="O103" s="159"/>
      <c r="P103" s="159"/>
      <c r="Q103" s="152" t="str">
        <f>IF(OR(O103="",P103=""),"",((O103*X103)*(VLOOKUP("Workshop",Labour!$A$3:$E$20,4,0)/8))+((P103*AE103)*(VLOOKUP("Finishing",Labour!$A$3:$E$20,4,0)/8)))</f>
        <v/>
      </c>
      <c r="R103" s="152" t="str">
        <f t="shared" si="4"/>
        <v/>
      </c>
      <c r="S103" s="156" t="str">
        <f>IF(OR(O103="",P103=""),"",IF(OR(ISERROR(FIND("carcass",$A103))=FALSE,ISERROR(FIND("unit",$A103))=FALSE),VLOOKUP(WardrobeCarcassMaterial,FixedListsCarcassMaterial,2,0),0))</f>
        <v/>
      </c>
      <c r="T103" s="156" t="str">
        <f>IF(OR(O103="",P103=""),"",IF(ISERROR(FIND("door",$A103))=FALSE,VLOOKUP(WardrobeDoorStyle,FixedListsDoorStyle,2,0),0))</f>
        <v/>
      </c>
      <c r="U103" s="156" t="str">
        <f>IF(OR(O103="",P103=""),"",IF(ISERROR(FIND("door",$A103))=FALSE,VLOOKUP(WardrobeDoorMaterial,FixedListsDoorMaterial,2,0),0))</f>
        <v/>
      </c>
      <c r="V103" s="156" t="str">
        <f>IF(OR(O103="",P103=""),"",IF(ISERROR(FIND("drawer",$A103))=FALSE,VLOOKUP(WardrobeDrawerType,FixedListsDrawerType,2,0),0))</f>
        <v/>
      </c>
      <c r="W103" s="156" t="str">
        <f>IF(OR(O103="",P103=""),"",IF(S103&gt;0,VLOOKUP(WardrobeHandleType,FixedListsHandleType,2,FALSE),0))</f>
        <v/>
      </c>
      <c r="X103" s="156" t="str">
        <f t="shared" si="5"/>
        <v/>
      </c>
      <c r="Y103" s="156" t="str">
        <f>IF(OR(O103="",P103=""),"",IF(OR(ISERROR(FIND("carcass",$A103))=FALSE,ISERROR(FIND("unit",$A103))=FALSE),VLOOKUP(WardrobeCarcassMaterial,FixedListsCarcassMaterial,3,0),0))</f>
        <v/>
      </c>
      <c r="Z103" s="156" t="str">
        <f>IF(OR(O103="",P103=""),"",IF(ISERROR(FIND("door",$A103))=FALSE,VLOOKUP(WardrobeDoorStyle,FixedListsDoorStyle,3,0),0))</f>
        <v/>
      </c>
      <c r="AA103" s="156" t="str">
        <f>IF(OR(O103="",P103=""),"",IF(ISERROR(FIND("door",$A103))=FALSE,VLOOKUP(WardrobeDoorMaterial,FixedListsDoorMaterial,3,0),0))</f>
        <v/>
      </c>
      <c r="AB103" s="156" t="str">
        <f>IF(OR(O103="",P103=""),"",IF(ISERROR(FIND("drawer",$A103))=FALSE,VLOOKUP(WardrobeDrawerType,FixedListsDrawerType,3,0),0))</f>
        <v/>
      </c>
      <c r="AC103" s="156" t="str">
        <f>IF(OR(O103="",P103=""),"",IF(S103&gt;0,VLOOKUP(WardrobeHandleType,FixedListsHandleType,3,FALSE),0))</f>
        <v/>
      </c>
      <c r="AD103" s="156" t="str">
        <f>IF(OR(O103="",P103=""),"",IF(OR(ISERROR(FIND("carcass",$A103))=FALSE,ISERROR(FIND("unit",$A103))=FALSE),VLOOKUP(WardrobeCarcassFinish,FixedListsFinishes,3,0),IF(OR(ISERROR(FIND("door",$A103))=FALSE,ISERROR(FIND("Plinth",$A103))=FALSE,ISERROR(FIND("Cornice",$A103))=FALSE,ISERROR(FIND("Fillers",$A103))=FALSE,ISERROR(FIND("Pelmet",$A103))=FALSE,ISERROR(FIND("panel",$A103))=FALSE,ISERROR(FIND("post",$A103))=FALSE),VLOOKUP(WardrobeDoorFinish,FixedListsFinishes,3,0),IF(OR(ISERROR(FIND("drawer",$A103))=FALSE,ISERROR(FIND("insert",$A103))=FALSE,ISERROR(FIND("rck",$A103))=FALSE),VLOOKUP(WardrobeCarcassFinish,FixedListsFinishes,3,0),0))))</f>
        <v/>
      </c>
      <c r="AE103" s="156" t="str">
        <f t="shared" si="6"/>
        <v/>
      </c>
      <c r="AF103" s="157" t="str">
        <f>IF(AND(WardrobeHandleType="Channel",OR(ISERROR(FIND("arcass",$A103))=FALSE,ISERROR(FIND("unit",$A103))=FALSE)),IF(ISERROR(FIND("Tower",$A103))=TRUE,IF(WardrobeHandleFinish="Match carcass",IF(ISERROR(FIND("Walnut",WardrobeCarcassMaterial))=FALSE,(0.035*0.075*($C103/1000))*VLOOKUP("Walnut (solid m3)",SolidData,4,FALSE),IF(ISERROR(FIND("Oak",WardrobeCarcassMaterial))=FALSE,(0.035*0.075*($C103/1000))*VLOOKUP("Oak (solid m3)",SolidData,4,FALSE),IF(ISERROR(FIND("ply",WardrobeCarcassMaterial))=FALSE,(0.1*($C103/1000))*VLOOKUP("Birch ply (24mm)",SheetsData,7,FALSE),IF(ISERROR(FIND("H/F",WardrobeCarcassMaterial))=FALSE,(0.1*($C103/1000))*VLOOKUP("H/F (22mm)",SheetsData,7,FALSE),"Carcass - not tower - new material")))),IF(WardrobeHandleFinish="Match door",IF(ISERROR(FIND("Walnut",WardrobeDoorMaterial))=FALSE,(0.035*0.075*($C103/1000))*VLOOKUP("Walnut (solid m3)",SolidData,4,FALSE),IF(ISERROR(FIND("Oak",WardrobeDoorMaterial))=FALSE,(0.035*0.075*($C103/1000))*VLOOKUP("Oak (solid m3)",SolidData,4,FALSE),IF(ISERROR(FIND("ply",WardrobeDoorMaterial))=FALSE,(0.1*($C103/1000))*VLOOKUP("Birch ply (24mm)",SheetsData,7,FALSE),IF(ISERROR(FIND("H/F",WardrobeCarcassMaterial))=FALSE,(0.1*($C103/1000))*VLOOKUP("H/F (22mm)",SheetsData,7,FALSE),"Door - not tower - new material")))),"Channel - not tower - handle set to other")),IF(ISERROR(FIND("Tower",$A103))=FALSE,IF(WardrobeHandleFinish="Match carcass",IF(ISERROR(FIND("Walnut",WardrobeCarcassMaterial))=FALSE,(0.035*0.075*($B103/1000))*VLOOKUP("Walnut (solid m3)",SolidData,4,FALSE),IF(ISERROR(FIND("Oak",WardrobeCarcassMaterial))=FALSE,(0.035*0.075*($B103/1000))*VLOOKUP("Oak (solid m3)",SolidData,4,FALSE),IF(ISERROR(FIND("ply",WardrobeCarcassMaterial))=FALSE,(0.1*($B103/1000))*VLOOKUP("Birch ply (24mm)",SheetsData,7,FALSE),IF(ISERROR(FIND("H/F",WardrobeCarcassMaterial))=FALSE,(0.1*($C103/1000))*VLOOKUP("H/F (22mm)",SheetsData,7,FALSE),"Carcass - tower - new material")))),IF(WardrobeHandleFinish="Match door",IF(ISERROR(FIND("Walnut",WardrobeDoorMaterial))=FALSE,(0.035*0.075*($B103/1000))*VLOOKUP("Walnut (solid m3)",SolidData,4,FALSE),IF(ISERROR(FIND("Oak",WardrobeDoorMaterial))=FALSE,(0.035*0.075*($B103/1000))*VLOOKUP("Oak (solid m3)",SolidData,4,FALSE),IF(ISERROR(FIND("ply",WardrobeDoorMaterial))=FALSE,(0.1*($B103/1000))*VLOOKUP("Birch ply (24mm)",SheetData,7,FALSE),IF(ISERROR(FIND("H/F",WardrobeCarcassMaterial))=FALSE,(0.1*($C103/1000))*VLOOKUP("H/F (22mm)",SheetsData,7,FALSE),"Door - tower - new material")))),"Channel - tower - handle set to other")))),"")</f>
        <v/>
      </c>
    </row>
    <row r="104">
      <c r="A104" s="150"/>
      <c r="B104" s="160" t="str">
        <f t="shared" si="1"/>
        <v/>
      </c>
      <c r="C104" s="160" t="str">
        <f>IFERROR(__xludf.DUMMYFUNCTION("IF(A104="""","""",IF(ISERROR(FIND(""arcass"",A104))=FALSE,MID(A104,FIND(""*"",A104)+1,FIND(""*"",A104,FIND(""*"",A104)+1)-FIND(""*"",A104)-1),IF(ISERROR(FIND(""End panel"",A104))=FALSE,RIGHT(A104,3),IF(OR(ISERROR(FIND(""drawer"",A104))=FALSE,ISERROR(FIND("&amp;"""door"",A104))=FALSE,ISERROR(FIND(""shelf"",A104))=FALSE,ISERROR(FIND(""panel"",A104))=FALSE,ISERROR(FIND(""Plinth"",A104))=FALSE,ISERROR(FIND(""Cornice"",A104))=FALSE,ISERROR(FIND(""Fillers"",A104))=FALSE,ISERROR(FIND(""Pelmet"",A104))=FALSE,ISERROR(FIN"&amp;"D(""Fireplace up to 1600"",A104))=FALSE),RIGHT(A104,LEN(A104)-LEN(regexextract(A104,"".* ""))),IF(ISERROR(FIND(""table"",A104))=FALSE,""560"",IF(ISERROR(FIND(""Office pod"",A104))=FALSE,""1600"",IF(ISERROR(FIND(""Fireplace over 1600"",A104))=FALSE,""2400"&amp;""",IF(ISERROR(FIND(""Worktop"",A104))=FALSE,""650"",""Whoops""))))))))"),"")</f>
        <v/>
      </c>
      <c r="D104" s="161" t="str">
        <f t="shared" si="2"/>
        <v/>
      </c>
      <c r="E104" s="152" t="str">
        <f>IF(OR(A104="",AND(ISERROR(FIND("drawer",A104))=FALSE,WardrobeDrawerType="")),"",IF(ISERROR(FIND("door",A104))=FALSE,IF(WardrobeDoorStyle="Flat",((B104/1000)*(C104/1000))*VLOOKUP(WardrobeDoorMaterial,SheetsData,8,0),IF(LEFT(WardrobeDoorStyle,5)="Panel",(((((B104/1000)*2)*0.08)+((((C104/1000)-0.16)*2)*0.08))*VLOOKUP("H/F (22mm)",SheetsData,8,0))+(((B104/1000)-0.14)*((C104/1000)-0.14)*VLOOKUP("H/F (9mm)",SheetsData,8,0)),IF(WardrobeDoorStyle="In-frame flat",((((((B104/1000)*0.019)*0.038)+((((C104-38)/1000)*0.038)*0.038))*2)*VLOOKUP("Tulip (solid m3)",SolidData,4,0))+(((B104-76)/1000)*((C104-38)/1000))*VLOOKUP("H/F (22mm)",SheetsData,8,0),IF(LEFT(WardrobeDoorStyle,14)="In-frame panel",(((((((B104/1000)*0.019)*0.038)+((((C104-38)/1000)*0.038)*0.038))*2)*VLOOKUP("Tulip (solid m3)",SolidData,4,0))+(((((((B104-76)/1000)*2)*0.08)+(((((C104-198)/1000)*2)*0.08)))*VLOOKUP("H/F (22mm)",SheetsData,8,0))+(((B104-216)/1000)*((C104-178)/1000)*VLOOKUP("H/F (9mm)",SheetsData,8,0)))))))),IF(AND(ISERROR(FIND("arcass",A104))=FALSE,ISERROR(FIND("ost corner",A104))=TRUE),IF(AND(VALUE(B104)&lt;1211,VALUE(C104)&lt;1211,VALUE(D104)&lt;606),1*VLOOKUP(WardrobeCarcassMaterial,SheetsData,5,FALSE),IF(AND(VALUE(B104)&lt;2421,VALUE(C104)&lt;2421,VALUE(D104)&lt;606),2*VLOOKUP(WardrobeCarcassMaterial,SheetsData,5,FALSE),IF(AND(VALUE(B104)&lt;2421,VALUE(C104)&lt;1211,VALUE(D104)&lt;1211),3*VLOOKUP(WardrobeCarcassMaterial,SheetsData,5,FALSE),IF(AND(VALUE(B104)&lt;2421,VALUE(C104)&lt;2421,VALUE(D104)&lt;1211),4*VLOOKUP(WardrobeCarcassMaterial,SheetsData,5,FALSE))))),IF(AND(ISERROR(FIND("arcass",A104))=FALSE,ISERROR(FIND("ost corner",A104))=FALSE),IF(AND(VALUE(B104)&lt;1211,VALUE(C104)&lt;1211,VALUE(D104)&lt;606),(1*VLOOKUP(WardrobeCarcassMaterial,SheetsData,5,FALSE))+(VLOOKUP("H/F (22mm)",SheetsData,7,FALSE)*1.44),IF(AND(VALUE(B104)&lt;2421,VALUE(C104)&lt;2421,VALUE(D104)&lt;606),(2*VLOOKUP(WardrobeCarcassMaterial,SheetsData,5,FALSE))+(VLOOKUP("H/F (22mm)",SheetsData,7,FALSE)*1.44),IF(AND(VALUE(B104)&lt;2421,VALUE(C104)&lt;1211,VALUE(D104)&lt;1211),(3*VLOOKUP(WardrobeCarcassMaterial,SheetsData,5,FALSE))+(VLOOKUP("H/F (22mm)",SheetsData,7,FALSE)*1.44),IF(AND(VALUE(B104)&lt;2421,VALUE(C104)&lt;2421,VALUE(D104)&lt;1211),(4*VLOOKUP(WardrobeCarcassMaterial,SheetsData,5,FALSE))+(VLOOKUP("H/F (22mm)",SheetsData,7,FALSE)*1.44))))),IF(ISERROR(FIND("drawer front",A104))=FALSE,((B104/1000)*(C104/1000))*VLOOKUP(WardrobeDoorMaterial,SheetsData,8,0),IF(AND(WardrobeDrawerType="Match carcass",ISERROR(FIND("drawer box",A104))=FALSE),(((((B104/1000)*(C104/1000))+((B104/1000)*(D104/1000)))*2)*VLOOKUP(WardrobeCarcassMaterial,SheetsData,8,0))+(((C104/1000)*(D104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box",A104))=FALSE),(((((B104/1000)*(C104/1000))+((B104/1000)*(D104/1000)))*2)*(16/1000)*VLOOKUP(LEFT(WardrobeCarcassMaterial,FIND(" ",WardrobeCarcassMaterial))&amp;"(solid m3)",SolidData,4,0))+(((C104/1000)*(D104/1000))*VLOOKUP(LEFT(WardrobeCarcassMaterial,FIND("(",WardrobeCarcassMaterial)-1)&amp;IF(OR(ISERROR(FIND("ply",WardrobeCarcassMaterial))=FALSE,ISERROR(FIND("H/F",WardrobeCarcassMaterial))=FALSE),"(9mm)","(10mm)"),SheetsData,8,0)),IF(ISERROR(FIND("shelf",A104))=FALSE,((C104/1000)*(D104/1000))*VLOOKUP(WardrobeCarcassMaterial,SheetsData,7,FALSE),IF(ISERROR(FIND("Office pod",A104))=FALSE,3*VLOOKUP(WardrobeCarcassMaterial,SheetsData,5,0),IF(ISERROR(FIND(" panel",A104))=FALSE,((B104/1000)*(C104/1000))*VLOOKUP(WardrobeDoorMaterial,SheetsData,8,0),IF(ISERROR(FIND("Fillers",A104))=FALSE,(((0.06*(C104/1000))*2)*VLOOKUP("H/F (18mm)",SheetsData,8,0))+(((0.06*(C104/1000))*2)*VLOOKUP("H/F (9mm)",SheetsData,8,0)),IF(ISERROR(FIND("Cornice (stacked)",A104))=FALSE,((0.08*(C104/1000))*2)*VLOOKUP("H/F (22mm)",SheetsData,8,0),IF(OR(ISERROR(FIND("Plinth",A104))=FALSE,ISERROR(FIND("Cornice (flat)",A104))=FALSE),((B104/1000)*(C104/1000))*VLOOKUP("H/F (18mm)",SheetsData,8,0),IF(ISERROR(FIND("Pelmet",A104))=FALSE,((((B104/1000)*(C104/1000))*2)*VLOOKUP("H/F (18mm)",SheetsData,8,0)),IF(ISERROR(FIND("Fireplace",A104))=FALSE,IF(ISERROR(FIND("over 1600",A104))=FALSE,2*VLOOKUP(WardrobeCarcassMaterial,SheetsData,5,FALSE),VLOOKUP(WardrobeCarcassMaterial,SheetsData,5,FALSE)),IF(ISERROR(FIND("table",A104))=FALSE,((B104/1000)*0.6)*VLOOKUP("Birch ply (24mm)",SheetsData,7,FALSE),IF(ISERROR(FIND("Worktop",A104))=FALSE,((B104/1000)*(C104/1000))*VLOOKUP(WardrobeDoorMaterial,SheetsData,7,FALSE),"Check formula")))))))))))))))))</f>
        <v/>
      </c>
      <c r="F104" s="152" t="str">
        <f>IFERROR(__xludf.DUMMYFUNCTION("IF(OR(A104="""",AND(ISERROR(FIND(""drawer box"",A104))=FALSE,WardrobeDrawerType=""Solid dovetail"")),"""",IF(ISERROR(FIND(""bins"",A104))=FALSE,VLOOKUP(""Base carcass 600"",Wardrobes_etcData,6,0),IF(OR(ISERROR(FIND(""larder"",A104))=FALSE,ISERROR(FIND(""u"&amp;"nit"",A104))=FALSE),VLOOKUP(LEFT(A104,FIND("" "",A104))&amp;""carcass ""&amp;RIGHT(A104,LEN(A104)-len(regexextract(A104,"".* ""))),Wardrobes_etcData,6,0),IF(ISERROR(FIND(""drawer front"",A104))=FALSE,IF(ISERROR(FIND(""veneer"",WardrobeCarcassMaterial))=TRUE,0,((("&amp;"B104+C104)/1000)*2)*VLOOKUP(""Edge banding (per M)"",SheetsData,5,0)),IF(ISERROR(FIND(""drawer box"",A104))=FALSE,IF(ISERROR(FIND(""veneer"",WardrobeCarcassMaterial))=TRUE,0,(((C104+D104)/1000)*2)*VLOOKUP(""Edge banding (per M)"",SheetsData,5,0)),IF(ISERR"&amp;"OR(FIND(""shelf"",A104))=FALSE,IF(ISERROR(FIND(""veneer"",WardrobeCarcassMaterial))=TRUE,0,(C104/1000)*VLOOKUP(""Edge banding (per M)"",SheetsData,5,0)),IF(AND(OR(ISERROR(FIND(""arcass"",A104))=FALSE,ISERROR(FIND(""Fireplace"",A104))=FALSE),ISERROR(FIND("&amp;"""shelf"",A104))=TRUE),IF(ISERROR(FIND(""veneer"",WardrobeCarcassMaterial))=TRUE,0,((2*(B104+C104))/1000)*VLOOKUP(""Edge banding (per M)"",SheetsData,5,0)),IF(ISERROR(FIND(""door"",A104))=TRUE,"""",IF(ISERROR(FIND(""veneer"",WardrobeDoorMaterial))=TRUE,"""&amp;""",((2*(B104+C104))/1000)*VLOOKUP(""Edge banding (per M)"",SheetsData,5,0))))))))))"),"")</f>
        <v/>
      </c>
      <c r="G104" s="153" t="str">
        <f>IF(A104="","",IF(AND(ISERROR(FIND("arcass",A104))=TRUE,ISERROR(FIND("Fireplace",A104))=TRUE),"",IF(VALUE(C104)&lt;606,4*VLOOKUP("Plinth foot (2 Parts 80mm)",FurnitureData,5,FALSE),IF(VALUE(C104)&lt;1211,6*VLOOKUP("Plinth foot (2 Parts 80mm)",FurnitureData,5,FALSE),8*VLOOKUP("Plinth foot (2 Parts 80mm)",FurnitureData,5,FALSE)))))</f>
        <v/>
      </c>
      <c r="H104" s="115" t="str">
        <f>IF(OR(A104="",ISERROR(FIND("door",A104))=TRUE),"",VLOOKUP("Hinges &amp; plates (Hettich thick door)",FurnitureData,5,0)*5)</f>
        <v/>
      </c>
      <c r="I104" s="115" t="str">
        <f>IF(ISERROR(FIND("shelf",A104))=FALSE,(VLOOKUP("Shelf pegs",FurnitureData,5,0)/100)*4,"")</f>
        <v/>
      </c>
      <c r="J104" s="152" t="str">
        <f>IF(OR(ISERROR(FIND("fridge/freezer",A104))=FALSE,ISERROR(FIND("sink",A104))=FALSE,ISERROR(FIND("larder",A104))=FALSE),VLOOKUP("Deep shelf "&amp;C104,Wardrobes_etcData,18,0),IF(OR(ISERROR(FIND("single oven",A104))=FALSE,ISERROR(FIND("Base carcass",A104))=FALSE),2*VLOOKUP("Deep shelf "&amp;C104,Wardrobes_etcData,18,0),IF(AND(ISERROR(FIND("wall carcass",A104))=FALSE,ISERROR(FIND("Boiler",A104))=TRUE),2*VLOOKUP("Shallow shelf "&amp;C104,Wardrobes_etcData,18,0),IF(ISERROR(FIND("double oven",A104))=FALSE,3*VLOOKUP("Deep shelf "&amp;C104,Wardrobes_etcData,18,0),IF(ISERROR(FIND("Tower carcass",A104))=FALSE,6*VLOOKUP("Deep shelf "&amp;C104,Wardrobes_etcData,18,0),"")))))</f>
        <v/>
      </c>
      <c r="K104" s="152" t="str">
        <f>IF(ISERROR(FIND("sink",A104))=FALSE,VLOOKUP("Sink liner - Aluminium "&amp;RIGHT(A104,LEN(A104)-22)&amp;"mm",ExceptionalData,5,0),IF(ISERROR(FIND("bins",A104))=FALSE,VLOOKUP("Drawer runners and clip set for bin unit (500) Dynapro",FurnitureData,5,0)+(2*VLOOKUP("Bin (42L Anthracite)",FurnitureData,5,0)),IF(ISERROR(FIND("larder",A104))=FALSE,VLOOKUP("Pull out larder unit 600mm",FurnitureData,5,0),IF(AND(ISERROR(FIND("drawer box",A104))=FALSE,ISERROR(FIND("internal",A104))=TRUE),VLOOKUP("Drawer runners and clip set (550) Dynapro",FurnitureData,5,0),IF(ISERROR(FIND("internal drawer box",A104))=FALSE,VLOOKUP("Drawer runners and clip set (450) Dynapro",FurnitureData,5,0),IF(ISERROR(FIND("table",A104))=FALSE,VLOOKUP("Hairpin Leg (12mm Black "&amp;MID(A104,FIND("(",A104)+1,LEN(A104)-(FIND("(",A104))-1)&amp;"mm)",ExceptionalData,4,FALSE),""))))))</f>
        <v/>
      </c>
      <c r="L104" s="152" t="str">
        <f t="shared" si="3"/>
        <v/>
      </c>
      <c r="M104" s="154" t="str">
        <f>IF(A104="","",IF(AND(ISERROR(FIND("drawer front",A104))=FALSE,WardrobeDoorStyle="Flat"),(((B104/1000)*(C104/1000))*2)+((((B104+C104)/1000)*2)*0.022),IF(AND(ISERROR(FIND("drawer front",A104))=FALSE,LEFT(WardrobeDoorStyle,5)="Panel"),(((B104/1000)*(C104/1000))*2)+((((B104+C104)/1000)*2)*0.022)+((((C104/1000)-0.16)*0.013)*2)+((((D104/1000)-0.16)*0.013)*2),IF(AND(ISERROR(FIND("drawer front",A104))=FALSE,WardrobeDoorStyle="In-frame flat"),((((B104-76)/1000)*((C104-38)/1000))*2)+(MID(WardrobeDoorMaterial,FIND("(",WardrobeDoorMaterial)+1,2)/1000)*((((B104-76)+(C104-38))/1000)*2)+(((B104/1000)*0.032)*2)+((((B104-76)/1000)*0.032)*2)+(((B104/1000)*0.019)*4)+(((C104/1000)*0.032)*2)+((((C104-38)/1000)*0.032)*2)+(((C104/1000)*0.038)*4),IF(AND(ISERROR(FIND("drawer front",A104))=FALSE,LEFT(WardrobeDoorStyle,14)="In-frame panel"),((((B104-76)/1000)*((C104-38)/1000))*2)+((MID(WardrobeDoorMaterial,FIND("(",WardrobeDoorMaterial)+1,2)/1000)*((((B104-76)+(C104-38))/1000)*2))+((((B104-236)/1000)+((C104-198)/1000)*2)*0.013)+(((B104/1000)*0.032)*2)+((((B104-76)/1000)*0.032)*2)+(((B104/1000)*0.019)*4)+(((C104/1000)*0.032)*2)+((((C104-38)/1000)*0.032)*2)+(((C104/1000)*0.038)*4),IF(ISERROR(FIND("drawer box",A104))=FALSE,((((B104/1000)*(D104/1000))+((B104/1000)*(C104/1000)))*4)+((((D104/1000)+(C104/1000))*0.016)*4)+(((C104/1000)*(D104/1000))*2),IF(OR(ISERROR(FIND("shelf",A104))=FALSE,ISERROR(FIND("Filler panel",A104))=FALSE),(((C104/1000)*(D104/1000))*2)+((((C104+D104)*2)/1000)*0.022),IF(ISERROR(FIND("Fireplace",A104))=FALSE,((B104/1000)*(C104/1000)),IF(ISERROR(FIND("Worktop",A104))=FALSE,(B104/1000)*(C104/1000),IF(ISERROR(FIND("table",A104))=FALSE,(B104/1000)*0.6,IF(ISERROR(FIND("arcass",A104))=FALSE,(((C104/1000)*(D104/1000))*2)+(((B104/1000)*(D104/1000))*2)+((B104/1000)*(C104/1000))+((((B104/1000)*0.025)+((C104/1000)*0.025))*2),IF(AND(ISERROR(FIND("door",A104))=FALSE,WardrobeDoorStyle="Flat"),(((B104/1000)*(C104/1000))*2)+(MID(WardrobeDoorMaterial,FIND("(",WardrobeDoorMaterial)+1,2)/1000)*(((B104+C104)/1000)*2),IF(AND(ISERROR(FIND("door",A104))=FALSE,LEFT(WardrobeDoorStyle,5)="Panel"),(((B104/1000)*(C104/1000))*2)+((MID(WardrobeDoorMaterial,FIND("(",WardrobeDoorMaterial)+1,2)/1000)*(((B104+C104)/1000)*2))+(((((B104-160)+(C104-160))*2)/1000)*(0.013)),IF(AND(ISERROR(FIND("door",A104))=FALSE,WardrobeDoorStyle="In-frame flat"),((((B104-76)/1000)*((C104-38)/1000))*2)+(MID(WardrobeDoorMaterial,FIND("(",WardrobeDoorMaterial)+1,2)/1000)*((((B104-76)+(C104-38))/1000)*2)+(((B104/1000)*0.032)*2)+((((B104-76)/1000)*0.032)*2)+(((B104/1000)*0.019)*4)+(((C104/1000)*0.032)*2)+((((C104-38)/1000)*0.032)*2)+(((C104/1000)*0.038)*4),IF(AND(ISERROR(FIND("door",A104))=FALSE,LEFT(WardrobeDoorStyle,14)="In-frame panel"),((((B104-76)/1000)*((C104-38)/1000))*2)+((MID(WardrobeDoorMaterial,FIND("(",WardrobeDoorMaterial)+1,2)/1000)*((((B104-76)+(C104-38))/1000)*2))+((((B104-236)/1000)+((C104-198)/1000)*2)*0.013)+(((B104/1000)*0.032)*2)+((((B104-76)/1000)*0.032)*2)+(((B104/1000)*0.019)*4)+(((C104/1000)*0.032)*2)+((((C104-38)/1000)*0.032)*2)+(((C104/1000)*0.038)*4),IF(ISERROR(FIND("Plinth",A104))=FALSE,((B104/1000)*(C104/1000))+(((C104/1000)*0.018)*2)+(((B104/1000)*0.018)*2),IF(ISERROR(FIND("Cornice",A104))=FALSE,(((C104/1000)*0.1)*2)+(((C104/1000)*0.044)*2)+(((B104/1000)*0.08)*2),IF(ISERROR(FIND("Office pod",A104))=FALSE,((2400/1000)*(1200/1000))*6,IF(ISERROR(FIND("panel",A104))=FALSE,((B104/1000)*(C104/1000))+(0.022*((B104/1000)+((C104/1000)*2)))+((B104/1000)*0.05),IF(ISERROR(FIND("Fillers",A104))=FALSE,((C104/1000)*0.06)+((C104/1000)*0.069)+((0.06*0.018)*2)+((0.06*0.009)*2)+((C104/1000)*0.009)+((C104/1000)*0.018),IF(ISERROR(FIND("Pelmet",A104))=FALSE,((C104/1000)*0.05)+((C104/1000)*0.068)+((0.05*0.018)*4)+(((C104/1000)*0.018))*2)))))))))))))))))))))</f>
        <v/>
      </c>
      <c r="N104" s="152" t="str">
        <f>IF(M104="","",IF(AND(ISERROR(FIND("carcass",A104))=TRUE,ISERROR(FIND("unit",A104))=TRUE,ISERROR(FIND("insert",A104))=TRUE,ISERROR(FIND("rack",A104))=TRUE,ISERROR(FIND("box",A104))=TRUE,ISERROR(FIND("shelf",A104))=TRUE),VLOOKUP(WardrobeDoorFinish,Finishing!$A$2:$K$10,9,0)*M104,IF(ISERROR(FIND("table",A104))=FALSE,VLOOKUP("Sayerlack AF0072 Interior Clear Self-Sealer",FinishingData,9,FALSE)*M104,VLOOKUP(WardrobeCarcassFinish,Finishing!$A$2:$K$40,9,0)*M104)))</f>
        <v/>
      </c>
      <c r="O104" s="159"/>
      <c r="P104" s="159"/>
      <c r="Q104" s="152" t="str">
        <f>IF(OR(O104="",P104=""),"",((O104*X104)*(VLOOKUP("Workshop",Labour!$A$3:$E$20,4,0)/8))+((P104*AE104)*(VLOOKUP("Finishing",Labour!$A$3:$E$20,4,0)/8)))</f>
        <v/>
      </c>
      <c r="R104" s="152" t="str">
        <f t="shared" si="4"/>
        <v/>
      </c>
      <c r="S104" s="156" t="str">
        <f>IF(OR(O104="",P104=""),"",IF(OR(ISERROR(FIND("carcass",$A104))=FALSE,ISERROR(FIND("unit",$A104))=FALSE),VLOOKUP(WardrobeCarcassMaterial,FixedListsCarcassMaterial,2,0),0))</f>
        <v/>
      </c>
      <c r="T104" s="156" t="str">
        <f>IF(OR(O104="",P104=""),"",IF(ISERROR(FIND("door",$A104))=FALSE,VLOOKUP(WardrobeDoorStyle,FixedListsDoorStyle,2,0),0))</f>
        <v/>
      </c>
      <c r="U104" s="156" t="str">
        <f>IF(OR(O104="",P104=""),"",IF(ISERROR(FIND("door",$A104))=FALSE,VLOOKUP(WardrobeDoorMaterial,FixedListsDoorMaterial,2,0),0))</f>
        <v/>
      </c>
      <c r="V104" s="156" t="str">
        <f>IF(OR(O104="",P104=""),"",IF(ISERROR(FIND("drawer",$A104))=FALSE,VLOOKUP(WardrobeDrawerType,FixedListsDrawerType,2,0),0))</f>
        <v/>
      </c>
      <c r="W104" s="156" t="str">
        <f>IF(OR(O104="",P104=""),"",IF(S104&gt;0,VLOOKUP(WardrobeHandleType,FixedListsHandleType,2,FALSE),0))</f>
        <v/>
      </c>
      <c r="X104" s="156" t="str">
        <f t="shared" si="5"/>
        <v/>
      </c>
      <c r="Y104" s="156" t="str">
        <f>IF(OR(O104="",P104=""),"",IF(OR(ISERROR(FIND("carcass",$A104))=FALSE,ISERROR(FIND("unit",$A104))=FALSE),VLOOKUP(WardrobeCarcassMaterial,FixedListsCarcassMaterial,3,0),0))</f>
        <v/>
      </c>
      <c r="Z104" s="156" t="str">
        <f>IF(OR(O104="",P104=""),"",IF(ISERROR(FIND("door",$A104))=FALSE,VLOOKUP(WardrobeDoorStyle,FixedListsDoorStyle,3,0),0))</f>
        <v/>
      </c>
      <c r="AA104" s="156" t="str">
        <f>IF(OR(O104="",P104=""),"",IF(ISERROR(FIND("door",$A104))=FALSE,VLOOKUP(WardrobeDoorMaterial,FixedListsDoorMaterial,3,0),0))</f>
        <v/>
      </c>
      <c r="AB104" s="156" t="str">
        <f>IF(OR(O104="",P104=""),"",IF(ISERROR(FIND("drawer",$A104))=FALSE,VLOOKUP(WardrobeDrawerType,FixedListsDrawerType,3,0),0))</f>
        <v/>
      </c>
      <c r="AC104" s="156" t="str">
        <f>IF(OR(O104="",P104=""),"",IF(S104&gt;0,VLOOKUP(WardrobeHandleType,FixedListsHandleType,3,FALSE),0))</f>
        <v/>
      </c>
      <c r="AD104" s="156" t="str">
        <f>IF(OR(O104="",P104=""),"",IF(OR(ISERROR(FIND("carcass",$A104))=FALSE,ISERROR(FIND("unit",$A104))=FALSE),VLOOKUP(WardrobeCarcassFinish,FixedListsFinishes,3,0),IF(OR(ISERROR(FIND("door",$A104))=FALSE,ISERROR(FIND("Plinth",$A104))=FALSE,ISERROR(FIND("Cornice",$A104))=FALSE,ISERROR(FIND("Fillers",$A104))=FALSE,ISERROR(FIND("Pelmet",$A104))=FALSE,ISERROR(FIND("panel",$A104))=FALSE,ISERROR(FIND("post",$A104))=FALSE),VLOOKUP(WardrobeDoorFinish,FixedListsFinishes,3,0),IF(OR(ISERROR(FIND("drawer",$A104))=FALSE,ISERROR(FIND("insert",$A104))=FALSE,ISERROR(FIND("rck",$A104))=FALSE),VLOOKUP(WardrobeCarcassFinish,FixedListsFinishes,3,0),0))))</f>
        <v/>
      </c>
      <c r="AE104" s="156" t="str">
        <f t="shared" si="6"/>
        <v/>
      </c>
      <c r="AF104" s="157" t="str">
        <f>IF(AND(WardrobeHandleType="Channel",OR(ISERROR(FIND("arcass",$A104))=FALSE,ISERROR(FIND("unit",$A104))=FALSE)),IF(ISERROR(FIND("Tower",$A104))=TRUE,IF(WardrobeHandleFinish="Match carcass",IF(ISERROR(FIND("Walnut",WardrobeCarcassMaterial))=FALSE,(0.035*0.075*($C104/1000))*VLOOKUP("Walnut (solid m3)",SolidData,4,FALSE),IF(ISERROR(FIND("Oak",WardrobeCarcassMaterial))=FALSE,(0.035*0.075*($C104/1000))*VLOOKUP("Oak (solid m3)",SolidData,4,FALSE),IF(ISERROR(FIND("ply",WardrobeCarcassMaterial))=FALSE,(0.1*($C104/1000))*VLOOKUP("Birch ply (24mm)",SheetsData,7,FALSE),IF(ISERROR(FIND("H/F",WardrobeCarcassMaterial))=FALSE,(0.1*($C104/1000))*VLOOKUP("H/F (22mm)",SheetsData,7,FALSE),"Carcass - not tower - new material")))),IF(WardrobeHandleFinish="Match door",IF(ISERROR(FIND("Walnut",WardrobeDoorMaterial))=FALSE,(0.035*0.075*($C104/1000))*VLOOKUP("Walnut (solid m3)",SolidData,4,FALSE),IF(ISERROR(FIND("Oak",WardrobeDoorMaterial))=FALSE,(0.035*0.075*($C104/1000))*VLOOKUP("Oak (solid m3)",SolidData,4,FALSE),IF(ISERROR(FIND("ply",WardrobeDoorMaterial))=FALSE,(0.1*($C104/1000))*VLOOKUP("Birch ply (24mm)",SheetsData,7,FALSE),IF(ISERROR(FIND("H/F",WardrobeCarcassMaterial))=FALSE,(0.1*($C104/1000))*VLOOKUP("H/F (22mm)",SheetsData,7,FALSE),"Door - not tower - new material")))),"Channel - not tower - handle set to other")),IF(ISERROR(FIND("Tower",$A104))=FALSE,IF(WardrobeHandleFinish="Match carcass",IF(ISERROR(FIND("Walnut",WardrobeCarcassMaterial))=FALSE,(0.035*0.075*($B104/1000))*VLOOKUP("Walnut (solid m3)",SolidData,4,FALSE),IF(ISERROR(FIND("Oak",WardrobeCarcassMaterial))=FALSE,(0.035*0.075*($B104/1000))*VLOOKUP("Oak (solid m3)",SolidData,4,FALSE),IF(ISERROR(FIND("ply",WardrobeCarcassMaterial))=FALSE,(0.1*($B104/1000))*VLOOKUP("Birch ply (24mm)",SheetsData,7,FALSE),IF(ISERROR(FIND("H/F",WardrobeCarcassMaterial))=FALSE,(0.1*($C104/1000))*VLOOKUP("H/F (22mm)",SheetsData,7,FALSE),"Carcass - tower - new material")))),IF(WardrobeHandleFinish="Match door",IF(ISERROR(FIND("Walnut",WardrobeDoorMaterial))=FALSE,(0.035*0.075*($B104/1000))*VLOOKUP("Walnut (solid m3)",SolidData,4,FALSE),IF(ISERROR(FIND("Oak",WardrobeDoorMaterial))=FALSE,(0.035*0.075*($B104/1000))*VLOOKUP("Oak (solid m3)",SolidData,4,FALSE),IF(ISERROR(FIND("ply",WardrobeDoorMaterial))=FALSE,(0.1*($B104/1000))*VLOOKUP("Birch ply (24mm)",SheetData,7,FALSE),IF(ISERROR(FIND("H/F",WardrobeCarcassMaterial))=FALSE,(0.1*($C104/1000))*VLOOKUP("H/F (22mm)",SheetsData,7,FALSE),"Door - tower - new material")))),"Channel - tower - handle set to other")))),"")</f>
        <v/>
      </c>
    </row>
    <row r="105">
      <c r="A105" s="150"/>
      <c r="B105" s="160" t="str">
        <f t="shared" si="1"/>
        <v/>
      </c>
      <c r="C105" s="160" t="str">
        <f>IFERROR(__xludf.DUMMYFUNCTION("IF(A105="""","""",IF(ISERROR(FIND(""arcass"",A105))=FALSE,MID(A105,FIND(""*"",A105)+1,FIND(""*"",A105,FIND(""*"",A105)+1)-FIND(""*"",A105)-1),IF(ISERROR(FIND(""End panel"",A105))=FALSE,RIGHT(A105,3),IF(OR(ISERROR(FIND(""drawer"",A105))=FALSE,ISERROR(FIND("&amp;"""door"",A105))=FALSE,ISERROR(FIND(""shelf"",A105))=FALSE,ISERROR(FIND(""panel"",A105))=FALSE,ISERROR(FIND(""Plinth"",A105))=FALSE,ISERROR(FIND(""Cornice"",A105))=FALSE,ISERROR(FIND(""Fillers"",A105))=FALSE,ISERROR(FIND(""Pelmet"",A105))=FALSE,ISERROR(FIN"&amp;"D(""Fireplace up to 1600"",A105))=FALSE),RIGHT(A105,LEN(A105)-LEN(regexextract(A105,"".* ""))),IF(ISERROR(FIND(""table"",A105))=FALSE,""560"",IF(ISERROR(FIND(""Office pod"",A105))=FALSE,""1600"",IF(ISERROR(FIND(""Fireplace over 1600"",A105))=FALSE,""2400"&amp;""",IF(ISERROR(FIND(""Worktop"",A105))=FALSE,""650"",""Whoops""))))))))"),"")</f>
        <v/>
      </c>
      <c r="D105" s="161" t="str">
        <f t="shared" si="2"/>
        <v/>
      </c>
      <c r="E105" s="152" t="str">
        <f>IF(OR(A105="",AND(ISERROR(FIND("drawer",A105))=FALSE,WardrobeDrawerType="")),"",IF(ISERROR(FIND("door",A105))=FALSE,IF(WardrobeDoorStyle="Flat",((B105/1000)*(C105/1000))*VLOOKUP(WardrobeDoorMaterial,SheetsData,8,0),IF(LEFT(WardrobeDoorStyle,5)="Panel",(((((B105/1000)*2)*0.08)+((((C105/1000)-0.16)*2)*0.08))*VLOOKUP("H/F (22mm)",SheetsData,8,0))+(((B105/1000)-0.14)*((C105/1000)-0.14)*VLOOKUP("H/F (9mm)",SheetsData,8,0)),IF(WardrobeDoorStyle="In-frame flat",((((((B105/1000)*0.019)*0.038)+((((C105-38)/1000)*0.038)*0.038))*2)*VLOOKUP("Tulip (solid m3)",SolidData,4,0))+(((B105-76)/1000)*((C105-38)/1000))*VLOOKUP("H/F (22mm)",SheetsData,8,0),IF(LEFT(WardrobeDoorStyle,14)="In-frame panel",(((((((B105/1000)*0.019)*0.038)+((((C105-38)/1000)*0.038)*0.038))*2)*VLOOKUP("Tulip (solid m3)",SolidData,4,0))+(((((((B105-76)/1000)*2)*0.08)+(((((C105-198)/1000)*2)*0.08)))*VLOOKUP("H/F (22mm)",SheetsData,8,0))+(((B105-216)/1000)*((C105-178)/1000)*VLOOKUP("H/F (9mm)",SheetsData,8,0)))))))),IF(AND(ISERROR(FIND("arcass",A105))=FALSE,ISERROR(FIND("ost corner",A105))=TRUE),IF(AND(VALUE(B105)&lt;1211,VALUE(C105)&lt;1211,VALUE(D105)&lt;606),1*VLOOKUP(WardrobeCarcassMaterial,SheetsData,5,FALSE),IF(AND(VALUE(B105)&lt;2421,VALUE(C105)&lt;2421,VALUE(D105)&lt;606),2*VLOOKUP(WardrobeCarcassMaterial,SheetsData,5,FALSE),IF(AND(VALUE(B105)&lt;2421,VALUE(C105)&lt;1211,VALUE(D105)&lt;1211),3*VLOOKUP(WardrobeCarcassMaterial,SheetsData,5,FALSE),IF(AND(VALUE(B105)&lt;2421,VALUE(C105)&lt;2421,VALUE(D105)&lt;1211),4*VLOOKUP(WardrobeCarcassMaterial,SheetsData,5,FALSE))))),IF(AND(ISERROR(FIND("arcass",A105))=FALSE,ISERROR(FIND("ost corner",A105))=FALSE),IF(AND(VALUE(B105)&lt;1211,VALUE(C105)&lt;1211,VALUE(D105)&lt;606),(1*VLOOKUP(WardrobeCarcassMaterial,SheetsData,5,FALSE))+(VLOOKUP("H/F (22mm)",SheetsData,7,FALSE)*1.44),IF(AND(VALUE(B105)&lt;2421,VALUE(C105)&lt;2421,VALUE(D105)&lt;606),(2*VLOOKUP(WardrobeCarcassMaterial,SheetsData,5,FALSE))+(VLOOKUP("H/F (22mm)",SheetsData,7,FALSE)*1.44),IF(AND(VALUE(B105)&lt;2421,VALUE(C105)&lt;1211,VALUE(D105)&lt;1211),(3*VLOOKUP(WardrobeCarcassMaterial,SheetsData,5,FALSE))+(VLOOKUP("H/F (22mm)",SheetsData,7,FALSE)*1.44),IF(AND(VALUE(B105)&lt;2421,VALUE(C105)&lt;2421,VALUE(D105)&lt;1211),(4*VLOOKUP(WardrobeCarcassMaterial,SheetsData,5,FALSE))+(VLOOKUP("H/F (22mm)",SheetsData,7,FALSE)*1.44))))),IF(ISERROR(FIND("drawer front",A105))=FALSE,((B105/1000)*(C105/1000))*VLOOKUP(WardrobeDoorMaterial,SheetsData,8,0),IF(AND(WardrobeDrawerType="Match carcass",ISERROR(FIND("drawer box",A105))=FALSE),(((((B105/1000)*(C105/1000))+((B105/1000)*(D105/1000)))*2)*VLOOKUP(WardrobeCarcassMaterial,SheetsData,8,0))+(((C105/1000)*(D105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box",A105))=FALSE),(((((B105/1000)*(C105/1000))+((B105/1000)*(D105/1000)))*2)*(16/1000)*VLOOKUP(LEFT(WardrobeCarcassMaterial,FIND(" ",WardrobeCarcassMaterial))&amp;"(solid m3)",SolidData,4,0))+(((C105/1000)*(D105/1000))*VLOOKUP(LEFT(WardrobeCarcassMaterial,FIND("(",WardrobeCarcassMaterial)-1)&amp;IF(OR(ISERROR(FIND("ply",WardrobeCarcassMaterial))=FALSE,ISERROR(FIND("H/F",WardrobeCarcassMaterial))=FALSE),"(9mm)","(10mm)"),SheetsData,8,0)),IF(ISERROR(FIND("shelf",A105))=FALSE,((C105/1000)*(D105/1000))*VLOOKUP(WardrobeCarcassMaterial,SheetsData,7,FALSE),IF(ISERROR(FIND("Office pod",A105))=FALSE,3*VLOOKUP(WardrobeCarcassMaterial,SheetsData,5,0),IF(ISERROR(FIND(" panel",A105))=FALSE,((B105/1000)*(C105/1000))*VLOOKUP(WardrobeDoorMaterial,SheetsData,8,0),IF(ISERROR(FIND("Fillers",A105))=FALSE,(((0.06*(C105/1000))*2)*VLOOKUP("H/F (18mm)",SheetsData,8,0))+(((0.06*(C105/1000))*2)*VLOOKUP("H/F (9mm)",SheetsData,8,0)),IF(ISERROR(FIND("Cornice (stacked)",A105))=FALSE,((0.08*(C105/1000))*2)*VLOOKUP("H/F (22mm)",SheetsData,8,0),IF(OR(ISERROR(FIND("Plinth",A105))=FALSE,ISERROR(FIND("Cornice (flat)",A105))=FALSE),((B105/1000)*(C105/1000))*VLOOKUP("H/F (18mm)",SheetsData,8,0),IF(ISERROR(FIND("Pelmet",A105))=FALSE,((((B105/1000)*(C105/1000))*2)*VLOOKUP("H/F (18mm)",SheetsData,8,0)),IF(ISERROR(FIND("Fireplace",A105))=FALSE,IF(ISERROR(FIND("over 1600",A105))=FALSE,2*VLOOKUP(WardrobeCarcassMaterial,SheetsData,5,FALSE),VLOOKUP(WardrobeCarcassMaterial,SheetsData,5,FALSE)),IF(ISERROR(FIND("table",A105))=FALSE,((B105/1000)*0.6)*VLOOKUP("Birch ply (24mm)",SheetsData,7,FALSE),IF(ISERROR(FIND("Worktop",A105))=FALSE,((B105/1000)*(C105/1000))*VLOOKUP(WardrobeDoorMaterial,SheetsData,7,FALSE),"Check formula")))))))))))))))))</f>
        <v/>
      </c>
      <c r="F105" s="152" t="str">
        <f>IFERROR(__xludf.DUMMYFUNCTION("IF(OR(A105="""",AND(ISERROR(FIND(""drawer box"",A105))=FALSE,WardrobeDrawerType=""Solid dovetail"")),"""",IF(ISERROR(FIND(""bins"",A105))=FALSE,VLOOKUP(""Base carcass 600"",Wardrobes_etcData,6,0),IF(OR(ISERROR(FIND(""larder"",A105))=FALSE,ISERROR(FIND(""u"&amp;"nit"",A105))=FALSE),VLOOKUP(LEFT(A105,FIND("" "",A105))&amp;""carcass ""&amp;RIGHT(A105,LEN(A105)-len(regexextract(A105,"".* ""))),Wardrobes_etcData,6,0),IF(ISERROR(FIND(""drawer front"",A105))=FALSE,IF(ISERROR(FIND(""veneer"",WardrobeCarcassMaterial))=TRUE,0,((("&amp;"B105+C105)/1000)*2)*VLOOKUP(""Edge banding (per M)"",SheetsData,5,0)),IF(ISERROR(FIND(""drawer box"",A105))=FALSE,IF(ISERROR(FIND(""veneer"",WardrobeCarcassMaterial))=TRUE,0,(((C105+D105)/1000)*2)*VLOOKUP(""Edge banding (per M)"",SheetsData,5,0)),IF(ISERR"&amp;"OR(FIND(""shelf"",A105))=FALSE,IF(ISERROR(FIND(""veneer"",WardrobeCarcassMaterial))=TRUE,0,(C105/1000)*VLOOKUP(""Edge banding (per M)"",SheetsData,5,0)),IF(AND(OR(ISERROR(FIND(""arcass"",A105))=FALSE,ISERROR(FIND(""Fireplace"",A105))=FALSE),ISERROR(FIND("&amp;"""shelf"",A105))=TRUE),IF(ISERROR(FIND(""veneer"",WardrobeCarcassMaterial))=TRUE,0,((2*(B105+C105))/1000)*VLOOKUP(""Edge banding (per M)"",SheetsData,5,0)),IF(ISERROR(FIND(""door"",A105))=TRUE,"""",IF(ISERROR(FIND(""veneer"",WardrobeDoorMaterial))=TRUE,"""&amp;""",((2*(B105+C105))/1000)*VLOOKUP(""Edge banding (per M)"",SheetsData,5,0))))))))))"),"")</f>
        <v/>
      </c>
      <c r="G105" s="153" t="str">
        <f>IF(A105="","",IF(AND(ISERROR(FIND("arcass",A105))=TRUE,ISERROR(FIND("Fireplace",A105))=TRUE),"",IF(VALUE(C105)&lt;606,4*VLOOKUP("Plinth foot (2 Parts 80mm)",FurnitureData,5,FALSE),IF(VALUE(C105)&lt;1211,6*VLOOKUP("Plinth foot (2 Parts 80mm)",FurnitureData,5,FALSE),8*VLOOKUP("Plinth foot (2 Parts 80mm)",FurnitureData,5,FALSE)))))</f>
        <v/>
      </c>
      <c r="H105" s="115" t="str">
        <f>IF(OR(A105="",ISERROR(FIND("door",A105))=TRUE),"",VLOOKUP("Hinges &amp; plates (Hettich thick door)",FurnitureData,5,0)*5)</f>
        <v/>
      </c>
      <c r="I105" s="115" t="str">
        <f>IF(ISERROR(FIND("shelf",A105))=FALSE,(VLOOKUP("Shelf pegs",FurnitureData,5,0)/100)*4,"")</f>
        <v/>
      </c>
      <c r="J105" s="152" t="str">
        <f>IF(OR(ISERROR(FIND("fridge/freezer",A105))=FALSE,ISERROR(FIND("sink",A105))=FALSE,ISERROR(FIND("larder",A105))=FALSE),VLOOKUP("Deep shelf "&amp;C105,Wardrobes_etcData,18,0),IF(OR(ISERROR(FIND("single oven",A105))=FALSE,ISERROR(FIND("Base carcass",A105))=FALSE),2*VLOOKUP("Deep shelf "&amp;C105,Wardrobes_etcData,18,0),IF(AND(ISERROR(FIND("wall carcass",A105))=FALSE,ISERROR(FIND("Boiler",A105))=TRUE),2*VLOOKUP("Shallow shelf "&amp;C105,Wardrobes_etcData,18,0),IF(ISERROR(FIND("double oven",A105))=FALSE,3*VLOOKUP("Deep shelf "&amp;C105,Wardrobes_etcData,18,0),IF(ISERROR(FIND("Tower carcass",A105))=FALSE,6*VLOOKUP("Deep shelf "&amp;C105,Wardrobes_etcData,18,0),"")))))</f>
        <v/>
      </c>
      <c r="K105" s="152" t="str">
        <f>IF(ISERROR(FIND("sink",A105))=FALSE,VLOOKUP("Sink liner - Aluminium "&amp;RIGHT(A105,LEN(A105)-22)&amp;"mm",ExceptionalData,5,0),IF(ISERROR(FIND("bins",A105))=FALSE,VLOOKUP("Drawer runners and clip set for bin unit (500) Dynapro",FurnitureData,5,0)+(2*VLOOKUP("Bin (42L Anthracite)",FurnitureData,5,0)),IF(ISERROR(FIND("larder",A105))=FALSE,VLOOKUP("Pull out larder unit 600mm",FurnitureData,5,0),IF(AND(ISERROR(FIND("drawer box",A105))=FALSE,ISERROR(FIND("internal",A105))=TRUE),VLOOKUP("Drawer runners and clip set (550) Dynapro",FurnitureData,5,0),IF(ISERROR(FIND("internal drawer box",A105))=FALSE,VLOOKUP("Drawer runners and clip set (450) Dynapro",FurnitureData,5,0),IF(ISERROR(FIND("table",A105))=FALSE,VLOOKUP("Hairpin Leg (12mm Black "&amp;MID(A105,FIND("(",A105)+1,LEN(A105)-(FIND("(",A105))-1)&amp;"mm)",ExceptionalData,4,FALSE),""))))))</f>
        <v/>
      </c>
      <c r="L105" s="152" t="str">
        <f t="shared" si="3"/>
        <v/>
      </c>
      <c r="M105" s="154" t="str">
        <f>IF(A105="","",IF(AND(ISERROR(FIND("drawer front",A105))=FALSE,WardrobeDoorStyle="Flat"),(((B105/1000)*(C105/1000))*2)+((((B105+C105)/1000)*2)*0.022),IF(AND(ISERROR(FIND("drawer front",A105))=FALSE,LEFT(WardrobeDoorStyle,5)="Panel"),(((B105/1000)*(C105/1000))*2)+((((B105+C105)/1000)*2)*0.022)+((((C105/1000)-0.16)*0.013)*2)+((((D105/1000)-0.16)*0.013)*2),IF(AND(ISERROR(FIND("drawer front",A105))=FALSE,WardrobeDoorStyle="In-frame flat"),((((B105-76)/1000)*((C105-38)/1000))*2)+(MID(WardrobeDoorMaterial,FIND("(",WardrobeDoorMaterial)+1,2)/1000)*((((B105-76)+(C105-38))/1000)*2)+(((B105/1000)*0.032)*2)+((((B105-76)/1000)*0.032)*2)+(((B105/1000)*0.019)*4)+(((C105/1000)*0.032)*2)+((((C105-38)/1000)*0.032)*2)+(((C105/1000)*0.038)*4),IF(AND(ISERROR(FIND("drawer front",A105))=FALSE,LEFT(WardrobeDoorStyle,14)="In-frame panel"),((((B105-76)/1000)*((C105-38)/1000))*2)+((MID(WardrobeDoorMaterial,FIND("(",WardrobeDoorMaterial)+1,2)/1000)*((((B105-76)+(C105-38))/1000)*2))+((((B105-236)/1000)+((C105-198)/1000)*2)*0.013)+(((B105/1000)*0.032)*2)+((((B105-76)/1000)*0.032)*2)+(((B105/1000)*0.019)*4)+(((C105/1000)*0.032)*2)+((((C105-38)/1000)*0.032)*2)+(((C105/1000)*0.038)*4),IF(ISERROR(FIND("drawer box",A105))=FALSE,((((B105/1000)*(D105/1000))+((B105/1000)*(C105/1000)))*4)+((((D105/1000)+(C105/1000))*0.016)*4)+(((C105/1000)*(D105/1000))*2),IF(OR(ISERROR(FIND("shelf",A105))=FALSE,ISERROR(FIND("Filler panel",A105))=FALSE),(((C105/1000)*(D105/1000))*2)+((((C105+D105)*2)/1000)*0.022),IF(ISERROR(FIND("Fireplace",A105))=FALSE,((B105/1000)*(C105/1000)),IF(ISERROR(FIND("Worktop",A105))=FALSE,(B105/1000)*(C105/1000),IF(ISERROR(FIND("table",A105))=FALSE,(B105/1000)*0.6,IF(ISERROR(FIND("arcass",A105))=FALSE,(((C105/1000)*(D105/1000))*2)+(((B105/1000)*(D105/1000))*2)+((B105/1000)*(C105/1000))+((((B105/1000)*0.025)+((C105/1000)*0.025))*2),IF(AND(ISERROR(FIND("door",A105))=FALSE,WardrobeDoorStyle="Flat"),(((B105/1000)*(C105/1000))*2)+(MID(WardrobeDoorMaterial,FIND("(",WardrobeDoorMaterial)+1,2)/1000)*(((B105+C105)/1000)*2),IF(AND(ISERROR(FIND("door",A105))=FALSE,LEFT(WardrobeDoorStyle,5)="Panel"),(((B105/1000)*(C105/1000))*2)+((MID(WardrobeDoorMaterial,FIND("(",WardrobeDoorMaterial)+1,2)/1000)*(((B105+C105)/1000)*2))+(((((B105-160)+(C105-160))*2)/1000)*(0.013)),IF(AND(ISERROR(FIND("door",A105))=FALSE,WardrobeDoorStyle="In-frame flat"),((((B105-76)/1000)*((C105-38)/1000))*2)+(MID(WardrobeDoorMaterial,FIND("(",WardrobeDoorMaterial)+1,2)/1000)*((((B105-76)+(C105-38))/1000)*2)+(((B105/1000)*0.032)*2)+((((B105-76)/1000)*0.032)*2)+(((B105/1000)*0.019)*4)+(((C105/1000)*0.032)*2)+((((C105-38)/1000)*0.032)*2)+(((C105/1000)*0.038)*4),IF(AND(ISERROR(FIND("door",A105))=FALSE,LEFT(WardrobeDoorStyle,14)="In-frame panel"),((((B105-76)/1000)*((C105-38)/1000))*2)+((MID(WardrobeDoorMaterial,FIND("(",WardrobeDoorMaterial)+1,2)/1000)*((((B105-76)+(C105-38))/1000)*2))+((((B105-236)/1000)+((C105-198)/1000)*2)*0.013)+(((B105/1000)*0.032)*2)+((((B105-76)/1000)*0.032)*2)+(((B105/1000)*0.019)*4)+(((C105/1000)*0.032)*2)+((((C105-38)/1000)*0.032)*2)+(((C105/1000)*0.038)*4),IF(ISERROR(FIND("Plinth",A105))=FALSE,((B105/1000)*(C105/1000))+(((C105/1000)*0.018)*2)+(((B105/1000)*0.018)*2),IF(ISERROR(FIND("Cornice",A105))=FALSE,(((C105/1000)*0.1)*2)+(((C105/1000)*0.044)*2)+(((B105/1000)*0.08)*2),IF(ISERROR(FIND("Office pod",A105))=FALSE,((2400/1000)*(1200/1000))*6,IF(ISERROR(FIND("panel",A105))=FALSE,((B105/1000)*(C105/1000))+(0.022*((B105/1000)+((C105/1000)*2)))+((B105/1000)*0.05),IF(ISERROR(FIND("Fillers",A105))=FALSE,((C105/1000)*0.06)+((C105/1000)*0.069)+((0.06*0.018)*2)+((0.06*0.009)*2)+((C105/1000)*0.009)+((C105/1000)*0.018),IF(ISERROR(FIND("Pelmet",A105))=FALSE,((C105/1000)*0.05)+((C105/1000)*0.068)+((0.05*0.018)*4)+(((C105/1000)*0.018))*2)))))))))))))))))))))</f>
        <v/>
      </c>
      <c r="N105" s="152" t="str">
        <f>IF(M105="","",IF(AND(ISERROR(FIND("carcass",A105))=TRUE,ISERROR(FIND("unit",A105))=TRUE,ISERROR(FIND("insert",A105))=TRUE,ISERROR(FIND("rack",A105))=TRUE,ISERROR(FIND("box",A105))=TRUE,ISERROR(FIND("shelf",A105))=TRUE),VLOOKUP(WardrobeDoorFinish,Finishing!$A$2:$K$10,9,0)*M105,IF(ISERROR(FIND("table",A105))=FALSE,VLOOKUP("Sayerlack AF0072 Interior Clear Self-Sealer",FinishingData,9,FALSE)*M105,VLOOKUP(WardrobeCarcassFinish,Finishing!$A$2:$K$40,9,0)*M105)))</f>
        <v/>
      </c>
      <c r="O105" s="159"/>
      <c r="P105" s="159"/>
      <c r="Q105" s="152" t="str">
        <f>IF(OR(O105="",P105=""),"",((O105*X105)*(VLOOKUP("Workshop",Labour!$A$3:$E$20,4,0)/8))+((P105*AE105)*(VLOOKUP("Finishing",Labour!$A$3:$E$20,4,0)/8)))</f>
        <v/>
      </c>
      <c r="R105" s="152" t="str">
        <f t="shared" si="4"/>
        <v/>
      </c>
      <c r="S105" s="156" t="str">
        <f>IF(OR(O105="",P105=""),"",IF(OR(ISERROR(FIND("carcass",$A105))=FALSE,ISERROR(FIND("unit",$A105))=FALSE),VLOOKUP(WardrobeCarcassMaterial,FixedListsCarcassMaterial,2,0),0))</f>
        <v/>
      </c>
      <c r="T105" s="156" t="str">
        <f>IF(OR(O105="",P105=""),"",IF(ISERROR(FIND("door",$A105))=FALSE,VLOOKUP(WardrobeDoorStyle,FixedListsDoorStyle,2,0),0))</f>
        <v/>
      </c>
      <c r="U105" s="156" t="str">
        <f>IF(OR(O105="",P105=""),"",IF(ISERROR(FIND("door",$A105))=FALSE,VLOOKUP(WardrobeDoorMaterial,FixedListsDoorMaterial,2,0),0))</f>
        <v/>
      </c>
      <c r="V105" s="156" t="str">
        <f>IF(OR(O105="",P105=""),"",IF(ISERROR(FIND("drawer",$A105))=FALSE,VLOOKUP(WardrobeDrawerType,FixedListsDrawerType,2,0),0))</f>
        <v/>
      </c>
      <c r="W105" s="156" t="str">
        <f>IF(OR(O105="",P105=""),"",IF(S105&gt;0,VLOOKUP(WardrobeHandleType,FixedListsHandleType,2,FALSE),0))</f>
        <v/>
      </c>
      <c r="X105" s="156" t="str">
        <f t="shared" si="5"/>
        <v/>
      </c>
      <c r="Y105" s="156" t="str">
        <f>IF(OR(O105="",P105=""),"",IF(OR(ISERROR(FIND("carcass",$A105))=FALSE,ISERROR(FIND("unit",$A105))=FALSE),VLOOKUP(WardrobeCarcassMaterial,FixedListsCarcassMaterial,3,0),0))</f>
        <v/>
      </c>
      <c r="Z105" s="156" t="str">
        <f>IF(OR(O105="",P105=""),"",IF(ISERROR(FIND("door",$A105))=FALSE,VLOOKUP(WardrobeDoorStyle,FixedListsDoorStyle,3,0),0))</f>
        <v/>
      </c>
      <c r="AA105" s="156" t="str">
        <f>IF(OR(O105="",P105=""),"",IF(ISERROR(FIND("door",$A105))=FALSE,VLOOKUP(WardrobeDoorMaterial,FixedListsDoorMaterial,3,0),0))</f>
        <v/>
      </c>
      <c r="AB105" s="156" t="str">
        <f>IF(OR(O105="",P105=""),"",IF(ISERROR(FIND("drawer",$A105))=FALSE,VLOOKUP(WardrobeDrawerType,FixedListsDrawerType,3,0),0))</f>
        <v/>
      </c>
      <c r="AC105" s="156" t="str">
        <f>IF(OR(O105="",P105=""),"",IF(S105&gt;0,VLOOKUP(WardrobeHandleType,FixedListsHandleType,3,FALSE),0))</f>
        <v/>
      </c>
      <c r="AD105" s="156" t="str">
        <f>IF(OR(O105="",P105=""),"",IF(OR(ISERROR(FIND("carcass",$A105))=FALSE,ISERROR(FIND("unit",$A105))=FALSE),VLOOKUP(WardrobeCarcassFinish,FixedListsFinishes,3,0),IF(OR(ISERROR(FIND("door",$A105))=FALSE,ISERROR(FIND("Plinth",$A105))=FALSE,ISERROR(FIND("Cornice",$A105))=FALSE,ISERROR(FIND("Fillers",$A105))=FALSE,ISERROR(FIND("Pelmet",$A105))=FALSE,ISERROR(FIND("panel",$A105))=FALSE,ISERROR(FIND("post",$A105))=FALSE),VLOOKUP(WardrobeDoorFinish,FixedListsFinishes,3,0),IF(OR(ISERROR(FIND("drawer",$A105))=FALSE,ISERROR(FIND("insert",$A105))=FALSE,ISERROR(FIND("rck",$A105))=FALSE),VLOOKUP(WardrobeCarcassFinish,FixedListsFinishes,3,0),0))))</f>
        <v/>
      </c>
      <c r="AE105" s="156" t="str">
        <f t="shared" si="6"/>
        <v/>
      </c>
      <c r="AF105" s="157" t="str">
        <f>IF(AND(WardrobeHandleType="Channel",OR(ISERROR(FIND("arcass",$A105))=FALSE,ISERROR(FIND("unit",$A105))=FALSE)),IF(ISERROR(FIND("Tower",$A105))=TRUE,IF(WardrobeHandleFinish="Match carcass",IF(ISERROR(FIND("Walnut",WardrobeCarcassMaterial))=FALSE,(0.035*0.075*($C105/1000))*VLOOKUP("Walnut (solid m3)",SolidData,4,FALSE),IF(ISERROR(FIND("Oak",WardrobeCarcassMaterial))=FALSE,(0.035*0.075*($C105/1000))*VLOOKUP("Oak (solid m3)",SolidData,4,FALSE),IF(ISERROR(FIND("ply",WardrobeCarcassMaterial))=FALSE,(0.1*($C105/1000))*VLOOKUP("Birch ply (24mm)",SheetsData,7,FALSE),IF(ISERROR(FIND("H/F",WardrobeCarcassMaterial))=FALSE,(0.1*($C105/1000))*VLOOKUP("H/F (22mm)",SheetsData,7,FALSE),"Carcass - not tower - new material")))),IF(WardrobeHandleFinish="Match door",IF(ISERROR(FIND("Walnut",WardrobeDoorMaterial))=FALSE,(0.035*0.075*($C105/1000))*VLOOKUP("Walnut (solid m3)",SolidData,4,FALSE),IF(ISERROR(FIND("Oak",WardrobeDoorMaterial))=FALSE,(0.035*0.075*($C105/1000))*VLOOKUP("Oak (solid m3)",SolidData,4,FALSE),IF(ISERROR(FIND("ply",WardrobeDoorMaterial))=FALSE,(0.1*($C105/1000))*VLOOKUP("Birch ply (24mm)",SheetsData,7,FALSE),IF(ISERROR(FIND("H/F",WardrobeCarcassMaterial))=FALSE,(0.1*($C105/1000))*VLOOKUP("H/F (22mm)",SheetsData,7,FALSE),"Door - not tower - new material")))),"Channel - not tower - handle set to other")),IF(ISERROR(FIND("Tower",$A105))=FALSE,IF(WardrobeHandleFinish="Match carcass",IF(ISERROR(FIND("Walnut",WardrobeCarcassMaterial))=FALSE,(0.035*0.075*($B105/1000))*VLOOKUP("Walnut (solid m3)",SolidData,4,FALSE),IF(ISERROR(FIND("Oak",WardrobeCarcassMaterial))=FALSE,(0.035*0.075*($B105/1000))*VLOOKUP("Oak (solid m3)",SolidData,4,FALSE),IF(ISERROR(FIND("ply",WardrobeCarcassMaterial))=FALSE,(0.1*($B105/1000))*VLOOKUP("Birch ply (24mm)",SheetsData,7,FALSE),IF(ISERROR(FIND("H/F",WardrobeCarcassMaterial))=FALSE,(0.1*($C105/1000))*VLOOKUP("H/F (22mm)",SheetsData,7,FALSE),"Carcass - tower - new material")))),IF(WardrobeHandleFinish="Match door",IF(ISERROR(FIND("Walnut",WardrobeDoorMaterial))=FALSE,(0.035*0.075*($B105/1000))*VLOOKUP("Walnut (solid m3)",SolidData,4,FALSE),IF(ISERROR(FIND("Oak",WardrobeDoorMaterial))=FALSE,(0.035*0.075*($B105/1000))*VLOOKUP("Oak (solid m3)",SolidData,4,FALSE),IF(ISERROR(FIND("ply",WardrobeDoorMaterial))=FALSE,(0.1*($B105/1000))*VLOOKUP("Birch ply (24mm)",SheetData,7,FALSE),IF(ISERROR(FIND("H/F",WardrobeCarcassMaterial))=FALSE,(0.1*($C105/1000))*VLOOKUP("H/F (22mm)",SheetsData,7,FALSE),"Door - tower - new material")))),"Channel - tower - handle set to other")))),"")</f>
        <v/>
      </c>
    </row>
    <row r="106">
      <c r="A106" s="150"/>
      <c r="B106" s="160" t="str">
        <f t="shared" si="1"/>
        <v/>
      </c>
      <c r="C106" s="160" t="str">
        <f>IFERROR(__xludf.DUMMYFUNCTION("IF(A106="""","""",IF(ISERROR(FIND(""arcass"",A106))=FALSE,MID(A106,FIND(""*"",A106)+1,FIND(""*"",A106,FIND(""*"",A106)+1)-FIND(""*"",A106)-1),IF(ISERROR(FIND(""End panel"",A106))=FALSE,RIGHT(A106,3),IF(OR(ISERROR(FIND(""drawer"",A106))=FALSE,ISERROR(FIND("&amp;"""door"",A106))=FALSE,ISERROR(FIND(""shelf"",A106))=FALSE,ISERROR(FIND(""panel"",A106))=FALSE,ISERROR(FIND(""Plinth"",A106))=FALSE,ISERROR(FIND(""Cornice"",A106))=FALSE,ISERROR(FIND(""Fillers"",A106))=FALSE,ISERROR(FIND(""Pelmet"",A106))=FALSE,ISERROR(FIN"&amp;"D(""Fireplace up to 1600"",A106))=FALSE),RIGHT(A106,LEN(A106)-LEN(regexextract(A106,"".* ""))),IF(ISERROR(FIND(""table"",A106))=FALSE,""560"",IF(ISERROR(FIND(""Office pod"",A106))=FALSE,""1600"",IF(ISERROR(FIND(""Fireplace over 1600"",A106))=FALSE,""2400"&amp;""",IF(ISERROR(FIND(""Worktop"",A106))=FALSE,""650"",""Whoops""))))))))"),"")</f>
        <v/>
      </c>
      <c r="D106" s="161" t="str">
        <f t="shared" si="2"/>
        <v/>
      </c>
      <c r="E106" s="152" t="str">
        <f>IF(OR(A106="",AND(ISERROR(FIND("drawer",A106))=FALSE,WardrobeDrawerType="")),"",IF(ISERROR(FIND("door",A106))=FALSE,IF(WardrobeDoorStyle="Flat",((B106/1000)*(C106/1000))*VLOOKUP(WardrobeDoorMaterial,SheetsData,8,0),IF(LEFT(WardrobeDoorStyle,5)="Panel",(((((B106/1000)*2)*0.08)+((((C106/1000)-0.16)*2)*0.08))*VLOOKUP("H/F (22mm)",SheetsData,8,0))+(((B106/1000)-0.14)*((C106/1000)-0.14)*VLOOKUP("H/F (9mm)",SheetsData,8,0)),IF(WardrobeDoorStyle="In-frame flat",((((((B106/1000)*0.019)*0.038)+((((C106-38)/1000)*0.038)*0.038))*2)*VLOOKUP("Tulip (solid m3)",SolidData,4,0))+(((B106-76)/1000)*((C106-38)/1000))*VLOOKUP("H/F (22mm)",SheetsData,8,0),IF(LEFT(WardrobeDoorStyle,14)="In-frame panel",(((((((B106/1000)*0.019)*0.038)+((((C106-38)/1000)*0.038)*0.038))*2)*VLOOKUP("Tulip (solid m3)",SolidData,4,0))+(((((((B106-76)/1000)*2)*0.08)+(((((C106-198)/1000)*2)*0.08)))*VLOOKUP("H/F (22mm)",SheetsData,8,0))+(((B106-216)/1000)*((C106-178)/1000)*VLOOKUP("H/F (9mm)",SheetsData,8,0)))))))),IF(AND(ISERROR(FIND("arcass",A106))=FALSE,ISERROR(FIND("ost corner",A106))=TRUE),IF(AND(VALUE(B106)&lt;1211,VALUE(C106)&lt;1211,VALUE(D106)&lt;606),1*VLOOKUP(WardrobeCarcassMaterial,SheetsData,5,FALSE),IF(AND(VALUE(B106)&lt;2421,VALUE(C106)&lt;2421,VALUE(D106)&lt;606),2*VLOOKUP(WardrobeCarcassMaterial,SheetsData,5,FALSE),IF(AND(VALUE(B106)&lt;2421,VALUE(C106)&lt;1211,VALUE(D106)&lt;1211),3*VLOOKUP(WardrobeCarcassMaterial,SheetsData,5,FALSE),IF(AND(VALUE(B106)&lt;2421,VALUE(C106)&lt;2421,VALUE(D106)&lt;1211),4*VLOOKUP(WardrobeCarcassMaterial,SheetsData,5,FALSE))))),IF(AND(ISERROR(FIND("arcass",A106))=FALSE,ISERROR(FIND("ost corner",A106))=FALSE),IF(AND(VALUE(B106)&lt;1211,VALUE(C106)&lt;1211,VALUE(D106)&lt;606),(1*VLOOKUP(WardrobeCarcassMaterial,SheetsData,5,FALSE))+(VLOOKUP("H/F (22mm)",SheetsData,7,FALSE)*1.44),IF(AND(VALUE(B106)&lt;2421,VALUE(C106)&lt;2421,VALUE(D106)&lt;606),(2*VLOOKUP(WardrobeCarcassMaterial,SheetsData,5,FALSE))+(VLOOKUP("H/F (22mm)",SheetsData,7,FALSE)*1.44),IF(AND(VALUE(B106)&lt;2421,VALUE(C106)&lt;1211,VALUE(D106)&lt;1211),(3*VLOOKUP(WardrobeCarcassMaterial,SheetsData,5,FALSE))+(VLOOKUP("H/F (22mm)",SheetsData,7,FALSE)*1.44),IF(AND(VALUE(B106)&lt;2421,VALUE(C106)&lt;2421,VALUE(D106)&lt;1211),(4*VLOOKUP(WardrobeCarcassMaterial,SheetsData,5,FALSE))+(VLOOKUP("H/F (22mm)",SheetsData,7,FALSE)*1.44))))),IF(ISERROR(FIND("drawer front",A106))=FALSE,((B106/1000)*(C106/1000))*VLOOKUP(WardrobeDoorMaterial,SheetsData,8,0),IF(AND(WardrobeDrawerType="Match carcass",ISERROR(FIND("drawer box",A106))=FALSE),(((((B106/1000)*(C106/1000))+((B106/1000)*(D106/1000)))*2)*VLOOKUP(WardrobeCarcassMaterial,SheetsData,8,0))+(((C106/1000)*(D106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box",A106))=FALSE),(((((B106/1000)*(C106/1000))+((B106/1000)*(D106/1000)))*2)*(16/1000)*VLOOKUP(LEFT(WardrobeCarcassMaterial,FIND(" ",WardrobeCarcassMaterial))&amp;"(solid m3)",SolidData,4,0))+(((C106/1000)*(D106/1000))*VLOOKUP(LEFT(WardrobeCarcassMaterial,FIND("(",WardrobeCarcassMaterial)-1)&amp;IF(OR(ISERROR(FIND("ply",WardrobeCarcassMaterial))=FALSE,ISERROR(FIND("H/F",WardrobeCarcassMaterial))=FALSE),"(9mm)","(10mm)"),SheetsData,8,0)),IF(ISERROR(FIND("shelf",A106))=FALSE,((C106/1000)*(D106/1000))*VLOOKUP(WardrobeCarcassMaterial,SheetsData,7,FALSE),IF(ISERROR(FIND("Office pod",A106))=FALSE,3*VLOOKUP(WardrobeCarcassMaterial,SheetsData,5,0),IF(ISERROR(FIND(" panel",A106))=FALSE,((B106/1000)*(C106/1000))*VLOOKUP(WardrobeDoorMaterial,SheetsData,8,0),IF(ISERROR(FIND("Fillers",A106))=FALSE,(((0.06*(C106/1000))*2)*VLOOKUP("H/F (18mm)",SheetsData,8,0))+(((0.06*(C106/1000))*2)*VLOOKUP("H/F (9mm)",SheetsData,8,0)),IF(ISERROR(FIND("Cornice (stacked)",A106))=FALSE,((0.08*(C106/1000))*2)*VLOOKUP("H/F (22mm)",SheetsData,8,0),IF(OR(ISERROR(FIND("Plinth",A106))=FALSE,ISERROR(FIND("Cornice (flat)",A106))=FALSE),((B106/1000)*(C106/1000))*VLOOKUP("H/F (18mm)",SheetsData,8,0),IF(ISERROR(FIND("Pelmet",A106))=FALSE,((((B106/1000)*(C106/1000))*2)*VLOOKUP("H/F (18mm)",SheetsData,8,0)),IF(ISERROR(FIND("Fireplace",A106))=FALSE,IF(ISERROR(FIND("over 1600",A106))=FALSE,2*VLOOKUP(WardrobeCarcassMaterial,SheetsData,5,FALSE),VLOOKUP(WardrobeCarcassMaterial,SheetsData,5,FALSE)),IF(ISERROR(FIND("table",A106))=FALSE,((B106/1000)*0.6)*VLOOKUP("Birch ply (24mm)",SheetsData,7,FALSE),IF(ISERROR(FIND("Worktop",A106))=FALSE,((B106/1000)*(C106/1000))*VLOOKUP(WardrobeDoorMaterial,SheetsData,7,FALSE),"Check formula")))))))))))))))))</f>
        <v/>
      </c>
      <c r="F106" s="152" t="str">
        <f>IFERROR(__xludf.DUMMYFUNCTION("IF(OR(A106="""",AND(ISERROR(FIND(""drawer box"",A106))=FALSE,WardrobeDrawerType=""Solid dovetail"")),"""",IF(ISERROR(FIND(""bins"",A106))=FALSE,VLOOKUP(""Base carcass 600"",Wardrobes_etcData,6,0),IF(OR(ISERROR(FIND(""larder"",A106))=FALSE,ISERROR(FIND(""u"&amp;"nit"",A106))=FALSE),VLOOKUP(LEFT(A106,FIND("" "",A106))&amp;""carcass ""&amp;RIGHT(A106,LEN(A106)-len(regexextract(A106,"".* ""))),Wardrobes_etcData,6,0),IF(ISERROR(FIND(""drawer front"",A106))=FALSE,IF(ISERROR(FIND(""veneer"",WardrobeCarcassMaterial))=TRUE,0,((("&amp;"B106+C106)/1000)*2)*VLOOKUP(""Edge banding (per M)"",SheetsData,5,0)),IF(ISERROR(FIND(""drawer box"",A106))=FALSE,IF(ISERROR(FIND(""veneer"",WardrobeCarcassMaterial))=TRUE,0,(((C106+D106)/1000)*2)*VLOOKUP(""Edge banding (per M)"",SheetsData,5,0)),IF(ISERR"&amp;"OR(FIND(""shelf"",A106))=FALSE,IF(ISERROR(FIND(""veneer"",WardrobeCarcassMaterial))=TRUE,0,(C106/1000)*VLOOKUP(""Edge banding (per M)"",SheetsData,5,0)),IF(AND(OR(ISERROR(FIND(""arcass"",A106))=FALSE,ISERROR(FIND(""Fireplace"",A106))=FALSE),ISERROR(FIND("&amp;"""shelf"",A106))=TRUE),IF(ISERROR(FIND(""veneer"",WardrobeCarcassMaterial))=TRUE,0,((2*(B106+C106))/1000)*VLOOKUP(""Edge banding (per M)"",SheetsData,5,0)),IF(ISERROR(FIND(""door"",A106))=TRUE,"""",IF(ISERROR(FIND(""veneer"",WardrobeDoorMaterial))=TRUE,"""&amp;""",((2*(B106+C106))/1000)*VLOOKUP(""Edge banding (per M)"",SheetsData,5,0))))))))))"),"")</f>
        <v/>
      </c>
      <c r="G106" s="153" t="str">
        <f>IF(A106="","",IF(AND(ISERROR(FIND("arcass",A106))=TRUE,ISERROR(FIND("Fireplace",A106))=TRUE),"",IF(VALUE(C106)&lt;606,4*VLOOKUP("Plinth foot (2 Parts 80mm)",FurnitureData,5,FALSE),IF(VALUE(C106)&lt;1211,6*VLOOKUP("Plinth foot (2 Parts 80mm)",FurnitureData,5,FALSE),8*VLOOKUP("Plinth foot (2 Parts 80mm)",FurnitureData,5,FALSE)))))</f>
        <v/>
      </c>
      <c r="H106" s="115" t="str">
        <f>IF(OR(A106="",ISERROR(FIND("door",A106))=TRUE),"",VLOOKUP("Hinges &amp; plates (Hettich thick door)",FurnitureData,5,0)*5)</f>
        <v/>
      </c>
      <c r="I106" s="115" t="str">
        <f>IF(ISERROR(FIND("shelf",A106))=FALSE,(VLOOKUP("Shelf pegs",FurnitureData,5,0)/100)*4,"")</f>
        <v/>
      </c>
      <c r="J106" s="152" t="str">
        <f>IF(OR(ISERROR(FIND("fridge/freezer",A106))=FALSE,ISERROR(FIND("sink",A106))=FALSE,ISERROR(FIND("larder",A106))=FALSE),VLOOKUP("Deep shelf "&amp;C106,Wardrobes_etcData,18,0),IF(OR(ISERROR(FIND("single oven",A106))=FALSE,ISERROR(FIND("Base carcass",A106))=FALSE),2*VLOOKUP("Deep shelf "&amp;C106,Wardrobes_etcData,18,0),IF(AND(ISERROR(FIND("wall carcass",A106))=FALSE,ISERROR(FIND("Boiler",A106))=TRUE),2*VLOOKUP("Shallow shelf "&amp;C106,Wardrobes_etcData,18,0),IF(ISERROR(FIND("double oven",A106))=FALSE,3*VLOOKUP("Deep shelf "&amp;C106,Wardrobes_etcData,18,0),IF(ISERROR(FIND("Tower carcass",A106))=FALSE,6*VLOOKUP("Deep shelf "&amp;C106,Wardrobes_etcData,18,0),"")))))</f>
        <v/>
      </c>
      <c r="K106" s="152" t="str">
        <f>IF(ISERROR(FIND("sink",A106))=FALSE,VLOOKUP("Sink liner - Aluminium "&amp;RIGHT(A106,LEN(A106)-22)&amp;"mm",ExceptionalData,5,0),IF(ISERROR(FIND("bins",A106))=FALSE,VLOOKUP("Drawer runners and clip set for bin unit (500) Dynapro",FurnitureData,5,0)+(2*VLOOKUP("Bin (42L Anthracite)",FurnitureData,5,0)),IF(ISERROR(FIND("larder",A106))=FALSE,VLOOKUP("Pull out larder unit 600mm",FurnitureData,5,0),IF(AND(ISERROR(FIND("drawer box",A106))=FALSE,ISERROR(FIND("internal",A106))=TRUE),VLOOKUP("Drawer runners and clip set (550) Dynapro",FurnitureData,5,0),IF(ISERROR(FIND("internal drawer box",A106))=FALSE,VLOOKUP("Drawer runners and clip set (450) Dynapro",FurnitureData,5,0),IF(ISERROR(FIND("table",A106))=FALSE,VLOOKUP("Hairpin Leg (12mm Black "&amp;MID(A106,FIND("(",A106)+1,LEN(A106)-(FIND("(",A106))-1)&amp;"mm)",ExceptionalData,4,FALSE),""))))))</f>
        <v/>
      </c>
      <c r="L106" s="152" t="str">
        <f t="shared" si="3"/>
        <v/>
      </c>
      <c r="M106" s="154" t="str">
        <f>IF(A106="","",IF(AND(ISERROR(FIND("drawer front",A106))=FALSE,WardrobeDoorStyle="Flat"),(((B106/1000)*(C106/1000))*2)+((((B106+C106)/1000)*2)*0.022),IF(AND(ISERROR(FIND("drawer front",A106))=FALSE,LEFT(WardrobeDoorStyle,5)="Panel"),(((B106/1000)*(C106/1000))*2)+((((B106+C106)/1000)*2)*0.022)+((((C106/1000)-0.16)*0.013)*2)+((((D106/1000)-0.16)*0.013)*2),IF(AND(ISERROR(FIND("drawer front",A106))=FALSE,WardrobeDoorStyle="In-frame flat"),((((B106-76)/1000)*((C106-38)/1000))*2)+(MID(WardrobeDoorMaterial,FIND("(",WardrobeDoorMaterial)+1,2)/1000)*((((B106-76)+(C106-38))/1000)*2)+(((B106/1000)*0.032)*2)+((((B106-76)/1000)*0.032)*2)+(((B106/1000)*0.019)*4)+(((C106/1000)*0.032)*2)+((((C106-38)/1000)*0.032)*2)+(((C106/1000)*0.038)*4),IF(AND(ISERROR(FIND("drawer front",A106))=FALSE,LEFT(WardrobeDoorStyle,14)="In-frame panel"),((((B106-76)/1000)*((C106-38)/1000))*2)+((MID(WardrobeDoorMaterial,FIND("(",WardrobeDoorMaterial)+1,2)/1000)*((((B106-76)+(C106-38))/1000)*2))+((((B106-236)/1000)+((C106-198)/1000)*2)*0.013)+(((B106/1000)*0.032)*2)+((((B106-76)/1000)*0.032)*2)+(((B106/1000)*0.019)*4)+(((C106/1000)*0.032)*2)+((((C106-38)/1000)*0.032)*2)+(((C106/1000)*0.038)*4),IF(ISERROR(FIND("drawer box",A106))=FALSE,((((B106/1000)*(D106/1000))+((B106/1000)*(C106/1000)))*4)+((((D106/1000)+(C106/1000))*0.016)*4)+(((C106/1000)*(D106/1000))*2),IF(OR(ISERROR(FIND("shelf",A106))=FALSE,ISERROR(FIND("Filler panel",A106))=FALSE),(((C106/1000)*(D106/1000))*2)+((((C106+D106)*2)/1000)*0.022),IF(ISERROR(FIND("Fireplace",A106))=FALSE,((B106/1000)*(C106/1000)),IF(ISERROR(FIND("Worktop",A106))=FALSE,(B106/1000)*(C106/1000),IF(ISERROR(FIND("table",A106))=FALSE,(B106/1000)*0.6,IF(ISERROR(FIND("arcass",A106))=FALSE,(((C106/1000)*(D106/1000))*2)+(((B106/1000)*(D106/1000))*2)+((B106/1000)*(C106/1000))+((((B106/1000)*0.025)+((C106/1000)*0.025))*2),IF(AND(ISERROR(FIND("door",A106))=FALSE,WardrobeDoorStyle="Flat"),(((B106/1000)*(C106/1000))*2)+(MID(WardrobeDoorMaterial,FIND("(",WardrobeDoorMaterial)+1,2)/1000)*(((B106+C106)/1000)*2),IF(AND(ISERROR(FIND("door",A106))=FALSE,LEFT(WardrobeDoorStyle,5)="Panel"),(((B106/1000)*(C106/1000))*2)+((MID(WardrobeDoorMaterial,FIND("(",WardrobeDoorMaterial)+1,2)/1000)*(((B106+C106)/1000)*2))+(((((B106-160)+(C106-160))*2)/1000)*(0.013)),IF(AND(ISERROR(FIND("door",A106))=FALSE,WardrobeDoorStyle="In-frame flat"),((((B106-76)/1000)*((C106-38)/1000))*2)+(MID(WardrobeDoorMaterial,FIND("(",WardrobeDoorMaterial)+1,2)/1000)*((((B106-76)+(C106-38))/1000)*2)+(((B106/1000)*0.032)*2)+((((B106-76)/1000)*0.032)*2)+(((B106/1000)*0.019)*4)+(((C106/1000)*0.032)*2)+((((C106-38)/1000)*0.032)*2)+(((C106/1000)*0.038)*4),IF(AND(ISERROR(FIND("door",A106))=FALSE,LEFT(WardrobeDoorStyle,14)="In-frame panel"),((((B106-76)/1000)*((C106-38)/1000))*2)+((MID(WardrobeDoorMaterial,FIND("(",WardrobeDoorMaterial)+1,2)/1000)*((((B106-76)+(C106-38))/1000)*2))+((((B106-236)/1000)+((C106-198)/1000)*2)*0.013)+(((B106/1000)*0.032)*2)+((((B106-76)/1000)*0.032)*2)+(((B106/1000)*0.019)*4)+(((C106/1000)*0.032)*2)+((((C106-38)/1000)*0.032)*2)+(((C106/1000)*0.038)*4),IF(ISERROR(FIND("Plinth",A106))=FALSE,((B106/1000)*(C106/1000))+(((C106/1000)*0.018)*2)+(((B106/1000)*0.018)*2),IF(ISERROR(FIND("Cornice",A106))=FALSE,(((C106/1000)*0.1)*2)+(((C106/1000)*0.044)*2)+(((B106/1000)*0.08)*2),IF(ISERROR(FIND("Office pod",A106))=FALSE,((2400/1000)*(1200/1000))*6,IF(ISERROR(FIND("panel",A106))=FALSE,((B106/1000)*(C106/1000))+(0.022*((B106/1000)+((C106/1000)*2)))+((B106/1000)*0.05),IF(ISERROR(FIND("Fillers",A106))=FALSE,((C106/1000)*0.06)+((C106/1000)*0.069)+((0.06*0.018)*2)+((0.06*0.009)*2)+((C106/1000)*0.009)+((C106/1000)*0.018),IF(ISERROR(FIND("Pelmet",A106))=FALSE,((C106/1000)*0.05)+((C106/1000)*0.068)+((0.05*0.018)*4)+(((C106/1000)*0.018))*2)))))))))))))))))))))</f>
        <v/>
      </c>
      <c r="N106" s="152" t="str">
        <f>IF(M106="","",IF(AND(ISERROR(FIND("carcass",A106))=TRUE,ISERROR(FIND("unit",A106))=TRUE,ISERROR(FIND("insert",A106))=TRUE,ISERROR(FIND("rack",A106))=TRUE,ISERROR(FIND("box",A106))=TRUE,ISERROR(FIND("shelf",A106))=TRUE),VLOOKUP(WardrobeDoorFinish,Finishing!$A$2:$K$10,9,0)*M106,IF(ISERROR(FIND("table",A106))=FALSE,VLOOKUP("Sayerlack AF0072 Interior Clear Self-Sealer",FinishingData,9,FALSE)*M106,VLOOKUP(WardrobeCarcassFinish,Finishing!$A$2:$K$40,9,0)*M106)))</f>
        <v/>
      </c>
      <c r="O106" s="159"/>
      <c r="P106" s="159"/>
      <c r="Q106" s="152" t="str">
        <f>IF(OR(O106="",P106=""),"",((O106*X106)*(VLOOKUP("Workshop",Labour!$A$3:$E$20,4,0)/8))+((P106*AE106)*(VLOOKUP("Finishing",Labour!$A$3:$E$20,4,0)/8)))</f>
        <v/>
      </c>
      <c r="R106" s="152" t="str">
        <f t="shared" si="4"/>
        <v/>
      </c>
      <c r="S106" s="156" t="str">
        <f>IF(OR(O106="",P106=""),"",IF(OR(ISERROR(FIND("carcass",$A106))=FALSE,ISERROR(FIND("unit",$A106))=FALSE),VLOOKUP(WardrobeCarcassMaterial,FixedListsCarcassMaterial,2,0),0))</f>
        <v/>
      </c>
      <c r="T106" s="156" t="str">
        <f>IF(OR(O106="",P106=""),"",IF(ISERROR(FIND("door",$A106))=FALSE,VLOOKUP(WardrobeDoorStyle,FixedListsDoorStyle,2,0),0))</f>
        <v/>
      </c>
      <c r="U106" s="156" t="str">
        <f>IF(OR(O106="",P106=""),"",IF(ISERROR(FIND("door",$A106))=FALSE,VLOOKUP(WardrobeDoorMaterial,FixedListsDoorMaterial,2,0),0))</f>
        <v/>
      </c>
      <c r="V106" s="156" t="str">
        <f>IF(OR(O106="",P106=""),"",IF(ISERROR(FIND("drawer",$A106))=FALSE,VLOOKUP(WardrobeDrawerType,FixedListsDrawerType,2,0),0))</f>
        <v/>
      </c>
      <c r="W106" s="156" t="str">
        <f>IF(OR(O106="",P106=""),"",IF(S106&gt;0,VLOOKUP(WardrobeHandleType,FixedListsHandleType,2,FALSE),0))</f>
        <v/>
      </c>
      <c r="X106" s="156" t="str">
        <f t="shared" si="5"/>
        <v/>
      </c>
      <c r="Y106" s="156" t="str">
        <f>IF(OR(O106="",P106=""),"",IF(OR(ISERROR(FIND("carcass",$A106))=FALSE,ISERROR(FIND("unit",$A106))=FALSE),VLOOKUP(WardrobeCarcassMaterial,FixedListsCarcassMaterial,3,0),0))</f>
        <v/>
      </c>
      <c r="Z106" s="156" t="str">
        <f>IF(OR(O106="",P106=""),"",IF(ISERROR(FIND("door",$A106))=FALSE,VLOOKUP(WardrobeDoorStyle,FixedListsDoorStyle,3,0),0))</f>
        <v/>
      </c>
      <c r="AA106" s="156" t="str">
        <f>IF(OR(O106="",P106=""),"",IF(ISERROR(FIND("door",$A106))=FALSE,VLOOKUP(WardrobeDoorMaterial,FixedListsDoorMaterial,3,0),0))</f>
        <v/>
      </c>
      <c r="AB106" s="156" t="str">
        <f>IF(OR(O106="",P106=""),"",IF(ISERROR(FIND("drawer",$A106))=FALSE,VLOOKUP(WardrobeDrawerType,FixedListsDrawerType,3,0),0))</f>
        <v/>
      </c>
      <c r="AC106" s="156" t="str">
        <f>IF(OR(O106="",P106=""),"",IF(S106&gt;0,VLOOKUP(WardrobeHandleType,FixedListsHandleType,3,FALSE),0))</f>
        <v/>
      </c>
      <c r="AD106" s="156" t="str">
        <f>IF(OR(O106="",P106=""),"",IF(OR(ISERROR(FIND("carcass",$A106))=FALSE,ISERROR(FIND("unit",$A106))=FALSE),VLOOKUP(WardrobeCarcassFinish,FixedListsFinishes,3,0),IF(OR(ISERROR(FIND("door",$A106))=FALSE,ISERROR(FIND("Plinth",$A106))=FALSE,ISERROR(FIND("Cornice",$A106))=FALSE,ISERROR(FIND("Fillers",$A106))=FALSE,ISERROR(FIND("Pelmet",$A106))=FALSE,ISERROR(FIND("panel",$A106))=FALSE,ISERROR(FIND("post",$A106))=FALSE),VLOOKUP(WardrobeDoorFinish,FixedListsFinishes,3,0),IF(OR(ISERROR(FIND("drawer",$A106))=FALSE,ISERROR(FIND("insert",$A106))=FALSE,ISERROR(FIND("rck",$A106))=FALSE),VLOOKUP(WardrobeCarcassFinish,FixedListsFinishes,3,0),0))))</f>
        <v/>
      </c>
      <c r="AE106" s="156" t="str">
        <f t="shared" si="6"/>
        <v/>
      </c>
      <c r="AF106" s="157" t="str">
        <f>IF(AND(WardrobeHandleType="Channel",OR(ISERROR(FIND("arcass",$A106))=FALSE,ISERROR(FIND("unit",$A106))=FALSE)),IF(ISERROR(FIND("Tower",$A106))=TRUE,IF(WardrobeHandleFinish="Match carcass",IF(ISERROR(FIND("Walnut",WardrobeCarcassMaterial))=FALSE,(0.035*0.075*($C106/1000))*VLOOKUP("Walnut (solid m3)",SolidData,4,FALSE),IF(ISERROR(FIND("Oak",WardrobeCarcassMaterial))=FALSE,(0.035*0.075*($C106/1000))*VLOOKUP("Oak (solid m3)",SolidData,4,FALSE),IF(ISERROR(FIND("ply",WardrobeCarcassMaterial))=FALSE,(0.1*($C106/1000))*VLOOKUP("Birch ply (24mm)",SheetsData,7,FALSE),IF(ISERROR(FIND("H/F",WardrobeCarcassMaterial))=FALSE,(0.1*($C106/1000))*VLOOKUP("H/F (22mm)",SheetsData,7,FALSE),"Carcass - not tower - new material")))),IF(WardrobeHandleFinish="Match door",IF(ISERROR(FIND("Walnut",WardrobeDoorMaterial))=FALSE,(0.035*0.075*($C106/1000))*VLOOKUP("Walnut (solid m3)",SolidData,4,FALSE),IF(ISERROR(FIND("Oak",WardrobeDoorMaterial))=FALSE,(0.035*0.075*($C106/1000))*VLOOKUP("Oak (solid m3)",SolidData,4,FALSE),IF(ISERROR(FIND("ply",WardrobeDoorMaterial))=FALSE,(0.1*($C106/1000))*VLOOKUP("Birch ply (24mm)",SheetsData,7,FALSE),IF(ISERROR(FIND("H/F",WardrobeCarcassMaterial))=FALSE,(0.1*($C106/1000))*VLOOKUP("H/F (22mm)",SheetsData,7,FALSE),"Door - not tower - new material")))),"Channel - not tower - handle set to other")),IF(ISERROR(FIND("Tower",$A106))=FALSE,IF(WardrobeHandleFinish="Match carcass",IF(ISERROR(FIND("Walnut",WardrobeCarcassMaterial))=FALSE,(0.035*0.075*($B106/1000))*VLOOKUP("Walnut (solid m3)",SolidData,4,FALSE),IF(ISERROR(FIND("Oak",WardrobeCarcassMaterial))=FALSE,(0.035*0.075*($B106/1000))*VLOOKUP("Oak (solid m3)",SolidData,4,FALSE),IF(ISERROR(FIND("ply",WardrobeCarcassMaterial))=FALSE,(0.1*($B106/1000))*VLOOKUP("Birch ply (24mm)",SheetsData,7,FALSE),IF(ISERROR(FIND("H/F",WardrobeCarcassMaterial))=FALSE,(0.1*($C106/1000))*VLOOKUP("H/F (22mm)",SheetsData,7,FALSE),"Carcass - tower - new material")))),IF(WardrobeHandleFinish="Match door",IF(ISERROR(FIND("Walnut",WardrobeDoorMaterial))=FALSE,(0.035*0.075*($B106/1000))*VLOOKUP("Walnut (solid m3)",SolidData,4,FALSE),IF(ISERROR(FIND("Oak",WardrobeDoorMaterial))=FALSE,(0.035*0.075*($B106/1000))*VLOOKUP("Oak (solid m3)",SolidData,4,FALSE),IF(ISERROR(FIND("ply",WardrobeDoorMaterial))=FALSE,(0.1*($B106/1000))*VLOOKUP("Birch ply (24mm)",SheetData,7,FALSE),IF(ISERROR(FIND("H/F",WardrobeCarcassMaterial))=FALSE,(0.1*($C106/1000))*VLOOKUP("H/F (22mm)",SheetsData,7,FALSE),"Door - tower - new material")))),"Channel - tower - handle set to other")))),"")</f>
        <v/>
      </c>
    </row>
    <row r="107">
      <c r="A107" s="150"/>
      <c r="B107" s="160" t="str">
        <f t="shared" si="1"/>
        <v/>
      </c>
      <c r="C107" s="160" t="str">
        <f>IFERROR(__xludf.DUMMYFUNCTION("IF(A107="""","""",IF(ISERROR(FIND(""arcass"",A107))=FALSE,MID(A107,FIND(""*"",A107)+1,FIND(""*"",A107,FIND(""*"",A107)+1)-FIND(""*"",A107)-1),IF(ISERROR(FIND(""End panel"",A107))=FALSE,RIGHT(A107,3),IF(OR(ISERROR(FIND(""drawer"",A107))=FALSE,ISERROR(FIND("&amp;"""door"",A107))=FALSE,ISERROR(FIND(""shelf"",A107))=FALSE,ISERROR(FIND(""panel"",A107))=FALSE,ISERROR(FIND(""Plinth"",A107))=FALSE,ISERROR(FIND(""Cornice"",A107))=FALSE,ISERROR(FIND(""Fillers"",A107))=FALSE,ISERROR(FIND(""Pelmet"",A107))=FALSE,ISERROR(FIN"&amp;"D(""Fireplace up to 1600"",A107))=FALSE),RIGHT(A107,LEN(A107)-LEN(regexextract(A107,"".* ""))),IF(ISERROR(FIND(""table"",A107))=FALSE,""560"",IF(ISERROR(FIND(""Office pod"",A107))=FALSE,""1600"",IF(ISERROR(FIND(""Fireplace over 1600"",A107))=FALSE,""2400"&amp;""",IF(ISERROR(FIND(""Worktop"",A107))=FALSE,""650"",""Whoops""))))))))"),"")</f>
        <v/>
      </c>
      <c r="D107" s="161" t="str">
        <f t="shared" si="2"/>
        <v/>
      </c>
      <c r="E107" s="152" t="str">
        <f>IF(OR(A107="",AND(ISERROR(FIND("drawer",A107))=FALSE,WardrobeDrawerType="")),"",IF(ISERROR(FIND("door",A107))=FALSE,IF(WardrobeDoorStyle="Flat",((B107/1000)*(C107/1000))*VLOOKUP(WardrobeDoorMaterial,SheetsData,8,0),IF(LEFT(WardrobeDoorStyle,5)="Panel",(((((B107/1000)*2)*0.08)+((((C107/1000)-0.16)*2)*0.08))*VLOOKUP("H/F (22mm)",SheetsData,8,0))+(((B107/1000)-0.14)*((C107/1000)-0.14)*VLOOKUP("H/F (9mm)",SheetsData,8,0)),IF(WardrobeDoorStyle="In-frame flat",((((((B107/1000)*0.019)*0.038)+((((C107-38)/1000)*0.038)*0.038))*2)*VLOOKUP("Tulip (solid m3)",SolidData,4,0))+(((B107-76)/1000)*((C107-38)/1000))*VLOOKUP("H/F (22mm)",SheetsData,8,0),IF(LEFT(WardrobeDoorStyle,14)="In-frame panel",(((((((B107/1000)*0.019)*0.038)+((((C107-38)/1000)*0.038)*0.038))*2)*VLOOKUP("Tulip (solid m3)",SolidData,4,0))+(((((((B107-76)/1000)*2)*0.08)+(((((C107-198)/1000)*2)*0.08)))*VLOOKUP("H/F (22mm)",SheetsData,8,0))+(((B107-216)/1000)*((C107-178)/1000)*VLOOKUP("H/F (9mm)",SheetsData,8,0)))))))),IF(AND(ISERROR(FIND("arcass",A107))=FALSE,ISERROR(FIND("ost corner",A107))=TRUE),IF(AND(VALUE(B107)&lt;1211,VALUE(C107)&lt;1211,VALUE(D107)&lt;606),1*VLOOKUP(WardrobeCarcassMaterial,SheetsData,5,FALSE),IF(AND(VALUE(B107)&lt;2421,VALUE(C107)&lt;2421,VALUE(D107)&lt;606),2*VLOOKUP(WardrobeCarcassMaterial,SheetsData,5,FALSE),IF(AND(VALUE(B107)&lt;2421,VALUE(C107)&lt;1211,VALUE(D107)&lt;1211),3*VLOOKUP(WardrobeCarcassMaterial,SheetsData,5,FALSE),IF(AND(VALUE(B107)&lt;2421,VALUE(C107)&lt;2421,VALUE(D107)&lt;1211),4*VLOOKUP(WardrobeCarcassMaterial,SheetsData,5,FALSE))))),IF(AND(ISERROR(FIND("arcass",A107))=FALSE,ISERROR(FIND("ost corner",A107))=FALSE),IF(AND(VALUE(B107)&lt;1211,VALUE(C107)&lt;1211,VALUE(D107)&lt;606),(1*VLOOKUP(WardrobeCarcassMaterial,SheetsData,5,FALSE))+(VLOOKUP("H/F (22mm)",SheetsData,7,FALSE)*1.44),IF(AND(VALUE(B107)&lt;2421,VALUE(C107)&lt;2421,VALUE(D107)&lt;606),(2*VLOOKUP(WardrobeCarcassMaterial,SheetsData,5,FALSE))+(VLOOKUP("H/F (22mm)",SheetsData,7,FALSE)*1.44),IF(AND(VALUE(B107)&lt;2421,VALUE(C107)&lt;1211,VALUE(D107)&lt;1211),(3*VLOOKUP(WardrobeCarcassMaterial,SheetsData,5,FALSE))+(VLOOKUP("H/F (22mm)",SheetsData,7,FALSE)*1.44),IF(AND(VALUE(B107)&lt;2421,VALUE(C107)&lt;2421,VALUE(D107)&lt;1211),(4*VLOOKUP(WardrobeCarcassMaterial,SheetsData,5,FALSE))+(VLOOKUP("H/F (22mm)",SheetsData,7,FALSE)*1.44))))),IF(ISERROR(FIND("drawer front",A107))=FALSE,((B107/1000)*(C107/1000))*VLOOKUP(WardrobeDoorMaterial,SheetsData,8,0),IF(AND(WardrobeDrawerType="Match carcass",ISERROR(FIND("drawer box",A107))=FALSE),(((((B107/1000)*(C107/1000))+((B107/1000)*(D107/1000)))*2)*VLOOKUP(WardrobeCarcassMaterial,SheetsData,8,0))+(((C107/1000)*(D107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box",A107))=FALSE),(((((B107/1000)*(C107/1000))+((B107/1000)*(D107/1000)))*2)*(16/1000)*VLOOKUP(LEFT(WardrobeCarcassMaterial,FIND(" ",WardrobeCarcassMaterial))&amp;"(solid m3)",SolidData,4,0))+(((C107/1000)*(D107/1000))*VLOOKUP(LEFT(WardrobeCarcassMaterial,FIND("(",WardrobeCarcassMaterial)-1)&amp;IF(OR(ISERROR(FIND("ply",WardrobeCarcassMaterial))=FALSE,ISERROR(FIND("H/F",WardrobeCarcassMaterial))=FALSE),"(9mm)","(10mm)"),SheetsData,8,0)),IF(ISERROR(FIND("shelf",A107))=FALSE,((C107/1000)*(D107/1000))*VLOOKUP(WardrobeCarcassMaterial,SheetsData,7,FALSE),IF(ISERROR(FIND("Office pod",A107))=FALSE,3*VLOOKUP(WardrobeCarcassMaterial,SheetsData,5,0),IF(ISERROR(FIND(" panel",A107))=FALSE,((B107/1000)*(C107/1000))*VLOOKUP(WardrobeDoorMaterial,SheetsData,8,0),IF(ISERROR(FIND("Fillers",A107))=FALSE,(((0.06*(C107/1000))*2)*VLOOKUP("H/F (18mm)",SheetsData,8,0))+(((0.06*(C107/1000))*2)*VLOOKUP("H/F (9mm)",SheetsData,8,0)),IF(ISERROR(FIND("Cornice (stacked)",A107))=FALSE,((0.08*(C107/1000))*2)*VLOOKUP("H/F (22mm)",SheetsData,8,0),IF(OR(ISERROR(FIND("Plinth",A107))=FALSE,ISERROR(FIND("Cornice (flat)",A107))=FALSE),((B107/1000)*(C107/1000))*VLOOKUP("H/F (18mm)",SheetsData,8,0),IF(ISERROR(FIND("Pelmet",A107))=FALSE,((((B107/1000)*(C107/1000))*2)*VLOOKUP("H/F (18mm)",SheetsData,8,0)),IF(ISERROR(FIND("Fireplace",A107))=FALSE,IF(ISERROR(FIND("over 1600",A107))=FALSE,2*VLOOKUP(WardrobeCarcassMaterial,SheetsData,5,FALSE),VLOOKUP(WardrobeCarcassMaterial,SheetsData,5,FALSE)),IF(ISERROR(FIND("table",A107))=FALSE,((B107/1000)*0.6)*VLOOKUP("Birch ply (24mm)",SheetsData,7,FALSE),IF(ISERROR(FIND("Worktop",A107))=FALSE,((B107/1000)*(C107/1000))*VLOOKUP(WardrobeDoorMaterial,SheetsData,7,FALSE),"Check formula")))))))))))))))))</f>
        <v/>
      </c>
      <c r="F107" s="152" t="str">
        <f>IFERROR(__xludf.DUMMYFUNCTION("IF(OR(A107="""",AND(ISERROR(FIND(""drawer box"",A107))=FALSE,WardrobeDrawerType=""Solid dovetail"")),"""",IF(ISERROR(FIND(""bins"",A107))=FALSE,VLOOKUP(""Base carcass 600"",Wardrobes_etcData,6,0),IF(OR(ISERROR(FIND(""larder"",A107))=FALSE,ISERROR(FIND(""u"&amp;"nit"",A107))=FALSE),VLOOKUP(LEFT(A107,FIND("" "",A107))&amp;""carcass ""&amp;RIGHT(A107,LEN(A107)-len(regexextract(A107,"".* ""))),Wardrobes_etcData,6,0),IF(ISERROR(FIND(""drawer front"",A107))=FALSE,IF(ISERROR(FIND(""veneer"",WardrobeCarcassMaterial))=TRUE,0,((("&amp;"B107+C107)/1000)*2)*VLOOKUP(""Edge banding (per M)"",SheetsData,5,0)),IF(ISERROR(FIND(""drawer box"",A107))=FALSE,IF(ISERROR(FIND(""veneer"",WardrobeCarcassMaterial))=TRUE,0,(((C107+D107)/1000)*2)*VLOOKUP(""Edge banding (per M)"",SheetsData,5,0)),IF(ISERR"&amp;"OR(FIND(""shelf"",A107))=FALSE,IF(ISERROR(FIND(""veneer"",WardrobeCarcassMaterial))=TRUE,0,(C107/1000)*VLOOKUP(""Edge banding (per M)"",SheetsData,5,0)),IF(AND(OR(ISERROR(FIND(""arcass"",A107))=FALSE,ISERROR(FIND(""Fireplace"",A107))=FALSE),ISERROR(FIND("&amp;"""shelf"",A107))=TRUE),IF(ISERROR(FIND(""veneer"",WardrobeCarcassMaterial))=TRUE,0,((2*(B107+C107))/1000)*VLOOKUP(""Edge banding (per M)"",SheetsData,5,0)),IF(ISERROR(FIND(""door"",A107))=TRUE,"""",IF(ISERROR(FIND(""veneer"",WardrobeDoorMaterial))=TRUE,"""&amp;""",((2*(B107+C107))/1000)*VLOOKUP(""Edge banding (per M)"",SheetsData,5,0))))))))))"),"")</f>
        <v/>
      </c>
      <c r="G107" s="153" t="str">
        <f>IF(A107="","",IF(AND(ISERROR(FIND("arcass",A107))=TRUE,ISERROR(FIND("Fireplace",A107))=TRUE),"",IF(VALUE(C107)&lt;606,4*VLOOKUP("Plinth foot (2 Parts 80mm)",FurnitureData,5,FALSE),IF(VALUE(C107)&lt;1211,6*VLOOKUP("Plinth foot (2 Parts 80mm)",FurnitureData,5,FALSE),8*VLOOKUP("Plinth foot (2 Parts 80mm)",FurnitureData,5,FALSE)))))</f>
        <v/>
      </c>
      <c r="H107" s="115" t="str">
        <f>IF(OR(A107="",ISERROR(FIND("door",A107))=TRUE),"",VLOOKUP("Hinges &amp; plates (Hettich thick door)",FurnitureData,5,0)*5)</f>
        <v/>
      </c>
      <c r="I107" s="115" t="str">
        <f>IF(ISERROR(FIND("shelf",A107))=FALSE,(VLOOKUP("Shelf pegs",FurnitureData,5,0)/100)*4,"")</f>
        <v/>
      </c>
      <c r="J107" s="152" t="str">
        <f>IF(OR(ISERROR(FIND("fridge/freezer",A107))=FALSE,ISERROR(FIND("sink",A107))=FALSE,ISERROR(FIND("larder",A107))=FALSE),VLOOKUP("Deep shelf "&amp;C107,Wardrobes_etcData,18,0),IF(OR(ISERROR(FIND("single oven",A107))=FALSE,ISERROR(FIND("Base carcass",A107))=FALSE),2*VLOOKUP("Deep shelf "&amp;C107,Wardrobes_etcData,18,0),IF(AND(ISERROR(FIND("wall carcass",A107))=FALSE,ISERROR(FIND("Boiler",A107))=TRUE),2*VLOOKUP("Shallow shelf "&amp;C107,Wardrobes_etcData,18,0),IF(ISERROR(FIND("double oven",A107))=FALSE,3*VLOOKUP("Deep shelf "&amp;C107,Wardrobes_etcData,18,0),IF(ISERROR(FIND("Tower carcass",A107))=FALSE,6*VLOOKUP("Deep shelf "&amp;C107,Wardrobes_etcData,18,0),"")))))</f>
        <v/>
      </c>
      <c r="K107" s="152" t="str">
        <f>IF(ISERROR(FIND("sink",A107))=FALSE,VLOOKUP("Sink liner - Aluminium "&amp;RIGHT(A107,LEN(A107)-22)&amp;"mm",ExceptionalData,5,0),IF(ISERROR(FIND("bins",A107))=FALSE,VLOOKUP("Drawer runners and clip set for bin unit (500) Dynapro",FurnitureData,5,0)+(2*VLOOKUP("Bin (42L Anthracite)",FurnitureData,5,0)),IF(ISERROR(FIND("larder",A107))=FALSE,VLOOKUP("Pull out larder unit 600mm",FurnitureData,5,0),IF(AND(ISERROR(FIND("drawer box",A107))=FALSE,ISERROR(FIND("internal",A107))=TRUE),VLOOKUP("Drawer runners and clip set (550) Dynapro",FurnitureData,5,0),IF(ISERROR(FIND("internal drawer box",A107))=FALSE,VLOOKUP("Drawer runners and clip set (450) Dynapro",FurnitureData,5,0),IF(ISERROR(FIND("table",A107))=FALSE,VLOOKUP("Hairpin Leg (12mm Black "&amp;MID(A107,FIND("(",A107)+1,LEN(A107)-(FIND("(",A107))-1)&amp;"mm)",ExceptionalData,4,FALSE),""))))))</f>
        <v/>
      </c>
      <c r="L107" s="152" t="str">
        <f t="shared" si="3"/>
        <v/>
      </c>
      <c r="M107" s="154" t="str">
        <f>IF(A107="","",IF(AND(ISERROR(FIND("drawer front",A107))=FALSE,WardrobeDoorStyle="Flat"),(((B107/1000)*(C107/1000))*2)+((((B107+C107)/1000)*2)*0.022),IF(AND(ISERROR(FIND("drawer front",A107))=FALSE,LEFT(WardrobeDoorStyle,5)="Panel"),(((B107/1000)*(C107/1000))*2)+((((B107+C107)/1000)*2)*0.022)+((((C107/1000)-0.16)*0.013)*2)+((((D107/1000)-0.16)*0.013)*2),IF(AND(ISERROR(FIND("drawer front",A107))=FALSE,WardrobeDoorStyle="In-frame flat"),((((B107-76)/1000)*((C107-38)/1000))*2)+(MID(WardrobeDoorMaterial,FIND("(",WardrobeDoorMaterial)+1,2)/1000)*((((B107-76)+(C107-38))/1000)*2)+(((B107/1000)*0.032)*2)+((((B107-76)/1000)*0.032)*2)+(((B107/1000)*0.019)*4)+(((C107/1000)*0.032)*2)+((((C107-38)/1000)*0.032)*2)+(((C107/1000)*0.038)*4),IF(AND(ISERROR(FIND("drawer front",A107))=FALSE,LEFT(WardrobeDoorStyle,14)="In-frame panel"),((((B107-76)/1000)*((C107-38)/1000))*2)+((MID(WardrobeDoorMaterial,FIND("(",WardrobeDoorMaterial)+1,2)/1000)*((((B107-76)+(C107-38))/1000)*2))+((((B107-236)/1000)+((C107-198)/1000)*2)*0.013)+(((B107/1000)*0.032)*2)+((((B107-76)/1000)*0.032)*2)+(((B107/1000)*0.019)*4)+(((C107/1000)*0.032)*2)+((((C107-38)/1000)*0.032)*2)+(((C107/1000)*0.038)*4),IF(ISERROR(FIND("drawer box",A107))=FALSE,((((B107/1000)*(D107/1000))+((B107/1000)*(C107/1000)))*4)+((((D107/1000)+(C107/1000))*0.016)*4)+(((C107/1000)*(D107/1000))*2),IF(OR(ISERROR(FIND("shelf",A107))=FALSE,ISERROR(FIND("Filler panel",A107))=FALSE),(((C107/1000)*(D107/1000))*2)+((((C107+D107)*2)/1000)*0.022),IF(ISERROR(FIND("Fireplace",A107))=FALSE,((B107/1000)*(C107/1000)),IF(ISERROR(FIND("Worktop",A107))=FALSE,(B107/1000)*(C107/1000),IF(ISERROR(FIND("table",A107))=FALSE,(B107/1000)*0.6,IF(ISERROR(FIND("arcass",A107))=FALSE,(((C107/1000)*(D107/1000))*2)+(((B107/1000)*(D107/1000))*2)+((B107/1000)*(C107/1000))+((((B107/1000)*0.025)+((C107/1000)*0.025))*2),IF(AND(ISERROR(FIND("door",A107))=FALSE,WardrobeDoorStyle="Flat"),(((B107/1000)*(C107/1000))*2)+(MID(WardrobeDoorMaterial,FIND("(",WardrobeDoorMaterial)+1,2)/1000)*(((B107+C107)/1000)*2),IF(AND(ISERROR(FIND("door",A107))=FALSE,LEFT(WardrobeDoorStyle,5)="Panel"),(((B107/1000)*(C107/1000))*2)+((MID(WardrobeDoorMaterial,FIND("(",WardrobeDoorMaterial)+1,2)/1000)*(((B107+C107)/1000)*2))+(((((B107-160)+(C107-160))*2)/1000)*(0.013)),IF(AND(ISERROR(FIND("door",A107))=FALSE,WardrobeDoorStyle="In-frame flat"),((((B107-76)/1000)*((C107-38)/1000))*2)+(MID(WardrobeDoorMaterial,FIND("(",WardrobeDoorMaterial)+1,2)/1000)*((((B107-76)+(C107-38))/1000)*2)+(((B107/1000)*0.032)*2)+((((B107-76)/1000)*0.032)*2)+(((B107/1000)*0.019)*4)+(((C107/1000)*0.032)*2)+((((C107-38)/1000)*0.032)*2)+(((C107/1000)*0.038)*4),IF(AND(ISERROR(FIND("door",A107))=FALSE,LEFT(WardrobeDoorStyle,14)="In-frame panel"),((((B107-76)/1000)*((C107-38)/1000))*2)+((MID(WardrobeDoorMaterial,FIND("(",WardrobeDoorMaterial)+1,2)/1000)*((((B107-76)+(C107-38))/1000)*2))+((((B107-236)/1000)+((C107-198)/1000)*2)*0.013)+(((B107/1000)*0.032)*2)+((((B107-76)/1000)*0.032)*2)+(((B107/1000)*0.019)*4)+(((C107/1000)*0.032)*2)+((((C107-38)/1000)*0.032)*2)+(((C107/1000)*0.038)*4),IF(ISERROR(FIND("Plinth",A107))=FALSE,((B107/1000)*(C107/1000))+(((C107/1000)*0.018)*2)+(((B107/1000)*0.018)*2),IF(ISERROR(FIND("Cornice",A107))=FALSE,(((C107/1000)*0.1)*2)+(((C107/1000)*0.044)*2)+(((B107/1000)*0.08)*2),IF(ISERROR(FIND("Office pod",A107))=FALSE,((2400/1000)*(1200/1000))*6,IF(ISERROR(FIND("panel",A107))=FALSE,((B107/1000)*(C107/1000))+(0.022*((B107/1000)+((C107/1000)*2)))+((B107/1000)*0.05),IF(ISERROR(FIND("Fillers",A107))=FALSE,((C107/1000)*0.06)+((C107/1000)*0.069)+((0.06*0.018)*2)+((0.06*0.009)*2)+((C107/1000)*0.009)+((C107/1000)*0.018),IF(ISERROR(FIND("Pelmet",A107))=FALSE,((C107/1000)*0.05)+((C107/1000)*0.068)+((0.05*0.018)*4)+(((C107/1000)*0.018))*2)))))))))))))))))))))</f>
        <v/>
      </c>
      <c r="N107" s="152" t="str">
        <f>IF(M107="","",IF(AND(ISERROR(FIND("carcass",A107))=TRUE,ISERROR(FIND("unit",A107))=TRUE,ISERROR(FIND("insert",A107))=TRUE,ISERROR(FIND("rack",A107))=TRUE,ISERROR(FIND("box",A107))=TRUE,ISERROR(FIND("shelf",A107))=TRUE),VLOOKUP(WardrobeDoorFinish,Finishing!$A$2:$K$10,9,0)*M107,IF(ISERROR(FIND("table",A107))=FALSE,VLOOKUP("Sayerlack AF0072 Interior Clear Self-Sealer",FinishingData,9,FALSE)*M107,VLOOKUP(WardrobeCarcassFinish,Finishing!$A$2:$K$40,9,0)*M107)))</f>
        <v/>
      </c>
      <c r="O107" s="159"/>
      <c r="P107" s="159"/>
      <c r="Q107" s="152" t="str">
        <f>IF(OR(O107="",P107=""),"",((O107*X107)*(VLOOKUP("Workshop",Labour!$A$3:$E$20,4,0)/8))+((P107*AE107)*(VLOOKUP("Finishing",Labour!$A$3:$E$20,4,0)/8)))</f>
        <v/>
      </c>
      <c r="R107" s="152" t="str">
        <f t="shared" si="4"/>
        <v/>
      </c>
      <c r="S107" s="156" t="str">
        <f>IF(OR(O107="",P107=""),"",IF(OR(ISERROR(FIND("carcass",$A107))=FALSE,ISERROR(FIND("unit",$A107))=FALSE),VLOOKUP(WardrobeCarcassMaterial,FixedListsCarcassMaterial,2,0),0))</f>
        <v/>
      </c>
      <c r="T107" s="156" t="str">
        <f>IF(OR(O107="",P107=""),"",IF(ISERROR(FIND("door",$A107))=FALSE,VLOOKUP(WardrobeDoorStyle,FixedListsDoorStyle,2,0),0))</f>
        <v/>
      </c>
      <c r="U107" s="156" t="str">
        <f>IF(OR(O107="",P107=""),"",IF(ISERROR(FIND("door",$A107))=FALSE,VLOOKUP(WardrobeDoorMaterial,FixedListsDoorMaterial,2,0),0))</f>
        <v/>
      </c>
      <c r="V107" s="156" t="str">
        <f>IF(OR(O107="",P107=""),"",IF(ISERROR(FIND("drawer",$A107))=FALSE,VLOOKUP(WardrobeDrawerType,FixedListsDrawerType,2,0),0))</f>
        <v/>
      </c>
      <c r="W107" s="156" t="str">
        <f>IF(OR(O107="",P107=""),"",IF(S107&gt;0,VLOOKUP(WardrobeHandleType,FixedListsHandleType,2,FALSE),0))</f>
        <v/>
      </c>
      <c r="X107" s="156" t="str">
        <f t="shared" si="5"/>
        <v/>
      </c>
      <c r="Y107" s="156" t="str">
        <f>IF(OR(O107="",P107=""),"",IF(OR(ISERROR(FIND("carcass",$A107))=FALSE,ISERROR(FIND("unit",$A107))=FALSE),VLOOKUP(WardrobeCarcassMaterial,FixedListsCarcassMaterial,3,0),0))</f>
        <v/>
      </c>
      <c r="Z107" s="156" t="str">
        <f>IF(OR(O107="",P107=""),"",IF(ISERROR(FIND("door",$A107))=FALSE,VLOOKUP(WardrobeDoorStyle,FixedListsDoorStyle,3,0),0))</f>
        <v/>
      </c>
      <c r="AA107" s="156" t="str">
        <f>IF(OR(O107="",P107=""),"",IF(ISERROR(FIND("door",$A107))=FALSE,VLOOKUP(WardrobeDoorMaterial,FixedListsDoorMaterial,3,0),0))</f>
        <v/>
      </c>
      <c r="AB107" s="156" t="str">
        <f>IF(OR(O107="",P107=""),"",IF(ISERROR(FIND("drawer",$A107))=FALSE,VLOOKUP(WardrobeDrawerType,FixedListsDrawerType,3,0),0))</f>
        <v/>
      </c>
      <c r="AC107" s="156" t="str">
        <f>IF(OR(O107="",P107=""),"",IF(S107&gt;0,VLOOKUP(WardrobeHandleType,FixedListsHandleType,3,FALSE),0))</f>
        <v/>
      </c>
      <c r="AD107" s="156" t="str">
        <f>IF(OR(O107="",P107=""),"",IF(OR(ISERROR(FIND("carcass",$A107))=FALSE,ISERROR(FIND("unit",$A107))=FALSE),VLOOKUP(WardrobeCarcassFinish,FixedListsFinishes,3,0),IF(OR(ISERROR(FIND("door",$A107))=FALSE,ISERROR(FIND("Plinth",$A107))=FALSE,ISERROR(FIND("Cornice",$A107))=FALSE,ISERROR(FIND("Fillers",$A107))=FALSE,ISERROR(FIND("Pelmet",$A107))=FALSE,ISERROR(FIND("panel",$A107))=FALSE,ISERROR(FIND("post",$A107))=FALSE),VLOOKUP(WardrobeDoorFinish,FixedListsFinishes,3,0),IF(OR(ISERROR(FIND("drawer",$A107))=FALSE,ISERROR(FIND("insert",$A107))=FALSE,ISERROR(FIND("rck",$A107))=FALSE),VLOOKUP(WardrobeCarcassFinish,FixedListsFinishes,3,0),0))))</f>
        <v/>
      </c>
      <c r="AE107" s="156" t="str">
        <f t="shared" si="6"/>
        <v/>
      </c>
      <c r="AF107" s="157" t="str">
        <f>IF(AND(WardrobeHandleType="Channel",OR(ISERROR(FIND("arcass",$A107))=FALSE,ISERROR(FIND("unit",$A107))=FALSE)),IF(ISERROR(FIND("Tower",$A107))=TRUE,IF(WardrobeHandleFinish="Match carcass",IF(ISERROR(FIND("Walnut",WardrobeCarcassMaterial))=FALSE,(0.035*0.075*($C107/1000))*VLOOKUP("Walnut (solid m3)",SolidData,4,FALSE),IF(ISERROR(FIND("Oak",WardrobeCarcassMaterial))=FALSE,(0.035*0.075*($C107/1000))*VLOOKUP("Oak (solid m3)",SolidData,4,FALSE),IF(ISERROR(FIND("ply",WardrobeCarcassMaterial))=FALSE,(0.1*($C107/1000))*VLOOKUP("Birch ply (24mm)",SheetsData,7,FALSE),IF(ISERROR(FIND("H/F",WardrobeCarcassMaterial))=FALSE,(0.1*($C107/1000))*VLOOKUP("H/F (22mm)",SheetsData,7,FALSE),"Carcass - not tower - new material")))),IF(WardrobeHandleFinish="Match door",IF(ISERROR(FIND("Walnut",WardrobeDoorMaterial))=FALSE,(0.035*0.075*($C107/1000))*VLOOKUP("Walnut (solid m3)",SolidData,4,FALSE),IF(ISERROR(FIND("Oak",WardrobeDoorMaterial))=FALSE,(0.035*0.075*($C107/1000))*VLOOKUP("Oak (solid m3)",SolidData,4,FALSE),IF(ISERROR(FIND("ply",WardrobeDoorMaterial))=FALSE,(0.1*($C107/1000))*VLOOKUP("Birch ply (24mm)",SheetsData,7,FALSE),IF(ISERROR(FIND("H/F",WardrobeCarcassMaterial))=FALSE,(0.1*($C107/1000))*VLOOKUP("H/F (22mm)",SheetsData,7,FALSE),"Door - not tower - new material")))),"Channel - not tower - handle set to other")),IF(ISERROR(FIND("Tower",$A107))=FALSE,IF(WardrobeHandleFinish="Match carcass",IF(ISERROR(FIND("Walnut",WardrobeCarcassMaterial))=FALSE,(0.035*0.075*($B107/1000))*VLOOKUP("Walnut (solid m3)",SolidData,4,FALSE),IF(ISERROR(FIND("Oak",WardrobeCarcassMaterial))=FALSE,(0.035*0.075*($B107/1000))*VLOOKUP("Oak (solid m3)",SolidData,4,FALSE),IF(ISERROR(FIND("ply",WardrobeCarcassMaterial))=FALSE,(0.1*($B107/1000))*VLOOKUP("Birch ply (24mm)",SheetsData,7,FALSE),IF(ISERROR(FIND("H/F",WardrobeCarcassMaterial))=FALSE,(0.1*($C107/1000))*VLOOKUP("H/F (22mm)",SheetsData,7,FALSE),"Carcass - tower - new material")))),IF(WardrobeHandleFinish="Match door",IF(ISERROR(FIND("Walnut",WardrobeDoorMaterial))=FALSE,(0.035*0.075*($B107/1000))*VLOOKUP("Walnut (solid m3)",SolidData,4,FALSE),IF(ISERROR(FIND("Oak",WardrobeDoorMaterial))=FALSE,(0.035*0.075*($B107/1000))*VLOOKUP("Oak (solid m3)",SolidData,4,FALSE),IF(ISERROR(FIND("ply",WardrobeDoorMaterial))=FALSE,(0.1*($B107/1000))*VLOOKUP("Birch ply (24mm)",SheetData,7,FALSE),IF(ISERROR(FIND("H/F",WardrobeCarcassMaterial))=FALSE,(0.1*($C107/1000))*VLOOKUP("H/F (22mm)",SheetsData,7,FALSE),"Door - tower - new material")))),"Channel - tower - handle set to other")))),"")</f>
        <v/>
      </c>
    </row>
    <row r="108">
      <c r="A108" s="150"/>
      <c r="B108" s="160" t="str">
        <f t="shared" si="1"/>
        <v/>
      </c>
      <c r="C108" s="160" t="str">
        <f>IFERROR(__xludf.DUMMYFUNCTION("IF(A108="""","""",IF(ISERROR(FIND(""arcass"",A108))=FALSE,MID(A108,FIND(""*"",A108)+1,FIND(""*"",A108,FIND(""*"",A108)+1)-FIND(""*"",A108)-1),IF(ISERROR(FIND(""End panel"",A108))=FALSE,RIGHT(A108,3),IF(OR(ISERROR(FIND(""drawer"",A108))=FALSE,ISERROR(FIND("&amp;"""door"",A108))=FALSE,ISERROR(FIND(""shelf"",A108))=FALSE,ISERROR(FIND(""panel"",A108))=FALSE,ISERROR(FIND(""Plinth"",A108))=FALSE,ISERROR(FIND(""Cornice"",A108))=FALSE,ISERROR(FIND(""Fillers"",A108))=FALSE,ISERROR(FIND(""Pelmet"",A108))=FALSE,ISERROR(FIN"&amp;"D(""Fireplace up to 1600"",A108))=FALSE),RIGHT(A108,LEN(A108)-LEN(regexextract(A108,"".* ""))),IF(ISERROR(FIND(""table"",A108))=FALSE,""560"",IF(ISERROR(FIND(""Office pod"",A108))=FALSE,""1600"",IF(ISERROR(FIND(""Fireplace over 1600"",A108))=FALSE,""2400"&amp;""",IF(ISERROR(FIND(""Worktop"",A108))=FALSE,""650"",""Whoops""))))))))"),"")</f>
        <v/>
      </c>
      <c r="D108" s="161" t="str">
        <f t="shared" si="2"/>
        <v/>
      </c>
      <c r="E108" s="152" t="str">
        <f>IF(OR(A108="",AND(ISERROR(FIND("drawer",A108))=FALSE,WardrobeDrawerType="")),"",IF(ISERROR(FIND("door",A108))=FALSE,IF(WardrobeDoorStyle="Flat",((B108/1000)*(C108/1000))*VLOOKUP(WardrobeDoorMaterial,SheetsData,8,0),IF(LEFT(WardrobeDoorStyle,5)="Panel",(((((B108/1000)*2)*0.08)+((((C108/1000)-0.16)*2)*0.08))*VLOOKUP("H/F (22mm)",SheetsData,8,0))+(((B108/1000)-0.14)*((C108/1000)-0.14)*VLOOKUP("H/F (9mm)",SheetsData,8,0)),IF(WardrobeDoorStyle="In-frame flat",((((((B108/1000)*0.019)*0.038)+((((C108-38)/1000)*0.038)*0.038))*2)*VLOOKUP("Tulip (solid m3)",SolidData,4,0))+(((B108-76)/1000)*((C108-38)/1000))*VLOOKUP("H/F (22mm)",SheetsData,8,0),IF(LEFT(WardrobeDoorStyle,14)="In-frame panel",(((((((B108/1000)*0.019)*0.038)+((((C108-38)/1000)*0.038)*0.038))*2)*VLOOKUP("Tulip (solid m3)",SolidData,4,0))+(((((((B108-76)/1000)*2)*0.08)+(((((C108-198)/1000)*2)*0.08)))*VLOOKUP("H/F (22mm)",SheetsData,8,0))+(((B108-216)/1000)*((C108-178)/1000)*VLOOKUP("H/F (9mm)",SheetsData,8,0)))))))),IF(AND(ISERROR(FIND("arcass",A108))=FALSE,ISERROR(FIND("ost corner",A108))=TRUE),IF(AND(VALUE(B108)&lt;1211,VALUE(C108)&lt;1211,VALUE(D108)&lt;606),1*VLOOKUP(WardrobeCarcassMaterial,SheetsData,5,FALSE),IF(AND(VALUE(B108)&lt;2421,VALUE(C108)&lt;2421,VALUE(D108)&lt;606),2*VLOOKUP(WardrobeCarcassMaterial,SheetsData,5,FALSE),IF(AND(VALUE(B108)&lt;2421,VALUE(C108)&lt;1211,VALUE(D108)&lt;1211),3*VLOOKUP(WardrobeCarcassMaterial,SheetsData,5,FALSE),IF(AND(VALUE(B108)&lt;2421,VALUE(C108)&lt;2421,VALUE(D108)&lt;1211),4*VLOOKUP(WardrobeCarcassMaterial,SheetsData,5,FALSE))))),IF(AND(ISERROR(FIND("arcass",A108))=FALSE,ISERROR(FIND("ost corner",A108))=FALSE),IF(AND(VALUE(B108)&lt;1211,VALUE(C108)&lt;1211,VALUE(D108)&lt;606),(1*VLOOKUP(WardrobeCarcassMaterial,SheetsData,5,FALSE))+(VLOOKUP("H/F (22mm)",SheetsData,7,FALSE)*1.44),IF(AND(VALUE(B108)&lt;2421,VALUE(C108)&lt;2421,VALUE(D108)&lt;606),(2*VLOOKUP(WardrobeCarcassMaterial,SheetsData,5,FALSE))+(VLOOKUP("H/F (22mm)",SheetsData,7,FALSE)*1.44),IF(AND(VALUE(B108)&lt;2421,VALUE(C108)&lt;1211,VALUE(D108)&lt;1211),(3*VLOOKUP(WardrobeCarcassMaterial,SheetsData,5,FALSE))+(VLOOKUP("H/F (22mm)",SheetsData,7,FALSE)*1.44),IF(AND(VALUE(B108)&lt;2421,VALUE(C108)&lt;2421,VALUE(D108)&lt;1211),(4*VLOOKUP(WardrobeCarcassMaterial,SheetsData,5,FALSE))+(VLOOKUP("H/F (22mm)",SheetsData,7,FALSE)*1.44))))),IF(ISERROR(FIND("drawer front",A108))=FALSE,((B108/1000)*(C108/1000))*VLOOKUP(WardrobeDoorMaterial,SheetsData,8,0),IF(AND(WardrobeDrawerType="Match carcass",ISERROR(FIND("drawer box",A108))=FALSE),(((((B108/1000)*(C108/1000))+((B108/1000)*(D108/1000)))*2)*VLOOKUP(WardrobeCarcassMaterial,SheetsData,8,0))+(((C108/1000)*(D108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box",A108))=FALSE),(((((B108/1000)*(C108/1000))+((B108/1000)*(D108/1000)))*2)*(16/1000)*VLOOKUP(LEFT(WardrobeCarcassMaterial,FIND(" ",WardrobeCarcassMaterial))&amp;"(solid m3)",SolidData,4,0))+(((C108/1000)*(D108/1000))*VLOOKUP(LEFT(WardrobeCarcassMaterial,FIND("(",WardrobeCarcassMaterial)-1)&amp;IF(OR(ISERROR(FIND("ply",WardrobeCarcassMaterial))=FALSE,ISERROR(FIND("H/F",WardrobeCarcassMaterial))=FALSE),"(9mm)","(10mm)"),SheetsData,8,0)),IF(ISERROR(FIND("shelf",A108))=FALSE,((C108/1000)*(D108/1000))*VLOOKUP(WardrobeCarcassMaterial,SheetsData,7,FALSE),IF(ISERROR(FIND("Office pod",A108))=FALSE,3*VLOOKUP(WardrobeCarcassMaterial,SheetsData,5,0),IF(ISERROR(FIND(" panel",A108))=FALSE,((B108/1000)*(C108/1000))*VLOOKUP(WardrobeDoorMaterial,SheetsData,8,0),IF(ISERROR(FIND("Fillers",A108))=FALSE,(((0.06*(C108/1000))*2)*VLOOKUP("H/F (18mm)",SheetsData,8,0))+(((0.06*(C108/1000))*2)*VLOOKUP("H/F (9mm)",SheetsData,8,0)),IF(ISERROR(FIND("Cornice (stacked)",A108))=FALSE,((0.08*(C108/1000))*2)*VLOOKUP("H/F (22mm)",SheetsData,8,0),IF(OR(ISERROR(FIND("Plinth",A108))=FALSE,ISERROR(FIND("Cornice (flat)",A108))=FALSE),((B108/1000)*(C108/1000))*VLOOKUP("H/F (18mm)",SheetsData,8,0),IF(ISERROR(FIND("Pelmet",A108))=FALSE,((((B108/1000)*(C108/1000))*2)*VLOOKUP("H/F (18mm)",SheetsData,8,0)),IF(ISERROR(FIND("Fireplace",A108))=FALSE,IF(ISERROR(FIND("over 1600",A108))=FALSE,2*VLOOKUP(WardrobeCarcassMaterial,SheetsData,5,FALSE),VLOOKUP(WardrobeCarcassMaterial,SheetsData,5,FALSE)),IF(ISERROR(FIND("table",A108))=FALSE,((B108/1000)*0.6)*VLOOKUP("Birch ply (24mm)",SheetsData,7,FALSE),IF(ISERROR(FIND("Worktop",A108))=FALSE,((B108/1000)*(C108/1000))*VLOOKUP(WardrobeDoorMaterial,SheetsData,7,FALSE),"Check formula")))))))))))))))))</f>
        <v/>
      </c>
      <c r="F108" s="152" t="str">
        <f>IFERROR(__xludf.DUMMYFUNCTION("IF(OR(A108="""",AND(ISERROR(FIND(""drawer box"",A108))=FALSE,WardrobeDrawerType=""Solid dovetail"")),"""",IF(ISERROR(FIND(""bins"",A108))=FALSE,VLOOKUP(""Base carcass 600"",Wardrobes_etcData,6,0),IF(OR(ISERROR(FIND(""larder"",A108))=FALSE,ISERROR(FIND(""u"&amp;"nit"",A108))=FALSE),VLOOKUP(LEFT(A108,FIND("" "",A108))&amp;""carcass ""&amp;RIGHT(A108,LEN(A108)-len(regexextract(A108,"".* ""))),Wardrobes_etcData,6,0),IF(ISERROR(FIND(""drawer front"",A108))=FALSE,IF(ISERROR(FIND(""veneer"",WardrobeCarcassMaterial))=TRUE,0,((("&amp;"B108+C108)/1000)*2)*VLOOKUP(""Edge banding (per M)"",SheetsData,5,0)),IF(ISERROR(FIND(""drawer box"",A108))=FALSE,IF(ISERROR(FIND(""veneer"",WardrobeCarcassMaterial))=TRUE,0,(((C108+D108)/1000)*2)*VLOOKUP(""Edge banding (per M)"",SheetsData,5,0)),IF(ISERR"&amp;"OR(FIND(""shelf"",A108))=FALSE,IF(ISERROR(FIND(""veneer"",WardrobeCarcassMaterial))=TRUE,0,(C108/1000)*VLOOKUP(""Edge banding (per M)"",SheetsData,5,0)),IF(AND(OR(ISERROR(FIND(""arcass"",A108))=FALSE,ISERROR(FIND(""Fireplace"",A108))=FALSE),ISERROR(FIND("&amp;"""shelf"",A108))=TRUE),IF(ISERROR(FIND(""veneer"",WardrobeCarcassMaterial))=TRUE,0,((2*(B108+C108))/1000)*VLOOKUP(""Edge banding (per M)"",SheetsData,5,0)),IF(ISERROR(FIND(""door"",A108))=TRUE,"""",IF(ISERROR(FIND(""veneer"",WardrobeDoorMaterial))=TRUE,"""&amp;""",((2*(B108+C108))/1000)*VLOOKUP(""Edge banding (per M)"",SheetsData,5,0))))))))))"),"")</f>
        <v/>
      </c>
      <c r="G108" s="153" t="str">
        <f>IF(A108="","",IF(AND(ISERROR(FIND("arcass",A108))=TRUE,ISERROR(FIND("Fireplace",A108))=TRUE),"",IF(VALUE(C108)&lt;606,4*VLOOKUP("Plinth foot (2 Parts 80mm)",FurnitureData,5,FALSE),IF(VALUE(C108)&lt;1211,6*VLOOKUP("Plinth foot (2 Parts 80mm)",FurnitureData,5,FALSE),8*VLOOKUP("Plinth foot (2 Parts 80mm)",FurnitureData,5,FALSE)))))</f>
        <v/>
      </c>
      <c r="H108" s="115" t="str">
        <f>IF(OR(A108="",ISERROR(FIND("door",A108))=TRUE),"",VLOOKUP("Hinges &amp; plates (Hettich thick door)",FurnitureData,5,0)*5)</f>
        <v/>
      </c>
      <c r="I108" s="115" t="str">
        <f>IF(ISERROR(FIND("shelf",A108))=FALSE,(VLOOKUP("Shelf pegs",FurnitureData,5,0)/100)*4,"")</f>
        <v/>
      </c>
      <c r="J108" s="152" t="str">
        <f>IF(OR(ISERROR(FIND("fridge/freezer",A108))=FALSE,ISERROR(FIND("sink",A108))=FALSE,ISERROR(FIND("larder",A108))=FALSE),VLOOKUP("Deep shelf "&amp;C108,Wardrobes_etcData,18,0),IF(OR(ISERROR(FIND("single oven",A108))=FALSE,ISERROR(FIND("Base carcass",A108))=FALSE),2*VLOOKUP("Deep shelf "&amp;C108,Wardrobes_etcData,18,0),IF(AND(ISERROR(FIND("wall carcass",A108))=FALSE,ISERROR(FIND("Boiler",A108))=TRUE),2*VLOOKUP("Shallow shelf "&amp;C108,Wardrobes_etcData,18,0),IF(ISERROR(FIND("double oven",A108))=FALSE,3*VLOOKUP("Deep shelf "&amp;C108,Wardrobes_etcData,18,0),IF(ISERROR(FIND("Tower carcass",A108))=FALSE,6*VLOOKUP("Deep shelf "&amp;C108,Wardrobes_etcData,18,0),"")))))</f>
        <v/>
      </c>
      <c r="K108" s="152" t="str">
        <f>IF(ISERROR(FIND("sink",A108))=FALSE,VLOOKUP("Sink liner - Aluminium "&amp;RIGHT(A108,LEN(A108)-22)&amp;"mm",ExceptionalData,5,0),IF(ISERROR(FIND("bins",A108))=FALSE,VLOOKUP("Drawer runners and clip set for bin unit (500) Dynapro",FurnitureData,5,0)+(2*VLOOKUP("Bin (42L Anthracite)",FurnitureData,5,0)),IF(ISERROR(FIND("larder",A108))=FALSE,VLOOKUP("Pull out larder unit 600mm",FurnitureData,5,0),IF(AND(ISERROR(FIND("drawer box",A108))=FALSE,ISERROR(FIND("internal",A108))=TRUE),VLOOKUP("Drawer runners and clip set (550) Dynapro",FurnitureData,5,0),IF(ISERROR(FIND("internal drawer box",A108))=FALSE,VLOOKUP("Drawer runners and clip set (450) Dynapro",FurnitureData,5,0),IF(ISERROR(FIND("table",A108))=FALSE,VLOOKUP("Hairpin Leg (12mm Black "&amp;MID(A108,FIND("(",A108)+1,LEN(A108)-(FIND("(",A108))-1)&amp;"mm)",ExceptionalData,4,FALSE),""))))))</f>
        <v/>
      </c>
      <c r="L108" s="152" t="str">
        <f t="shared" si="3"/>
        <v/>
      </c>
      <c r="M108" s="154" t="str">
        <f>IF(A108="","",IF(AND(ISERROR(FIND("drawer front",A108))=FALSE,WardrobeDoorStyle="Flat"),(((B108/1000)*(C108/1000))*2)+((((B108+C108)/1000)*2)*0.022),IF(AND(ISERROR(FIND("drawer front",A108))=FALSE,LEFT(WardrobeDoorStyle,5)="Panel"),(((B108/1000)*(C108/1000))*2)+((((B108+C108)/1000)*2)*0.022)+((((C108/1000)-0.16)*0.013)*2)+((((D108/1000)-0.16)*0.013)*2),IF(AND(ISERROR(FIND("drawer front",A108))=FALSE,WardrobeDoorStyle="In-frame flat"),((((B108-76)/1000)*((C108-38)/1000))*2)+(MID(WardrobeDoorMaterial,FIND("(",WardrobeDoorMaterial)+1,2)/1000)*((((B108-76)+(C108-38))/1000)*2)+(((B108/1000)*0.032)*2)+((((B108-76)/1000)*0.032)*2)+(((B108/1000)*0.019)*4)+(((C108/1000)*0.032)*2)+((((C108-38)/1000)*0.032)*2)+(((C108/1000)*0.038)*4),IF(AND(ISERROR(FIND("drawer front",A108))=FALSE,LEFT(WardrobeDoorStyle,14)="In-frame panel"),((((B108-76)/1000)*((C108-38)/1000))*2)+((MID(WardrobeDoorMaterial,FIND("(",WardrobeDoorMaterial)+1,2)/1000)*((((B108-76)+(C108-38))/1000)*2))+((((B108-236)/1000)+((C108-198)/1000)*2)*0.013)+(((B108/1000)*0.032)*2)+((((B108-76)/1000)*0.032)*2)+(((B108/1000)*0.019)*4)+(((C108/1000)*0.032)*2)+((((C108-38)/1000)*0.032)*2)+(((C108/1000)*0.038)*4),IF(ISERROR(FIND("drawer box",A108))=FALSE,((((B108/1000)*(D108/1000))+((B108/1000)*(C108/1000)))*4)+((((D108/1000)+(C108/1000))*0.016)*4)+(((C108/1000)*(D108/1000))*2),IF(OR(ISERROR(FIND("shelf",A108))=FALSE,ISERROR(FIND("Filler panel",A108))=FALSE),(((C108/1000)*(D108/1000))*2)+((((C108+D108)*2)/1000)*0.022),IF(ISERROR(FIND("Fireplace",A108))=FALSE,((B108/1000)*(C108/1000)),IF(ISERROR(FIND("Worktop",A108))=FALSE,(B108/1000)*(C108/1000),IF(ISERROR(FIND("table",A108))=FALSE,(B108/1000)*0.6,IF(ISERROR(FIND("arcass",A108))=FALSE,(((C108/1000)*(D108/1000))*2)+(((B108/1000)*(D108/1000))*2)+((B108/1000)*(C108/1000))+((((B108/1000)*0.025)+((C108/1000)*0.025))*2),IF(AND(ISERROR(FIND("door",A108))=FALSE,WardrobeDoorStyle="Flat"),(((B108/1000)*(C108/1000))*2)+(MID(WardrobeDoorMaterial,FIND("(",WardrobeDoorMaterial)+1,2)/1000)*(((B108+C108)/1000)*2),IF(AND(ISERROR(FIND("door",A108))=FALSE,LEFT(WardrobeDoorStyle,5)="Panel"),(((B108/1000)*(C108/1000))*2)+((MID(WardrobeDoorMaterial,FIND("(",WardrobeDoorMaterial)+1,2)/1000)*(((B108+C108)/1000)*2))+(((((B108-160)+(C108-160))*2)/1000)*(0.013)),IF(AND(ISERROR(FIND("door",A108))=FALSE,WardrobeDoorStyle="In-frame flat"),((((B108-76)/1000)*((C108-38)/1000))*2)+(MID(WardrobeDoorMaterial,FIND("(",WardrobeDoorMaterial)+1,2)/1000)*((((B108-76)+(C108-38))/1000)*2)+(((B108/1000)*0.032)*2)+((((B108-76)/1000)*0.032)*2)+(((B108/1000)*0.019)*4)+(((C108/1000)*0.032)*2)+((((C108-38)/1000)*0.032)*2)+(((C108/1000)*0.038)*4),IF(AND(ISERROR(FIND("door",A108))=FALSE,LEFT(WardrobeDoorStyle,14)="In-frame panel"),((((B108-76)/1000)*((C108-38)/1000))*2)+((MID(WardrobeDoorMaterial,FIND("(",WardrobeDoorMaterial)+1,2)/1000)*((((B108-76)+(C108-38))/1000)*2))+((((B108-236)/1000)+((C108-198)/1000)*2)*0.013)+(((B108/1000)*0.032)*2)+((((B108-76)/1000)*0.032)*2)+(((B108/1000)*0.019)*4)+(((C108/1000)*0.032)*2)+((((C108-38)/1000)*0.032)*2)+(((C108/1000)*0.038)*4),IF(ISERROR(FIND("Plinth",A108))=FALSE,((B108/1000)*(C108/1000))+(((C108/1000)*0.018)*2)+(((B108/1000)*0.018)*2),IF(ISERROR(FIND("Cornice",A108))=FALSE,(((C108/1000)*0.1)*2)+(((C108/1000)*0.044)*2)+(((B108/1000)*0.08)*2),IF(ISERROR(FIND("Office pod",A108))=FALSE,((2400/1000)*(1200/1000))*6,IF(ISERROR(FIND("panel",A108))=FALSE,((B108/1000)*(C108/1000))+(0.022*((B108/1000)+((C108/1000)*2)))+((B108/1000)*0.05),IF(ISERROR(FIND("Fillers",A108))=FALSE,((C108/1000)*0.06)+((C108/1000)*0.069)+((0.06*0.018)*2)+((0.06*0.009)*2)+((C108/1000)*0.009)+((C108/1000)*0.018),IF(ISERROR(FIND("Pelmet",A108))=FALSE,((C108/1000)*0.05)+((C108/1000)*0.068)+((0.05*0.018)*4)+(((C108/1000)*0.018))*2)))))))))))))))))))))</f>
        <v/>
      </c>
      <c r="N108" s="152" t="str">
        <f>IF(M108="","",IF(AND(ISERROR(FIND("carcass",A108))=TRUE,ISERROR(FIND("unit",A108))=TRUE,ISERROR(FIND("insert",A108))=TRUE,ISERROR(FIND("rack",A108))=TRUE,ISERROR(FIND("box",A108))=TRUE,ISERROR(FIND("shelf",A108))=TRUE),VLOOKUP(WardrobeDoorFinish,Finishing!$A$2:$K$10,9,0)*M108,IF(ISERROR(FIND("table",A108))=FALSE,VLOOKUP("Sayerlack AF0072 Interior Clear Self-Sealer",FinishingData,9,FALSE)*M108,VLOOKUP(WardrobeCarcassFinish,Finishing!$A$2:$K$40,9,0)*M108)))</f>
        <v/>
      </c>
      <c r="O108" s="159"/>
      <c r="P108" s="159"/>
      <c r="Q108" s="152" t="str">
        <f>IF(OR(O108="",P108=""),"",((O108*X108)*(VLOOKUP("Workshop",Labour!$A$3:$E$20,4,0)/8))+((P108*AE108)*(VLOOKUP("Finishing",Labour!$A$3:$E$20,4,0)/8)))</f>
        <v/>
      </c>
      <c r="R108" s="152" t="str">
        <f t="shared" si="4"/>
        <v/>
      </c>
      <c r="S108" s="156" t="str">
        <f>IF(OR(O108="",P108=""),"",IF(OR(ISERROR(FIND("carcass",$A108))=FALSE,ISERROR(FIND("unit",$A108))=FALSE),VLOOKUP(WardrobeCarcassMaterial,FixedListsCarcassMaterial,2,0),0))</f>
        <v/>
      </c>
      <c r="T108" s="156" t="str">
        <f>IF(OR(O108="",P108=""),"",IF(ISERROR(FIND("door",$A108))=FALSE,VLOOKUP(WardrobeDoorStyle,FixedListsDoorStyle,2,0),0))</f>
        <v/>
      </c>
      <c r="U108" s="156" t="str">
        <f>IF(OR(O108="",P108=""),"",IF(ISERROR(FIND("door",$A108))=FALSE,VLOOKUP(WardrobeDoorMaterial,FixedListsDoorMaterial,2,0),0))</f>
        <v/>
      </c>
      <c r="V108" s="156" t="str">
        <f>IF(OR(O108="",P108=""),"",IF(ISERROR(FIND("drawer",$A108))=FALSE,VLOOKUP(WardrobeDrawerType,FixedListsDrawerType,2,0),0))</f>
        <v/>
      </c>
      <c r="W108" s="156" t="str">
        <f>IF(OR(O108="",P108=""),"",IF(S108&gt;0,VLOOKUP(WardrobeHandleType,FixedListsHandleType,2,FALSE),0))</f>
        <v/>
      </c>
      <c r="X108" s="156" t="str">
        <f t="shared" si="5"/>
        <v/>
      </c>
      <c r="Y108" s="156" t="str">
        <f>IF(OR(O108="",P108=""),"",IF(OR(ISERROR(FIND("carcass",$A108))=FALSE,ISERROR(FIND("unit",$A108))=FALSE),VLOOKUP(WardrobeCarcassMaterial,FixedListsCarcassMaterial,3,0),0))</f>
        <v/>
      </c>
      <c r="Z108" s="156" t="str">
        <f>IF(OR(O108="",P108=""),"",IF(ISERROR(FIND("door",$A108))=FALSE,VLOOKUP(WardrobeDoorStyle,FixedListsDoorStyle,3,0),0))</f>
        <v/>
      </c>
      <c r="AA108" s="156" t="str">
        <f>IF(OR(O108="",P108=""),"",IF(ISERROR(FIND("door",$A108))=FALSE,VLOOKUP(WardrobeDoorMaterial,FixedListsDoorMaterial,3,0),0))</f>
        <v/>
      </c>
      <c r="AB108" s="156" t="str">
        <f>IF(OR(O108="",P108=""),"",IF(ISERROR(FIND("drawer",$A108))=FALSE,VLOOKUP(WardrobeDrawerType,FixedListsDrawerType,3,0),0))</f>
        <v/>
      </c>
      <c r="AC108" s="156" t="str">
        <f>IF(OR(O108="",P108=""),"",IF(S108&gt;0,VLOOKUP(WardrobeHandleType,FixedListsHandleType,3,FALSE),0))</f>
        <v/>
      </c>
      <c r="AD108" s="156" t="str">
        <f>IF(OR(O108="",P108=""),"",IF(OR(ISERROR(FIND("carcass",$A108))=FALSE,ISERROR(FIND("unit",$A108))=FALSE),VLOOKUP(WardrobeCarcassFinish,FixedListsFinishes,3,0),IF(OR(ISERROR(FIND("door",$A108))=FALSE,ISERROR(FIND("Plinth",$A108))=FALSE,ISERROR(FIND("Cornice",$A108))=FALSE,ISERROR(FIND("Fillers",$A108))=FALSE,ISERROR(FIND("Pelmet",$A108))=FALSE,ISERROR(FIND("panel",$A108))=FALSE,ISERROR(FIND("post",$A108))=FALSE),VLOOKUP(WardrobeDoorFinish,FixedListsFinishes,3,0),IF(OR(ISERROR(FIND("drawer",$A108))=FALSE,ISERROR(FIND("insert",$A108))=FALSE,ISERROR(FIND("rck",$A108))=FALSE),VLOOKUP(WardrobeCarcassFinish,FixedListsFinishes,3,0),0))))</f>
        <v/>
      </c>
      <c r="AE108" s="156" t="str">
        <f t="shared" si="6"/>
        <v/>
      </c>
      <c r="AF108" s="157" t="str">
        <f>IF(AND(WardrobeHandleType="Channel",OR(ISERROR(FIND("arcass",$A108))=FALSE,ISERROR(FIND("unit",$A108))=FALSE)),IF(ISERROR(FIND("Tower",$A108))=TRUE,IF(WardrobeHandleFinish="Match carcass",IF(ISERROR(FIND("Walnut",WardrobeCarcassMaterial))=FALSE,(0.035*0.075*($C108/1000))*VLOOKUP("Walnut (solid m3)",SolidData,4,FALSE),IF(ISERROR(FIND("Oak",WardrobeCarcassMaterial))=FALSE,(0.035*0.075*($C108/1000))*VLOOKUP("Oak (solid m3)",SolidData,4,FALSE),IF(ISERROR(FIND("ply",WardrobeCarcassMaterial))=FALSE,(0.1*($C108/1000))*VLOOKUP("Birch ply (24mm)",SheetsData,7,FALSE),IF(ISERROR(FIND("H/F",WardrobeCarcassMaterial))=FALSE,(0.1*($C108/1000))*VLOOKUP("H/F (22mm)",SheetsData,7,FALSE),"Carcass - not tower - new material")))),IF(WardrobeHandleFinish="Match door",IF(ISERROR(FIND("Walnut",WardrobeDoorMaterial))=FALSE,(0.035*0.075*($C108/1000))*VLOOKUP("Walnut (solid m3)",SolidData,4,FALSE),IF(ISERROR(FIND("Oak",WardrobeDoorMaterial))=FALSE,(0.035*0.075*($C108/1000))*VLOOKUP("Oak (solid m3)",SolidData,4,FALSE),IF(ISERROR(FIND("ply",WardrobeDoorMaterial))=FALSE,(0.1*($C108/1000))*VLOOKUP("Birch ply (24mm)",SheetsData,7,FALSE),IF(ISERROR(FIND("H/F",WardrobeCarcassMaterial))=FALSE,(0.1*($C108/1000))*VLOOKUP("H/F (22mm)",SheetsData,7,FALSE),"Door - not tower - new material")))),"Channel - not tower - handle set to other")),IF(ISERROR(FIND("Tower",$A108))=FALSE,IF(WardrobeHandleFinish="Match carcass",IF(ISERROR(FIND("Walnut",WardrobeCarcassMaterial))=FALSE,(0.035*0.075*($B108/1000))*VLOOKUP("Walnut (solid m3)",SolidData,4,FALSE),IF(ISERROR(FIND("Oak",WardrobeCarcassMaterial))=FALSE,(0.035*0.075*($B108/1000))*VLOOKUP("Oak (solid m3)",SolidData,4,FALSE),IF(ISERROR(FIND("ply",WardrobeCarcassMaterial))=FALSE,(0.1*($B108/1000))*VLOOKUP("Birch ply (24mm)",SheetsData,7,FALSE),IF(ISERROR(FIND("H/F",WardrobeCarcassMaterial))=FALSE,(0.1*($C108/1000))*VLOOKUP("H/F (22mm)",SheetsData,7,FALSE),"Carcass - tower - new material")))),IF(WardrobeHandleFinish="Match door",IF(ISERROR(FIND("Walnut",WardrobeDoorMaterial))=FALSE,(0.035*0.075*($B108/1000))*VLOOKUP("Walnut (solid m3)",SolidData,4,FALSE),IF(ISERROR(FIND("Oak",WardrobeDoorMaterial))=FALSE,(0.035*0.075*($B108/1000))*VLOOKUP("Oak (solid m3)",SolidData,4,FALSE),IF(ISERROR(FIND("ply",WardrobeDoorMaterial))=FALSE,(0.1*($B108/1000))*VLOOKUP("Birch ply (24mm)",SheetData,7,FALSE),IF(ISERROR(FIND("H/F",WardrobeCarcassMaterial))=FALSE,(0.1*($C108/1000))*VLOOKUP("H/F (22mm)",SheetsData,7,FALSE),"Door - tower - new material")))),"Channel - tower - handle set to other")))),"")</f>
        <v/>
      </c>
    </row>
    <row r="109">
      <c r="A109" s="150"/>
      <c r="B109" s="160" t="str">
        <f t="shared" si="1"/>
        <v/>
      </c>
      <c r="C109" s="160" t="str">
        <f>IFERROR(__xludf.DUMMYFUNCTION("IF(A109="""","""",IF(ISERROR(FIND(""arcass"",A109))=FALSE,MID(A109,FIND(""*"",A109)+1,FIND(""*"",A109,FIND(""*"",A109)+1)-FIND(""*"",A109)-1),IF(ISERROR(FIND(""End panel"",A109))=FALSE,RIGHT(A109,3),IF(OR(ISERROR(FIND(""drawer"",A109))=FALSE,ISERROR(FIND("&amp;"""door"",A109))=FALSE,ISERROR(FIND(""shelf"",A109))=FALSE,ISERROR(FIND(""panel"",A109))=FALSE,ISERROR(FIND(""Plinth"",A109))=FALSE,ISERROR(FIND(""Cornice"",A109))=FALSE,ISERROR(FIND(""Fillers"",A109))=FALSE,ISERROR(FIND(""Pelmet"",A109))=FALSE,ISERROR(FIN"&amp;"D(""Fireplace up to 1600"",A109))=FALSE),RIGHT(A109,LEN(A109)-LEN(regexextract(A109,"".* ""))),IF(ISERROR(FIND(""table"",A109))=FALSE,""560"",IF(ISERROR(FIND(""Office pod"",A109))=FALSE,""1600"",IF(ISERROR(FIND(""Fireplace over 1600"",A109))=FALSE,""2400"&amp;""",IF(ISERROR(FIND(""Worktop"",A109))=FALSE,""650"",""Whoops""))))))))"),"")</f>
        <v/>
      </c>
      <c r="D109" s="161" t="str">
        <f t="shared" si="2"/>
        <v/>
      </c>
      <c r="E109" s="152" t="str">
        <f>IF(OR(A109="",AND(ISERROR(FIND("drawer",A109))=FALSE,WardrobeDrawerType="")),"",IF(ISERROR(FIND("door",A109))=FALSE,IF(WardrobeDoorStyle="Flat",((B109/1000)*(C109/1000))*VLOOKUP(WardrobeDoorMaterial,SheetsData,8,0),IF(LEFT(WardrobeDoorStyle,5)="Panel",(((((B109/1000)*2)*0.08)+((((C109/1000)-0.16)*2)*0.08))*VLOOKUP("H/F (22mm)",SheetsData,8,0))+(((B109/1000)-0.14)*((C109/1000)-0.14)*VLOOKUP("H/F (9mm)",SheetsData,8,0)),IF(WardrobeDoorStyle="In-frame flat",((((((B109/1000)*0.019)*0.038)+((((C109-38)/1000)*0.038)*0.038))*2)*VLOOKUP("Tulip (solid m3)",SolidData,4,0))+(((B109-76)/1000)*((C109-38)/1000))*VLOOKUP("H/F (22mm)",SheetsData,8,0),IF(LEFT(WardrobeDoorStyle,14)="In-frame panel",(((((((B109/1000)*0.019)*0.038)+((((C109-38)/1000)*0.038)*0.038))*2)*VLOOKUP("Tulip (solid m3)",SolidData,4,0))+(((((((B109-76)/1000)*2)*0.08)+(((((C109-198)/1000)*2)*0.08)))*VLOOKUP("H/F (22mm)",SheetsData,8,0))+(((B109-216)/1000)*((C109-178)/1000)*VLOOKUP("H/F (9mm)",SheetsData,8,0)))))))),IF(AND(ISERROR(FIND("arcass",A109))=FALSE,ISERROR(FIND("ost corner",A109))=TRUE),IF(AND(VALUE(B109)&lt;1211,VALUE(C109)&lt;1211,VALUE(D109)&lt;606),1*VLOOKUP(WardrobeCarcassMaterial,SheetsData,5,FALSE),IF(AND(VALUE(B109)&lt;2421,VALUE(C109)&lt;2421,VALUE(D109)&lt;606),2*VLOOKUP(WardrobeCarcassMaterial,SheetsData,5,FALSE),IF(AND(VALUE(B109)&lt;2421,VALUE(C109)&lt;1211,VALUE(D109)&lt;1211),3*VLOOKUP(WardrobeCarcassMaterial,SheetsData,5,FALSE),IF(AND(VALUE(B109)&lt;2421,VALUE(C109)&lt;2421,VALUE(D109)&lt;1211),4*VLOOKUP(WardrobeCarcassMaterial,SheetsData,5,FALSE))))),IF(AND(ISERROR(FIND("arcass",A109))=FALSE,ISERROR(FIND("ost corner",A109))=FALSE),IF(AND(VALUE(B109)&lt;1211,VALUE(C109)&lt;1211,VALUE(D109)&lt;606),(1*VLOOKUP(WardrobeCarcassMaterial,SheetsData,5,FALSE))+(VLOOKUP("H/F (22mm)",SheetsData,7,FALSE)*1.44),IF(AND(VALUE(B109)&lt;2421,VALUE(C109)&lt;2421,VALUE(D109)&lt;606),(2*VLOOKUP(WardrobeCarcassMaterial,SheetsData,5,FALSE))+(VLOOKUP("H/F (22mm)",SheetsData,7,FALSE)*1.44),IF(AND(VALUE(B109)&lt;2421,VALUE(C109)&lt;1211,VALUE(D109)&lt;1211),(3*VLOOKUP(WardrobeCarcassMaterial,SheetsData,5,FALSE))+(VLOOKUP("H/F (22mm)",SheetsData,7,FALSE)*1.44),IF(AND(VALUE(B109)&lt;2421,VALUE(C109)&lt;2421,VALUE(D109)&lt;1211),(4*VLOOKUP(WardrobeCarcassMaterial,SheetsData,5,FALSE))+(VLOOKUP("H/F (22mm)",SheetsData,7,FALSE)*1.44))))),IF(ISERROR(FIND("drawer front",A109))=FALSE,((B109/1000)*(C109/1000))*VLOOKUP(WardrobeDoorMaterial,SheetsData,8,0),IF(AND(WardrobeDrawerType="Match carcass",ISERROR(FIND("drawer box",A109))=FALSE),(((((B109/1000)*(C109/1000))+((B109/1000)*(D109/1000)))*2)*VLOOKUP(WardrobeCarcassMaterial,SheetsData,8,0))+(((C109/1000)*(D109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box",A109))=FALSE),(((((B109/1000)*(C109/1000))+((B109/1000)*(D109/1000)))*2)*(16/1000)*VLOOKUP(LEFT(WardrobeCarcassMaterial,FIND(" ",WardrobeCarcassMaterial))&amp;"(solid m3)",SolidData,4,0))+(((C109/1000)*(D109/1000))*VLOOKUP(LEFT(WardrobeCarcassMaterial,FIND("(",WardrobeCarcassMaterial)-1)&amp;IF(OR(ISERROR(FIND("ply",WardrobeCarcassMaterial))=FALSE,ISERROR(FIND("H/F",WardrobeCarcassMaterial))=FALSE),"(9mm)","(10mm)"),SheetsData,8,0)),IF(ISERROR(FIND("shelf",A109))=FALSE,((C109/1000)*(D109/1000))*VLOOKUP(WardrobeCarcassMaterial,SheetsData,7,FALSE),IF(ISERROR(FIND("Office pod",A109))=FALSE,3*VLOOKUP(WardrobeCarcassMaterial,SheetsData,5,0),IF(ISERROR(FIND(" panel",A109))=FALSE,((B109/1000)*(C109/1000))*VLOOKUP(WardrobeDoorMaterial,SheetsData,8,0),IF(ISERROR(FIND("Fillers",A109))=FALSE,(((0.06*(C109/1000))*2)*VLOOKUP("H/F (18mm)",SheetsData,8,0))+(((0.06*(C109/1000))*2)*VLOOKUP("H/F (9mm)",SheetsData,8,0)),IF(ISERROR(FIND("Cornice (stacked)",A109))=FALSE,((0.08*(C109/1000))*2)*VLOOKUP("H/F (22mm)",SheetsData,8,0),IF(OR(ISERROR(FIND("Plinth",A109))=FALSE,ISERROR(FIND("Cornice (flat)",A109))=FALSE),((B109/1000)*(C109/1000))*VLOOKUP("H/F (18mm)",SheetsData,8,0),IF(ISERROR(FIND("Pelmet",A109))=FALSE,((((B109/1000)*(C109/1000))*2)*VLOOKUP("H/F (18mm)",SheetsData,8,0)),IF(ISERROR(FIND("Fireplace",A109))=FALSE,IF(ISERROR(FIND("over 1600",A109))=FALSE,2*VLOOKUP(WardrobeCarcassMaterial,SheetsData,5,FALSE),VLOOKUP(WardrobeCarcassMaterial,SheetsData,5,FALSE)),IF(ISERROR(FIND("table",A109))=FALSE,((B109/1000)*0.6)*VLOOKUP("Birch ply (24mm)",SheetsData,7,FALSE),IF(ISERROR(FIND("Worktop",A109))=FALSE,((B109/1000)*(C109/1000))*VLOOKUP(WardrobeDoorMaterial,SheetsData,7,FALSE),"Check formula")))))))))))))))))</f>
        <v/>
      </c>
      <c r="F109" s="152" t="str">
        <f>IFERROR(__xludf.DUMMYFUNCTION("IF(OR(A109="""",AND(ISERROR(FIND(""drawer box"",A109))=FALSE,WardrobeDrawerType=""Solid dovetail"")),"""",IF(ISERROR(FIND(""bins"",A109))=FALSE,VLOOKUP(""Base carcass 600"",Wardrobes_etcData,6,0),IF(OR(ISERROR(FIND(""larder"",A109))=FALSE,ISERROR(FIND(""u"&amp;"nit"",A109))=FALSE),VLOOKUP(LEFT(A109,FIND("" "",A109))&amp;""carcass ""&amp;RIGHT(A109,LEN(A109)-len(regexextract(A109,"".* ""))),Wardrobes_etcData,6,0),IF(ISERROR(FIND(""drawer front"",A109))=FALSE,IF(ISERROR(FIND(""veneer"",WardrobeCarcassMaterial))=TRUE,0,((("&amp;"B109+C109)/1000)*2)*VLOOKUP(""Edge banding (per M)"",SheetsData,5,0)),IF(ISERROR(FIND(""drawer box"",A109))=FALSE,IF(ISERROR(FIND(""veneer"",WardrobeCarcassMaterial))=TRUE,0,(((C109+D109)/1000)*2)*VLOOKUP(""Edge banding (per M)"",SheetsData,5,0)),IF(ISERR"&amp;"OR(FIND(""shelf"",A109))=FALSE,IF(ISERROR(FIND(""veneer"",WardrobeCarcassMaterial))=TRUE,0,(C109/1000)*VLOOKUP(""Edge banding (per M)"",SheetsData,5,0)),IF(AND(OR(ISERROR(FIND(""arcass"",A109))=FALSE,ISERROR(FIND(""Fireplace"",A109))=FALSE),ISERROR(FIND("&amp;"""shelf"",A109))=TRUE),IF(ISERROR(FIND(""veneer"",WardrobeCarcassMaterial))=TRUE,0,((2*(B109+C109))/1000)*VLOOKUP(""Edge banding (per M)"",SheetsData,5,0)),IF(ISERROR(FIND(""door"",A109))=TRUE,"""",IF(ISERROR(FIND(""veneer"",WardrobeDoorMaterial))=TRUE,"""&amp;""",((2*(B109+C109))/1000)*VLOOKUP(""Edge banding (per M)"",SheetsData,5,0))))))))))"),"")</f>
        <v/>
      </c>
      <c r="G109" s="153" t="str">
        <f>IF(A109="","",IF(AND(ISERROR(FIND("arcass",A109))=TRUE,ISERROR(FIND("Fireplace",A109))=TRUE),"",IF(VALUE(C109)&lt;606,4*VLOOKUP("Plinth foot (2 Parts 80mm)",FurnitureData,5,FALSE),IF(VALUE(C109)&lt;1211,6*VLOOKUP("Plinth foot (2 Parts 80mm)",FurnitureData,5,FALSE),8*VLOOKUP("Plinth foot (2 Parts 80mm)",FurnitureData,5,FALSE)))))</f>
        <v/>
      </c>
      <c r="H109" s="115" t="str">
        <f>IF(OR(A109="",ISERROR(FIND("door",A109))=TRUE),"",VLOOKUP("Hinges &amp; plates (Hettich thick door)",FurnitureData,5,0)*5)</f>
        <v/>
      </c>
      <c r="I109" s="115" t="str">
        <f>IF(ISERROR(FIND("shelf",A109))=FALSE,(VLOOKUP("Shelf pegs",FurnitureData,5,0)/100)*4,"")</f>
        <v/>
      </c>
      <c r="J109" s="152" t="str">
        <f>IF(OR(ISERROR(FIND("fridge/freezer",A109))=FALSE,ISERROR(FIND("sink",A109))=FALSE,ISERROR(FIND("larder",A109))=FALSE),VLOOKUP("Deep shelf "&amp;C109,Wardrobes_etcData,18,0),IF(OR(ISERROR(FIND("single oven",A109))=FALSE,ISERROR(FIND("Base carcass",A109))=FALSE),2*VLOOKUP("Deep shelf "&amp;C109,Wardrobes_etcData,18,0),IF(AND(ISERROR(FIND("wall carcass",A109))=FALSE,ISERROR(FIND("Boiler",A109))=TRUE),2*VLOOKUP("Shallow shelf "&amp;C109,Wardrobes_etcData,18,0),IF(ISERROR(FIND("double oven",A109))=FALSE,3*VLOOKUP("Deep shelf "&amp;C109,Wardrobes_etcData,18,0),IF(ISERROR(FIND("Tower carcass",A109))=FALSE,6*VLOOKUP("Deep shelf "&amp;C109,Wardrobes_etcData,18,0),"")))))</f>
        <v/>
      </c>
      <c r="K109" s="152" t="str">
        <f>IF(ISERROR(FIND("sink",A109))=FALSE,VLOOKUP("Sink liner - Aluminium "&amp;RIGHT(A109,LEN(A109)-22)&amp;"mm",ExceptionalData,5,0),IF(ISERROR(FIND("bins",A109))=FALSE,VLOOKUP("Drawer runners and clip set for bin unit (500) Dynapro",FurnitureData,5,0)+(2*VLOOKUP("Bin (42L Anthracite)",FurnitureData,5,0)),IF(ISERROR(FIND("larder",A109))=FALSE,VLOOKUP("Pull out larder unit 600mm",FurnitureData,5,0),IF(AND(ISERROR(FIND("drawer box",A109))=FALSE,ISERROR(FIND("internal",A109))=TRUE),VLOOKUP("Drawer runners and clip set (550) Dynapro",FurnitureData,5,0),IF(ISERROR(FIND("internal drawer box",A109))=FALSE,VLOOKUP("Drawer runners and clip set (450) Dynapro",FurnitureData,5,0),IF(ISERROR(FIND("table",A109))=FALSE,VLOOKUP("Hairpin Leg (12mm Black "&amp;MID(A109,FIND("(",A109)+1,LEN(A109)-(FIND("(",A109))-1)&amp;"mm)",ExceptionalData,4,FALSE),""))))))</f>
        <v/>
      </c>
      <c r="L109" s="152" t="str">
        <f t="shared" si="3"/>
        <v/>
      </c>
      <c r="M109" s="154" t="str">
        <f>IF(A109="","",IF(AND(ISERROR(FIND("drawer front",A109))=FALSE,WardrobeDoorStyle="Flat"),(((B109/1000)*(C109/1000))*2)+((((B109+C109)/1000)*2)*0.022),IF(AND(ISERROR(FIND("drawer front",A109))=FALSE,LEFT(WardrobeDoorStyle,5)="Panel"),(((B109/1000)*(C109/1000))*2)+((((B109+C109)/1000)*2)*0.022)+((((C109/1000)-0.16)*0.013)*2)+((((D109/1000)-0.16)*0.013)*2),IF(AND(ISERROR(FIND("drawer front",A109))=FALSE,WardrobeDoorStyle="In-frame flat"),((((B109-76)/1000)*((C109-38)/1000))*2)+(MID(WardrobeDoorMaterial,FIND("(",WardrobeDoorMaterial)+1,2)/1000)*((((B109-76)+(C109-38))/1000)*2)+(((B109/1000)*0.032)*2)+((((B109-76)/1000)*0.032)*2)+(((B109/1000)*0.019)*4)+(((C109/1000)*0.032)*2)+((((C109-38)/1000)*0.032)*2)+(((C109/1000)*0.038)*4),IF(AND(ISERROR(FIND("drawer front",A109))=FALSE,LEFT(WardrobeDoorStyle,14)="In-frame panel"),((((B109-76)/1000)*((C109-38)/1000))*2)+((MID(WardrobeDoorMaterial,FIND("(",WardrobeDoorMaterial)+1,2)/1000)*((((B109-76)+(C109-38))/1000)*2))+((((B109-236)/1000)+((C109-198)/1000)*2)*0.013)+(((B109/1000)*0.032)*2)+((((B109-76)/1000)*0.032)*2)+(((B109/1000)*0.019)*4)+(((C109/1000)*0.032)*2)+((((C109-38)/1000)*0.032)*2)+(((C109/1000)*0.038)*4),IF(ISERROR(FIND("drawer box",A109))=FALSE,((((B109/1000)*(D109/1000))+((B109/1000)*(C109/1000)))*4)+((((D109/1000)+(C109/1000))*0.016)*4)+(((C109/1000)*(D109/1000))*2),IF(OR(ISERROR(FIND("shelf",A109))=FALSE,ISERROR(FIND("Filler panel",A109))=FALSE),(((C109/1000)*(D109/1000))*2)+((((C109+D109)*2)/1000)*0.022),IF(ISERROR(FIND("Fireplace",A109))=FALSE,((B109/1000)*(C109/1000)),IF(ISERROR(FIND("Worktop",A109))=FALSE,(B109/1000)*(C109/1000),IF(ISERROR(FIND("table",A109))=FALSE,(B109/1000)*0.6,IF(ISERROR(FIND("arcass",A109))=FALSE,(((C109/1000)*(D109/1000))*2)+(((B109/1000)*(D109/1000))*2)+((B109/1000)*(C109/1000))+((((B109/1000)*0.025)+((C109/1000)*0.025))*2),IF(AND(ISERROR(FIND("door",A109))=FALSE,WardrobeDoorStyle="Flat"),(((B109/1000)*(C109/1000))*2)+(MID(WardrobeDoorMaterial,FIND("(",WardrobeDoorMaterial)+1,2)/1000)*(((B109+C109)/1000)*2),IF(AND(ISERROR(FIND("door",A109))=FALSE,LEFT(WardrobeDoorStyle,5)="Panel"),(((B109/1000)*(C109/1000))*2)+((MID(WardrobeDoorMaterial,FIND("(",WardrobeDoorMaterial)+1,2)/1000)*(((B109+C109)/1000)*2))+(((((B109-160)+(C109-160))*2)/1000)*(0.013)),IF(AND(ISERROR(FIND("door",A109))=FALSE,WardrobeDoorStyle="In-frame flat"),((((B109-76)/1000)*((C109-38)/1000))*2)+(MID(WardrobeDoorMaterial,FIND("(",WardrobeDoorMaterial)+1,2)/1000)*((((B109-76)+(C109-38))/1000)*2)+(((B109/1000)*0.032)*2)+((((B109-76)/1000)*0.032)*2)+(((B109/1000)*0.019)*4)+(((C109/1000)*0.032)*2)+((((C109-38)/1000)*0.032)*2)+(((C109/1000)*0.038)*4),IF(AND(ISERROR(FIND("door",A109))=FALSE,LEFT(WardrobeDoorStyle,14)="In-frame panel"),((((B109-76)/1000)*((C109-38)/1000))*2)+((MID(WardrobeDoorMaterial,FIND("(",WardrobeDoorMaterial)+1,2)/1000)*((((B109-76)+(C109-38))/1000)*2))+((((B109-236)/1000)+((C109-198)/1000)*2)*0.013)+(((B109/1000)*0.032)*2)+((((B109-76)/1000)*0.032)*2)+(((B109/1000)*0.019)*4)+(((C109/1000)*0.032)*2)+((((C109-38)/1000)*0.032)*2)+(((C109/1000)*0.038)*4),IF(ISERROR(FIND("Plinth",A109))=FALSE,((B109/1000)*(C109/1000))+(((C109/1000)*0.018)*2)+(((B109/1000)*0.018)*2),IF(ISERROR(FIND("Cornice",A109))=FALSE,(((C109/1000)*0.1)*2)+(((C109/1000)*0.044)*2)+(((B109/1000)*0.08)*2),IF(ISERROR(FIND("Office pod",A109))=FALSE,((2400/1000)*(1200/1000))*6,IF(ISERROR(FIND("panel",A109))=FALSE,((B109/1000)*(C109/1000))+(0.022*((B109/1000)+((C109/1000)*2)))+((B109/1000)*0.05),IF(ISERROR(FIND("Fillers",A109))=FALSE,((C109/1000)*0.06)+((C109/1000)*0.069)+((0.06*0.018)*2)+((0.06*0.009)*2)+((C109/1000)*0.009)+((C109/1000)*0.018),IF(ISERROR(FIND("Pelmet",A109))=FALSE,((C109/1000)*0.05)+((C109/1000)*0.068)+((0.05*0.018)*4)+(((C109/1000)*0.018))*2)))))))))))))))))))))</f>
        <v/>
      </c>
      <c r="N109" s="152" t="str">
        <f>IF(M109="","",IF(AND(ISERROR(FIND("carcass",A109))=TRUE,ISERROR(FIND("unit",A109))=TRUE,ISERROR(FIND("insert",A109))=TRUE,ISERROR(FIND("rack",A109))=TRUE,ISERROR(FIND("box",A109))=TRUE,ISERROR(FIND("shelf",A109))=TRUE),VLOOKUP(WardrobeDoorFinish,Finishing!$A$2:$K$10,9,0)*M109,IF(ISERROR(FIND("table",A109))=FALSE,VLOOKUP("Sayerlack AF0072 Interior Clear Self-Sealer",FinishingData,9,FALSE)*M109,VLOOKUP(WardrobeCarcassFinish,Finishing!$A$2:$K$40,9,0)*M109)))</f>
        <v/>
      </c>
      <c r="O109" s="159"/>
      <c r="P109" s="159"/>
      <c r="Q109" s="152" t="str">
        <f>IF(OR(O109="",P109=""),"",((O109*X109)*(VLOOKUP("Workshop",Labour!$A$3:$E$20,4,0)/8))+((P109*AE109)*(VLOOKUP("Finishing",Labour!$A$3:$E$20,4,0)/8)))</f>
        <v/>
      </c>
      <c r="R109" s="152" t="str">
        <f t="shared" si="4"/>
        <v/>
      </c>
      <c r="S109" s="156" t="str">
        <f>IF(OR(O109="",P109=""),"",IF(OR(ISERROR(FIND("carcass",$A109))=FALSE,ISERROR(FIND("unit",$A109))=FALSE),VLOOKUP(WardrobeCarcassMaterial,FixedListsCarcassMaterial,2,0),0))</f>
        <v/>
      </c>
      <c r="T109" s="156" t="str">
        <f>IF(OR(O109="",P109=""),"",IF(ISERROR(FIND("door",$A109))=FALSE,VLOOKUP(WardrobeDoorStyle,FixedListsDoorStyle,2,0),0))</f>
        <v/>
      </c>
      <c r="U109" s="156" t="str">
        <f>IF(OR(O109="",P109=""),"",IF(ISERROR(FIND("door",$A109))=FALSE,VLOOKUP(WardrobeDoorMaterial,FixedListsDoorMaterial,2,0),0))</f>
        <v/>
      </c>
      <c r="V109" s="156" t="str">
        <f>IF(OR(O109="",P109=""),"",IF(ISERROR(FIND("drawer",$A109))=FALSE,VLOOKUP(WardrobeDrawerType,FixedListsDrawerType,2,0),0))</f>
        <v/>
      </c>
      <c r="W109" s="156" t="str">
        <f>IF(OR(O109="",P109=""),"",IF(S109&gt;0,VLOOKUP(WardrobeHandleType,FixedListsHandleType,2,FALSE),0))</f>
        <v/>
      </c>
      <c r="X109" s="156" t="str">
        <f t="shared" si="5"/>
        <v/>
      </c>
      <c r="Y109" s="156" t="str">
        <f>IF(OR(O109="",P109=""),"",IF(OR(ISERROR(FIND("carcass",$A109))=FALSE,ISERROR(FIND("unit",$A109))=FALSE),VLOOKUP(WardrobeCarcassMaterial,FixedListsCarcassMaterial,3,0),0))</f>
        <v/>
      </c>
      <c r="Z109" s="156" t="str">
        <f>IF(OR(O109="",P109=""),"",IF(ISERROR(FIND("door",$A109))=FALSE,VLOOKUP(WardrobeDoorStyle,FixedListsDoorStyle,3,0),0))</f>
        <v/>
      </c>
      <c r="AA109" s="156" t="str">
        <f>IF(OR(O109="",P109=""),"",IF(ISERROR(FIND("door",$A109))=FALSE,VLOOKUP(WardrobeDoorMaterial,FixedListsDoorMaterial,3,0),0))</f>
        <v/>
      </c>
      <c r="AB109" s="156" t="str">
        <f>IF(OR(O109="",P109=""),"",IF(ISERROR(FIND("drawer",$A109))=FALSE,VLOOKUP(WardrobeDrawerType,FixedListsDrawerType,3,0),0))</f>
        <v/>
      </c>
      <c r="AC109" s="156" t="str">
        <f>IF(OR(O109="",P109=""),"",IF(S109&gt;0,VLOOKUP(WardrobeHandleType,FixedListsHandleType,3,FALSE),0))</f>
        <v/>
      </c>
      <c r="AD109" s="156" t="str">
        <f>IF(OR(O109="",P109=""),"",IF(OR(ISERROR(FIND("carcass",$A109))=FALSE,ISERROR(FIND("unit",$A109))=FALSE),VLOOKUP(WardrobeCarcassFinish,FixedListsFinishes,3,0),IF(OR(ISERROR(FIND("door",$A109))=FALSE,ISERROR(FIND("Plinth",$A109))=FALSE,ISERROR(FIND("Cornice",$A109))=FALSE,ISERROR(FIND("Fillers",$A109))=FALSE,ISERROR(FIND("Pelmet",$A109))=FALSE,ISERROR(FIND("panel",$A109))=FALSE,ISERROR(FIND("post",$A109))=FALSE),VLOOKUP(WardrobeDoorFinish,FixedListsFinishes,3,0),IF(OR(ISERROR(FIND("drawer",$A109))=FALSE,ISERROR(FIND("insert",$A109))=FALSE,ISERROR(FIND("rck",$A109))=FALSE),VLOOKUP(WardrobeCarcassFinish,FixedListsFinishes,3,0),0))))</f>
        <v/>
      </c>
      <c r="AE109" s="156" t="str">
        <f t="shared" si="6"/>
        <v/>
      </c>
      <c r="AF109" s="157" t="str">
        <f>IF(AND(WardrobeHandleType="Channel",OR(ISERROR(FIND("arcass",$A109))=FALSE,ISERROR(FIND("unit",$A109))=FALSE)),IF(ISERROR(FIND("Tower",$A109))=TRUE,IF(WardrobeHandleFinish="Match carcass",IF(ISERROR(FIND("Walnut",WardrobeCarcassMaterial))=FALSE,(0.035*0.075*($C109/1000))*VLOOKUP("Walnut (solid m3)",SolidData,4,FALSE),IF(ISERROR(FIND("Oak",WardrobeCarcassMaterial))=FALSE,(0.035*0.075*($C109/1000))*VLOOKUP("Oak (solid m3)",SolidData,4,FALSE),IF(ISERROR(FIND("ply",WardrobeCarcassMaterial))=FALSE,(0.1*($C109/1000))*VLOOKUP("Birch ply (24mm)",SheetsData,7,FALSE),IF(ISERROR(FIND("H/F",WardrobeCarcassMaterial))=FALSE,(0.1*($C109/1000))*VLOOKUP("H/F (22mm)",SheetsData,7,FALSE),"Carcass - not tower - new material")))),IF(WardrobeHandleFinish="Match door",IF(ISERROR(FIND("Walnut",WardrobeDoorMaterial))=FALSE,(0.035*0.075*($C109/1000))*VLOOKUP("Walnut (solid m3)",SolidData,4,FALSE),IF(ISERROR(FIND("Oak",WardrobeDoorMaterial))=FALSE,(0.035*0.075*($C109/1000))*VLOOKUP("Oak (solid m3)",SolidData,4,FALSE),IF(ISERROR(FIND("ply",WardrobeDoorMaterial))=FALSE,(0.1*($C109/1000))*VLOOKUP("Birch ply (24mm)",SheetsData,7,FALSE),IF(ISERROR(FIND("H/F",WardrobeCarcassMaterial))=FALSE,(0.1*($C109/1000))*VLOOKUP("H/F (22mm)",SheetsData,7,FALSE),"Door - not tower - new material")))),"Channel - not tower - handle set to other")),IF(ISERROR(FIND("Tower",$A109))=FALSE,IF(WardrobeHandleFinish="Match carcass",IF(ISERROR(FIND("Walnut",WardrobeCarcassMaterial))=FALSE,(0.035*0.075*($B109/1000))*VLOOKUP("Walnut (solid m3)",SolidData,4,FALSE),IF(ISERROR(FIND("Oak",WardrobeCarcassMaterial))=FALSE,(0.035*0.075*($B109/1000))*VLOOKUP("Oak (solid m3)",SolidData,4,FALSE),IF(ISERROR(FIND("ply",WardrobeCarcassMaterial))=FALSE,(0.1*($B109/1000))*VLOOKUP("Birch ply (24mm)",SheetsData,7,FALSE),IF(ISERROR(FIND("H/F",WardrobeCarcassMaterial))=FALSE,(0.1*($C109/1000))*VLOOKUP("H/F (22mm)",SheetsData,7,FALSE),"Carcass - tower - new material")))),IF(WardrobeHandleFinish="Match door",IF(ISERROR(FIND("Walnut",WardrobeDoorMaterial))=FALSE,(0.035*0.075*($B109/1000))*VLOOKUP("Walnut (solid m3)",SolidData,4,FALSE),IF(ISERROR(FIND("Oak",WardrobeDoorMaterial))=FALSE,(0.035*0.075*($B109/1000))*VLOOKUP("Oak (solid m3)",SolidData,4,FALSE),IF(ISERROR(FIND("ply",WardrobeDoorMaterial))=FALSE,(0.1*($B109/1000))*VLOOKUP("Birch ply (24mm)",SheetData,7,FALSE),IF(ISERROR(FIND("H/F",WardrobeCarcassMaterial))=FALSE,(0.1*($C109/1000))*VLOOKUP("H/F (22mm)",SheetsData,7,FALSE),"Door - tower - new material")))),"Channel - tower - handle set to other")))),"")</f>
        <v/>
      </c>
    </row>
    <row r="110">
      <c r="A110" s="150"/>
      <c r="B110" s="160" t="str">
        <f t="shared" si="1"/>
        <v/>
      </c>
      <c r="C110" s="160" t="str">
        <f>IFERROR(__xludf.DUMMYFUNCTION("IF(A110="""","""",IF(ISERROR(FIND(""arcass"",A110))=FALSE,MID(A110,FIND(""*"",A110)+1,FIND(""*"",A110,FIND(""*"",A110)+1)-FIND(""*"",A110)-1),IF(ISERROR(FIND(""End panel"",A110))=FALSE,RIGHT(A110,3),IF(OR(ISERROR(FIND(""drawer"",A110))=FALSE,ISERROR(FIND("&amp;"""door"",A110))=FALSE,ISERROR(FIND(""shelf"",A110))=FALSE,ISERROR(FIND(""panel"",A110))=FALSE,ISERROR(FIND(""Plinth"",A110))=FALSE,ISERROR(FIND(""Cornice"",A110))=FALSE,ISERROR(FIND(""Fillers"",A110))=FALSE,ISERROR(FIND(""Pelmet"",A110))=FALSE,ISERROR(FIN"&amp;"D(""Fireplace up to 1600"",A110))=FALSE),RIGHT(A110,LEN(A110)-LEN(regexextract(A110,"".* ""))),IF(ISERROR(FIND(""table"",A110))=FALSE,""560"",IF(ISERROR(FIND(""Office pod"",A110))=FALSE,""1600"",IF(ISERROR(FIND(""Fireplace over 1600"",A110))=FALSE,""2400"&amp;""",IF(ISERROR(FIND(""Worktop"",A110))=FALSE,""650"",""Whoops""))))))))"),"")</f>
        <v/>
      </c>
      <c r="D110" s="161" t="str">
        <f t="shared" si="2"/>
        <v/>
      </c>
      <c r="E110" s="152" t="str">
        <f>IF(OR(A110="",AND(ISERROR(FIND("drawer",A110))=FALSE,WardrobeDrawerType="")),"",IF(ISERROR(FIND("door",A110))=FALSE,IF(WardrobeDoorStyle="Flat",((B110/1000)*(C110/1000))*VLOOKUP(WardrobeDoorMaterial,SheetsData,8,0),IF(LEFT(WardrobeDoorStyle,5)="Panel",(((((B110/1000)*2)*0.08)+((((C110/1000)-0.16)*2)*0.08))*VLOOKUP("H/F (22mm)",SheetsData,8,0))+(((B110/1000)-0.14)*((C110/1000)-0.14)*VLOOKUP("H/F (9mm)",SheetsData,8,0)),IF(WardrobeDoorStyle="In-frame flat",((((((B110/1000)*0.019)*0.038)+((((C110-38)/1000)*0.038)*0.038))*2)*VLOOKUP("Tulip (solid m3)",SolidData,4,0))+(((B110-76)/1000)*((C110-38)/1000))*VLOOKUP("H/F (22mm)",SheetsData,8,0),IF(LEFT(WardrobeDoorStyle,14)="In-frame panel",(((((((B110/1000)*0.019)*0.038)+((((C110-38)/1000)*0.038)*0.038))*2)*VLOOKUP("Tulip (solid m3)",SolidData,4,0))+(((((((B110-76)/1000)*2)*0.08)+(((((C110-198)/1000)*2)*0.08)))*VLOOKUP("H/F (22mm)",SheetsData,8,0))+(((B110-216)/1000)*((C110-178)/1000)*VLOOKUP("H/F (9mm)",SheetsData,8,0)))))))),IF(AND(ISERROR(FIND("arcass",A110))=FALSE,ISERROR(FIND("ost corner",A110))=TRUE),IF(AND(VALUE(B110)&lt;1211,VALUE(C110)&lt;1211,VALUE(D110)&lt;606),1*VLOOKUP(WardrobeCarcassMaterial,SheetsData,5,FALSE),IF(AND(VALUE(B110)&lt;2421,VALUE(C110)&lt;2421,VALUE(D110)&lt;606),2*VLOOKUP(WardrobeCarcassMaterial,SheetsData,5,FALSE),IF(AND(VALUE(B110)&lt;2421,VALUE(C110)&lt;1211,VALUE(D110)&lt;1211),3*VLOOKUP(WardrobeCarcassMaterial,SheetsData,5,FALSE),IF(AND(VALUE(B110)&lt;2421,VALUE(C110)&lt;2421,VALUE(D110)&lt;1211),4*VLOOKUP(WardrobeCarcassMaterial,SheetsData,5,FALSE))))),IF(AND(ISERROR(FIND("arcass",A110))=FALSE,ISERROR(FIND("ost corner",A110))=FALSE),IF(AND(VALUE(B110)&lt;1211,VALUE(C110)&lt;1211,VALUE(D110)&lt;606),(1*VLOOKUP(WardrobeCarcassMaterial,SheetsData,5,FALSE))+(VLOOKUP("H/F (22mm)",SheetsData,7,FALSE)*1.44),IF(AND(VALUE(B110)&lt;2421,VALUE(C110)&lt;2421,VALUE(D110)&lt;606),(2*VLOOKUP(WardrobeCarcassMaterial,SheetsData,5,FALSE))+(VLOOKUP("H/F (22mm)",SheetsData,7,FALSE)*1.44),IF(AND(VALUE(B110)&lt;2421,VALUE(C110)&lt;1211,VALUE(D110)&lt;1211),(3*VLOOKUP(WardrobeCarcassMaterial,SheetsData,5,FALSE))+(VLOOKUP("H/F (22mm)",SheetsData,7,FALSE)*1.44),IF(AND(VALUE(B110)&lt;2421,VALUE(C110)&lt;2421,VALUE(D110)&lt;1211),(4*VLOOKUP(WardrobeCarcassMaterial,SheetsData,5,FALSE))+(VLOOKUP("H/F (22mm)",SheetsData,7,FALSE)*1.44))))),IF(ISERROR(FIND("drawer front",A110))=FALSE,((B110/1000)*(C110/1000))*VLOOKUP(WardrobeDoorMaterial,SheetsData,8,0),IF(AND(WardrobeDrawerType="Match carcass",ISERROR(FIND("drawer box",A110))=FALSE),(((((B110/1000)*(C110/1000))+((B110/1000)*(D110/1000)))*2)*VLOOKUP(WardrobeCarcassMaterial,SheetsData,8,0))+(((C110/1000)*(D110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box",A110))=FALSE),(((((B110/1000)*(C110/1000))+((B110/1000)*(D110/1000)))*2)*(16/1000)*VLOOKUP(LEFT(WardrobeCarcassMaterial,FIND(" ",WardrobeCarcassMaterial))&amp;"(solid m3)",SolidData,4,0))+(((C110/1000)*(D110/1000))*VLOOKUP(LEFT(WardrobeCarcassMaterial,FIND("(",WardrobeCarcassMaterial)-1)&amp;IF(OR(ISERROR(FIND("ply",WardrobeCarcassMaterial))=FALSE,ISERROR(FIND("H/F",WardrobeCarcassMaterial))=FALSE),"(9mm)","(10mm)"),SheetsData,8,0)),IF(ISERROR(FIND("shelf",A110))=FALSE,((C110/1000)*(D110/1000))*VLOOKUP(WardrobeCarcassMaterial,SheetsData,7,FALSE),IF(ISERROR(FIND("Office pod",A110))=FALSE,3*VLOOKUP(WardrobeCarcassMaterial,SheetsData,5,0),IF(ISERROR(FIND(" panel",A110))=FALSE,((B110/1000)*(C110/1000))*VLOOKUP(WardrobeDoorMaterial,SheetsData,8,0),IF(ISERROR(FIND("Fillers",A110))=FALSE,(((0.06*(C110/1000))*2)*VLOOKUP("H/F (18mm)",SheetsData,8,0))+(((0.06*(C110/1000))*2)*VLOOKUP("H/F (9mm)",SheetsData,8,0)),IF(ISERROR(FIND("Cornice (stacked)",A110))=FALSE,((0.08*(C110/1000))*2)*VLOOKUP("H/F (22mm)",SheetsData,8,0),IF(OR(ISERROR(FIND("Plinth",A110))=FALSE,ISERROR(FIND("Cornice (flat)",A110))=FALSE),((B110/1000)*(C110/1000))*VLOOKUP("H/F (18mm)",SheetsData,8,0),IF(ISERROR(FIND("Pelmet",A110))=FALSE,((((B110/1000)*(C110/1000))*2)*VLOOKUP("H/F (18mm)",SheetsData,8,0)),IF(ISERROR(FIND("Fireplace",A110))=FALSE,IF(ISERROR(FIND("over 1600",A110))=FALSE,2*VLOOKUP(WardrobeCarcassMaterial,SheetsData,5,FALSE),VLOOKUP(WardrobeCarcassMaterial,SheetsData,5,FALSE)),IF(ISERROR(FIND("table",A110))=FALSE,((B110/1000)*0.6)*VLOOKUP("Birch ply (24mm)",SheetsData,7,FALSE),IF(ISERROR(FIND("Worktop",A110))=FALSE,((B110/1000)*(C110/1000))*VLOOKUP(WardrobeDoorMaterial,SheetsData,7,FALSE),"Check formula")))))))))))))))))</f>
        <v/>
      </c>
      <c r="F110" s="152" t="str">
        <f>IFERROR(__xludf.DUMMYFUNCTION("IF(OR(A110="""",AND(ISERROR(FIND(""drawer box"",A110))=FALSE,WardrobeDrawerType=""Solid dovetail"")),"""",IF(ISERROR(FIND(""bins"",A110))=FALSE,VLOOKUP(""Base carcass 600"",Wardrobes_etcData,6,0),IF(OR(ISERROR(FIND(""larder"",A110))=FALSE,ISERROR(FIND(""u"&amp;"nit"",A110))=FALSE),VLOOKUP(LEFT(A110,FIND("" "",A110))&amp;""carcass ""&amp;RIGHT(A110,LEN(A110)-len(regexextract(A110,"".* ""))),Wardrobes_etcData,6,0),IF(ISERROR(FIND(""drawer front"",A110))=FALSE,IF(ISERROR(FIND(""veneer"",WardrobeCarcassMaterial))=TRUE,0,((("&amp;"B110+C110)/1000)*2)*VLOOKUP(""Edge banding (per M)"",SheetsData,5,0)),IF(ISERROR(FIND(""drawer box"",A110))=FALSE,IF(ISERROR(FIND(""veneer"",WardrobeCarcassMaterial))=TRUE,0,(((C110+D110)/1000)*2)*VLOOKUP(""Edge banding (per M)"",SheetsData,5,0)),IF(ISERR"&amp;"OR(FIND(""shelf"",A110))=FALSE,IF(ISERROR(FIND(""veneer"",WardrobeCarcassMaterial))=TRUE,0,(C110/1000)*VLOOKUP(""Edge banding (per M)"",SheetsData,5,0)),IF(AND(OR(ISERROR(FIND(""arcass"",A110))=FALSE,ISERROR(FIND(""Fireplace"",A110))=FALSE),ISERROR(FIND("&amp;"""shelf"",A110))=TRUE),IF(ISERROR(FIND(""veneer"",WardrobeCarcassMaterial))=TRUE,0,((2*(B110+C110))/1000)*VLOOKUP(""Edge banding (per M)"",SheetsData,5,0)),IF(ISERROR(FIND(""door"",A110))=TRUE,"""",IF(ISERROR(FIND(""veneer"",WardrobeDoorMaterial))=TRUE,"""&amp;""",((2*(B110+C110))/1000)*VLOOKUP(""Edge banding (per M)"",SheetsData,5,0))))))))))"),"")</f>
        <v/>
      </c>
      <c r="G110" s="153" t="str">
        <f>IF(A110="","",IF(AND(ISERROR(FIND("arcass",A110))=TRUE,ISERROR(FIND("Fireplace",A110))=TRUE),"",IF(VALUE(C110)&lt;606,4*VLOOKUP("Plinth foot (2 Parts 80mm)",FurnitureData,5,FALSE),IF(VALUE(C110)&lt;1211,6*VLOOKUP("Plinth foot (2 Parts 80mm)",FurnitureData,5,FALSE),8*VLOOKUP("Plinth foot (2 Parts 80mm)",FurnitureData,5,FALSE)))))</f>
        <v/>
      </c>
      <c r="H110" s="115" t="str">
        <f>IF(OR(A110="",ISERROR(FIND("door",A110))=TRUE),"",VLOOKUP("Hinges &amp; plates (Hettich thick door)",FurnitureData,5,0)*5)</f>
        <v/>
      </c>
      <c r="I110" s="115" t="str">
        <f>IF(ISERROR(FIND("shelf",A110))=FALSE,(VLOOKUP("Shelf pegs",FurnitureData,5,0)/100)*4,"")</f>
        <v/>
      </c>
      <c r="J110" s="152" t="str">
        <f>IF(OR(ISERROR(FIND("fridge/freezer",A110))=FALSE,ISERROR(FIND("sink",A110))=FALSE,ISERROR(FIND("larder",A110))=FALSE),VLOOKUP("Deep shelf "&amp;C110,Wardrobes_etcData,18,0),IF(OR(ISERROR(FIND("single oven",A110))=FALSE,ISERROR(FIND("Base carcass",A110))=FALSE),2*VLOOKUP("Deep shelf "&amp;C110,Wardrobes_etcData,18,0),IF(AND(ISERROR(FIND("wall carcass",A110))=FALSE,ISERROR(FIND("Boiler",A110))=TRUE),2*VLOOKUP("Shallow shelf "&amp;C110,Wardrobes_etcData,18,0),IF(ISERROR(FIND("double oven",A110))=FALSE,3*VLOOKUP("Deep shelf "&amp;C110,Wardrobes_etcData,18,0),IF(ISERROR(FIND("Tower carcass",A110))=FALSE,6*VLOOKUP("Deep shelf "&amp;C110,Wardrobes_etcData,18,0),"")))))</f>
        <v/>
      </c>
      <c r="K110" s="152" t="str">
        <f>IF(ISERROR(FIND("sink",A110))=FALSE,VLOOKUP("Sink liner - Aluminium "&amp;RIGHT(A110,LEN(A110)-22)&amp;"mm",ExceptionalData,5,0),IF(ISERROR(FIND("bins",A110))=FALSE,VLOOKUP("Drawer runners and clip set for bin unit (500) Dynapro",FurnitureData,5,0)+(2*VLOOKUP("Bin (42L Anthracite)",FurnitureData,5,0)),IF(ISERROR(FIND("larder",A110))=FALSE,VLOOKUP("Pull out larder unit 600mm",FurnitureData,5,0),IF(AND(ISERROR(FIND("drawer box",A110))=FALSE,ISERROR(FIND("internal",A110))=TRUE),VLOOKUP("Drawer runners and clip set (550) Dynapro",FurnitureData,5,0),IF(ISERROR(FIND("internal drawer box",A110))=FALSE,VLOOKUP("Drawer runners and clip set (450) Dynapro",FurnitureData,5,0),IF(ISERROR(FIND("table",A110))=FALSE,VLOOKUP("Hairpin Leg (12mm Black "&amp;MID(A110,FIND("(",A110)+1,LEN(A110)-(FIND("(",A110))-1)&amp;"mm)",ExceptionalData,4,FALSE),""))))))</f>
        <v/>
      </c>
      <c r="L110" s="152" t="str">
        <f t="shared" si="3"/>
        <v/>
      </c>
      <c r="M110" s="154" t="str">
        <f>IF(A110="","",IF(AND(ISERROR(FIND("drawer front",A110))=FALSE,WardrobeDoorStyle="Flat"),(((B110/1000)*(C110/1000))*2)+((((B110+C110)/1000)*2)*0.022),IF(AND(ISERROR(FIND("drawer front",A110))=FALSE,LEFT(WardrobeDoorStyle,5)="Panel"),(((B110/1000)*(C110/1000))*2)+((((B110+C110)/1000)*2)*0.022)+((((C110/1000)-0.16)*0.013)*2)+((((D110/1000)-0.16)*0.013)*2),IF(AND(ISERROR(FIND("drawer front",A110))=FALSE,WardrobeDoorStyle="In-frame flat"),((((B110-76)/1000)*((C110-38)/1000))*2)+(MID(WardrobeDoorMaterial,FIND("(",WardrobeDoorMaterial)+1,2)/1000)*((((B110-76)+(C110-38))/1000)*2)+(((B110/1000)*0.032)*2)+((((B110-76)/1000)*0.032)*2)+(((B110/1000)*0.019)*4)+(((C110/1000)*0.032)*2)+((((C110-38)/1000)*0.032)*2)+(((C110/1000)*0.038)*4),IF(AND(ISERROR(FIND("drawer front",A110))=FALSE,LEFT(WardrobeDoorStyle,14)="In-frame panel"),((((B110-76)/1000)*((C110-38)/1000))*2)+((MID(WardrobeDoorMaterial,FIND("(",WardrobeDoorMaterial)+1,2)/1000)*((((B110-76)+(C110-38))/1000)*2))+((((B110-236)/1000)+((C110-198)/1000)*2)*0.013)+(((B110/1000)*0.032)*2)+((((B110-76)/1000)*0.032)*2)+(((B110/1000)*0.019)*4)+(((C110/1000)*0.032)*2)+((((C110-38)/1000)*0.032)*2)+(((C110/1000)*0.038)*4),IF(ISERROR(FIND("drawer box",A110))=FALSE,((((B110/1000)*(D110/1000))+((B110/1000)*(C110/1000)))*4)+((((D110/1000)+(C110/1000))*0.016)*4)+(((C110/1000)*(D110/1000))*2),IF(OR(ISERROR(FIND("shelf",A110))=FALSE,ISERROR(FIND("Filler panel",A110))=FALSE),(((C110/1000)*(D110/1000))*2)+((((C110+D110)*2)/1000)*0.022),IF(ISERROR(FIND("Fireplace",A110))=FALSE,((B110/1000)*(C110/1000)),IF(ISERROR(FIND("Worktop",A110))=FALSE,(B110/1000)*(C110/1000),IF(ISERROR(FIND("table",A110))=FALSE,(B110/1000)*0.6,IF(ISERROR(FIND("arcass",A110))=FALSE,(((C110/1000)*(D110/1000))*2)+(((B110/1000)*(D110/1000))*2)+((B110/1000)*(C110/1000))+((((B110/1000)*0.025)+((C110/1000)*0.025))*2),IF(AND(ISERROR(FIND("door",A110))=FALSE,WardrobeDoorStyle="Flat"),(((B110/1000)*(C110/1000))*2)+(MID(WardrobeDoorMaterial,FIND("(",WardrobeDoorMaterial)+1,2)/1000)*(((B110+C110)/1000)*2),IF(AND(ISERROR(FIND("door",A110))=FALSE,LEFT(WardrobeDoorStyle,5)="Panel"),(((B110/1000)*(C110/1000))*2)+((MID(WardrobeDoorMaterial,FIND("(",WardrobeDoorMaterial)+1,2)/1000)*(((B110+C110)/1000)*2))+(((((B110-160)+(C110-160))*2)/1000)*(0.013)),IF(AND(ISERROR(FIND("door",A110))=FALSE,WardrobeDoorStyle="In-frame flat"),((((B110-76)/1000)*((C110-38)/1000))*2)+(MID(WardrobeDoorMaterial,FIND("(",WardrobeDoorMaterial)+1,2)/1000)*((((B110-76)+(C110-38))/1000)*2)+(((B110/1000)*0.032)*2)+((((B110-76)/1000)*0.032)*2)+(((B110/1000)*0.019)*4)+(((C110/1000)*0.032)*2)+((((C110-38)/1000)*0.032)*2)+(((C110/1000)*0.038)*4),IF(AND(ISERROR(FIND("door",A110))=FALSE,LEFT(WardrobeDoorStyle,14)="In-frame panel"),((((B110-76)/1000)*((C110-38)/1000))*2)+((MID(WardrobeDoorMaterial,FIND("(",WardrobeDoorMaterial)+1,2)/1000)*((((B110-76)+(C110-38))/1000)*2))+((((B110-236)/1000)+((C110-198)/1000)*2)*0.013)+(((B110/1000)*0.032)*2)+((((B110-76)/1000)*0.032)*2)+(((B110/1000)*0.019)*4)+(((C110/1000)*0.032)*2)+((((C110-38)/1000)*0.032)*2)+(((C110/1000)*0.038)*4),IF(ISERROR(FIND("Plinth",A110))=FALSE,((B110/1000)*(C110/1000))+(((C110/1000)*0.018)*2)+(((B110/1000)*0.018)*2),IF(ISERROR(FIND("Cornice",A110))=FALSE,(((C110/1000)*0.1)*2)+(((C110/1000)*0.044)*2)+(((B110/1000)*0.08)*2),IF(ISERROR(FIND("Office pod",A110))=FALSE,((2400/1000)*(1200/1000))*6,IF(ISERROR(FIND("panel",A110))=FALSE,((B110/1000)*(C110/1000))+(0.022*((B110/1000)+((C110/1000)*2)))+((B110/1000)*0.05),IF(ISERROR(FIND("Fillers",A110))=FALSE,((C110/1000)*0.06)+((C110/1000)*0.069)+((0.06*0.018)*2)+((0.06*0.009)*2)+((C110/1000)*0.009)+((C110/1000)*0.018),IF(ISERROR(FIND("Pelmet",A110))=FALSE,((C110/1000)*0.05)+((C110/1000)*0.068)+((0.05*0.018)*4)+(((C110/1000)*0.018))*2)))))))))))))))))))))</f>
        <v/>
      </c>
      <c r="N110" s="152" t="str">
        <f>IF(M110="","",IF(AND(ISERROR(FIND("carcass",A110))=TRUE,ISERROR(FIND("unit",A110))=TRUE,ISERROR(FIND("insert",A110))=TRUE,ISERROR(FIND("rack",A110))=TRUE,ISERROR(FIND("box",A110))=TRUE,ISERROR(FIND("shelf",A110))=TRUE),VLOOKUP(WardrobeDoorFinish,Finishing!$A$2:$K$10,9,0)*M110,IF(ISERROR(FIND("table",A110))=FALSE,VLOOKUP("Sayerlack AF0072 Interior Clear Self-Sealer",FinishingData,9,FALSE)*M110,VLOOKUP(WardrobeCarcassFinish,Finishing!$A$2:$K$40,9,0)*M110)))</f>
        <v/>
      </c>
      <c r="O110" s="159"/>
      <c r="P110" s="159"/>
      <c r="Q110" s="152" t="str">
        <f>IF(OR(O110="",P110=""),"",((O110*X110)*(VLOOKUP("Workshop",Labour!$A$3:$E$20,4,0)/8))+((P110*AE110)*(VLOOKUP("Finishing",Labour!$A$3:$E$20,4,0)/8)))</f>
        <v/>
      </c>
      <c r="R110" s="152" t="str">
        <f t="shared" si="4"/>
        <v/>
      </c>
      <c r="S110" s="156" t="str">
        <f>IF(OR(O110="",P110=""),"",IF(OR(ISERROR(FIND("carcass",$A110))=FALSE,ISERROR(FIND("unit",$A110))=FALSE),VLOOKUP(WardrobeCarcassMaterial,FixedListsCarcassMaterial,2,0),0))</f>
        <v/>
      </c>
      <c r="T110" s="156" t="str">
        <f>IF(OR(O110="",P110=""),"",IF(ISERROR(FIND("door",$A110))=FALSE,VLOOKUP(WardrobeDoorStyle,FixedListsDoorStyle,2,0),0))</f>
        <v/>
      </c>
      <c r="U110" s="156" t="str">
        <f>IF(OR(O110="",P110=""),"",IF(ISERROR(FIND("door",$A110))=FALSE,VLOOKUP(WardrobeDoorMaterial,FixedListsDoorMaterial,2,0),0))</f>
        <v/>
      </c>
      <c r="V110" s="156" t="str">
        <f>IF(OR(O110="",P110=""),"",IF(ISERROR(FIND("drawer",$A110))=FALSE,VLOOKUP(WardrobeDrawerType,FixedListsDrawerType,2,0),0))</f>
        <v/>
      </c>
      <c r="W110" s="156" t="str">
        <f>IF(OR(O110="",P110=""),"",IF(S110&gt;0,VLOOKUP(WardrobeHandleType,FixedListsHandleType,2,FALSE),0))</f>
        <v/>
      </c>
      <c r="X110" s="156" t="str">
        <f t="shared" si="5"/>
        <v/>
      </c>
      <c r="Y110" s="156" t="str">
        <f>IF(OR(O110="",P110=""),"",IF(OR(ISERROR(FIND("carcass",$A110))=FALSE,ISERROR(FIND("unit",$A110))=FALSE),VLOOKUP(WardrobeCarcassMaterial,FixedListsCarcassMaterial,3,0),0))</f>
        <v/>
      </c>
      <c r="Z110" s="156" t="str">
        <f>IF(OR(O110="",P110=""),"",IF(ISERROR(FIND("door",$A110))=FALSE,VLOOKUP(WardrobeDoorStyle,FixedListsDoorStyle,3,0),0))</f>
        <v/>
      </c>
      <c r="AA110" s="156" t="str">
        <f>IF(OR(O110="",P110=""),"",IF(ISERROR(FIND("door",$A110))=FALSE,VLOOKUP(WardrobeDoorMaterial,FixedListsDoorMaterial,3,0),0))</f>
        <v/>
      </c>
      <c r="AB110" s="156" t="str">
        <f>IF(OR(O110="",P110=""),"",IF(ISERROR(FIND("drawer",$A110))=FALSE,VLOOKUP(WardrobeDrawerType,FixedListsDrawerType,3,0),0))</f>
        <v/>
      </c>
      <c r="AC110" s="156" t="str">
        <f>IF(OR(O110="",P110=""),"",IF(S110&gt;0,VLOOKUP(WardrobeHandleType,FixedListsHandleType,3,FALSE),0))</f>
        <v/>
      </c>
      <c r="AD110" s="156" t="str">
        <f>IF(OR(O110="",P110=""),"",IF(OR(ISERROR(FIND("carcass",$A110))=FALSE,ISERROR(FIND("unit",$A110))=FALSE),VLOOKUP(WardrobeCarcassFinish,FixedListsFinishes,3,0),IF(OR(ISERROR(FIND("door",$A110))=FALSE,ISERROR(FIND("Plinth",$A110))=FALSE,ISERROR(FIND("Cornice",$A110))=FALSE,ISERROR(FIND("Fillers",$A110))=FALSE,ISERROR(FIND("Pelmet",$A110))=FALSE,ISERROR(FIND("panel",$A110))=FALSE,ISERROR(FIND("post",$A110))=FALSE),VLOOKUP(WardrobeDoorFinish,FixedListsFinishes,3,0),IF(OR(ISERROR(FIND("drawer",$A110))=FALSE,ISERROR(FIND("insert",$A110))=FALSE,ISERROR(FIND("rck",$A110))=FALSE),VLOOKUP(WardrobeCarcassFinish,FixedListsFinishes,3,0),0))))</f>
        <v/>
      </c>
      <c r="AE110" s="156" t="str">
        <f t="shared" si="6"/>
        <v/>
      </c>
      <c r="AF110" s="157" t="str">
        <f>IF(AND(WardrobeHandleType="Channel",OR(ISERROR(FIND("arcass",$A110))=FALSE,ISERROR(FIND("unit",$A110))=FALSE)),IF(ISERROR(FIND("Tower",$A110))=TRUE,IF(WardrobeHandleFinish="Match carcass",IF(ISERROR(FIND("Walnut",WardrobeCarcassMaterial))=FALSE,(0.035*0.075*($C110/1000))*VLOOKUP("Walnut (solid m3)",SolidData,4,FALSE),IF(ISERROR(FIND("Oak",WardrobeCarcassMaterial))=FALSE,(0.035*0.075*($C110/1000))*VLOOKUP("Oak (solid m3)",SolidData,4,FALSE),IF(ISERROR(FIND("ply",WardrobeCarcassMaterial))=FALSE,(0.1*($C110/1000))*VLOOKUP("Birch ply (24mm)",SheetsData,7,FALSE),IF(ISERROR(FIND("H/F",WardrobeCarcassMaterial))=FALSE,(0.1*($C110/1000))*VLOOKUP("H/F (22mm)",SheetsData,7,FALSE),"Carcass - not tower - new material")))),IF(WardrobeHandleFinish="Match door",IF(ISERROR(FIND("Walnut",WardrobeDoorMaterial))=FALSE,(0.035*0.075*($C110/1000))*VLOOKUP("Walnut (solid m3)",SolidData,4,FALSE),IF(ISERROR(FIND("Oak",WardrobeDoorMaterial))=FALSE,(0.035*0.075*($C110/1000))*VLOOKUP("Oak (solid m3)",SolidData,4,FALSE),IF(ISERROR(FIND("ply",WardrobeDoorMaterial))=FALSE,(0.1*($C110/1000))*VLOOKUP("Birch ply (24mm)",SheetsData,7,FALSE),IF(ISERROR(FIND("H/F",WardrobeCarcassMaterial))=FALSE,(0.1*($C110/1000))*VLOOKUP("H/F (22mm)",SheetsData,7,FALSE),"Door - not tower - new material")))),"Channel - not tower - handle set to other")),IF(ISERROR(FIND("Tower",$A110))=FALSE,IF(WardrobeHandleFinish="Match carcass",IF(ISERROR(FIND("Walnut",WardrobeCarcassMaterial))=FALSE,(0.035*0.075*($B110/1000))*VLOOKUP("Walnut (solid m3)",SolidData,4,FALSE),IF(ISERROR(FIND("Oak",WardrobeCarcassMaterial))=FALSE,(0.035*0.075*($B110/1000))*VLOOKUP("Oak (solid m3)",SolidData,4,FALSE),IF(ISERROR(FIND("ply",WardrobeCarcassMaterial))=FALSE,(0.1*($B110/1000))*VLOOKUP("Birch ply (24mm)",SheetsData,7,FALSE),IF(ISERROR(FIND("H/F",WardrobeCarcassMaterial))=FALSE,(0.1*($C110/1000))*VLOOKUP("H/F (22mm)",SheetsData,7,FALSE),"Carcass - tower - new material")))),IF(WardrobeHandleFinish="Match door",IF(ISERROR(FIND("Walnut",WardrobeDoorMaterial))=FALSE,(0.035*0.075*($B110/1000))*VLOOKUP("Walnut (solid m3)",SolidData,4,FALSE),IF(ISERROR(FIND("Oak",WardrobeDoorMaterial))=FALSE,(0.035*0.075*($B110/1000))*VLOOKUP("Oak (solid m3)",SolidData,4,FALSE),IF(ISERROR(FIND("ply",WardrobeDoorMaterial))=FALSE,(0.1*($B110/1000))*VLOOKUP("Birch ply (24mm)",SheetData,7,FALSE),IF(ISERROR(FIND("H/F",WardrobeCarcassMaterial))=FALSE,(0.1*($C110/1000))*VLOOKUP("H/F (22mm)",SheetsData,7,FALSE),"Door - tower - new material")))),"Channel - tower - handle set to other")))),"")</f>
        <v/>
      </c>
    </row>
    <row r="111">
      <c r="A111" s="150"/>
      <c r="B111" s="160" t="str">
        <f t="shared" si="1"/>
        <v/>
      </c>
      <c r="C111" s="160" t="str">
        <f>IFERROR(__xludf.DUMMYFUNCTION("IF(A111="""","""",IF(ISERROR(FIND(""arcass"",A111))=FALSE,MID(A111,FIND(""*"",A111)+1,FIND(""*"",A111,FIND(""*"",A111)+1)-FIND(""*"",A111)-1),IF(ISERROR(FIND(""End panel"",A111))=FALSE,RIGHT(A111,3),IF(OR(ISERROR(FIND(""drawer"",A111))=FALSE,ISERROR(FIND("&amp;"""door"",A111))=FALSE,ISERROR(FIND(""shelf"",A111))=FALSE,ISERROR(FIND(""panel"",A111))=FALSE,ISERROR(FIND(""Plinth"",A111))=FALSE,ISERROR(FIND(""Cornice"",A111))=FALSE,ISERROR(FIND(""Fillers"",A111))=FALSE,ISERROR(FIND(""Pelmet"",A111))=FALSE,ISERROR(FIN"&amp;"D(""Fireplace up to 1600"",A111))=FALSE),RIGHT(A111,LEN(A111)-LEN(regexextract(A111,"".* ""))),IF(ISERROR(FIND(""table"",A111))=FALSE,""560"",IF(ISERROR(FIND(""Office pod"",A111))=FALSE,""1600"",IF(ISERROR(FIND(""Fireplace over 1600"",A111))=FALSE,""2400"&amp;""",IF(ISERROR(FIND(""Worktop"",A111))=FALSE,""650"",""Whoops""))))))))"),"")</f>
        <v/>
      </c>
      <c r="D111" s="161" t="str">
        <f t="shared" si="2"/>
        <v/>
      </c>
      <c r="E111" s="152" t="str">
        <f>IF(OR(A111="",AND(ISERROR(FIND("drawer",A111))=FALSE,WardrobeDrawerType="")),"",IF(ISERROR(FIND("door",A111))=FALSE,IF(WardrobeDoorStyle="Flat",((B111/1000)*(C111/1000))*VLOOKUP(WardrobeDoorMaterial,SheetsData,8,0),IF(LEFT(WardrobeDoorStyle,5)="Panel",(((((B111/1000)*2)*0.08)+((((C111/1000)-0.16)*2)*0.08))*VLOOKUP("H/F (22mm)",SheetsData,8,0))+(((B111/1000)-0.14)*((C111/1000)-0.14)*VLOOKUP("H/F (9mm)",SheetsData,8,0)),IF(WardrobeDoorStyle="In-frame flat",((((((B111/1000)*0.019)*0.038)+((((C111-38)/1000)*0.038)*0.038))*2)*VLOOKUP("Tulip (solid m3)",SolidData,4,0))+(((B111-76)/1000)*((C111-38)/1000))*VLOOKUP("H/F (22mm)",SheetsData,8,0),IF(LEFT(WardrobeDoorStyle,14)="In-frame panel",(((((((B111/1000)*0.019)*0.038)+((((C111-38)/1000)*0.038)*0.038))*2)*VLOOKUP("Tulip (solid m3)",SolidData,4,0))+(((((((B111-76)/1000)*2)*0.08)+(((((C111-198)/1000)*2)*0.08)))*VLOOKUP("H/F (22mm)",SheetsData,8,0))+(((B111-216)/1000)*((C111-178)/1000)*VLOOKUP("H/F (9mm)",SheetsData,8,0)))))))),IF(AND(ISERROR(FIND("arcass",A111))=FALSE,ISERROR(FIND("ost corner",A111))=TRUE),IF(AND(VALUE(B111)&lt;1211,VALUE(C111)&lt;1211,VALUE(D111)&lt;606),1*VLOOKUP(WardrobeCarcassMaterial,SheetsData,5,FALSE),IF(AND(VALUE(B111)&lt;2421,VALUE(C111)&lt;2421,VALUE(D111)&lt;606),2*VLOOKUP(WardrobeCarcassMaterial,SheetsData,5,FALSE),IF(AND(VALUE(B111)&lt;2421,VALUE(C111)&lt;1211,VALUE(D111)&lt;1211),3*VLOOKUP(WardrobeCarcassMaterial,SheetsData,5,FALSE),IF(AND(VALUE(B111)&lt;2421,VALUE(C111)&lt;2421,VALUE(D111)&lt;1211),4*VLOOKUP(WardrobeCarcassMaterial,SheetsData,5,FALSE))))),IF(AND(ISERROR(FIND("arcass",A111))=FALSE,ISERROR(FIND("ost corner",A111))=FALSE),IF(AND(VALUE(B111)&lt;1211,VALUE(C111)&lt;1211,VALUE(D111)&lt;606),(1*VLOOKUP(WardrobeCarcassMaterial,SheetsData,5,FALSE))+(VLOOKUP("H/F (22mm)",SheetsData,7,FALSE)*1.44),IF(AND(VALUE(B111)&lt;2421,VALUE(C111)&lt;2421,VALUE(D111)&lt;606),(2*VLOOKUP(WardrobeCarcassMaterial,SheetsData,5,FALSE))+(VLOOKUP("H/F (22mm)",SheetsData,7,FALSE)*1.44),IF(AND(VALUE(B111)&lt;2421,VALUE(C111)&lt;1211,VALUE(D111)&lt;1211),(3*VLOOKUP(WardrobeCarcassMaterial,SheetsData,5,FALSE))+(VLOOKUP("H/F (22mm)",SheetsData,7,FALSE)*1.44),IF(AND(VALUE(B111)&lt;2421,VALUE(C111)&lt;2421,VALUE(D111)&lt;1211),(4*VLOOKUP(WardrobeCarcassMaterial,SheetsData,5,FALSE))+(VLOOKUP("H/F (22mm)",SheetsData,7,FALSE)*1.44))))),IF(ISERROR(FIND("drawer front",A111))=FALSE,((B111/1000)*(C111/1000))*VLOOKUP(WardrobeDoorMaterial,SheetsData,8,0),IF(AND(WardrobeDrawerType="Match carcass",ISERROR(FIND("drawer box",A111))=FALSE),(((((B111/1000)*(C111/1000))+((B111/1000)*(D111/1000)))*2)*VLOOKUP(WardrobeCarcassMaterial,SheetsData,8,0))+(((C111/1000)*(D111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box",A111))=FALSE),(((((B111/1000)*(C111/1000))+((B111/1000)*(D111/1000)))*2)*(16/1000)*VLOOKUP(LEFT(WardrobeCarcassMaterial,FIND(" ",WardrobeCarcassMaterial))&amp;"(solid m3)",SolidData,4,0))+(((C111/1000)*(D111/1000))*VLOOKUP(LEFT(WardrobeCarcassMaterial,FIND("(",WardrobeCarcassMaterial)-1)&amp;IF(OR(ISERROR(FIND("ply",WardrobeCarcassMaterial))=FALSE,ISERROR(FIND("H/F",WardrobeCarcassMaterial))=FALSE),"(9mm)","(10mm)"),SheetsData,8,0)),IF(ISERROR(FIND("shelf",A111))=FALSE,((C111/1000)*(D111/1000))*VLOOKUP(WardrobeCarcassMaterial,SheetsData,7,FALSE),IF(ISERROR(FIND("Office pod",A111))=FALSE,3*VLOOKUP(WardrobeCarcassMaterial,SheetsData,5,0),IF(ISERROR(FIND(" panel",A111))=FALSE,((B111/1000)*(C111/1000))*VLOOKUP(WardrobeDoorMaterial,SheetsData,8,0),IF(ISERROR(FIND("Fillers",A111))=FALSE,(((0.06*(C111/1000))*2)*VLOOKUP("H/F (18mm)",SheetsData,8,0))+(((0.06*(C111/1000))*2)*VLOOKUP("H/F (9mm)",SheetsData,8,0)),IF(ISERROR(FIND("Cornice (stacked)",A111))=FALSE,((0.08*(C111/1000))*2)*VLOOKUP("H/F (22mm)",SheetsData,8,0),IF(OR(ISERROR(FIND("Plinth",A111))=FALSE,ISERROR(FIND("Cornice (flat)",A111))=FALSE),((B111/1000)*(C111/1000))*VLOOKUP("H/F (18mm)",SheetsData,8,0),IF(ISERROR(FIND("Pelmet",A111))=FALSE,((((B111/1000)*(C111/1000))*2)*VLOOKUP("H/F (18mm)",SheetsData,8,0)),IF(ISERROR(FIND("Fireplace",A111))=FALSE,IF(ISERROR(FIND("over 1600",A111))=FALSE,2*VLOOKUP(WardrobeCarcassMaterial,SheetsData,5,FALSE),VLOOKUP(WardrobeCarcassMaterial,SheetsData,5,FALSE)),IF(ISERROR(FIND("table",A111))=FALSE,((B111/1000)*0.6)*VLOOKUP("Birch ply (24mm)",SheetsData,7,FALSE),IF(ISERROR(FIND("Worktop",A111))=FALSE,((B111/1000)*(C111/1000))*VLOOKUP(WardrobeDoorMaterial,SheetsData,7,FALSE),"Check formula")))))))))))))))))</f>
        <v/>
      </c>
      <c r="F111" s="152" t="str">
        <f>IFERROR(__xludf.DUMMYFUNCTION("IF(OR(A111="""",AND(ISERROR(FIND(""drawer box"",A111))=FALSE,WardrobeDrawerType=""Solid dovetail"")),"""",IF(ISERROR(FIND(""bins"",A111))=FALSE,VLOOKUP(""Base carcass 600"",Wardrobes_etcData,6,0),IF(OR(ISERROR(FIND(""larder"",A111))=FALSE,ISERROR(FIND(""u"&amp;"nit"",A111))=FALSE),VLOOKUP(LEFT(A111,FIND("" "",A111))&amp;""carcass ""&amp;RIGHT(A111,LEN(A111)-len(regexextract(A111,"".* ""))),Wardrobes_etcData,6,0),IF(ISERROR(FIND(""drawer front"",A111))=FALSE,IF(ISERROR(FIND(""veneer"",WardrobeCarcassMaterial))=TRUE,0,((("&amp;"B111+C111)/1000)*2)*VLOOKUP(""Edge banding (per M)"",SheetsData,5,0)),IF(ISERROR(FIND(""drawer box"",A111))=FALSE,IF(ISERROR(FIND(""veneer"",WardrobeCarcassMaterial))=TRUE,0,(((C111+D111)/1000)*2)*VLOOKUP(""Edge banding (per M)"",SheetsData,5,0)),IF(ISERR"&amp;"OR(FIND(""shelf"",A111))=FALSE,IF(ISERROR(FIND(""veneer"",WardrobeCarcassMaterial))=TRUE,0,(C111/1000)*VLOOKUP(""Edge banding (per M)"",SheetsData,5,0)),IF(AND(OR(ISERROR(FIND(""arcass"",A111))=FALSE,ISERROR(FIND(""Fireplace"",A111))=FALSE),ISERROR(FIND("&amp;"""shelf"",A111))=TRUE),IF(ISERROR(FIND(""veneer"",WardrobeCarcassMaterial))=TRUE,0,((2*(B111+C111))/1000)*VLOOKUP(""Edge banding (per M)"",SheetsData,5,0)),IF(ISERROR(FIND(""door"",A111))=TRUE,"""",IF(ISERROR(FIND(""veneer"",WardrobeDoorMaterial))=TRUE,"""&amp;""",((2*(B111+C111))/1000)*VLOOKUP(""Edge banding (per M)"",SheetsData,5,0))))))))))"),"")</f>
        <v/>
      </c>
      <c r="G111" s="153" t="str">
        <f>IF(A111="","",IF(AND(ISERROR(FIND("arcass",A111))=TRUE,ISERROR(FIND("Fireplace",A111))=TRUE),"",IF(VALUE(C111)&lt;606,4*VLOOKUP("Plinth foot (2 Parts 80mm)",FurnitureData,5,FALSE),IF(VALUE(C111)&lt;1211,6*VLOOKUP("Plinth foot (2 Parts 80mm)",FurnitureData,5,FALSE),8*VLOOKUP("Plinth foot (2 Parts 80mm)",FurnitureData,5,FALSE)))))</f>
        <v/>
      </c>
      <c r="H111" s="115" t="str">
        <f>IF(OR(A111="",ISERROR(FIND("door",A111))=TRUE),"",VLOOKUP("Hinges &amp; plates (Hettich thick door)",FurnitureData,5,0)*5)</f>
        <v/>
      </c>
      <c r="I111" s="115" t="str">
        <f>IF(ISERROR(FIND("shelf",A111))=FALSE,(VLOOKUP("Shelf pegs",FurnitureData,5,0)/100)*4,"")</f>
        <v/>
      </c>
      <c r="J111" s="152" t="str">
        <f>IF(OR(ISERROR(FIND("fridge/freezer",A111))=FALSE,ISERROR(FIND("sink",A111))=FALSE,ISERROR(FIND("larder",A111))=FALSE),VLOOKUP("Deep shelf "&amp;C111,Wardrobes_etcData,18,0),IF(OR(ISERROR(FIND("single oven",A111))=FALSE,ISERROR(FIND("Base carcass",A111))=FALSE),2*VLOOKUP("Deep shelf "&amp;C111,Wardrobes_etcData,18,0),IF(AND(ISERROR(FIND("wall carcass",A111))=FALSE,ISERROR(FIND("Boiler",A111))=TRUE),2*VLOOKUP("Shallow shelf "&amp;C111,Wardrobes_etcData,18,0),IF(ISERROR(FIND("double oven",A111))=FALSE,3*VLOOKUP("Deep shelf "&amp;C111,Wardrobes_etcData,18,0),IF(ISERROR(FIND("Tower carcass",A111))=FALSE,6*VLOOKUP("Deep shelf "&amp;C111,Wardrobes_etcData,18,0),"")))))</f>
        <v/>
      </c>
      <c r="K111" s="152" t="str">
        <f>IF(ISERROR(FIND("sink",A111))=FALSE,VLOOKUP("Sink liner - Aluminium "&amp;RIGHT(A111,LEN(A111)-22)&amp;"mm",ExceptionalData,5,0),IF(ISERROR(FIND("bins",A111))=FALSE,VLOOKUP("Drawer runners and clip set for bin unit (500) Dynapro",FurnitureData,5,0)+(2*VLOOKUP("Bin (42L Anthracite)",FurnitureData,5,0)),IF(ISERROR(FIND("larder",A111))=FALSE,VLOOKUP("Pull out larder unit 600mm",FurnitureData,5,0),IF(AND(ISERROR(FIND("drawer box",A111))=FALSE,ISERROR(FIND("internal",A111))=TRUE),VLOOKUP("Drawer runners and clip set (550) Dynapro",FurnitureData,5,0),IF(ISERROR(FIND("internal drawer box",A111))=FALSE,VLOOKUP("Drawer runners and clip set (450) Dynapro",FurnitureData,5,0),IF(ISERROR(FIND("table",A111))=FALSE,VLOOKUP("Hairpin Leg (12mm Black "&amp;MID(A111,FIND("(",A111)+1,LEN(A111)-(FIND("(",A111))-1)&amp;"mm)",ExceptionalData,4,FALSE),""))))))</f>
        <v/>
      </c>
      <c r="L111" s="152" t="str">
        <f t="shared" si="3"/>
        <v/>
      </c>
      <c r="M111" s="154" t="str">
        <f>IF(A111="","",IF(AND(ISERROR(FIND("drawer front",A111))=FALSE,WardrobeDoorStyle="Flat"),(((B111/1000)*(C111/1000))*2)+((((B111+C111)/1000)*2)*0.022),IF(AND(ISERROR(FIND("drawer front",A111))=FALSE,LEFT(WardrobeDoorStyle,5)="Panel"),(((B111/1000)*(C111/1000))*2)+((((B111+C111)/1000)*2)*0.022)+((((C111/1000)-0.16)*0.013)*2)+((((D111/1000)-0.16)*0.013)*2),IF(AND(ISERROR(FIND("drawer front",A111))=FALSE,WardrobeDoorStyle="In-frame flat"),((((B111-76)/1000)*((C111-38)/1000))*2)+(MID(WardrobeDoorMaterial,FIND("(",WardrobeDoorMaterial)+1,2)/1000)*((((B111-76)+(C111-38))/1000)*2)+(((B111/1000)*0.032)*2)+((((B111-76)/1000)*0.032)*2)+(((B111/1000)*0.019)*4)+(((C111/1000)*0.032)*2)+((((C111-38)/1000)*0.032)*2)+(((C111/1000)*0.038)*4),IF(AND(ISERROR(FIND("drawer front",A111))=FALSE,LEFT(WardrobeDoorStyle,14)="In-frame panel"),((((B111-76)/1000)*((C111-38)/1000))*2)+((MID(WardrobeDoorMaterial,FIND("(",WardrobeDoorMaterial)+1,2)/1000)*((((B111-76)+(C111-38))/1000)*2))+((((B111-236)/1000)+((C111-198)/1000)*2)*0.013)+(((B111/1000)*0.032)*2)+((((B111-76)/1000)*0.032)*2)+(((B111/1000)*0.019)*4)+(((C111/1000)*0.032)*2)+((((C111-38)/1000)*0.032)*2)+(((C111/1000)*0.038)*4),IF(ISERROR(FIND("drawer box",A111))=FALSE,((((B111/1000)*(D111/1000))+((B111/1000)*(C111/1000)))*4)+((((D111/1000)+(C111/1000))*0.016)*4)+(((C111/1000)*(D111/1000))*2),IF(OR(ISERROR(FIND("shelf",A111))=FALSE,ISERROR(FIND("Filler panel",A111))=FALSE),(((C111/1000)*(D111/1000))*2)+((((C111+D111)*2)/1000)*0.022),IF(ISERROR(FIND("Fireplace",A111))=FALSE,((B111/1000)*(C111/1000)),IF(ISERROR(FIND("Worktop",A111))=FALSE,(B111/1000)*(C111/1000),IF(ISERROR(FIND("table",A111))=FALSE,(B111/1000)*0.6,IF(ISERROR(FIND("arcass",A111))=FALSE,(((C111/1000)*(D111/1000))*2)+(((B111/1000)*(D111/1000))*2)+((B111/1000)*(C111/1000))+((((B111/1000)*0.025)+((C111/1000)*0.025))*2),IF(AND(ISERROR(FIND("door",A111))=FALSE,WardrobeDoorStyle="Flat"),(((B111/1000)*(C111/1000))*2)+(MID(WardrobeDoorMaterial,FIND("(",WardrobeDoorMaterial)+1,2)/1000)*(((B111+C111)/1000)*2),IF(AND(ISERROR(FIND("door",A111))=FALSE,LEFT(WardrobeDoorStyle,5)="Panel"),(((B111/1000)*(C111/1000))*2)+((MID(WardrobeDoorMaterial,FIND("(",WardrobeDoorMaterial)+1,2)/1000)*(((B111+C111)/1000)*2))+(((((B111-160)+(C111-160))*2)/1000)*(0.013)),IF(AND(ISERROR(FIND("door",A111))=FALSE,WardrobeDoorStyle="In-frame flat"),((((B111-76)/1000)*((C111-38)/1000))*2)+(MID(WardrobeDoorMaterial,FIND("(",WardrobeDoorMaterial)+1,2)/1000)*((((B111-76)+(C111-38))/1000)*2)+(((B111/1000)*0.032)*2)+((((B111-76)/1000)*0.032)*2)+(((B111/1000)*0.019)*4)+(((C111/1000)*0.032)*2)+((((C111-38)/1000)*0.032)*2)+(((C111/1000)*0.038)*4),IF(AND(ISERROR(FIND("door",A111))=FALSE,LEFT(WardrobeDoorStyle,14)="In-frame panel"),((((B111-76)/1000)*((C111-38)/1000))*2)+((MID(WardrobeDoorMaterial,FIND("(",WardrobeDoorMaterial)+1,2)/1000)*((((B111-76)+(C111-38))/1000)*2))+((((B111-236)/1000)+((C111-198)/1000)*2)*0.013)+(((B111/1000)*0.032)*2)+((((B111-76)/1000)*0.032)*2)+(((B111/1000)*0.019)*4)+(((C111/1000)*0.032)*2)+((((C111-38)/1000)*0.032)*2)+(((C111/1000)*0.038)*4),IF(ISERROR(FIND("Plinth",A111))=FALSE,((B111/1000)*(C111/1000))+(((C111/1000)*0.018)*2)+(((B111/1000)*0.018)*2),IF(ISERROR(FIND("Cornice",A111))=FALSE,(((C111/1000)*0.1)*2)+(((C111/1000)*0.044)*2)+(((B111/1000)*0.08)*2),IF(ISERROR(FIND("Office pod",A111))=FALSE,((2400/1000)*(1200/1000))*6,IF(ISERROR(FIND("panel",A111))=FALSE,((B111/1000)*(C111/1000))+(0.022*((B111/1000)+((C111/1000)*2)))+((B111/1000)*0.05),IF(ISERROR(FIND("Fillers",A111))=FALSE,((C111/1000)*0.06)+((C111/1000)*0.069)+((0.06*0.018)*2)+((0.06*0.009)*2)+((C111/1000)*0.009)+((C111/1000)*0.018),IF(ISERROR(FIND("Pelmet",A111))=FALSE,((C111/1000)*0.05)+((C111/1000)*0.068)+((0.05*0.018)*4)+(((C111/1000)*0.018))*2)))))))))))))))))))))</f>
        <v/>
      </c>
      <c r="N111" s="152" t="str">
        <f>IF(M111="","",IF(AND(ISERROR(FIND("carcass",A111))=TRUE,ISERROR(FIND("unit",A111))=TRUE,ISERROR(FIND("insert",A111))=TRUE,ISERROR(FIND("rack",A111))=TRUE,ISERROR(FIND("box",A111))=TRUE,ISERROR(FIND("shelf",A111))=TRUE),VLOOKUP(WardrobeDoorFinish,Finishing!$A$2:$K$10,9,0)*M111,IF(ISERROR(FIND("table",A111))=FALSE,VLOOKUP("Sayerlack AF0072 Interior Clear Self-Sealer",FinishingData,9,FALSE)*M111,VLOOKUP(WardrobeCarcassFinish,Finishing!$A$2:$K$40,9,0)*M111)))</f>
        <v/>
      </c>
      <c r="O111" s="159"/>
      <c r="P111" s="159"/>
      <c r="Q111" s="152" t="str">
        <f>IF(OR(O111="",P111=""),"",((O111*X111)*(VLOOKUP("Workshop",Labour!$A$3:$E$20,4,0)/8))+((P111*AE111)*(VLOOKUP("Finishing",Labour!$A$3:$E$20,4,0)/8)))</f>
        <v/>
      </c>
      <c r="R111" s="152" t="str">
        <f t="shared" si="4"/>
        <v/>
      </c>
      <c r="S111" s="156" t="str">
        <f>IF(OR(O111="",P111=""),"",IF(OR(ISERROR(FIND("carcass",$A111))=FALSE,ISERROR(FIND("unit",$A111))=FALSE),VLOOKUP(WardrobeCarcassMaterial,FixedListsCarcassMaterial,2,0),0))</f>
        <v/>
      </c>
      <c r="T111" s="156" t="str">
        <f>IF(OR(O111="",P111=""),"",IF(ISERROR(FIND("door",$A111))=FALSE,VLOOKUP(WardrobeDoorStyle,FixedListsDoorStyle,2,0),0))</f>
        <v/>
      </c>
      <c r="U111" s="156" t="str">
        <f>IF(OR(O111="",P111=""),"",IF(ISERROR(FIND("door",$A111))=FALSE,VLOOKUP(WardrobeDoorMaterial,FixedListsDoorMaterial,2,0),0))</f>
        <v/>
      </c>
      <c r="V111" s="156" t="str">
        <f>IF(OR(O111="",P111=""),"",IF(ISERROR(FIND("drawer",$A111))=FALSE,VLOOKUP(WardrobeDrawerType,FixedListsDrawerType,2,0),0))</f>
        <v/>
      </c>
      <c r="W111" s="156" t="str">
        <f>IF(OR(O111="",P111=""),"",IF(S111&gt;0,VLOOKUP(WardrobeHandleType,FixedListsHandleType,2,FALSE),0))</f>
        <v/>
      </c>
      <c r="X111" s="156" t="str">
        <f t="shared" si="5"/>
        <v/>
      </c>
      <c r="Y111" s="156" t="str">
        <f>IF(OR(O111="",P111=""),"",IF(OR(ISERROR(FIND("carcass",$A111))=FALSE,ISERROR(FIND("unit",$A111))=FALSE),VLOOKUP(WardrobeCarcassMaterial,FixedListsCarcassMaterial,3,0),0))</f>
        <v/>
      </c>
      <c r="Z111" s="156" t="str">
        <f>IF(OR(O111="",P111=""),"",IF(ISERROR(FIND("door",$A111))=FALSE,VLOOKUP(WardrobeDoorStyle,FixedListsDoorStyle,3,0),0))</f>
        <v/>
      </c>
      <c r="AA111" s="156" t="str">
        <f>IF(OR(O111="",P111=""),"",IF(ISERROR(FIND("door",$A111))=FALSE,VLOOKUP(WardrobeDoorMaterial,FixedListsDoorMaterial,3,0),0))</f>
        <v/>
      </c>
      <c r="AB111" s="156" t="str">
        <f>IF(OR(O111="",P111=""),"",IF(ISERROR(FIND("drawer",$A111))=FALSE,VLOOKUP(WardrobeDrawerType,FixedListsDrawerType,3,0),0))</f>
        <v/>
      </c>
      <c r="AC111" s="156" t="str">
        <f>IF(OR(O111="",P111=""),"",IF(S111&gt;0,VLOOKUP(WardrobeHandleType,FixedListsHandleType,3,FALSE),0))</f>
        <v/>
      </c>
      <c r="AD111" s="156" t="str">
        <f>IF(OR(O111="",P111=""),"",IF(OR(ISERROR(FIND("carcass",$A111))=FALSE,ISERROR(FIND("unit",$A111))=FALSE),VLOOKUP(WardrobeCarcassFinish,FixedListsFinishes,3,0),IF(OR(ISERROR(FIND("door",$A111))=FALSE,ISERROR(FIND("Plinth",$A111))=FALSE,ISERROR(FIND("Cornice",$A111))=FALSE,ISERROR(FIND("Fillers",$A111))=FALSE,ISERROR(FIND("Pelmet",$A111))=FALSE,ISERROR(FIND("panel",$A111))=FALSE,ISERROR(FIND("post",$A111))=FALSE),VLOOKUP(WardrobeDoorFinish,FixedListsFinishes,3,0),IF(OR(ISERROR(FIND("drawer",$A111))=FALSE,ISERROR(FIND("insert",$A111))=FALSE,ISERROR(FIND("rck",$A111))=FALSE),VLOOKUP(WardrobeCarcassFinish,FixedListsFinishes,3,0),0))))</f>
        <v/>
      </c>
      <c r="AE111" s="156" t="str">
        <f t="shared" si="6"/>
        <v/>
      </c>
      <c r="AF111" s="157" t="str">
        <f>IF(AND(WardrobeHandleType="Channel",OR(ISERROR(FIND("arcass",$A111))=FALSE,ISERROR(FIND("unit",$A111))=FALSE)),IF(ISERROR(FIND("Tower",$A111))=TRUE,IF(WardrobeHandleFinish="Match carcass",IF(ISERROR(FIND("Walnut",WardrobeCarcassMaterial))=FALSE,(0.035*0.075*($C111/1000))*VLOOKUP("Walnut (solid m3)",SolidData,4,FALSE),IF(ISERROR(FIND("Oak",WardrobeCarcassMaterial))=FALSE,(0.035*0.075*($C111/1000))*VLOOKUP("Oak (solid m3)",SolidData,4,FALSE),IF(ISERROR(FIND("ply",WardrobeCarcassMaterial))=FALSE,(0.1*($C111/1000))*VLOOKUP("Birch ply (24mm)",SheetsData,7,FALSE),IF(ISERROR(FIND("H/F",WardrobeCarcassMaterial))=FALSE,(0.1*($C111/1000))*VLOOKUP("H/F (22mm)",SheetsData,7,FALSE),"Carcass - not tower - new material")))),IF(WardrobeHandleFinish="Match door",IF(ISERROR(FIND("Walnut",WardrobeDoorMaterial))=FALSE,(0.035*0.075*($C111/1000))*VLOOKUP("Walnut (solid m3)",SolidData,4,FALSE),IF(ISERROR(FIND("Oak",WardrobeDoorMaterial))=FALSE,(0.035*0.075*($C111/1000))*VLOOKUP("Oak (solid m3)",SolidData,4,FALSE),IF(ISERROR(FIND("ply",WardrobeDoorMaterial))=FALSE,(0.1*($C111/1000))*VLOOKUP("Birch ply (24mm)",SheetsData,7,FALSE),IF(ISERROR(FIND("H/F",WardrobeCarcassMaterial))=FALSE,(0.1*($C111/1000))*VLOOKUP("H/F (22mm)",SheetsData,7,FALSE),"Door - not tower - new material")))),"Channel - not tower - handle set to other")),IF(ISERROR(FIND("Tower",$A111))=FALSE,IF(WardrobeHandleFinish="Match carcass",IF(ISERROR(FIND("Walnut",WardrobeCarcassMaterial))=FALSE,(0.035*0.075*($B111/1000))*VLOOKUP("Walnut (solid m3)",SolidData,4,FALSE),IF(ISERROR(FIND("Oak",WardrobeCarcassMaterial))=FALSE,(0.035*0.075*($B111/1000))*VLOOKUP("Oak (solid m3)",SolidData,4,FALSE),IF(ISERROR(FIND("ply",WardrobeCarcassMaterial))=FALSE,(0.1*($B111/1000))*VLOOKUP("Birch ply (24mm)",SheetsData,7,FALSE),IF(ISERROR(FIND("H/F",WardrobeCarcassMaterial))=FALSE,(0.1*($C111/1000))*VLOOKUP("H/F (22mm)",SheetsData,7,FALSE),"Carcass - tower - new material")))),IF(WardrobeHandleFinish="Match door",IF(ISERROR(FIND("Walnut",WardrobeDoorMaterial))=FALSE,(0.035*0.075*($B111/1000))*VLOOKUP("Walnut (solid m3)",SolidData,4,FALSE),IF(ISERROR(FIND("Oak",WardrobeDoorMaterial))=FALSE,(0.035*0.075*($B111/1000))*VLOOKUP("Oak (solid m3)",SolidData,4,FALSE),IF(ISERROR(FIND("ply",WardrobeDoorMaterial))=FALSE,(0.1*($B111/1000))*VLOOKUP("Birch ply (24mm)",SheetData,7,FALSE),IF(ISERROR(FIND("H/F",WardrobeCarcassMaterial))=FALSE,(0.1*($C111/1000))*VLOOKUP("H/F (22mm)",SheetsData,7,FALSE),"Door - tower - new material")))),"Channel - tower - handle set to other")))),"")</f>
        <v/>
      </c>
    </row>
    <row r="112">
      <c r="A112" s="150"/>
      <c r="B112" s="160" t="str">
        <f t="shared" si="1"/>
        <v/>
      </c>
      <c r="C112" s="160" t="str">
        <f>IFERROR(__xludf.DUMMYFUNCTION("IF(A112="""","""",IF(ISERROR(FIND(""arcass"",A112))=FALSE,MID(A112,FIND(""*"",A112)+1,FIND(""*"",A112,FIND(""*"",A112)+1)-FIND(""*"",A112)-1),IF(ISERROR(FIND(""End panel"",A112))=FALSE,RIGHT(A112,3),IF(OR(ISERROR(FIND(""drawer"",A112))=FALSE,ISERROR(FIND("&amp;"""door"",A112))=FALSE,ISERROR(FIND(""shelf"",A112))=FALSE,ISERROR(FIND(""panel"",A112))=FALSE,ISERROR(FIND(""Plinth"",A112))=FALSE,ISERROR(FIND(""Cornice"",A112))=FALSE,ISERROR(FIND(""Fillers"",A112))=FALSE,ISERROR(FIND(""Pelmet"",A112))=FALSE,ISERROR(FIN"&amp;"D(""Fireplace up to 1600"",A112))=FALSE),RIGHT(A112,LEN(A112)-LEN(regexextract(A112,"".* ""))),IF(ISERROR(FIND(""table"",A112))=FALSE,""560"",IF(ISERROR(FIND(""Office pod"",A112))=FALSE,""1600"",IF(ISERROR(FIND(""Fireplace over 1600"",A112))=FALSE,""2400"&amp;""",IF(ISERROR(FIND(""Worktop"",A112))=FALSE,""650"",""Whoops""))))))))"),"")</f>
        <v/>
      </c>
      <c r="D112" s="161" t="str">
        <f t="shared" si="2"/>
        <v/>
      </c>
      <c r="E112" s="152" t="str">
        <f>IF(OR(A112="",AND(ISERROR(FIND("drawer",A112))=FALSE,WardrobeDrawerType="")),"",IF(ISERROR(FIND("door",A112))=FALSE,IF(WardrobeDoorStyle="Flat",((B112/1000)*(C112/1000))*VLOOKUP(WardrobeDoorMaterial,SheetsData,8,0),IF(LEFT(WardrobeDoorStyle,5)="Panel",(((((B112/1000)*2)*0.08)+((((C112/1000)-0.16)*2)*0.08))*VLOOKUP("H/F (22mm)",SheetsData,8,0))+(((B112/1000)-0.14)*((C112/1000)-0.14)*VLOOKUP("H/F (9mm)",SheetsData,8,0)),IF(WardrobeDoorStyle="In-frame flat",((((((B112/1000)*0.019)*0.038)+((((C112-38)/1000)*0.038)*0.038))*2)*VLOOKUP("Tulip (solid m3)",SolidData,4,0))+(((B112-76)/1000)*((C112-38)/1000))*VLOOKUP("H/F (22mm)",SheetsData,8,0),IF(LEFT(WardrobeDoorStyle,14)="In-frame panel",(((((((B112/1000)*0.019)*0.038)+((((C112-38)/1000)*0.038)*0.038))*2)*VLOOKUP("Tulip (solid m3)",SolidData,4,0))+(((((((B112-76)/1000)*2)*0.08)+(((((C112-198)/1000)*2)*0.08)))*VLOOKUP("H/F (22mm)",SheetsData,8,0))+(((B112-216)/1000)*((C112-178)/1000)*VLOOKUP("H/F (9mm)",SheetsData,8,0)))))))),IF(AND(ISERROR(FIND("arcass",A112))=FALSE,ISERROR(FIND("ost corner",A112))=TRUE),IF(AND(VALUE(B112)&lt;1211,VALUE(C112)&lt;1211,VALUE(D112)&lt;606),1*VLOOKUP(WardrobeCarcassMaterial,SheetsData,5,FALSE),IF(AND(VALUE(B112)&lt;2421,VALUE(C112)&lt;2421,VALUE(D112)&lt;606),2*VLOOKUP(WardrobeCarcassMaterial,SheetsData,5,FALSE),IF(AND(VALUE(B112)&lt;2421,VALUE(C112)&lt;1211,VALUE(D112)&lt;1211),3*VLOOKUP(WardrobeCarcassMaterial,SheetsData,5,FALSE),IF(AND(VALUE(B112)&lt;2421,VALUE(C112)&lt;2421,VALUE(D112)&lt;1211),4*VLOOKUP(WardrobeCarcassMaterial,SheetsData,5,FALSE))))),IF(AND(ISERROR(FIND("arcass",A112))=FALSE,ISERROR(FIND("ost corner",A112))=FALSE),IF(AND(VALUE(B112)&lt;1211,VALUE(C112)&lt;1211,VALUE(D112)&lt;606),(1*VLOOKUP(WardrobeCarcassMaterial,SheetsData,5,FALSE))+(VLOOKUP("H/F (22mm)",SheetsData,7,FALSE)*1.44),IF(AND(VALUE(B112)&lt;2421,VALUE(C112)&lt;2421,VALUE(D112)&lt;606),(2*VLOOKUP(WardrobeCarcassMaterial,SheetsData,5,FALSE))+(VLOOKUP("H/F (22mm)",SheetsData,7,FALSE)*1.44),IF(AND(VALUE(B112)&lt;2421,VALUE(C112)&lt;1211,VALUE(D112)&lt;1211),(3*VLOOKUP(WardrobeCarcassMaterial,SheetsData,5,FALSE))+(VLOOKUP("H/F (22mm)",SheetsData,7,FALSE)*1.44),IF(AND(VALUE(B112)&lt;2421,VALUE(C112)&lt;2421,VALUE(D112)&lt;1211),(4*VLOOKUP(WardrobeCarcassMaterial,SheetsData,5,FALSE))+(VLOOKUP("H/F (22mm)",SheetsData,7,FALSE)*1.44))))),IF(ISERROR(FIND("drawer front",A112))=FALSE,((B112/1000)*(C112/1000))*VLOOKUP(WardrobeDoorMaterial,SheetsData,8,0),IF(AND(WardrobeDrawerType="Match carcass",ISERROR(FIND("drawer box",A112))=FALSE),(((((B112/1000)*(C112/1000))+((B112/1000)*(D112/1000)))*2)*VLOOKUP(WardrobeCarcassMaterial,SheetsData,8,0))+(((C112/1000)*(D112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box",A112))=FALSE),(((((B112/1000)*(C112/1000))+((B112/1000)*(D112/1000)))*2)*(16/1000)*VLOOKUP(LEFT(WardrobeCarcassMaterial,FIND(" ",WardrobeCarcassMaterial))&amp;"(solid m3)",SolidData,4,0))+(((C112/1000)*(D112/1000))*VLOOKUP(LEFT(WardrobeCarcassMaterial,FIND("(",WardrobeCarcassMaterial)-1)&amp;IF(OR(ISERROR(FIND("ply",WardrobeCarcassMaterial))=FALSE,ISERROR(FIND("H/F",WardrobeCarcassMaterial))=FALSE),"(9mm)","(10mm)"),SheetsData,8,0)),IF(ISERROR(FIND("shelf",A112))=FALSE,((C112/1000)*(D112/1000))*VLOOKUP(WardrobeCarcassMaterial,SheetsData,7,FALSE),IF(ISERROR(FIND("Office pod",A112))=FALSE,3*VLOOKUP(WardrobeCarcassMaterial,SheetsData,5,0),IF(ISERROR(FIND(" panel",A112))=FALSE,((B112/1000)*(C112/1000))*VLOOKUP(WardrobeDoorMaterial,SheetsData,8,0),IF(ISERROR(FIND("Fillers",A112))=FALSE,(((0.06*(C112/1000))*2)*VLOOKUP("H/F (18mm)",SheetsData,8,0))+(((0.06*(C112/1000))*2)*VLOOKUP("H/F (9mm)",SheetsData,8,0)),IF(ISERROR(FIND("Cornice (stacked)",A112))=FALSE,((0.08*(C112/1000))*2)*VLOOKUP("H/F (22mm)",SheetsData,8,0),IF(OR(ISERROR(FIND("Plinth",A112))=FALSE,ISERROR(FIND("Cornice (flat)",A112))=FALSE),((B112/1000)*(C112/1000))*VLOOKUP("H/F (18mm)",SheetsData,8,0),IF(ISERROR(FIND("Pelmet",A112))=FALSE,((((B112/1000)*(C112/1000))*2)*VLOOKUP("H/F (18mm)",SheetsData,8,0)),IF(ISERROR(FIND("Fireplace",A112))=FALSE,IF(ISERROR(FIND("over 1600",A112))=FALSE,2*VLOOKUP(WardrobeCarcassMaterial,SheetsData,5,FALSE),VLOOKUP(WardrobeCarcassMaterial,SheetsData,5,FALSE)),IF(ISERROR(FIND("table",A112))=FALSE,((B112/1000)*0.6)*VLOOKUP("Birch ply (24mm)",SheetsData,7,FALSE),IF(ISERROR(FIND("Worktop",A112))=FALSE,((B112/1000)*(C112/1000))*VLOOKUP(WardrobeDoorMaterial,SheetsData,7,FALSE),"Check formula")))))))))))))))))</f>
        <v/>
      </c>
      <c r="F112" s="152" t="str">
        <f>IFERROR(__xludf.DUMMYFUNCTION("IF(OR(A112="""",AND(ISERROR(FIND(""drawer box"",A112))=FALSE,WardrobeDrawerType=""Solid dovetail"")),"""",IF(ISERROR(FIND(""bins"",A112))=FALSE,VLOOKUP(""Base carcass 600"",Wardrobes_etcData,6,0),IF(OR(ISERROR(FIND(""larder"",A112))=FALSE,ISERROR(FIND(""u"&amp;"nit"",A112))=FALSE),VLOOKUP(LEFT(A112,FIND("" "",A112))&amp;""carcass ""&amp;RIGHT(A112,LEN(A112)-len(regexextract(A112,"".* ""))),Wardrobes_etcData,6,0),IF(ISERROR(FIND(""drawer front"",A112))=FALSE,IF(ISERROR(FIND(""veneer"",WardrobeCarcassMaterial))=TRUE,0,((("&amp;"B112+C112)/1000)*2)*VLOOKUP(""Edge banding (per M)"",SheetsData,5,0)),IF(ISERROR(FIND(""drawer box"",A112))=FALSE,IF(ISERROR(FIND(""veneer"",WardrobeCarcassMaterial))=TRUE,0,(((C112+D112)/1000)*2)*VLOOKUP(""Edge banding (per M)"",SheetsData,5,0)),IF(ISERR"&amp;"OR(FIND(""shelf"",A112))=FALSE,IF(ISERROR(FIND(""veneer"",WardrobeCarcassMaterial))=TRUE,0,(C112/1000)*VLOOKUP(""Edge banding (per M)"",SheetsData,5,0)),IF(AND(OR(ISERROR(FIND(""arcass"",A112))=FALSE,ISERROR(FIND(""Fireplace"",A112))=FALSE),ISERROR(FIND("&amp;"""shelf"",A112))=TRUE),IF(ISERROR(FIND(""veneer"",WardrobeCarcassMaterial))=TRUE,0,((2*(B112+C112))/1000)*VLOOKUP(""Edge banding (per M)"",SheetsData,5,0)),IF(ISERROR(FIND(""door"",A112))=TRUE,"""",IF(ISERROR(FIND(""veneer"",WardrobeDoorMaterial))=TRUE,"""&amp;""",((2*(B112+C112))/1000)*VLOOKUP(""Edge banding (per M)"",SheetsData,5,0))))))))))"),"")</f>
        <v/>
      </c>
      <c r="G112" s="153" t="str">
        <f>IF(A112="","",IF(AND(ISERROR(FIND("arcass",A112))=TRUE,ISERROR(FIND("Fireplace",A112))=TRUE),"",IF(VALUE(C112)&lt;606,4*VLOOKUP("Plinth foot (2 Parts 80mm)",FurnitureData,5,FALSE),IF(VALUE(C112)&lt;1211,6*VLOOKUP("Plinth foot (2 Parts 80mm)",FurnitureData,5,FALSE),8*VLOOKUP("Plinth foot (2 Parts 80mm)",FurnitureData,5,FALSE)))))</f>
        <v/>
      </c>
      <c r="H112" s="115" t="str">
        <f>IF(OR(A112="",ISERROR(FIND("door",A112))=TRUE),"",VLOOKUP("Hinges &amp; plates (Hettich thick door)",FurnitureData,5,0)*5)</f>
        <v/>
      </c>
      <c r="I112" s="115" t="str">
        <f>IF(ISERROR(FIND("shelf",A112))=FALSE,(VLOOKUP("Shelf pegs",FurnitureData,5,0)/100)*4,"")</f>
        <v/>
      </c>
      <c r="J112" s="152" t="str">
        <f>IF(OR(ISERROR(FIND("fridge/freezer",A112))=FALSE,ISERROR(FIND("sink",A112))=FALSE,ISERROR(FIND("larder",A112))=FALSE),VLOOKUP("Deep shelf "&amp;C112,Wardrobes_etcData,18,0),IF(OR(ISERROR(FIND("single oven",A112))=FALSE,ISERROR(FIND("Base carcass",A112))=FALSE),2*VLOOKUP("Deep shelf "&amp;C112,Wardrobes_etcData,18,0),IF(AND(ISERROR(FIND("wall carcass",A112))=FALSE,ISERROR(FIND("Boiler",A112))=TRUE),2*VLOOKUP("Shallow shelf "&amp;C112,Wardrobes_etcData,18,0),IF(ISERROR(FIND("double oven",A112))=FALSE,3*VLOOKUP("Deep shelf "&amp;C112,Wardrobes_etcData,18,0),IF(ISERROR(FIND("Tower carcass",A112))=FALSE,6*VLOOKUP("Deep shelf "&amp;C112,Wardrobes_etcData,18,0),"")))))</f>
        <v/>
      </c>
      <c r="K112" s="152" t="str">
        <f>IF(ISERROR(FIND("sink",A112))=FALSE,VLOOKUP("Sink liner - Aluminium "&amp;RIGHT(A112,LEN(A112)-22)&amp;"mm",ExceptionalData,5,0),IF(ISERROR(FIND("bins",A112))=FALSE,VLOOKUP("Drawer runners and clip set for bin unit (500) Dynapro",FurnitureData,5,0)+(2*VLOOKUP("Bin (42L Anthracite)",FurnitureData,5,0)),IF(ISERROR(FIND("larder",A112))=FALSE,VLOOKUP("Pull out larder unit 600mm",FurnitureData,5,0),IF(AND(ISERROR(FIND("drawer box",A112))=FALSE,ISERROR(FIND("internal",A112))=TRUE),VLOOKUP("Drawer runners and clip set (550) Dynapro",FurnitureData,5,0),IF(ISERROR(FIND("internal drawer box",A112))=FALSE,VLOOKUP("Drawer runners and clip set (450) Dynapro",FurnitureData,5,0),IF(ISERROR(FIND("table",A112))=FALSE,VLOOKUP("Hairpin Leg (12mm Black "&amp;MID(A112,FIND("(",A112)+1,LEN(A112)-(FIND("(",A112))-1)&amp;"mm)",ExceptionalData,4,FALSE),""))))))</f>
        <v/>
      </c>
      <c r="L112" s="152" t="str">
        <f t="shared" si="3"/>
        <v/>
      </c>
      <c r="M112" s="154" t="str">
        <f>IF(A112="","",IF(AND(ISERROR(FIND("drawer front",A112))=FALSE,WardrobeDoorStyle="Flat"),(((B112/1000)*(C112/1000))*2)+((((B112+C112)/1000)*2)*0.022),IF(AND(ISERROR(FIND("drawer front",A112))=FALSE,LEFT(WardrobeDoorStyle,5)="Panel"),(((B112/1000)*(C112/1000))*2)+((((B112+C112)/1000)*2)*0.022)+((((C112/1000)-0.16)*0.013)*2)+((((D112/1000)-0.16)*0.013)*2),IF(AND(ISERROR(FIND("drawer front",A112))=FALSE,WardrobeDoorStyle="In-frame flat"),((((B112-76)/1000)*((C112-38)/1000))*2)+(MID(WardrobeDoorMaterial,FIND("(",WardrobeDoorMaterial)+1,2)/1000)*((((B112-76)+(C112-38))/1000)*2)+(((B112/1000)*0.032)*2)+((((B112-76)/1000)*0.032)*2)+(((B112/1000)*0.019)*4)+(((C112/1000)*0.032)*2)+((((C112-38)/1000)*0.032)*2)+(((C112/1000)*0.038)*4),IF(AND(ISERROR(FIND("drawer front",A112))=FALSE,LEFT(WardrobeDoorStyle,14)="In-frame panel"),((((B112-76)/1000)*((C112-38)/1000))*2)+((MID(WardrobeDoorMaterial,FIND("(",WardrobeDoorMaterial)+1,2)/1000)*((((B112-76)+(C112-38))/1000)*2))+((((B112-236)/1000)+((C112-198)/1000)*2)*0.013)+(((B112/1000)*0.032)*2)+((((B112-76)/1000)*0.032)*2)+(((B112/1000)*0.019)*4)+(((C112/1000)*0.032)*2)+((((C112-38)/1000)*0.032)*2)+(((C112/1000)*0.038)*4),IF(ISERROR(FIND("drawer box",A112))=FALSE,((((B112/1000)*(D112/1000))+((B112/1000)*(C112/1000)))*4)+((((D112/1000)+(C112/1000))*0.016)*4)+(((C112/1000)*(D112/1000))*2),IF(OR(ISERROR(FIND("shelf",A112))=FALSE,ISERROR(FIND("Filler panel",A112))=FALSE),(((C112/1000)*(D112/1000))*2)+((((C112+D112)*2)/1000)*0.022),IF(ISERROR(FIND("Fireplace",A112))=FALSE,((B112/1000)*(C112/1000)),IF(ISERROR(FIND("Worktop",A112))=FALSE,(B112/1000)*(C112/1000),IF(ISERROR(FIND("table",A112))=FALSE,(B112/1000)*0.6,IF(ISERROR(FIND("arcass",A112))=FALSE,(((C112/1000)*(D112/1000))*2)+(((B112/1000)*(D112/1000))*2)+((B112/1000)*(C112/1000))+((((B112/1000)*0.025)+((C112/1000)*0.025))*2),IF(AND(ISERROR(FIND("door",A112))=FALSE,WardrobeDoorStyle="Flat"),(((B112/1000)*(C112/1000))*2)+(MID(WardrobeDoorMaterial,FIND("(",WardrobeDoorMaterial)+1,2)/1000)*(((B112+C112)/1000)*2),IF(AND(ISERROR(FIND("door",A112))=FALSE,LEFT(WardrobeDoorStyle,5)="Panel"),(((B112/1000)*(C112/1000))*2)+((MID(WardrobeDoorMaterial,FIND("(",WardrobeDoorMaterial)+1,2)/1000)*(((B112+C112)/1000)*2))+(((((B112-160)+(C112-160))*2)/1000)*(0.013)),IF(AND(ISERROR(FIND("door",A112))=FALSE,WardrobeDoorStyle="In-frame flat"),((((B112-76)/1000)*((C112-38)/1000))*2)+(MID(WardrobeDoorMaterial,FIND("(",WardrobeDoorMaterial)+1,2)/1000)*((((B112-76)+(C112-38))/1000)*2)+(((B112/1000)*0.032)*2)+((((B112-76)/1000)*0.032)*2)+(((B112/1000)*0.019)*4)+(((C112/1000)*0.032)*2)+((((C112-38)/1000)*0.032)*2)+(((C112/1000)*0.038)*4),IF(AND(ISERROR(FIND("door",A112))=FALSE,LEFT(WardrobeDoorStyle,14)="In-frame panel"),((((B112-76)/1000)*((C112-38)/1000))*2)+((MID(WardrobeDoorMaterial,FIND("(",WardrobeDoorMaterial)+1,2)/1000)*((((B112-76)+(C112-38))/1000)*2))+((((B112-236)/1000)+((C112-198)/1000)*2)*0.013)+(((B112/1000)*0.032)*2)+((((B112-76)/1000)*0.032)*2)+(((B112/1000)*0.019)*4)+(((C112/1000)*0.032)*2)+((((C112-38)/1000)*0.032)*2)+(((C112/1000)*0.038)*4),IF(ISERROR(FIND("Plinth",A112))=FALSE,((B112/1000)*(C112/1000))+(((C112/1000)*0.018)*2)+(((B112/1000)*0.018)*2),IF(ISERROR(FIND("Cornice",A112))=FALSE,(((C112/1000)*0.1)*2)+(((C112/1000)*0.044)*2)+(((B112/1000)*0.08)*2),IF(ISERROR(FIND("Office pod",A112))=FALSE,((2400/1000)*(1200/1000))*6,IF(ISERROR(FIND("panel",A112))=FALSE,((B112/1000)*(C112/1000))+(0.022*((B112/1000)+((C112/1000)*2)))+((B112/1000)*0.05),IF(ISERROR(FIND("Fillers",A112))=FALSE,((C112/1000)*0.06)+((C112/1000)*0.069)+((0.06*0.018)*2)+((0.06*0.009)*2)+((C112/1000)*0.009)+((C112/1000)*0.018),IF(ISERROR(FIND("Pelmet",A112))=FALSE,((C112/1000)*0.05)+((C112/1000)*0.068)+((0.05*0.018)*4)+(((C112/1000)*0.018))*2)))))))))))))))))))))</f>
        <v/>
      </c>
      <c r="N112" s="152" t="str">
        <f>IF(M112="","",IF(AND(ISERROR(FIND("carcass",A112))=TRUE,ISERROR(FIND("unit",A112))=TRUE,ISERROR(FIND("insert",A112))=TRUE,ISERROR(FIND("rack",A112))=TRUE,ISERROR(FIND("box",A112))=TRUE,ISERROR(FIND("shelf",A112))=TRUE),VLOOKUP(WardrobeDoorFinish,Finishing!$A$2:$K$10,9,0)*M112,IF(ISERROR(FIND("table",A112))=FALSE,VLOOKUP("Sayerlack AF0072 Interior Clear Self-Sealer",FinishingData,9,FALSE)*M112,VLOOKUP(WardrobeCarcassFinish,Finishing!$A$2:$K$40,9,0)*M112)))</f>
        <v/>
      </c>
      <c r="O112" s="159"/>
      <c r="P112" s="159"/>
      <c r="Q112" s="152" t="str">
        <f>IF(OR(O112="",P112=""),"",((O112*X112)*(VLOOKUP("Workshop",Labour!$A$3:$E$20,4,0)/8))+((P112*AE112)*(VLOOKUP("Finishing",Labour!$A$3:$E$20,4,0)/8)))</f>
        <v/>
      </c>
      <c r="R112" s="152" t="str">
        <f t="shared" si="4"/>
        <v/>
      </c>
      <c r="S112" s="156" t="str">
        <f>IF(OR(O112="",P112=""),"",IF(OR(ISERROR(FIND("carcass",$A112))=FALSE,ISERROR(FIND("unit",$A112))=FALSE),VLOOKUP(WardrobeCarcassMaterial,FixedListsCarcassMaterial,2,0),0))</f>
        <v/>
      </c>
      <c r="T112" s="156" t="str">
        <f>IF(OR(O112="",P112=""),"",IF(ISERROR(FIND("door",$A112))=FALSE,VLOOKUP(WardrobeDoorStyle,FixedListsDoorStyle,2,0),0))</f>
        <v/>
      </c>
      <c r="U112" s="156" t="str">
        <f>IF(OR(O112="",P112=""),"",IF(ISERROR(FIND("door",$A112))=FALSE,VLOOKUP(WardrobeDoorMaterial,FixedListsDoorMaterial,2,0),0))</f>
        <v/>
      </c>
      <c r="V112" s="156" t="str">
        <f>IF(OR(O112="",P112=""),"",IF(ISERROR(FIND("drawer",$A112))=FALSE,VLOOKUP(WardrobeDrawerType,FixedListsDrawerType,2,0),0))</f>
        <v/>
      </c>
      <c r="W112" s="156" t="str">
        <f>IF(OR(O112="",P112=""),"",IF(S112&gt;0,VLOOKUP(WardrobeHandleType,FixedListsHandleType,2,FALSE),0))</f>
        <v/>
      </c>
      <c r="X112" s="156" t="str">
        <f t="shared" si="5"/>
        <v/>
      </c>
      <c r="Y112" s="156" t="str">
        <f>IF(OR(O112="",P112=""),"",IF(OR(ISERROR(FIND("carcass",$A112))=FALSE,ISERROR(FIND("unit",$A112))=FALSE),VLOOKUP(WardrobeCarcassMaterial,FixedListsCarcassMaterial,3,0),0))</f>
        <v/>
      </c>
      <c r="Z112" s="156" t="str">
        <f>IF(OR(O112="",P112=""),"",IF(ISERROR(FIND("door",$A112))=FALSE,VLOOKUP(WardrobeDoorStyle,FixedListsDoorStyle,3,0),0))</f>
        <v/>
      </c>
      <c r="AA112" s="156" t="str">
        <f>IF(OR(O112="",P112=""),"",IF(ISERROR(FIND("door",$A112))=FALSE,VLOOKUP(WardrobeDoorMaterial,FixedListsDoorMaterial,3,0),0))</f>
        <v/>
      </c>
      <c r="AB112" s="156" t="str">
        <f>IF(OR(O112="",P112=""),"",IF(ISERROR(FIND("drawer",$A112))=FALSE,VLOOKUP(WardrobeDrawerType,FixedListsDrawerType,3,0),0))</f>
        <v/>
      </c>
      <c r="AC112" s="156" t="str">
        <f>IF(OR(O112="",P112=""),"",IF(S112&gt;0,VLOOKUP(WardrobeHandleType,FixedListsHandleType,3,FALSE),0))</f>
        <v/>
      </c>
      <c r="AD112" s="156" t="str">
        <f>IF(OR(O112="",P112=""),"",IF(OR(ISERROR(FIND("carcass",$A112))=FALSE,ISERROR(FIND("unit",$A112))=FALSE),VLOOKUP(WardrobeCarcassFinish,FixedListsFinishes,3,0),IF(OR(ISERROR(FIND("door",$A112))=FALSE,ISERROR(FIND("Plinth",$A112))=FALSE,ISERROR(FIND("Cornice",$A112))=FALSE,ISERROR(FIND("Fillers",$A112))=FALSE,ISERROR(FIND("Pelmet",$A112))=FALSE,ISERROR(FIND("panel",$A112))=FALSE,ISERROR(FIND("post",$A112))=FALSE),VLOOKUP(WardrobeDoorFinish,FixedListsFinishes,3,0),IF(OR(ISERROR(FIND("drawer",$A112))=FALSE,ISERROR(FIND("insert",$A112))=FALSE,ISERROR(FIND("rck",$A112))=FALSE),VLOOKUP(WardrobeCarcassFinish,FixedListsFinishes,3,0),0))))</f>
        <v/>
      </c>
      <c r="AE112" s="156" t="str">
        <f t="shared" si="6"/>
        <v/>
      </c>
      <c r="AF112" s="157" t="str">
        <f>IF(AND(WardrobeHandleType="Channel",OR(ISERROR(FIND("arcass",$A112))=FALSE,ISERROR(FIND("unit",$A112))=FALSE)),IF(ISERROR(FIND("Tower",$A112))=TRUE,IF(WardrobeHandleFinish="Match carcass",IF(ISERROR(FIND("Walnut",WardrobeCarcassMaterial))=FALSE,(0.035*0.075*($C112/1000))*VLOOKUP("Walnut (solid m3)",SolidData,4,FALSE),IF(ISERROR(FIND("Oak",WardrobeCarcassMaterial))=FALSE,(0.035*0.075*($C112/1000))*VLOOKUP("Oak (solid m3)",SolidData,4,FALSE),IF(ISERROR(FIND("ply",WardrobeCarcassMaterial))=FALSE,(0.1*($C112/1000))*VLOOKUP("Birch ply (24mm)",SheetsData,7,FALSE),IF(ISERROR(FIND("H/F",WardrobeCarcassMaterial))=FALSE,(0.1*($C112/1000))*VLOOKUP("H/F (22mm)",SheetsData,7,FALSE),"Carcass - not tower - new material")))),IF(WardrobeHandleFinish="Match door",IF(ISERROR(FIND("Walnut",WardrobeDoorMaterial))=FALSE,(0.035*0.075*($C112/1000))*VLOOKUP("Walnut (solid m3)",SolidData,4,FALSE),IF(ISERROR(FIND("Oak",WardrobeDoorMaterial))=FALSE,(0.035*0.075*($C112/1000))*VLOOKUP("Oak (solid m3)",SolidData,4,FALSE),IF(ISERROR(FIND("ply",WardrobeDoorMaterial))=FALSE,(0.1*($C112/1000))*VLOOKUP("Birch ply (24mm)",SheetsData,7,FALSE),IF(ISERROR(FIND("H/F",WardrobeCarcassMaterial))=FALSE,(0.1*($C112/1000))*VLOOKUP("H/F (22mm)",SheetsData,7,FALSE),"Door - not tower - new material")))),"Channel - not tower - handle set to other")),IF(ISERROR(FIND("Tower",$A112))=FALSE,IF(WardrobeHandleFinish="Match carcass",IF(ISERROR(FIND("Walnut",WardrobeCarcassMaterial))=FALSE,(0.035*0.075*($B112/1000))*VLOOKUP("Walnut (solid m3)",SolidData,4,FALSE),IF(ISERROR(FIND("Oak",WardrobeCarcassMaterial))=FALSE,(0.035*0.075*($B112/1000))*VLOOKUP("Oak (solid m3)",SolidData,4,FALSE),IF(ISERROR(FIND("ply",WardrobeCarcassMaterial))=FALSE,(0.1*($B112/1000))*VLOOKUP("Birch ply (24mm)",SheetsData,7,FALSE),IF(ISERROR(FIND("H/F",WardrobeCarcassMaterial))=FALSE,(0.1*($C112/1000))*VLOOKUP("H/F (22mm)",SheetsData,7,FALSE),"Carcass - tower - new material")))),IF(WardrobeHandleFinish="Match door",IF(ISERROR(FIND("Walnut",WardrobeDoorMaterial))=FALSE,(0.035*0.075*($B112/1000))*VLOOKUP("Walnut (solid m3)",SolidData,4,FALSE),IF(ISERROR(FIND("Oak",WardrobeDoorMaterial))=FALSE,(0.035*0.075*($B112/1000))*VLOOKUP("Oak (solid m3)",SolidData,4,FALSE),IF(ISERROR(FIND("ply",WardrobeDoorMaterial))=FALSE,(0.1*($B112/1000))*VLOOKUP("Birch ply (24mm)",SheetData,7,FALSE),IF(ISERROR(FIND("H/F",WardrobeCarcassMaterial))=FALSE,(0.1*($C112/1000))*VLOOKUP("H/F (22mm)",SheetsData,7,FALSE),"Door - tower - new material")))),"Channel - tower - handle set to other")))),"")</f>
        <v/>
      </c>
    </row>
    <row r="113">
      <c r="A113" s="150"/>
      <c r="B113" s="160" t="str">
        <f t="shared" si="1"/>
        <v/>
      </c>
      <c r="C113" s="160" t="str">
        <f>IFERROR(__xludf.DUMMYFUNCTION("IF(A113="""","""",IF(ISERROR(FIND(""arcass"",A113))=FALSE,MID(A113,FIND(""*"",A113)+1,FIND(""*"",A113,FIND(""*"",A113)+1)-FIND(""*"",A113)-1),IF(ISERROR(FIND(""End panel"",A113))=FALSE,RIGHT(A113,3),IF(OR(ISERROR(FIND(""drawer"",A113))=FALSE,ISERROR(FIND("&amp;"""door"",A113))=FALSE,ISERROR(FIND(""shelf"",A113))=FALSE,ISERROR(FIND(""panel"",A113))=FALSE,ISERROR(FIND(""Plinth"",A113))=FALSE,ISERROR(FIND(""Cornice"",A113))=FALSE,ISERROR(FIND(""Fillers"",A113))=FALSE,ISERROR(FIND(""Pelmet"",A113))=FALSE,ISERROR(FIN"&amp;"D(""Fireplace up to 1600"",A113))=FALSE),RIGHT(A113,LEN(A113)-LEN(regexextract(A113,"".* ""))),IF(ISERROR(FIND(""table"",A113))=FALSE,""560"",IF(ISERROR(FIND(""Office pod"",A113))=FALSE,""1600"",IF(ISERROR(FIND(""Fireplace over 1600"",A113))=FALSE,""2400"&amp;""",IF(ISERROR(FIND(""Worktop"",A113))=FALSE,""650"",""Whoops""))))))))"),"")</f>
        <v/>
      </c>
      <c r="D113" s="161" t="str">
        <f t="shared" si="2"/>
        <v/>
      </c>
      <c r="E113" s="152" t="str">
        <f>IF(OR(A113="",AND(ISERROR(FIND("drawer",A113))=FALSE,WardrobeDrawerType="")),"",IF(ISERROR(FIND("door",A113))=FALSE,IF(WardrobeDoorStyle="Flat",((B113/1000)*(C113/1000))*VLOOKUP(WardrobeDoorMaterial,SheetsData,8,0),IF(LEFT(WardrobeDoorStyle,5)="Panel",(((((B113/1000)*2)*0.08)+((((C113/1000)-0.16)*2)*0.08))*VLOOKUP("H/F (22mm)",SheetsData,8,0))+(((B113/1000)-0.14)*((C113/1000)-0.14)*VLOOKUP("H/F (9mm)",SheetsData,8,0)),IF(WardrobeDoorStyle="In-frame flat",((((((B113/1000)*0.019)*0.038)+((((C113-38)/1000)*0.038)*0.038))*2)*VLOOKUP("Tulip (solid m3)",SolidData,4,0))+(((B113-76)/1000)*((C113-38)/1000))*VLOOKUP("H/F (22mm)",SheetsData,8,0),IF(LEFT(WardrobeDoorStyle,14)="In-frame panel",(((((((B113/1000)*0.019)*0.038)+((((C113-38)/1000)*0.038)*0.038))*2)*VLOOKUP("Tulip (solid m3)",SolidData,4,0))+(((((((B113-76)/1000)*2)*0.08)+(((((C113-198)/1000)*2)*0.08)))*VLOOKUP("H/F (22mm)",SheetsData,8,0))+(((B113-216)/1000)*((C113-178)/1000)*VLOOKUP("H/F (9mm)",SheetsData,8,0)))))))),IF(AND(ISERROR(FIND("arcass",A113))=FALSE,ISERROR(FIND("ost corner",A113))=TRUE),IF(AND(VALUE(B113)&lt;1211,VALUE(C113)&lt;1211,VALUE(D113)&lt;606),1*VLOOKUP(WardrobeCarcassMaterial,SheetsData,5,FALSE),IF(AND(VALUE(B113)&lt;2421,VALUE(C113)&lt;2421,VALUE(D113)&lt;606),2*VLOOKUP(WardrobeCarcassMaterial,SheetsData,5,FALSE),IF(AND(VALUE(B113)&lt;2421,VALUE(C113)&lt;1211,VALUE(D113)&lt;1211),3*VLOOKUP(WardrobeCarcassMaterial,SheetsData,5,FALSE),IF(AND(VALUE(B113)&lt;2421,VALUE(C113)&lt;2421,VALUE(D113)&lt;1211),4*VLOOKUP(WardrobeCarcassMaterial,SheetsData,5,FALSE))))),IF(AND(ISERROR(FIND("arcass",A113))=FALSE,ISERROR(FIND("ost corner",A113))=FALSE),IF(AND(VALUE(B113)&lt;1211,VALUE(C113)&lt;1211,VALUE(D113)&lt;606),(1*VLOOKUP(WardrobeCarcassMaterial,SheetsData,5,FALSE))+(VLOOKUP("H/F (22mm)",SheetsData,7,FALSE)*1.44),IF(AND(VALUE(B113)&lt;2421,VALUE(C113)&lt;2421,VALUE(D113)&lt;606),(2*VLOOKUP(WardrobeCarcassMaterial,SheetsData,5,FALSE))+(VLOOKUP("H/F (22mm)",SheetsData,7,FALSE)*1.44),IF(AND(VALUE(B113)&lt;2421,VALUE(C113)&lt;1211,VALUE(D113)&lt;1211),(3*VLOOKUP(WardrobeCarcassMaterial,SheetsData,5,FALSE))+(VLOOKUP("H/F (22mm)",SheetsData,7,FALSE)*1.44),IF(AND(VALUE(B113)&lt;2421,VALUE(C113)&lt;2421,VALUE(D113)&lt;1211),(4*VLOOKUP(WardrobeCarcassMaterial,SheetsData,5,FALSE))+(VLOOKUP("H/F (22mm)",SheetsData,7,FALSE)*1.44))))),IF(ISERROR(FIND("drawer front",A113))=FALSE,((B113/1000)*(C113/1000))*VLOOKUP(WardrobeDoorMaterial,SheetsData,8,0),IF(AND(WardrobeDrawerType="Match carcass",ISERROR(FIND("drawer box",A113))=FALSE),(((((B113/1000)*(C113/1000))+((B113/1000)*(D113/1000)))*2)*VLOOKUP(WardrobeCarcassMaterial,SheetsData,8,0))+(((C113/1000)*(D113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box",A113))=FALSE),(((((B113/1000)*(C113/1000))+((B113/1000)*(D113/1000)))*2)*(16/1000)*VLOOKUP(LEFT(WardrobeCarcassMaterial,FIND(" ",WardrobeCarcassMaterial))&amp;"(solid m3)",SolidData,4,0))+(((C113/1000)*(D113/1000))*VLOOKUP(LEFT(WardrobeCarcassMaterial,FIND("(",WardrobeCarcassMaterial)-1)&amp;IF(OR(ISERROR(FIND("ply",WardrobeCarcassMaterial))=FALSE,ISERROR(FIND("H/F",WardrobeCarcassMaterial))=FALSE),"(9mm)","(10mm)"),SheetsData,8,0)),IF(ISERROR(FIND("shelf",A113))=FALSE,((C113/1000)*(D113/1000))*VLOOKUP(WardrobeCarcassMaterial,SheetsData,7,FALSE),IF(ISERROR(FIND("Office pod",A113))=FALSE,3*VLOOKUP(WardrobeCarcassMaterial,SheetsData,5,0),IF(ISERROR(FIND(" panel",A113))=FALSE,((B113/1000)*(C113/1000))*VLOOKUP(WardrobeDoorMaterial,SheetsData,8,0),IF(ISERROR(FIND("Fillers",A113))=FALSE,(((0.06*(C113/1000))*2)*VLOOKUP("H/F (18mm)",SheetsData,8,0))+(((0.06*(C113/1000))*2)*VLOOKUP("H/F (9mm)",SheetsData,8,0)),IF(ISERROR(FIND("Cornice (stacked)",A113))=FALSE,((0.08*(C113/1000))*2)*VLOOKUP("H/F (22mm)",SheetsData,8,0),IF(OR(ISERROR(FIND("Plinth",A113))=FALSE,ISERROR(FIND("Cornice (flat)",A113))=FALSE),((B113/1000)*(C113/1000))*VLOOKUP("H/F (18mm)",SheetsData,8,0),IF(ISERROR(FIND("Pelmet",A113))=FALSE,((((B113/1000)*(C113/1000))*2)*VLOOKUP("H/F (18mm)",SheetsData,8,0)),IF(ISERROR(FIND("Fireplace",A113))=FALSE,IF(ISERROR(FIND("over 1600",A113))=FALSE,2*VLOOKUP(WardrobeCarcassMaterial,SheetsData,5,FALSE),VLOOKUP(WardrobeCarcassMaterial,SheetsData,5,FALSE)),IF(ISERROR(FIND("table",A113))=FALSE,((B113/1000)*0.6)*VLOOKUP("Birch ply (24mm)",SheetsData,7,FALSE),IF(ISERROR(FIND("Worktop",A113))=FALSE,((B113/1000)*(C113/1000))*VLOOKUP(WardrobeDoorMaterial,SheetsData,7,FALSE),"Check formula")))))))))))))))))</f>
        <v/>
      </c>
      <c r="F113" s="152" t="str">
        <f>IFERROR(__xludf.DUMMYFUNCTION("IF(OR(A113="""",AND(ISERROR(FIND(""drawer box"",A113))=FALSE,WardrobeDrawerType=""Solid dovetail"")),"""",IF(ISERROR(FIND(""bins"",A113))=FALSE,VLOOKUP(""Base carcass 600"",Wardrobes_etcData,6,0),IF(OR(ISERROR(FIND(""larder"",A113))=FALSE,ISERROR(FIND(""u"&amp;"nit"",A113))=FALSE),VLOOKUP(LEFT(A113,FIND("" "",A113))&amp;""carcass ""&amp;RIGHT(A113,LEN(A113)-len(regexextract(A113,"".* ""))),Wardrobes_etcData,6,0),IF(ISERROR(FIND(""drawer front"",A113))=FALSE,IF(ISERROR(FIND(""veneer"",WardrobeCarcassMaterial))=TRUE,0,((("&amp;"B113+C113)/1000)*2)*VLOOKUP(""Edge banding (per M)"",SheetsData,5,0)),IF(ISERROR(FIND(""drawer box"",A113))=FALSE,IF(ISERROR(FIND(""veneer"",WardrobeCarcassMaterial))=TRUE,0,(((C113+D113)/1000)*2)*VLOOKUP(""Edge banding (per M)"",SheetsData,5,0)),IF(ISERR"&amp;"OR(FIND(""shelf"",A113))=FALSE,IF(ISERROR(FIND(""veneer"",WardrobeCarcassMaterial))=TRUE,0,(C113/1000)*VLOOKUP(""Edge banding (per M)"",SheetsData,5,0)),IF(AND(OR(ISERROR(FIND(""arcass"",A113))=FALSE,ISERROR(FIND(""Fireplace"",A113))=FALSE),ISERROR(FIND("&amp;"""shelf"",A113))=TRUE),IF(ISERROR(FIND(""veneer"",WardrobeCarcassMaterial))=TRUE,0,((2*(B113+C113))/1000)*VLOOKUP(""Edge banding (per M)"",SheetsData,5,0)),IF(ISERROR(FIND(""door"",A113))=TRUE,"""",IF(ISERROR(FIND(""veneer"",WardrobeDoorMaterial))=TRUE,"""&amp;""",((2*(B113+C113))/1000)*VLOOKUP(""Edge banding (per M)"",SheetsData,5,0))))))))))"),"")</f>
        <v/>
      </c>
      <c r="G113" s="153" t="str">
        <f>IF(A113="","",IF(AND(ISERROR(FIND("arcass",A113))=TRUE,ISERROR(FIND("Fireplace",A113))=TRUE),"",IF(VALUE(C113)&lt;606,4*VLOOKUP("Plinth foot (2 Parts 80mm)",FurnitureData,5,FALSE),IF(VALUE(C113)&lt;1211,6*VLOOKUP("Plinth foot (2 Parts 80mm)",FurnitureData,5,FALSE),8*VLOOKUP("Plinth foot (2 Parts 80mm)",FurnitureData,5,FALSE)))))</f>
        <v/>
      </c>
      <c r="H113" s="115" t="str">
        <f>IF(OR(A113="",ISERROR(FIND("door",A113))=TRUE),"",VLOOKUP("Hinges &amp; plates (Hettich thick door)",FurnitureData,5,0)*5)</f>
        <v/>
      </c>
      <c r="I113" s="115" t="str">
        <f>IF(ISERROR(FIND("shelf",A113))=FALSE,(VLOOKUP("Shelf pegs",FurnitureData,5,0)/100)*4,"")</f>
        <v/>
      </c>
      <c r="J113" s="152" t="str">
        <f>IF(OR(ISERROR(FIND("fridge/freezer",A113))=FALSE,ISERROR(FIND("sink",A113))=FALSE,ISERROR(FIND("larder",A113))=FALSE),VLOOKUP("Deep shelf "&amp;C113,Wardrobes_etcData,18,0),IF(OR(ISERROR(FIND("single oven",A113))=FALSE,ISERROR(FIND("Base carcass",A113))=FALSE),2*VLOOKUP("Deep shelf "&amp;C113,Wardrobes_etcData,18,0),IF(AND(ISERROR(FIND("wall carcass",A113))=FALSE,ISERROR(FIND("Boiler",A113))=TRUE),2*VLOOKUP("Shallow shelf "&amp;C113,Wardrobes_etcData,18,0),IF(ISERROR(FIND("double oven",A113))=FALSE,3*VLOOKUP("Deep shelf "&amp;C113,Wardrobes_etcData,18,0),IF(ISERROR(FIND("Tower carcass",A113))=FALSE,6*VLOOKUP("Deep shelf "&amp;C113,Wardrobes_etcData,18,0),"")))))</f>
        <v/>
      </c>
      <c r="K113" s="152" t="str">
        <f>IF(ISERROR(FIND("sink",A113))=FALSE,VLOOKUP("Sink liner - Aluminium "&amp;RIGHT(A113,LEN(A113)-22)&amp;"mm",ExceptionalData,5,0),IF(ISERROR(FIND("bins",A113))=FALSE,VLOOKUP("Drawer runners and clip set for bin unit (500) Dynapro",FurnitureData,5,0)+(2*VLOOKUP("Bin (42L Anthracite)",FurnitureData,5,0)),IF(ISERROR(FIND("larder",A113))=FALSE,VLOOKUP("Pull out larder unit 600mm",FurnitureData,5,0),IF(AND(ISERROR(FIND("drawer box",A113))=FALSE,ISERROR(FIND("internal",A113))=TRUE),VLOOKUP("Drawer runners and clip set (550) Dynapro",FurnitureData,5,0),IF(ISERROR(FIND("internal drawer box",A113))=FALSE,VLOOKUP("Drawer runners and clip set (450) Dynapro",FurnitureData,5,0),IF(ISERROR(FIND("table",A113))=FALSE,VLOOKUP("Hairpin Leg (12mm Black "&amp;MID(A113,FIND("(",A113)+1,LEN(A113)-(FIND("(",A113))-1)&amp;"mm)",ExceptionalData,4,FALSE),""))))))</f>
        <v/>
      </c>
      <c r="L113" s="152" t="str">
        <f t="shared" si="3"/>
        <v/>
      </c>
      <c r="M113" s="154" t="str">
        <f>IF(A113="","",IF(AND(ISERROR(FIND("drawer front",A113))=FALSE,WardrobeDoorStyle="Flat"),(((B113/1000)*(C113/1000))*2)+((((B113+C113)/1000)*2)*0.022),IF(AND(ISERROR(FIND("drawer front",A113))=FALSE,LEFT(WardrobeDoorStyle,5)="Panel"),(((B113/1000)*(C113/1000))*2)+((((B113+C113)/1000)*2)*0.022)+((((C113/1000)-0.16)*0.013)*2)+((((D113/1000)-0.16)*0.013)*2),IF(AND(ISERROR(FIND("drawer front",A113))=FALSE,WardrobeDoorStyle="In-frame flat"),((((B113-76)/1000)*((C113-38)/1000))*2)+(MID(WardrobeDoorMaterial,FIND("(",WardrobeDoorMaterial)+1,2)/1000)*((((B113-76)+(C113-38))/1000)*2)+(((B113/1000)*0.032)*2)+((((B113-76)/1000)*0.032)*2)+(((B113/1000)*0.019)*4)+(((C113/1000)*0.032)*2)+((((C113-38)/1000)*0.032)*2)+(((C113/1000)*0.038)*4),IF(AND(ISERROR(FIND("drawer front",A113))=FALSE,LEFT(WardrobeDoorStyle,14)="In-frame panel"),((((B113-76)/1000)*((C113-38)/1000))*2)+((MID(WardrobeDoorMaterial,FIND("(",WardrobeDoorMaterial)+1,2)/1000)*((((B113-76)+(C113-38))/1000)*2))+((((B113-236)/1000)+((C113-198)/1000)*2)*0.013)+(((B113/1000)*0.032)*2)+((((B113-76)/1000)*0.032)*2)+(((B113/1000)*0.019)*4)+(((C113/1000)*0.032)*2)+((((C113-38)/1000)*0.032)*2)+(((C113/1000)*0.038)*4),IF(ISERROR(FIND("drawer box",A113))=FALSE,((((B113/1000)*(D113/1000))+((B113/1000)*(C113/1000)))*4)+((((D113/1000)+(C113/1000))*0.016)*4)+(((C113/1000)*(D113/1000))*2),IF(OR(ISERROR(FIND("shelf",A113))=FALSE,ISERROR(FIND("Filler panel",A113))=FALSE),(((C113/1000)*(D113/1000))*2)+((((C113+D113)*2)/1000)*0.022),IF(ISERROR(FIND("Fireplace",A113))=FALSE,((B113/1000)*(C113/1000)),IF(ISERROR(FIND("Worktop",A113))=FALSE,(B113/1000)*(C113/1000),IF(ISERROR(FIND("table",A113))=FALSE,(B113/1000)*0.6,IF(ISERROR(FIND("arcass",A113))=FALSE,(((C113/1000)*(D113/1000))*2)+(((B113/1000)*(D113/1000))*2)+((B113/1000)*(C113/1000))+((((B113/1000)*0.025)+((C113/1000)*0.025))*2),IF(AND(ISERROR(FIND("door",A113))=FALSE,WardrobeDoorStyle="Flat"),(((B113/1000)*(C113/1000))*2)+(MID(WardrobeDoorMaterial,FIND("(",WardrobeDoorMaterial)+1,2)/1000)*(((B113+C113)/1000)*2),IF(AND(ISERROR(FIND("door",A113))=FALSE,LEFT(WardrobeDoorStyle,5)="Panel"),(((B113/1000)*(C113/1000))*2)+((MID(WardrobeDoorMaterial,FIND("(",WardrobeDoorMaterial)+1,2)/1000)*(((B113+C113)/1000)*2))+(((((B113-160)+(C113-160))*2)/1000)*(0.013)),IF(AND(ISERROR(FIND("door",A113))=FALSE,WardrobeDoorStyle="In-frame flat"),((((B113-76)/1000)*((C113-38)/1000))*2)+(MID(WardrobeDoorMaterial,FIND("(",WardrobeDoorMaterial)+1,2)/1000)*((((B113-76)+(C113-38))/1000)*2)+(((B113/1000)*0.032)*2)+((((B113-76)/1000)*0.032)*2)+(((B113/1000)*0.019)*4)+(((C113/1000)*0.032)*2)+((((C113-38)/1000)*0.032)*2)+(((C113/1000)*0.038)*4),IF(AND(ISERROR(FIND("door",A113))=FALSE,LEFT(WardrobeDoorStyle,14)="In-frame panel"),((((B113-76)/1000)*((C113-38)/1000))*2)+((MID(WardrobeDoorMaterial,FIND("(",WardrobeDoorMaterial)+1,2)/1000)*((((B113-76)+(C113-38))/1000)*2))+((((B113-236)/1000)+((C113-198)/1000)*2)*0.013)+(((B113/1000)*0.032)*2)+((((B113-76)/1000)*0.032)*2)+(((B113/1000)*0.019)*4)+(((C113/1000)*0.032)*2)+((((C113-38)/1000)*0.032)*2)+(((C113/1000)*0.038)*4),IF(ISERROR(FIND("Plinth",A113))=FALSE,((B113/1000)*(C113/1000))+(((C113/1000)*0.018)*2)+(((B113/1000)*0.018)*2),IF(ISERROR(FIND("Cornice",A113))=FALSE,(((C113/1000)*0.1)*2)+(((C113/1000)*0.044)*2)+(((B113/1000)*0.08)*2),IF(ISERROR(FIND("Office pod",A113))=FALSE,((2400/1000)*(1200/1000))*6,IF(ISERROR(FIND("panel",A113))=FALSE,((B113/1000)*(C113/1000))+(0.022*((B113/1000)+((C113/1000)*2)))+((B113/1000)*0.05),IF(ISERROR(FIND("Fillers",A113))=FALSE,((C113/1000)*0.06)+((C113/1000)*0.069)+((0.06*0.018)*2)+((0.06*0.009)*2)+((C113/1000)*0.009)+((C113/1000)*0.018),IF(ISERROR(FIND("Pelmet",A113))=FALSE,((C113/1000)*0.05)+((C113/1000)*0.068)+((0.05*0.018)*4)+(((C113/1000)*0.018))*2)))))))))))))))))))))</f>
        <v/>
      </c>
      <c r="N113" s="152" t="str">
        <f>IF(M113="","",IF(AND(ISERROR(FIND("carcass",A113))=TRUE,ISERROR(FIND("unit",A113))=TRUE,ISERROR(FIND("insert",A113))=TRUE,ISERROR(FIND("rack",A113))=TRUE,ISERROR(FIND("box",A113))=TRUE,ISERROR(FIND("shelf",A113))=TRUE),VLOOKUP(WardrobeDoorFinish,Finishing!$A$2:$K$10,9,0)*M113,IF(ISERROR(FIND("table",A113))=FALSE,VLOOKUP("Sayerlack AF0072 Interior Clear Self-Sealer",FinishingData,9,FALSE)*M113,VLOOKUP(WardrobeCarcassFinish,Finishing!$A$2:$K$40,9,0)*M113)))</f>
        <v/>
      </c>
      <c r="O113" s="159"/>
      <c r="P113" s="159"/>
      <c r="Q113" s="152" t="str">
        <f>IF(OR(O113="",P113=""),"",((O113*X113)*(VLOOKUP("Workshop",Labour!$A$3:$E$20,4,0)/8))+((P113*AE113)*(VLOOKUP("Finishing",Labour!$A$3:$E$20,4,0)/8)))</f>
        <v/>
      </c>
      <c r="R113" s="152" t="str">
        <f t="shared" si="4"/>
        <v/>
      </c>
      <c r="S113" s="156" t="str">
        <f>IF(OR(O113="",P113=""),"",IF(OR(ISERROR(FIND("carcass",$A113))=FALSE,ISERROR(FIND("unit",$A113))=FALSE),VLOOKUP(WardrobeCarcassMaterial,FixedListsCarcassMaterial,2,0),0))</f>
        <v/>
      </c>
      <c r="T113" s="156" t="str">
        <f>IF(OR(O113="",P113=""),"",IF(ISERROR(FIND("door",$A113))=FALSE,VLOOKUP(WardrobeDoorStyle,FixedListsDoorStyle,2,0),0))</f>
        <v/>
      </c>
      <c r="U113" s="156" t="str">
        <f>IF(OR(O113="",P113=""),"",IF(ISERROR(FIND("door",$A113))=FALSE,VLOOKUP(WardrobeDoorMaterial,FixedListsDoorMaterial,2,0),0))</f>
        <v/>
      </c>
      <c r="V113" s="156" t="str">
        <f>IF(OR(O113="",P113=""),"",IF(ISERROR(FIND("drawer",$A113))=FALSE,VLOOKUP(WardrobeDrawerType,FixedListsDrawerType,2,0),0))</f>
        <v/>
      </c>
      <c r="W113" s="156" t="str">
        <f>IF(OR(O113="",P113=""),"",IF(S113&gt;0,VLOOKUP(WardrobeHandleType,FixedListsHandleType,2,FALSE),0))</f>
        <v/>
      </c>
      <c r="X113" s="156" t="str">
        <f t="shared" si="5"/>
        <v/>
      </c>
      <c r="Y113" s="156" t="str">
        <f>IF(OR(O113="",P113=""),"",IF(OR(ISERROR(FIND("carcass",$A113))=FALSE,ISERROR(FIND("unit",$A113))=FALSE),VLOOKUP(WardrobeCarcassMaterial,FixedListsCarcassMaterial,3,0),0))</f>
        <v/>
      </c>
      <c r="Z113" s="156" t="str">
        <f>IF(OR(O113="",P113=""),"",IF(ISERROR(FIND("door",$A113))=FALSE,VLOOKUP(WardrobeDoorStyle,FixedListsDoorStyle,3,0),0))</f>
        <v/>
      </c>
      <c r="AA113" s="156" t="str">
        <f>IF(OR(O113="",P113=""),"",IF(ISERROR(FIND("door",$A113))=FALSE,VLOOKUP(WardrobeDoorMaterial,FixedListsDoorMaterial,3,0),0))</f>
        <v/>
      </c>
      <c r="AB113" s="156" t="str">
        <f>IF(OR(O113="",P113=""),"",IF(ISERROR(FIND("drawer",$A113))=FALSE,VLOOKUP(WardrobeDrawerType,FixedListsDrawerType,3,0),0))</f>
        <v/>
      </c>
      <c r="AC113" s="156" t="str">
        <f>IF(OR(O113="",P113=""),"",IF(S113&gt;0,VLOOKUP(WardrobeHandleType,FixedListsHandleType,3,FALSE),0))</f>
        <v/>
      </c>
      <c r="AD113" s="156" t="str">
        <f>IF(OR(O113="",P113=""),"",IF(OR(ISERROR(FIND("carcass",$A113))=FALSE,ISERROR(FIND("unit",$A113))=FALSE),VLOOKUP(WardrobeCarcassFinish,FixedListsFinishes,3,0),IF(OR(ISERROR(FIND("door",$A113))=FALSE,ISERROR(FIND("Plinth",$A113))=FALSE,ISERROR(FIND("Cornice",$A113))=FALSE,ISERROR(FIND("Fillers",$A113))=FALSE,ISERROR(FIND("Pelmet",$A113))=FALSE,ISERROR(FIND("panel",$A113))=FALSE,ISERROR(FIND("post",$A113))=FALSE),VLOOKUP(WardrobeDoorFinish,FixedListsFinishes,3,0),IF(OR(ISERROR(FIND("drawer",$A113))=FALSE,ISERROR(FIND("insert",$A113))=FALSE,ISERROR(FIND("rck",$A113))=FALSE),VLOOKUP(WardrobeCarcassFinish,FixedListsFinishes,3,0),0))))</f>
        <v/>
      </c>
      <c r="AE113" s="156" t="str">
        <f t="shared" si="6"/>
        <v/>
      </c>
      <c r="AF113" s="157" t="str">
        <f>IF(AND(WardrobeHandleType="Channel",OR(ISERROR(FIND("arcass",$A113))=FALSE,ISERROR(FIND("unit",$A113))=FALSE)),IF(ISERROR(FIND("Tower",$A113))=TRUE,IF(WardrobeHandleFinish="Match carcass",IF(ISERROR(FIND("Walnut",WardrobeCarcassMaterial))=FALSE,(0.035*0.075*($C113/1000))*VLOOKUP("Walnut (solid m3)",SolidData,4,FALSE),IF(ISERROR(FIND("Oak",WardrobeCarcassMaterial))=FALSE,(0.035*0.075*($C113/1000))*VLOOKUP("Oak (solid m3)",SolidData,4,FALSE),IF(ISERROR(FIND("ply",WardrobeCarcassMaterial))=FALSE,(0.1*($C113/1000))*VLOOKUP("Birch ply (24mm)",SheetsData,7,FALSE),IF(ISERROR(FIND("H/F",WardrobeCarcassMaterial))=FALSE,(0.1*($C113/1000))*VLOOKUP("H/F (22mm)",SheetsData,7,FALSE),"Carcass - not tower - new material")))),IF(WardrobeHandleFinish="Match door",IF(ISERROR(FIND("Walnut",WardrobeDoorMaterial))=FALSE,(0.035*0.075*($C113/1000))*VLOOKUP("Walnut (solid m3)",SolidData,4,FALSE),IF(ISERROR(FIND("Oak",WardrobeDoorMaterial))=FALSE,(0.035*0.075*($C113/1000))*VLOOKUP("Oak (solid m3)",SolidData,4,FALSE),IF(ISERROR(FIND("ply",WardrobeDoorMaterial))=FALSE,(0.1*($C113/1000))*VLOOKUP("Birch ply (24mm)",SheetsData,7,FALSE),IF(ISERROR(FIND("H/F",WardrobeCarcassMaterial))=FALSE,(0.1*($C113/1000))*VLOOKUP("H/F (22mm)",SheetsData,7,FALSE),"Door - not tower - new material")))),"Channel - not tower - handle set to other")),IF(ISERROR(FIND("Tower",$A113))=FALSE,IF(WardrobeHandleFinish="Match carcass",IF(ISERROR(FIND("Walnut",WardrobeCarcassMaterial))=FALSE,(0.035*0.075*($B113/1000))*VLOOKUP("Walnut (solid m3)",SolidData,4,FALSE),IF(ISERROR(FIND("Oak",WardrobeCarcassMaterial))=FALSE,(0.035*0.075*($B113/1000))*VLOOKUP("Oak (solid m3)",SolidData,4,FALSE),IF(ISERROR(FIND("ply",WardrobeCarcassMaterial))=FALSE,(0.1*($B113/1000))*VLOOKUP("Birch ply (24mm)",SheetsData,7,FALSE),IF(ISERROR(FIND("H/F",WardrobeCarcassMaterial))=FALSE,(0.1*($C113/1000))*VLOOKUP("H/F (22mm)",SheetsData,7,FALSE),"Carcass - tower - new material")))),IF(WardrobeHandleFinish="Match door",IF(ISERROR(FIND("Walnut",WardrobeDoorMaterial))=FALSE,(0.035*0.075*($B113/1000))*VLOOKUP("Walnut (solid m3)",SolidData,4,FALSE),IF(ISERROR(FIND("Oak",WardrobeDoorMaterial))=FALSE,(0.035*0.075*($B113/1000))*VLOOKUP("Oak (solid m3)",SolidData,4,FALSE),IF(ISERROR(FIND("ply",WardrobeDoorMaterial))=FALSE,(0.1*($B113/1000))*VLOOKUP("Birch ply (24mm)",SheetData,7,FALSE),IF(ISERROR(FIND("H/F",WardrobeCarcassMaterial))=FALSE,(0.1*($C113/1000))*VLOOKUP("H/F (22mm)",SheetsData,7,FALSE),"Door - tower - new material")))),"Channel - tower - handle set to other")))),"")</f>
        <v/>
      </c>
    </row>
    <row r="114">
      <c r="A114" s="150"/>
      <c r="B114" s="160" t="str">
        <f t="shared" si="1"/>
        <v/>
      </c>
      <c r="C114" s="160" t="str">
        <f>IFERROR(__xludf.DUMMYFUNCTION("IF(A114="""","""",IF(ISERROR(FIND(""arcass"",A114))=FALSE,MID(A114,FIND(""*"",A114)+1,FIND(""*"",A114,FIND(""*"",A114)+1)-FIND(""*"",A114)-1),IF(ISERROR(FIND(""End panel"",A114))=FALSE,RIGHT(A114,3),IF(OR(ISERROR(FIND(""drawer"",A114))=FALSE,ISERROR(FIND("&amp;"""door"",A114))=FALSE,ISERROR(FIND(""shelf"",A114))=FALSE,ISERROR(FIND(""panel"",A114))=FALSE,ISERROR(FIND(""Plinth"",A114))=FALSE,ISERROR(FIND(""Cornice"",A114))=FALSE,ISERROR(FIND(""Fillers"",A114))=FALSE,ISERROR(FIND(""Pelmet"",A114))=FALSE,ISERROR(FIN"&amp;"D(""Fireplace up to 1600"",A114))=FALSE),RIGHT(A114,LEN(A114)-LEN(regexextract(A114,"".* ""))),IF(ISERROR(FIND(""table"",A114))=FALSE,""560"",IF(ISERROR(FIND(""Office pod"",A114))=FALSE,""1600"",IF(ISERROR(FIND(""Fireplace over 1600"",A114))=FALSE,""2400"&amp;""",IF(ISERROR(FIND(""Worktop"",A114))=FALSE,""650"",""Whoops""))))))))"),"")</f>
        <v/>
      </c>
      <c r="D114" s="161" t="str">
        <f t="shared" si="2"/>
        <v/>
      </c>
      <c r="E114" s="152" t="str">
        <f>IF(OR(A114="",AND(ISERROR(FIND("drawer",A114))=FALSE,WardrobeDrawerType="")),"",IF(ISERROR(FIND("door",A114))=FALSE,IF(WardrobeDoorStyle="Flat",((B114/1000)*(C114/1000))*VLOOKUP(WardrobeDoorMaterial,SheetsData,8,0),IF(LEFT(WardrobeDoorStyle,5)="Panel",(((((B114/1000)*2)*0.08)+((((C114/1000)-0.16)*2)*0.08))*VLOOKUP("H/F (22mm)",SheetsData,8,0))+(((B114/1000)-0.14)*((C114/1000)-0.14)*VLOOKUP("H/F (9mm)",SheetsData,8,0)),IF(WardrobeDoorStyle="In-frame flat",((((((B114/1000)*0.019)*0.038)+((((C114-38)/1000)*0.038)*0.038))*2)*VLOOKUP("Tulip (solid m3)",SolidData,4,0))+(((B114-76)/1000)*((C114-38)/1000))*VLOOKUP("H/F (22mm)",SheetsData,8,0),IF(LEFT(WardrobeDoorStyle,14)="In-frame panel",(((((((B114/1000)*0.019)*0.038)+((((C114-38)/1000)*0.038)*0.038))*2)*VLOOKUP("Tulip (solid m3)",SolidData,4,0))+(((((((B114-76)/1000)*2)*0.08)+(((((C114-198)/1000)*2)*0.08)))*VLOOKUP("H/F (22mm)",SheetsData,8,0))+(((B114-216)/1000)*((C114-178)/1000)*VLOOKUP("H/F (9mm)",SheetsData,8,0)))))))),IF(AND(ISERROR(FIND("arcass",A114))=FALSE,ISERROR(FIND("ost corner",A114))=TRUE),IF(AND(VALUE(B114)&lt;1211,VALUE(C114)&lt;1211,VALUE(D114)&lt;606),1*VLOOKUP(WardrobeCarcassMaterial,SheetsData,5,FALSE),IF(AND(VALUE(B114)&lt;2421,VALUE(C114)&lt;2421,VALUE(D114)&lt;606),2*VLOOKUP(WardrobeCarcassMaterial,SheetsData,5,FALSE),IF(AND(VALUE(B114)&lt;2421,VALUE(C114)&lt;1211,VALUE(D114)&lt;1211),3*VLOOKUP(WardrobeCarcassMaterial,SheetsData,5,FALSE),IF(AND(VALUE(B114)&lt;2421,VALUE(C114)&lt;2421,VALUE(D114)&lt;1211),4*VLOOKUP(WardrobeCarcassMaterial,SheetsData,5,FALSE))))),IF(AND(ISERROR(FIND("arcass",A114))=FALSE,ISERROR(FIND("ost corner",A114))=FALSE),IF(AND(VALUE(B114)&lt;1211,VALUE(C114)&lt;1211,VALUE(D114)&lt;606),(1*VLOOKUP(WardrobeCarcassMaterial,SheetsData,5,FALSE))+(VLOOKUP("H/F (22mm)",SheetsData,7,FALSE)*1.44),IF(AND(VALUE(B114)&lt;2421,VALUE(C114)&lt;2421,VALUE(D114)&lt;606),(2*VLOOKUP(WardrobeCarcassMaterial,SheetsData,5,FALSE))+(VLOOKUP("H/F (22mm)",SheetsData,7,FALSE)*1.44),IF(AND(VALUE(B114)&lt;2421,VALUE(C114)&lt;1211,VALUE(D114)&lt;1211),(3*VLOOKUP(WardrobeCarcassMaterial,SheetsData,5,FALSE))+(VLOOKUP("H/F (22mm)",SheetsData,7,FALSE)*1.44),IF(AND(VALUE(B114)&lt;2421,VALUE(C114)&lt;2421,VALUE(D114)&lt;1211),(4*VLOOKUP(WardrobeCarcassMaterial,SheetsData,5,FALSE))+(VLOOKUP("H/F (22mm)",SheetsData,7,FALSE)*1.44))))),IF(ISERROR(FIND("drawer front",A114))=FALSE,((B114/1000)*(C114/1000))*VLOOKUP(WardrobeDoorMaterial,SheetsData,8,0),IF(AND(WardrobeDrawerType="Match carcass",ISERROR(FIND("drawer box",A114))=FALSE),(((((B114/1000)*(C114/1000))+((B114/1000)*(D114/1000)))*2)*VLOOKUP(WardrobeCarcassMaterial,SheetsData,8,0))+(((C114/1000)*(D114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box",A114))=FALSE),(((((B114/1000)*(C114/1000))+((B114/1000)*(D114/1000)))*2)*(16/1000)*VLOOKUP(LEFT(WardrobeCarcassMaterial,FIND(" ",WardrobeCarcassMaterial))&amp;"(solid m3)",SolidData,4,0))+(((C114/1000)*(D114/1000))*VLOOKUP(LEFT(WardrobeCarcassMaterial,FIND("(",WardrobeCarcassMaterial)-1)&amp;IF(OR(ISERROR(FIND("ply",WardrobeCarcassMaterial))=FALSE,ISERROR(FIND("H/F",WardrobeCarcassMaterial))=FALSE),"(9mm)","(10mm)"),SheetsData,8,0)),IF(ISERROR(FIND("shelf",A114))=FALSE,((C114/1000)*(D114/1000))*VLOOKUP(WardrobeCarcassMaterial,SheetsData,7,FALSE),IF(ISERROR(FIND("Office pod",A114))=FALSE,3*VLOOKUP(WardrobeCarcassMaterial,SheetsData,5,0),IF(ISERROR(FIND(" panel",A114))=FALSE,((B114/1000)*(C114/1000))*VLOOKUP(WardrobeDoorMaterial,SheetsData,8,0),IF(ISERROR(FIND("Fillers",A114))=FALSE,(((0.06*(C114/1000))*2)*VLOOKUP("H/F (18mm)",SheetsData,8,0))+(((0.06*(C114/1000))*2)*VLOOKUP("H/F (9mm)",SheetsData,8,0)),IF(ISERROR(FIND("Cornice (stacked)",A114))=FALSE,((0.08*(C114/1000))*2)*VLOOKUP("H/F (22mm)",SheetsData,8,0),IF(OR(ISERROR(FIND("Plinth",A114))=FALSE,ISERROR(FIND("Cornice (flat)",A114))=FALSE),((B114/1000)*(C114/1000))*VLOOKUP("H/F (18mm)",SheetsData,8,0),IF(ISERROR(FIND("Pelmet",A114))=FALSE,((((B114/1000)*(C114/1000))*2)*VLOOKUP("H/F (18mm)",SheetsData,8,0)),IF(ISERROR(FIND("Fireplace",A114))=FALSE,IF(ISERROR(FIND("over 1600",A114))=FALSE,2*VLOOKUP(WardrobeCarcassMaterial,SheetsData,5,FALSE),VLOOKUP(WardrobeCarcassMaterial,SheetsData,5,FALSE)),IF(ISERROR(FIND("table",A114))=FALSE,((B114/1000)*0.6)*VLOOKUP("Birch ply (24mm)",SheetsData,7,FALSE),IF(ISERROR(FIND("Worktop",A114))=FALSE,((B114/1000)*(C114/1000))*VLOOKUP(WardrobeDoorMaterial,SheetsData,7,FALSE),"Check formula")))))))))))))))))</f>
        <v/>
      </c>
      <c r="F114" s="152" t="str">
        <f>IFERROR(__xludf.DUMMYFUNCTION("IF(OR(A114="""",AND(ISERROR(FIND(""drawer box"",A114))=FALSE,WardrobeDrawerType=""Solid dovetail"")),"""",IF(ISERROR(FIND(""bins"",A114))=FALSE,VLOOKUP(""Base carcass 600"",Wardrobes_etcData,6,0),IF(OR(ISERROR(FIND(""larder"",A114))=FALSE,ISERROR(FIND(""u"&amp;"nit"",A114))=FALSE),VLOOKUP(LEFT(A114,FIND("" "",A114))&amp;""carcass ""&amp;RIGHT(A114,LEN(A114)-len(regexextract(A114,"".* ""))),Wardrobes_etcData,6,0),IF(ISERROR(FIND(""drawer front"",A114))=FALSE,IF(ISERROR(FIND(""veneer"",WardrobeCarcassMaterial))=TRUE,0,((("&amp;"B114+C114)/1000)*2)*VLOOKUP(""Edge banding (per M)"",SheetsData,5,0)),IF(ISERROR(FIND(""drawer box"",A114))=FALSE,IF(ISERROR(FIND(""veneer"",WardrobeCarcassMaterial))=TRUE,0,(((C114+D114)/1000)*2)*VLOOKUP(""Edge banding (per M)"",SheetsData,5,0)),IF(ISERR"&amp;"OR(FIND(""shelf"",A114))=FALSE,IF(ISERROR(FIND(""veneer"",WardrobeCarcassMaterial))=TRUE,0,(C114/1000)*VLOOKUP(""Edge banding (per M)"",SheetsData,5,0)),IF(AND(OR(ISERROR(FIND(""arcass"",A114))=FALSE,ISERROR(FIND(""Fireplace"",A114))=FALSE),ISERROR(FIND("&amp;"""shelf"",A114))=TRUE),IF(ISERROR(FIND(""veneer"",WardrobeCarcassMaterial))=TRUE,0,((2*(B114+C114))/1000)*VLOOKUP(""Edge banding (per M)"",SheetsData,5,0)),IF(ISERROR(FIND(""door"",A114))=TRUE,"""",IF(ISERROR(FIND(""veneer"",WardrobeDoorMaterial))=TRUE,"""&amp;""",((2*(B114+C114))/1000)*VLOOKUP(""Edge banding (per M)"",SheetsData,5,0))))))))))"),"")</f>
        <v/>
      </c>
      <c r="G114" s="153" t="str">
        <f>IF(A114="","",IF(AND(ISERROR(FIND("arcass",A114))=TRUE,ISERROR(FIND("Fireplace",A114))=TRUE),"",IF(VALUE(C114)&lt;606,4*VLOOKUP("Plinth foot (2 Parts 80mm)",FurnitureData,5,FALSE),IF(VALUE(C114)&lt;1211,6*VLOOKUP("Plinth foot (2 Parts 80mm)",FurnitureData,5,FALSE),8*VLOOKUP("Plinth foot (2 Parts 80mm)",FurnitureData,5,FALSE)))))</f>
        <v/>
      </c>
      <c r="H114" s="115" t="str">
        <f>IF(OR(A114="",ISERROR(FIND("door",A114))=TRUE),"",VLOOKUP("Hinges &amp; plates (Hettich thick door)",FurnitureData,5,0)*5)</f>
        <v/>
      </c>
      <c r="I114" s="115" t="str">
        <f>IF(ISERROR(FIND("shelf",A114))=FALSE,(VLOOKUP("Shelf pegs",FurnitureData,5,0)/100)*4,"")</f>
        <v/>
      </c>
      <c r="J114" s="152" t="str">
        <f>IF(OR(ISERROR(FIND("fridge/freezer",A114))=FALSE,ISERROR(FIND("sink",A114))=FALSE,ISERROR(FIND("larder",A114))=FALSE),VLOOKUP("Deep shelf "&amp;C114,Wardrobes_etcData,18,0),IF(OR(ISERROR(FIND("single oven",A114))=FALSE,ISERROR(FIND("Base carcass",A114))=FALSE),2*VLOOKUP("Deep shelf "&amp;C114,Wardrobes_etcData,18,0),IF(AND(ISERROR(FIND("wall carcass",A114))=FALSE,ISERROR(FIND("Boiler",A114))=TRUE),2*VLOOKUP("Shallow shelf "&amp;C114,Wardrobes_etcData,18,0),IF(ISERROR(FIND("double oven",A114))=FALSE,3*VLOOKUP("Deep shelf "&amp;C114,Wardrobes_etcData,18,0),IF(ISERROR(FIND("Tower carcass",A114))=FALSE,6*VLOOKUP("Deep shelf "&amp;C114,Wardrobes_etcData,18,0),"")))))</f>
        <v/>
      </c>
      <c r="K114" s="152" t="str">
        <f>IF(ISERROR(FIND("sink",A114))=FALSE,VLOOKUP("Sink liner - Aluminium "&amp;RIGHT(A114,LEN(A114)-22)&amp;"mm",ExceptionalData,5,0),IF(ISERROR(FIND("bins",A114))=FALSE,VLOOKUP("Drawer runners and clip set for bin unit (500) Dynapro",FurnitureData,5,0)+(2*VLOOKUP("Bin (42L Anthracite)",FurnitureData,5,0)),IF(ISERROR(FIND("larder",A114))=FALSE,VLOOKUP("Pull out larder unit 600mm",FurnitureData,5,0),IF(AND(ISERROR(FIND("drawer box",A114))=FALSE,ISERROR(FIND("internal",A114))=TRUE),VLOOKUP("Drawer runners and clip set (550) Dynapro",FurnitureData,5,0),IF(ISERROR(FIND("internal drawer box",A114))=FALSE,VLOOKUP("Drawer runners and clip set (450) Dynapro",FurnitureData,5,0),IF(ISERROR(FIND("table",A114))=FALSE,VLOOKUP("Hairpin Leg (12mm Black "&amp;MID(A114,FIND("(",A114)+1,LEN(A114)-(FIND("(",A114))-1)&amp;"mm)",ExceptionalData,4,FALSE),""))))))</f>
        <v/>
      </c>
      <c r="L114" s="152" t="str">
        <f t="shared" si="3"/>
        <v/>
      </c>
      <c r="M114" s="154" t="str">
        <f>IF(A114="","",IF(AND(ISERROR(FIND("drawer front",A114))=FALSE,WardrobeDoorStyle="Flat"),(((B114/1000)*(C114/1000))*2)+((((B114+C114)/1000)*2)*0.022),IF(AND(ISERROR(FIND("drawer front",A114))=FALSE,LEFT(WardrobeDoorStyle,5)="Panel"),(((B114/1000)*(C114/1000))*2)+((((B114+C114)/1000)*2)*0.022)+((((C114/1000)-0.16)*0.013)*2)+((((D114/1000)-0.16)*0.013)*2),IF(AND(ISERROR(FIND("drawer front",A114))=FALSE,WardrobeDoorStyle="In-frame flat"),((((B114-76)/1000)*((C114-38)/1000))*2)+(MID(WardrobeDoorMaterial,FIND("(",WardrobeDoorMaterial)+1,2)/1000)*((((B114-76)+(C114-38))/1000)*2)+(((B114/1000)*0.032)*2)+((((B114-76)/1000)*0.032)*2)+(((B114/1000)*0.019)*4)+(((C114/1000)*0.032)*2)+((((C114-38)/1000)*0.032)*2)+(((C114/1000)*0.038)*4),IF(AND(ISERROR(FIND("drawer front",A114))=FALSE,LEFT(WardrobeDoorStyle,14)="In-frame panel"),((((B114-76)/1000)*((C114-38)/1000))*2)+((MID(WardrobeDoorMaterial,FIND("(",WardrobeDoorMaterial)+1,2)/1000)*((((B114-76)+(C114-38))/1000)*2))+((((B114-236)/1000)+((C114-198)/1000)*2)*0.013)+(((B114/1000)*0.032)*2)+((((B114-76)/1000)*0.032)*2)+(((B114/1000)*0.019)*4)+(((C114/1000)*0.032)*2)+((((C114-38)/1000)*0.032)*2)+(((C114/1000)*0.038)*4),IF(ISERROR(FIND("drawer box",A114))=FALSE,((((B114/1000)*(D114/1000))+((B114/1000)*(C114/1000)))*4)+((((D114/1000)+(C114/1000))*0.016)*4)+(((C114/1000)*(D114/1000))*2),IF(OR(ISERROR(FIND("shelf",A114))=FALSE,ISERROR(FIND("Filler panel",A114))=FALSE),(((C114/1000)*(D114/1000))*2)+((((C114+D114)*2)/1000)*0.022),IF(ISERROR(FIND("Fireplace",A114))=FALSE,((B114/1000)*(C114/1000)),IF(ISERROR(FIND("Worktop",A114))=FALSE,(B114/1000)*(C114/1000),IF(ISERROR(FIND("table",A114))=FALSE,(B114/1000)*0.6,IF(ISERROR(FIND("arcass",A114))=FALSE,(((C114/1000)*(D114/1000))*2)+(((B114/1000)*(D114/1000))*2)+((B114/1000)*(C114/1000))+((((B114/1000)*0.025)+((C114/1000)*0.025))*2),IF(AND(ISERROR(FIND("door",A114))=FALSE,WardrobeDoorStyle="Flat"),(((B114/1000)*(C114/1000))*2)+(MID(WardrobeDoorMaterial,FIND("(",WardrobeDoorMaterial)+1,2)/1000)*(((B114+C114)/1000)*2),IF(AND(ISERROR(FIND("door",A114))=FALSE,LEFT(WardrobeDoorStyle,5)="Panel"),(((B114/1000)*(C114/1000))*2)+((MID(WardrobeDoorMaterial,FIND("(",WardrobeDoorMaterial)+1,2)/1000)*(((B114+C114)/1000)*2))+(((((B114-160)+(C114-160))*2)/1000)*(0.013)),IF(AND(ISERROR(FIND("door",A114))=FALSE,WardrobeDoorStyle="In-frame flat"),((((B114-76)/1000)*((C114-38)/1000))*2)+(MID(WardrobeDoorMaterial,FIND("(",WardrobeDoorMaterial)+1,2)/1000)*((((B114-76)+(C114-38))/1000)*2)+(((B114/1000)*0.032)*2)+((((B114-76)/1000)*0.032)*2)+(((B114/1000)*0.019)*4)+(((C114/1000)*0.032)*2)+((((C114-38)/1000)*0.032)*2)+(((C114/1000)*0.038)*4),IF(AND(ISERROR(FIND("door",A114))=FALSE,LEFT(WardrobeDoorStyle,14)="In-frame panel"),((((B114-76)/1000)*((C114-38)/1000))*2)+((MID(WardrobeDoorMaterial,FIND("(",WardrobeDoorMaterial)+1,2)/1000)*((((B114-76)+(C114-38))/1000)*2))+((((B114-236)/1000)+((C114-198)/1000)*2)*0.013)+(((B114/1000)*0.032)*2)+((((B114-76)/1000)*0.032)*2)+(((B114/1000)*0.019)*4)+(((C114/1000)*0.032)*2)+((((C114-38)/1000)*0.032)*2)+(((C114/1000)*0.038)*4),IF(ISERROR(FIND("Plinth",A114))=FALSE,((B114/1000)*(C114/1000))+(((C114/1000)*0.018)*2)+(((B114/1000)*0.018)*2),IF(ISERROR(FIND("Cornice",A114))=FALSE,(((C114/1000)*0.1)*2)+(((C114/1000)*0.044)*2)+(((B114/1000)*0.08)*2),IF(ISERROR(FIND("Office pod",A114))=FALSE,((2400/1000)*(1200/1000))*6,IF(ISERROR(FIND("panel",A114))=FALSE,((B114/1000)*(C114/1000))+(0.022*((B114/1000)+((C114/1000)*2)))+((B114/1000)*0.05),IF(ISERROR(FIND("Fillers",A114))=FALSE,((C114/1000)*0.06)+((C114/1000)*0.069)+((0.06*0.018)*2)+((0.06*0.009)*2)+((C114/1000)*0.009)+((C114/1000)*0.018),IF(ISERROR(FIND("Pelmet",A114))=FALSE,((C114/1000)*0.05)+((C114/1000)*0.068)+((0.05*0.018)*4)+(((C114/1000)*0.018))*2)))))))))))))))))))))</f>
        <v/>
      </c>
      <c r="N114" s="152" t="str">
        <f>IF(M114="","",IF(AND(ISERROR(FIND("carcass",A114))=TRUE,ISERROR(FIND("unit",A114))=TRUE,ISERROR(FIND("insert",A114))=TRUE,ISERROR(FIND("rack",A114))=TRUE,ISERROR(FIND("box",A114))=TRUE,ISERROR(FIND("shelf",A114))=TRUE),VLOOKUP(WardrobeDoorFinish,Finishing!$A$2:$K$10,9,0)*M114,IF(ISERROR(FIND("table",A114))=FALSE,VLOOKUP("Sayerlack AF0072 Interior Clear Self-Sealer",FinishingData,9,FALSE)*M114,VLOOKUP(WardrobeCarcassFinish,Finishing!$A$2:$K$40,9,0)*M114)))</f>
        <v/>
      </c>
      <c r="O114" s="159"/>
      <c r="P114" s="159"/>
      <c r="Q114" s="152" t="str">
        <f>IF(OR(O114="",P114=""),"",((O114*X114)*(VLOOKUP("Workshop",Labour!$A$3:$E$20,4,0)/8))+((P114*AE114)*(VLOOKUP("Finishing",Labour!$A$3:$E$20,4,0)/8)))</f>
        <v/>
      </c>
      <c r="R114" s="152" t="str">
        <f t="shared" si="4"/>
        <v/>
      </c>
      <c r="S114" s="156" t="str">
        <f>IF(OR(O114="",P114=""),"",IF(OR(ISERROR(FIND("carcass",$A114))=FALSE,ISERROR(FIND("unit",$A114))=FALSE),VLOOKUP(WardrobeCarcassMaterial,FixedListsCarcassMaterial,2,0),0))</f>
        <v/>
      </c>
      <c r="T114" s="156" t="str">
        <f>IF(OR(O114="",P114=""),"",IF(ISERROR(FIND("door",$A114))=FALSE,VLOOKUP(WardrobeDoorStyle,FixedListsDoorStyle,2,0),0))</f>
        <v/>
      </c>
      <c r="U114" s="156" t="str">
        <f>IF(OR(O114="",P114=""),"",IF(ISERROR(FIND("door",$A114))=FALSE,VLOOKUP(WardrobeDoorMaterial,FixedListsDoorMaterial,2,0),0))</f>
        <v/>
      </c>
      <c r="V114" s="156" t="str">
        <f>IF(OR(O114="",P114=""),"",IF(ISERROR(FIND("drawer",$A114))=FALSE,VLOOKUP(WardrobeDrawerType,FixedListsDrawerType,2,0),0))</f>
        <v/>
      </c>
      <c r="W114" s="156" t="str">
        <f>IF(OR(O114="",P114=""),"",IF(S114&gt;0,VLOOKUP(WardrobeHandleType,FixedListsHandleType,2,FALSE),0))</f>
        <v/>
      </c>
      <c r="X114" s="156" t="str">
        <f t="shared" si="5"/>
        <v/>
      </c>
      <c r="Y114" s="156" t="str">
        <f>IF(OR(O114="",P114=""),"",IF(OR(ISERROR(FIND("carcass",$A114))=FALSE,ISERROR(FIND("unit",$A114))=FALSE),VLOOKUP(WardrobeCarcassMaterial,FixedListsCarcassMaterial,3,0),0))</f>
        <v/>
      </c>
      <c r="Z114" s="156" t="str">
        <f>IF(OR(O114="",P114=""),"",IF(ISERROR(FIND("door",$A114))=FALSE,VLOOKUP(WardrobeDoorStyle,FixedListsDoorStyle,3,0),0))</f>
        <v/>
      </c>
      <c r="AA114" s="156" t="str">
        <f>IF(OR(O114="",P114=""),"",IF(ISERROR(FIND("door",$A114))=FALSE,VLOOKUP(WardrobeDoorMaterial,FixedListsDoorMaterial,3,0),0))</f>
        <v/>
      </c>
      <c r="AB114" s="156" t="str">
        <f>IF(OR(O114="",P114=""),"",IF(ISERROR(FIND("drawer",$A114))=FALSE,VLOOKUP(WardrobeDrawerType,FixedListsDrawerType,3,0),0))</f>
        <v/>
      </c>
      <c r="AC114" s="156" t="str">
        <f>IF(OR(O114="",P114=""),"",IF(S114&gt;0,VLOOKUP(WardrobeHandleType,FixedListsHandleType,3,FALSE),0))</f>
        <v/>
      </c>
      <c r="AD114" s="156" t="str">
        <f>IF(OR(O114="",P114=""),"",IF(OR(ISERROR(FIND("carcass",$A114))=FALSE,ISERROR(FIND("unit",$A114))=FALSE),VLOOKUP(WardrobeCarcassFinish,FixedListsFinishes,3,0),IF(OR(ISERROR(FIND("door",$A114))=FALSE,ISERROR(FIND("Plinth",$A114))=FALSE,ISERROR(FIND("Cornice",$A114))=FALSE,ISERROR(FIND("Fillers",$A114))=FALSE,ISERROR(FIND("Pelmet",$A114))=FALSE,ISERROR(FIND("panel",$A114))=FALSE,ISERROR(FIND("post",$A114))=FALSE),VLOOKUP(WardrobeDoorFinish,FixedListsFinishes,3,0),IF(OR(ISERROR(FIND("drawer",$A114))=FALSE,ISERROR(FIND("insert",$A114))=FALSE,ISERROR(FIND("rck",$A114))=FALSE),VLOOKUP(WardrobeCarcassFinish,FixedListsFinishes,3,0),0))))</f>
        <v/>
      </c>
      <c r="AE114" s="156" t="str">
        <f t="shared" si="6"/>
        <v/>
      </c>
      <c r="AF114" s="157" t="str">
        <f>IF(AND(WardrobeHandleType="Channel",OR(ISERROR(FIND("arcass",$A114))=FALSE,ISERROR(FIND("unit",$A114))=FALSE)),IF(ISERROR(FIND("Tower",$A114))=TRUE,IF(WardrobeHandleFinish="Match carcass",IF(ISERROR(FIND("Walnut",WardrobeCarcassMaterial))=FALSE,(0.035*0.075*($C114/1000))*VLOOKUP("Walnut (solid m3)",SolidData,4,FALSE),IF(ISERROR(FIND("Oak",WardrobeCarcassMaterial))=FALSE,(0.035*0.075*($C114/1000))*VLOOKUP("Oak (solid m3)",SolidData,4,FALSE),IF(ISERROR(FIND("ply",WardrobeCarcassMaterial))=FALSE,(0.1*($C114/1000))*VLOOKUP("Birch ply (24mm)",SheetsData,7,FALSE),IF(ISERROR(FIND("H/F",WardrobeCarcassMaterial))=FALSE,(0.1*($C114/1000))*VLOOKUP("H/F (22mm)",SheetsData,7,FALSE),"Carcass - not tower - new material")))),IF(WardrobeHandleFinish="Match door",IF(ISERROR(FIND("Walnut",WardrobeDoorMaterial))=FALSE,(0.035*0.075*($C114/1000))*VLOOKUP("Walnut (solid m3)",SolidData,4,FALSE),IF(ISERROR(FIND("Oak",WardrobeDoorMaterial))=FALSE,(0.035*0.075*($C114/1000))*VLOOKUP("Oak (solid m3)",SolidData,4,FALSE),IF(ISERROR(FIND("ply",WardrobeDoorMaterial))=FALSE,(0.1*($C114/1000))*VLOOKUP("Birch ply (24mm)",SheetsData,7,FALSE),IF(ISERROR(FIND("H/F",WardrobeCarcassMaterial))=FALSE,(0.1*($C114/1000))*VLOOKUP("H/F (22mm)",SheetsData,7,FALSE),"Door - not tower - new material")))),"Channel - not tower - handle set to other")),IF(ISERROR(FIND("Tower",$A114))=FALSE,IF(WardrobeHandleFinish="Match carcass",IF(ISERROR(FIND("Walnut",WardrobeCarcassMaterial))=FALSE,(0.035*0.075*($B114/1000))*VLOOKUP("Walnut (solid m3)",SolidData,4,FALSE),IF(ISERROR(FIND("Oak",WardrobeCarcassMaterial))=FALSE,(0.035*0.075*($B114/1000))*VLOOKUP("Oak (solid m3)",SolidData,4,FALSE),IF(ISERROR(FIND("ply",WardrobeCarcassMaterial))=FALSE,(0.1*($B114/1000))*VLOOKUP("Birch ply (24mm)",SheetsData,7,FALSE),IF(ISERROR(FIND("H/F",WardrobeCarcassMaterial))=FALSE,(0.1*($C114/1000))*VLOOKUP("H/F (22mm)",SheetsData,7,FALSE),"Carcass - tower - new material")))),IF(WardrobeHandleFinish="Match door",IF(ISERROR(FIND("Walnut",WardrobeDoorMaterial))=FALSE,(0.035*0.075*($B114/1000))*VLOOKUP("Walnut (solid m3)",SolidData,4,FALSE),IF(ISERROR(FIND("Oak",WardrobeDoorMaterial))=FALSE,(0.035*0.075*($B114/1000))*VLOOKUP("Oak (solid m3)",SolidData,4,FALSE),IF(ISERROR(FIND("ply",WardrobeDoorMaterial))=FALSE,(0.1*($B114/1000))*VLOOKUP("Birch ply (24mm)",SheetData,7,FALSE),IF(ISERROR(FIND("H/F",WardrobeCarcassMaterial))=FALSE,(0.1*($C114/1000))*VLOOKUP("H/F (22mm)",SheetsData,7,FALSE),"Door - tower - new material")))),"Channel - tower - handle set to other")))),"")</f>
        <v/>
      </c>
    </row>
    <row r="115">
      <c r="A115" s="150"/>
      <c r="B115" s="160" t="str">
        <f t="shared" si="1"/>
        <v/>
      </c>
      <c r="C115" s="160" t="str">
        <f>IFERROR(__xludf.DUMMYFUNCTION("IF(A115="""","""",IF(ISERROR(FIND(""arcass"",A115))=FALSE,MID(A115,FIND(""*"",A115)+1,FIND(""*"",A115,FIND(""*"",A115)+1)-FIND(""*"",A115)-1),IF(ISERROR(FIND(""End panel"",A115))=FALSE,RIGHT(A115,3),IF(OR(ISERROR(FIND(""drawer"",A115))=FALSE,ISERROR(FIND("&amp;"""door"",A115))=FALSE,ISERROR(FIND(""shelf"",A115))=FALSE,ISERROR(FIND(""panel"",A115))=FALSE,ISERROR(FIND(""Plinth"",A115))=FALSE,ISERROR(FIND(""Cornice"",A115))=FALSE,ISERROR(FIND(""Fillers"",A115))=FALSE,ISERROR(FIND(""Pelmet"",A115))=FALSE,ISERROR(FIN"&amp;"D(""Fireplace up to 1600"",A115))=FALSE),RIGHT(A115,LEN(A115)-LEN(regexextract(A115,"".* ""))),IF(ISERROR(FIND(""table"",A115))=FALSE,""560"",IF(ISERROR(FIND(""Office pod"",A115))=FALSE,""1600"",IF(ISERROR(FIND(""Fireplace over 1600"",A115))=FALSE,""2400"&amp;""",IF(ISERROR(FIND(""Worktop"",A115))=FALSE,""650"",""Whoops""))))))))"),"")</f>
        <v/>
      </c>
      <c r="D115" s="161" t="str">
        <f t="shared" si="2"/>
        <v/>
      </c>
      <c r="E115" s="152" t="str">
        <f>IF(OR(A115="",AND(ISERROR(FIND("drawer",A115))=FALSE,WardrobeDrawerType="")),"",IF(ISERROR(FIND("door",A115))=FALSE,IF(WardrobeDoorStyle="Flat",((B115/1000)*(C115/1000))*VLOOKUP(WardrobeDoorMaterial,SheetsData,8,0),IF(LEFT(WardrobeDoorStyle,5)="Panel",(((((B115/1000)*2)*0.08)+((((C115/1000)-0.16)*2)*0.08))*VLOOKUP("H/F (22mm)",SheetsData,8,0))+(((B115/1000)-0.14)*((C115/1000)-0.14)*VLOOKUP("H/F (9mm)",SheetsData,8,0)),IF(WardrobeDoorStyle="In-frame flat",((((((B115/1000)*0.019)*0.038)+((((C115-38)/1000)*0.038)*0.038))*2)*VLOOKUP("Tulip (solid m3)",SolidData,4,0))+(((B115-76)/1000)*((C115-38)/1000))*VLOOKUP("H/F (22mm)",SheetsData,8,0),IF(LEFT(WardrobeDoorStyle,14)="In-frame panel",(((((((B115/1000)*0.019)*0.038)+((((C115-38)/1000)*0.038)*0.038))*2)*VLOOKUP("Tulip (solid m3)",SolidData,4,0))+(((((((B115-76)/1000)*2)*0.08)+(((((C115-198)/1000)*2)*0.08)))*VLOOKUP("H/F (22mm)",SheetsData,8,0))+(((B115-216)/1000)*((C115-178)/1000)*VLOOKUP("H/F (9mm)",SheetsData,8,0)))))))),IF(AND(ISERROR(FIND("arcass",A115))=FALSE,ISERROR(FIND("ost corner",A115))=TRUE),IF(AND(VALUE(B115)&lt;1211,VALUE(C115)&lt;1211,VALUE(D115)&lt;606),1*VLOOKUP(WardrobeCarcassMaterial,SheetsData,5,FALSE),IF(AND(VALUE(B115)&lt;2421,VALUE(C115)&lt;2421,VALUE(D115)&lt;606),2*VLOOKUP(WardrobeCarcassMaterial,SheetsData,5,FALSE),IF(AND(VALUE(B115)&lt;2421,VALUE(C115)&lt;1211,VALUE(D115)&lt;1211),3*VLOOKUP(WardrobeCarcassMaterial,SheetsData,5,FALSE),IF(AND(VALUE(B115)&lt;2421,VALUE(C115)&lt;2421,VALUE(D115)&lt;1211),4*VLOOKUP(WardrobeCarcassMaterial,SheetsData,5,FALSE))))),IF(AND(ISERROR(FIND("arcass",A115))=FALSE,ISERROR(FIND("ost corner",A115))=FALSE),IF(AND(VALUE(B115)&lt;1211,VALUE(C115)&lt;1211,VALUE(D115)&lt;606),(1*VLOOKUP(WardrobeCarcassMaterial,SheetsData,5,FALSE))+(VLOOKUP("H/F (22mm)",SheetsData,7,FALSE)*1.44),IF(AND(VALUE(B115)&lt;2421,VALUE(C115)&lt;2421,VALUE(D115)&lt;606),(2*VLOOKUP(WardrobeCarcassMaterial,SheetsData,5,FALSE))+(VLOOKUP("H/F (22mm)",SheetsData,7,FALSE)*1.44),IF(AND(VALUE(B115)&lt;2421,VALUE(C115)&lt;1211,VALUE(D115)&lt;1211),(3*VLOOKUP(WardrobeCarcassMaterial,SheetsData,5,FALSE))+(VLOOKUP("H/F (22mm)",SheetsData,7,FALSE)*1.44),IF(AND(VALUE(B115)&lt;2421,VALUE(C115)&lt;2421,VALUE(D115)&lt;1211),(4*VLOOKUP(WardrobeCarcassMaterial,SheetsData,5,FALSE))+(VLOOKUP("H/F (22mm)",SheetsData,7,FALSE)*1.44))))),IF(ISERROR(FIND("drawer front",A115))=FALSE,((B115/1000)*(C115/1000))*VLOOKUP(WardrobeDoorMaterial,SheetsData,8,0),IF(AND(WardrobeDrawerType="Match carcass",ISERROR(FIND("drawer box",A115))=FALSE),(((((B115/1000)*(C115/1000))+((B115/1000)*(D115/1000)))*2)*VLOOKUP(WardrobeCarcassMaterial,SheetsData,8,0))+(((C115/1000)*(D115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box",A115))=FALSE),(((((B115/1000)*(C115/1000))+((B115/1000)*(D115/1000)))*2)*(16/1000)*VLOOKUP(LEFT(WardrobeCarcassMaterial,FIND(" ",WardrobeCarcassMaterial))&amp;"(solid m3)",SolidData,4,0))+(((C115/1000)*(D115/1000))*VLOOKUP(LEFT(WardrobeCarcassMaterial,FIND("(",WardrobeCarcassMaterial)-1)&amp;IF(OR(ISERROR(FIND("ply",WardrobeCarcassMaterial))=FALSE,ISERROR(FIND("H/F",WardrobeCarcassMaterial))=FALSE),"(9mm)","(10mm)"),SheetsData,8,0)),IF(ISERROR(FIND("shelf",A115))=FALSE,((C115/1000)*(D115/1000))*VLOOKUP(WardrobeCarcassMaterial,SheetsData,7,FALSE),IF(ISERROR(FIND("Office pod",A115))=FALSE,3*VLOOKUP(WardrobeCarcassMaterial,SheetsData,5,0),IF(ISERROR(FIND(" panel",A115))=FALSE,((B115/1000)*(C115/1000))*VLOOKUP(WardrobeDoorMaterial,SheetsData,8,0),IF(ISERROR(FIND("Fillers",A115))=FALSE,(((0.06*(C115/1000))*2)*VLOOKUP("H/F (18mm)",SheetsData,8,0))+(((0.06*(C115/1000))*2)*VLOOKUP("H/F (9mm)",SheetsData,8,0)),IF(ISERROR(FIND("Cornice (stacked)",A115))=FALSE,((0.08*(C115/1000))*2)*VLOOKUP("H/F (22mm)",SheetsData,8,0),IF(OR(ISERROR(FIND("Plinth",A115))=FALSE,ISERROR(FIND("Cornice (flat)",A115))=FALSE),((B115/1000)*(C115/1000))*VLOOKUP("H/F (18mm)",SheetsData,8,0),IF(ISERROR(FIND("Pelmet",A115))=FALSE,((((B115/1000)*(C115/1000))*2)*VLOOKUP("H/F (18mm)",SheetsData,8,0)),IF(ISERROR(FIND("Fireplace",A115))=FALSE,IF(ISERROR(FIND("over 1600",A115))=FALSE,2*VLOOKUP(WardrobeCarcassMaterial,SheetsData,5,FALSE),VLOOKUP(WardrobeCarcassMaterial,SheetsData,5,FALSE)),IF(ISERROR(FIND("table",A115))=FALSE,((B115/1000)*0.6)*VLOOKUP("Birch ply (24mm)",SheetsData,7,FALSE),IF(ISERROR(FIND("Worktop",A115))=FALSE,((B115/1000)*(C115/1000))*VLOOKUP(WardrobeDoorMaterial,SheetsData,7,FALSE),"Check formula")))))))))))))))))</f>
        <v/>
      </c>
      <c r="F115" s="152" t="str">
        <f>IFERROR(__xludf.DUMMYFUNCTION("IF(OR(A115="""",AND(ISERROR(FIND(""drawer box"",A115))=FALSE,WardrobeDrawerType=""Solid dovetail"")),"""",IF(ISERROR(FIND(""bins"",A115))=FALSE,VLOOKUP(""Base carcass 600"",Wardrobes_etcData,6,0),IF(OR(ISERROR(FIND(""larder"",A115))=FALSE,ISERROR(FIND(""u"&amp;"nit"",A115))=FALSE),VLOOKUP(LEFT(A115,FIND("" "",A115))&amp;""carcass ""&amp;RIGHT(A115,LEN(A115)-len(regexextract(A115,"".* ""))),Wardrobes_etcData,6,0),IF(ISERROR(FIND(""drawer front"",A115))=FALSE,IF(ISERROR(FIND(""veneer"",WardrobeCarcassMaterial))=TRUE,0,((("&amp;"B115+C115)/1000)*2)*VLOOKUP(""Edge banding (per M)"",SheetsData,5,0)),IF(ISERROR(FIND(""drawer box"",A115))=FALSE,IF(ISERROR(FIND(""veneer"",WardrobeCarcassMaterial))=TRUE,0,(((C115+D115)/1000)*2)*VLOOKUP(""Edge banding (per M)"",SheetsData,5,0)),IF(ISERR"&amp;"OR(FIND(""shelf"",A115))=FALSE,IF(ISERROR(FIND(""veneer"",WardrobeCarcassMaterial))=TRUE,0,(C115/1000)*VLOOKUP(""Edge banding (per M)"",SheetsData,5,0)),IF(AND(OR(ISERROR(FIND(""arcass"",A115))=FALSE,ISERROR(FIND(""Fireplace"",A115))=FALSE),ISERROR(FIND("&amp;"""shelf"",A115))=TRUE),IF(ISERROR(FIND(""veneer"",WardrobeCarcassMaterial))=TRUE,0,((2*(B115+C115))/1000)*VLOOKUP(""Edge banding (per M)"",SheetsData,5,0)),IF(ISERROR(FIND(""door"",A115))=TRUE,"""",IF(ISERROR(FIND(""veneer"",WardrobeDoorMaterial))=TRUE,"""&amp;""",((2*(B115+C115))/1000)*VLOOKUP(""Edge banding (per M)"",SheetsData,5,0))))))))))"),"")</f>
        <v/>
      </c>
      <c r="G115" s="153" t="str">
        <f>IF(A115="","",IF(AND(ISERROR(FIND("arcass",A115))=TRUE,ISERROR(FIND("Fireplace",A115))=TRUE),"",IF(VALUE(C115)&lt;606,4*VLOOKUP("Plinth foot (2 Parts 80mm)",FurnitureData,5,FALSE),IF(VALUE(C115)&lt;1211,6*VLOOKUP("Plinth foot (2 Parts 80mm)",FurnitureData,5,FALSE),8*VLOOKUP("Plinth foot (2 Parts 80mm)",FurnitureData,5,FALSE)))))</f>
        <v/>
      </c>
      <c r="H115" s="115" t="str">
        <f>IF(OR(A115="",ISERROR(FIND("door",A115))=TRUE),"",VLOOKUP("Hinges &amp; plates (Hettich thick door)",FurnitureData,5,0)*5)</f>
        <v/>
      </c>
      <c r="I115" s="115" t="str">
        <f>IF(ISERROR(FIND("shelf",A115))=FALSE,(VLOOKUP("Shelf pegs",FurnitureData,5,0)/100)*4,"")</f>
        <v/>
      </c>
      <c r="J115" s="152" t="str">
        <f>IF(OR(ISERROR(FIND("fridge/freezer",A115))=FALSE,ISERROR(FIND("sink",A115))=FALSE,ISERROR(FIND("larder",A115))=FALSE),VLOOKUP("Deep shelf "&amp;C115,Wardrobes_etcData,18,0),IF(OR(ISERROR(FIND("single oven",A115))=FALSE,ISERROR(FIND("Base carcass",A115))=FALSE),2*VLOOKUP("Deep shelf "&amp;C115,Wardrobes_etcData,18,0),IF(AND(ISERROR(FIND("wall carcass",A115))=FALSE,ISERROR(FIND("Boiler",A115))=TRUE),2*VLOOKUP("Shallow shelf "&amp;C115,Wardrobes_etcData,18,0),IF(ISERROR(FIND("double oven",A115))=FALSE,3*VLOOKUP("Deep shelf "&amp;C115,Wardrobes_etcData,18,0),IF(ISERROR(FIND("Tower carcass",A115))=FALSE,6*VLOOKUP("Deep shelf "&amp;C115,Wardrobes_etcData,18,0),"")))))</f>
        <v/>
      </c>
      <c r="K115" s="152" t="str">
        <f>IF(ISERROR(FIND("sink",A115))=FALSE,VLOOKUP("Sink liner - Aluminium "&amp;RIGHT(A115,LEN(A115)-22)&amp;"mm",ExceptionalData,5,0),IF(ISERROR(FIND("bins",A115))=FALSE,VLOOKUP("Drawer runners and clip set for bin unit (500) Dynapro",FurnitureData,5,0)+(2*VLOOKUP("Bin (42L Anthracite)",FurnitureData,5,0)),IF(ISERROR(FIND("larder",A115))=FALSE,VLOOKUP("Pull out larder unit 600mm",FurnitureData,5,0),IF(AND(ISERROR(FIND("drawer box",A115))=FALSE,ISERROR(FIND("internal",A115))=TRUE),VLOOKUP("Drawer runners and clip set (550) Dynapro",FurnitureData,5,0),IF(ISERROR(FIND("internal drawer box",A115))=FALSE,VLOOKUP("Drawer runners and clip set (450) Dynapro",FurnitureData,5,0),IF(ISERROR(FIND("table",A115))=FALSE,VLOOKUP("Hairpin Leg (12mm Black "&amp;MID(A115,FIND("(",A115)+1,LEN(A115)-(FIND("(",A115))-1)&amp;"mm)",ExceptionalData,4,FALSE),""))))))</f>
        <v/>
      </c>
      <c r="L115" s="152" t="str">
        <f t="shared" si="3"/>
        <v/>
      </c>
      <c r="M115" s="154" t="str">
        <f>IF(A115="","",IF(AND(ISERROR(FIND("drawer front",A115))=FALSE,WardrobeDoorStyle="Flat"),(((B115/1000)*(C115/1000))*2)+((((B115+C115)/1000)*2)*0.022),IF(AND(ISERROR(FIND("drawer front",A115))=FALSE,LEFT(WardrobeDoorStyle,5)="Panel"),(((B115/1000)*(C115/1000))*2)+((((B115+C115)/1000)*2)*0.022)+((((C115/1000)-0.16)*0.013)*2)+((((D115/1000)-0.16)*0.013)*2),IF(AND(ISERROR(FIND("drawer front",A115))=FALSE,WardrobeDoorStyle="In-frame flat"),((((B115-76)/1000)*((C115-38)/1000))*2)+(MID(WardrobeDoorMaterial,FIND("(",WardrobeDoorMaterial)+1,2)/1000)*((((B115-76)+(C115-38))/1000)*2)+(((B115/1000)*0.032)*2)+((((B115-76)/1000)*0.032)*2)+(((B115/1000)*0.019)*4)+(((C115/1000)*0.032)*2)+((((C115-38)/1000)*0.032)*2)+(((C115/1000)*0.038)*4),IF(AND(ISERROR(FIND("drawer front",A115))=FALSE,LEFT(WardrobeDoorStyle,14)="In-frame panel"),((((B115-76)/1000)*((C115-38)/1000))*2)+((MID(WardrobeDoorMaterial,FIND("(",WardrobeDoorMaterial)+1,2)/1000)*((((B115-76)+(C115-38))/1000)*2))+((((B115-236)/1000)+((C115-198)/1000)*2)*0.013)+(((B115/1000)*0.032)*2)+((((B115-76)/1000)*0.032)*2)+(((B115/1000)*0.019)*4)+(((C115/1000)*0.032)*2)+((((C115-38)/1000)*0.032)*2)+(((C115/1000)*0.038)*4),IF(ISERROR(FIND("drawer box",A115))=FALSE,((((B115/1000)*(D115/1000))+((B115/1000)*(C115/1000)))*4)+((((D115/1000)+(C115/1000))*0.016)*4)+(((C115/1000)*(D115/1000))*2),IF(OR(ISERROR(FIND("shelf",A115))=FALSE,ISERROR(FIND("Filler panel",A115))=FALSE),(((C115/1000)*(D115/1000))*2)+((((C115+D115)*2)/1000)*0.022),IF(ISERROR(FIND("Fireplace",A115))=FALSE,((B115/1000)*(C115/1000)),IF(ISERROR(FIND("Worktop",A115))=FALSE,(B115/1000)*(C115/1000),IF(ISERROR(FIND("table",A115))=FALSE,(B115/1000)*0.6,IF(ISERROR(FIND("arcass",A115))=FALSE,(((C115/1000)*(D115/1000))*2)+(((B115/1000)*(D115/1000))*2)+((B115/1000)*(C115/1000))+((((B115/1000)*0.025)+((C115/1000)*0.025))*2),IF(AND(ISERROR(FIND("door",A115))=FALSE,WardrobeDoorStyle="Flat"),(((B115/1000)*(C115/1000))*2)+(MID(WardrobeDoorMaterial,FIND("(",WardrobeDoorMaterial)+1,2)/1000)*(((B115+C115)/1000)*2),IF(AND(ISERROR(FIND("door",A115))=FALSE,LEFT(WardrobeDoorStyle,5)="Panel"),(((B115/1000)*(C115/1000))*2)+((MID(WardrobeDoorMaterial,FIND("(",WardrobeDoorMaterial)+1,2)/1000)*(((B115+C115)/1000)*2))+(((((B115-160)+(C115-160))*2)/1000)*(0.013)),IF(AND(ISERROR(FIND("door",A115))=FALSE,WardrobeDoorStyle="In-frame flat"),((((B115-76)/1000)*((C115-38)/1000))*2)+(MID(WardrobeDoorMaterial,FIND("(",WardrobeDoorMaterial)+1,2)/1000)*((((B115-76)+(C115-38))/1000)*2)+(((B115/1000)*0.032)*2)+((((B115-76)/1000)*0.032)*2)+(((B115/1000)*0.019)*4)+(((C115/1000)*0.032)*2)+((((C115-38)/1000)*0.032)*2)+(((C115/1000)*0.038)*4),IF(AND(ISERROR(FIND("door",A115))=FALSE,LEFT(WardrobeDoorStyle,14)="In-frame panel"),((((B115-76)/1000)*((C115-38)/1000))*2)+((MID(WardrobeDoorMaterial,FIND("(",WardrobeDoorMaterial)+1,2)/1000)*((((B115-76)+(C115-38))/1000)*2))+((((B115-236)/1000)+((C115-198)/1000)*2)*0.013)+(((B115/1000)*0.032)*2)+((((B115-76)/1000)*0.032)*2)+(((B115/1000)*0.019)*4)+(((C115/1000)*0.032)*2)+((((C115-38)/1000)*0.032)*2)+(((C115/1000)*0.038)*4),IF(ISERROR(FIND("Plinth",A115))=FALSE,((B115/1000)*(C115/1000))+(((C115/1000)*0.018)*2)+(((B115/1000)*0.018)*2),IF(ISERROR(FIND("Cornice",A115))=FALSE,(((C115/1000)*0.1)*2)+(((C115/1000)*0.044)*2)+(((B115/1000)*0.08)*2),IF(ISERROR(FIND("Office pod",A115))=FALSE,((2400/1000)*(1200/1000))*6,IF(ISERROR(FIND("panel",A115))=FALSE,((B115/1000)*(C115/1000))+(0.022*((B115/1000)+((C115/1000)*2)))+((B115/1000)*0.05),IF(ISERROR(FIND("Fillers",A115))=FALSE,((C115/1000)*0.06)+((C115/1000)*0.069)+((0.06*0.018)*2)+((0.06*0.009)*2)+((C115/1000)*0.009)+((C115/1000)*0.018),IF(ISERROR(FIND("Pelmet",A115))=FALSE,((C115/1000)*0.05)+((C115/1000)*0.068)+((0.05*0.018)*4)+(((C115/1000)*0.018))*2)))))))))))))))))))))</f>
        <v/>
      </c>
      <c r="N115" s="152" t="str">
        <f>IF(M115="","",IF(AND(ISERROR(FIND("carcass",A115))=TRUE,ISERROR(FIND("unit",A115))=TRUE,ISERROR(FIND("insert",A115))=TRUE,ISERROR(FIND("rack",A115))=TRUE,ISERROR(FIND("box",A115))=TRUE,ISERROR(FIND("shelf",A115))=TRUE),VLOOKUP(WardrobeDoorFinish,Finishing!$A$2:$K$10,9,0)*M115,IF(ISERROR(FIND("table",A115))=FALSE,VLOOKUP("Sayerlack AF0072 Interior Clear Self-Sealer",FinishingData,9,FALSE)*M115,VLOOKUP(WardrobeCarcassFinish,Finishing!$A$2:$K$40,9,0)*M115)))</f>
        <v/>
      </c>
      <c r="O115" s="159"/>
      <c r="P115" s="159"/>
      <c r="Q115" s="152" t="str">
        <f>IF(OR(O115="",P115=""),"",((O115*X115)*(VLOOKUP("Workshop",Labour!$A$3:$E$20,4,0)/8))+((P115*AE115)*(VLOOKUP("Finishing",Labour!$A$3:$E$20,4,0)/8)))</f>
        <v/>
      </c>
      <c r="R115" s="152" t="str">
        <f t="shared" si="4"/>
        <v/>
      </c>
      <c r="S115" s="156" t="str">
        <f>IF(OR(O115="",P115=""),"",IF(OR(ISERROR(FIND("carcass",$A115))=FALSE,ISERROR(FIND("unit",$A115))=FALSE),VLOOKUP(WardrobeCarcassMaterial,FixedListsCarcassMaterial,2,0),0))</f>
        <v/>
      </c>
      <c r="T115" s="156" t="str">
        <f>IF(OR(O115="",P115=""),"",IF(ISERROR(FIND("door",$A115))=FALSE,VLOOKUP(WardrobeDoorStyle,FixedListsDoorStyle,2,0),0))</f>
        <v/>
      </c>
      <c r="U115" s="156" t="str">
        <f>IF(OR(O115="",P115=""),"",IF(ISERROR(FIND("door",$A115))=FALSE,VLOOKUP(WardrobeDoorMaterial,FixedListsDoorMaterial,2,0),0))</f>
        <v/>
      </c>
      <c r="V115" s="156" t="str">
        <f>IF(OR(O115="",P115=""),"",IF(ISERROR(FIND("drawer",$A115))=FALSE,VLOOKUP(WardrobeDrawerType,FixedListsDrawerType,2,0),0))</f>
        <v/>
      </c>
      <c r="W115" s="156" t="str">
        <f>IF(OR(O115="",P115=""),"",IF(S115&gt;0,VLOOKUP(WardrobeHandleType,FixedListsHandleType,2,FALSE),0))</f>
        <v/>
      </c>
      <c r="X115" s="156" t="str">
        <f t="shared" si="5"/>
        <v/>
      </c>
      <c r="Y115" s="156" t="str">
        <f>IF(OR(O115="",P115=""),"",IF(OR(ISERROR(FIND("carcass",$A115))=FALSE,ISERROR(FIND("unit",$A115))=FALSE),VLOOKUP(WardrobeCarcassMaterial,FixedListsCarcassMaterial,3,0),0))</f>
        <v/>
      </c>
      <c r="Z115" s="156" t="str">
        <f>IF(OR(O115="",P115=""),"",IF(ISERROR(FIND("door",$A115))=FALSE,VLOOKUP(WardrobeDoorStyle,FixedListsDoorStyle,3,0),0))</f>
        <v/>
      </c>
      <c r="AA115" s="156" t="str">
        <f>IF(OR(O115="",P115=""),"",IF(ISERROR(FIND("door",$A115))=FALSE,VLOOKUP(WardrobeDoorMaterial,FixedListsDoorMaterial,3,0),0))</f>
        <v/>
      </c>
      <c r="AB115" s="156" t="str">
        <f>IF(OR(O115="",P115=""),"",IF(ISERROR(FIND("drawer",$A115))=FALSE,VLOOKUP(WardrobeDrawerType,FixedListsDrawerType,3,0),0))</f>
        <v/>
      </c>
      <c r="AC115" s="156" t="str">
        <f>IF(OR(O115="",P115=""),"",IF(S115&gt;0,VLOOKUP(WardrobeHandleType,FixedListsHandleType,3,FALSE),0))</f>
        <v/>
      </c>
      <c r="AD115" s="156" t="str">
        <f>IF(OR(O115="",P115=""),"",IF(OR(ISERROR(FIND("carcass",$A115))=FALSE,ISERROR(FIND("unit",$A115))=FALSE),VLOOKUP(WardrobeCarcassFinish,FixedListsFinishes,3,0),IF(OR(ISERROR(FIND("door",$A115))=FALSE,ISERROR(FIND("Plinth",$A115))=FALSE,ISERROR(FIND("Cornice",$A115))=FALSE,ISERROR(FIND("Fillers",$A115))=FALSE,ISERROR(FIND("Pelmet",$A115))=FALSE,ISERROR(FIND("panel",$A115))=FALSE,ISERROR(FIND("post",$A115))=FALSE),VLOOKUP(WardrobeDoorFinish,FixedListsFinishes,3,0),IF(OR(ISERROR(FIND("drawer",$A115))=FALSE,ISERROR(FIND("insert",$A115))=FALSE,ISERROR(FIND("rck",$A115))=FALSE),VLOOKUP(WardrobeCarcassFinish,FixedListsFinishes,3,0),0))))</f>
        <v/>
      </c>
      <c r="AE115" s="156" t="str">
        <f t="shared" si="6"/>
        <v/>
      </c>
      <c r="AF115" s="157" t="str">
        <f>IF(AND(WardrobeHandleType="Channel",OR(ISERROR(FIND("arcass",$A115))=FALSE,ISERROR(FIND("unit",$A115))=FALSE)),IF(ISERROR(FIND("Tower",$A115))=TRUE,IF(WardrobeHandleFinish="Match carcass",IF(ISERROR(FIND("Walnut",WardrobeCarcassMaterial))=FALSE,(0.035*0.075*($C115/1000))*VLOOKUP("Walnut (solid m3)",SolidData,4,FALSE),IF(ISERROR(FIND("Oak",WardrobeCarcassMaterial))=FALSE,(0.035*0.075*($C115/1000))*VLOOKUP("Oak (solid m3)",SolidData,4,FALSE),IF(ISERROR(FIND("ply",WardrobeCarcassMaterial))=FALSE,(0.1*($C115/1000))*VLOOKUP("Birch ply (24mm)",SheetsData,7,FALSE),IF(ISERROR(FIND("H/F",WardrobeCarcassMaterial))=FALSE,(0.1*($C115/1000))*VLOOKUP("H/F (22mm)",SheetsData,7,FALSE),"Carcass - not tower - new material")))),IF(WardrobeHandleFinish="Match door",IF(ISERROR(FIND("Walnut",WardrobeDoorMaterial))=FALSE,(0.035*0.075*($C115/1000))*VLOOKUP("Walnut (solid m3)",SolidData,4,FALSE),IF(ISERROR(FIND("Oak",WardrobeDoorMaterial))=FALSE,(0.035*0.075*($C115/1000))*VLOOKUP("Oak (solid m3)",SolidData,4,FALSE),IF(ISERROR(FIND("ply",WardrobeDoorMaterial))=FALSE,(0.1*($C115/1000))*VLOOKUP("Birch ply (24mm)",SheetsData,7,FALSE),IF(ISERROR(FIND("H/F",WardrobeCarcassMaterial))=FALSE,(0.1*($C115/1000))*VLOOKUP("H/F (22mm)",SheetsData,7,FALSE),"Door - not tower - new material")))),"Channel - not tower - handle set to other")),IF(ISERROR(FIND("Tower",$A115))=FALSE,IF(WardrobeHandleFinish="Match carcass",IF(ISERROR(FIND("Walnut",WardrobeCarcassMaterial))=FALSE,(0.035*0.075*($B115/1000))*VLOOKUP("Walnut (solid m3)",SolidData,4,FALSE),IF(ISERROR(FIND("Oak",WardrobeCarcassMaterial))=FALSE,(0.035*0.075*($B115/1000))*VLOOKUP("Oak (solid m3)",SolidData,4,FALSE),IF(ISERROR(FIND("ply",WardrobeCarcassMaterial))=FALSE,(0.1*($B115/1000))*VLOOKUP("Birch ply (24mm)",SheetsData,7,FALSE),IF(ISERROR(FIND("H/F",WardrobeCarcassMaterial))=FALSE,(0.1*($C115/1000))*VLOOKUP("H/F (22mm)",SheetsData,7,FALSE),"Carcass - tower - new material")))),IF(WardrobeHandleFinish="Match door",IF(ISERROR(FIND("Walnut",WardrobeDoorMaterial))=FALSE,(0.035*0.075*($B115/1000))*VLOOKUP("Walnut (solid m3)",SolidData,4,FALSE),IF(ISERROR(FIND("Oak",WardrobeDoorMaterial))=FALSE,(0.035*0.075*($B115/1000))*VLOOKUP("Oak (solid m3)",SolidData,4,FALSE),IF(ISERROR(FIND("ply",WardrobeDoorMaterial))=FALSE,(0.1*($B115/1000))*VLOOKUP("Birch ply (24mm)",SheetData,7,FALSE),IF(ISERROR(FIND("H/F",WardrobeCarcassMaterial))=FALSE,(0.1*($C115/1000))*VLOOKUP("H/F (22mm)",SheetsData,7,FALSE),"Door - tower - new material")))),"Channel - tower - handle set to other")))),"")</f>
        <v/>
      </c>
    </row>
    <row r="116">
      <c r="A116" s="150"/>
      <c r="B116" s="160" t="str">
        <f t="shared" si="1"/>
        <v/>
      </c>
      <c r="C116" s="160" t="str">
        <f>IFERROR(__xludf.DUMMYFUNCTION("IF(A116="""","""",IF(ISERROR(FIND(""arcass"",A116))=FALSE,MID(A116,FIND(""*"",A116)+1,FIND(""*"",A116,FIND(""*"",A116)+1)-FIND(""*"",A116)-1),IF(ISERROR(FIND(""End panel"",A116))=FALSE,RIGHT(A116,3),IF(OR(ISERROR(FIND(""drawer"",A116))=FALSE,ISERROR(FIND("&amp;"""door"",A116))=FALSE,ISERROR(FIND(""shelf"",A116))=FALSE,ISERROR(FIND(""panel"",A116))=FALSE,ISERROR(FIND(""Plinth"",A116))=FALSE,ISERROR(FIND(""Cornice"",A116))=FALSE,ISERROR(FIND(""Fillers"",A116))=FALSE,ISERROR(FIND(""Pelmet"",A116))=FALSE,ISERROR(FIN"&amp;"D(""Fireplace up to 1600"",A116))=FALSE),RIGHT(A116,LEN(A116)-LEN(regexextract(A116,"".* ""))),IF(ISERROR(FIND(""table"",A116))=FALSE,""560"",IF(ISERROR(FIND(""Office pod"",A116))=FALSE,""1600"",IF(ISERROR(FIND(""Fireplace over 1600"",A116))=FALSE,""2400"&amp;""",IF(ISERROR(FIND(""Worktop"",A116))=FALSE,""650"",""Whoops""))))))))"),"")</f>
        <v/>
      </c>
      <c r="D116" s="161" t="str">
        <f t="shared" si="2"/>
        <v/>
      </c>
      <c r="E116" s="152" t="str">
        <f>IF(OR(A116="",AND(ISERROR(FIND("drawer",A116))=FALSE,WardrobeDrawerType="")),"",IF(ISERROR(FIND("door",A116))=FALSE,IF(WardrobeDoorStyle="Flat",((B116/1000)*(C116/1000))*VLOOKUP(WardrobeDoorMaterial,SheetsData,8,0),IF(LEFT(WardrobeDoorStyle,5)="Panel",(((((B116/1000)*2)*0.08)+((((C116/1000)-0.16)*2)*0.08))*VLOOKUP("H/F (22mm)",SheetsData,8,0))+(((B116/1000)-0.14)*((C116/1000)-0.14)*VLOOKUP("H/F (9mm)",SheetsData,8,0)),IF(WardrobeDoorStyle="In-frame flat",((((((B116/1000)*0.019)*0.038)+((((C116-38)/1000)*0.038)*0.038))*2)*VLOOKUP("Tulip (solid m3)",SolidData,4,0))+(((B116-76)/1000)*((C116-38)/1000))*VLOOKUP("H/F (22mm)",SheetsData,8,0),IF(LEFT(WardrobeDoorStyle,14)="In-frame panel",(((((((B116/1000)*0.019)*0.038)+((((C116-38)/1000)*0.038)*0.038))*2)*VLOOKUP("Tulip (solid m3)",SolidData,4,0))+(((((((B116-76)/1000)*2)*0.08)+(((((C116-198)/1000)*2)*0.08)))*VLOOKUP("H/F (22mm)",SheetsData,8,0))+(((B116-216)/1000)*((C116-178)/1000)*VLOOKUP("H/F (9mm)",SheetsData,8,0)))))))),IF(AND(ISERROR(FIND("arcass",A116))=FALSE,ISERROR(FIND("ost corner",A116))=TRUE),IF(AND(VALUE(B116)&lt;1211,VALUE(C116)&lt;1211,VALUE(D116)&lt;606),1*VLOOKUP(WardrobeCarcassMaterial,SheetsData,5,FALSE),IF(AND(VALUE(B116)&lt;2421,VALUE(C116)&lt;2421,VALUE(D116)&lt;606),2*VLOOKUP(WardrobeCarcassMaterial,SheetsData,5,FALSE),IF(AND(VALUE(B116)&lt;2421,VALUE(C116)&lt;1211,VALUE(D116)&lt;1211),3*VLOOKUP(WardrobeCarcassMaterial,SheetsData,5,FALSE),IF(AND(VALUE(B116)&lt;2421,VALUE(C116)&lt;2421,VALUE(D116)&lt;1211),4*VLOOKUP(WardrobeCarcassMaterial,SheetsData,5,FALSE))))),IF(AND(ISERROR(FIND("arcass",A116))=FALSE,ISERROR(FIND("ost corner",A116))=FALSE),IF(AND(VALUE(B116)&lt;1211,VALUE(C116)&lt;1211,VALUE(D116)&lt;606),(1*VLOOKUP(WardrobeCarcassMaterial,SheetsData,5,FALSE))+(VLOOKUP("H/F (22mm)",SheetsData,7,FALSE)*1.44),IF(AND(VALUE(B116)&lt;2421,VALUE(C116)&lt;2421,VALUE(D116)&lt;606),(2*VLOOKUP(WardrobeCarcassMaterial,SheetsData,5,FALSE))+(VLOOKUP("H/F (22mm)",SheetsData,7,FALSE)*1.44),IF(AND(VALUE(B116)&lt;2421,VALUE(C116)&lt;1211,VALUE(D116)&lt;1211),(3*VLOOKUP(WardrobeCarcassMaterial,SheetsData,5,FALSE))+(VLOOKUP("H/F (22mm)",SheetsData,7,FALSE)*1.44),IF(AND(VALUE(B116)&lt;2421,VALUE(C116)&lt;2421,VALUE(D116)&lt;1211),(4*VLOOKUP(WardrobeCarcassMaterial,SheetsData,5,FALSE))+(VLOOKUP("H/F (22mm)",SheetsData,7,FALSE)*1.44))))),IF(ISERROR(FIND("drawer front",A116))=FALSE,((B116/1000)*(C116/1000))*VLOOKUP(WardrobeDoorMaterial,SheetsData,8,0),IF(AND(WardrobeDrawerType="Match carcass",ISERROR(FIND("drawer box",A116))=FALSE),(((((B116/1000)*(C116/1000))+((B116/1000)*(D116/1000)))*2)*VLOOKUP(WardrobeCarcassMaterial,SheetsData,8,0))+(((C116/1000)*(D116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box",A116))=FALSE),(((((B116/1000)*(C116/1000))+((B116/1000)*(D116/1000)))*2)*(16/1000)*VLOOKUP(LEFT(WardrobeCarcassMaterial,FIND(" ",WardrobeCarcassMaterial))&amp;"(solid m3)",SolidData,4,0))+(((C116/1000)*(D116/1000))*VLOOKUP(LEFT(WardrobeCarcassMaterial,FIND("(",WardrobeCarcassMaterial)-1)&amp;IF(OR(ISERROR(FIND("ply",WardrobeCarcassMaterial))=FALSE,ISERROR(FIND("H/F",WardrobeCarcassMaterial))=FALSE),"(9mm)","(10mm)"),SheetsData,8,0)),IF(ISERROR(FIND("shelf",A116))=FALSE,((C116/1000)*(D116/1000))*VLOOKUP(WardrobeCarcassMaterial,SheetsData,7,FALSE),IF(ISERROR(FIND("Office pod",A116))=FALSE,3*VLOOKUP(WardrobeCarcassMaterial,SheetsData,5,0),IF(ISERROR(FIND(" panel",A116))=FALSE,((B116/1000)*(C116/1000))*VLOOKUP(WardrobeDoorMaterial,SheetsData,8,0),IF(ISERROR(FIND("Fillers",A116))=FALSE,(((0.06*(C116/1000))*2)*VLOOKUP("H/F (18mm)",SheetsData,8,0))+(((0.06*(C116/1000))*2)*VLOOKUP("H/F (9mm)",SheetsData,8,0)),IF(ISERROR(FIND("Cornice (stacked)",A116))=FALSE,((0.08*(C116/1000))*2)*VLOOKUP("H/F (22mm)",SheetsData,8,0),IF(OR(ISERROR(FIND("Plinth",A116))=FALSE,ISERROR(FIND("Cornice (flat)",A116))=FALSE),((B116/1000)*(C116/1000))*VLOOKUP("H/F (18mm)",SheetsData,8,0),IF(ISERROR(FIND("Pelmet",A116))=FALSE,((((B116/1000)*(C116/1000))*2)*VLOOKUP("H/F (18mm)",SheetsData,8,0)),IF(ISERROR(FIND("Fireplace",A116))=FALSE,IF(ISERROR(FIND("over 1600",A116))=FALSE,2*VLOOKUP(WardrobeCarcassMaterial,SheetsData,5,FALSE),VLOOKUP(WardrobeCarcassMaterial,SheetsData,5,FALSE)),IF(ISERROR(FIND("table",A116))=FALSE,((B116/1000)*0.6)*VLOOKUP("Birch ply (24mm)",SheetsData,7,FALSE),IF(ISERROR(FIND("Worktop",A116))=FALSE,((B116/1000)*(C116/1000))*VLOOKUP(WardrobeDoorMaterial,SheetsData,7,FALSE),"Check formula")))))))))))))))))</f>
        <v/>
      </c>
      <c r="F116" s="152" t="str">
        <f>IFERROR(__xludf.DUMMYFUNCTION("IF(OR(A116="""",AND(ISERROR(FIND(""drawer box"",A116))=FALSE,WardrobeDrawerType=""Solid dovetail"")),"""",IF(ISERROR(FIND(""bins"",A116))=FALSE,VLOOKUP(""Base carcass 600"",Wardrobes_etcData,6,0),IF(OR(ISERROR(FIND(""larder"",A116))=FALSE,ISERROR(FIND(""u"&amp;"nit"",A116))=FALSE),VLOOKUP(LEFT(A116,FIND("" "",A116))&amp;""carcass ""&amp;RIGHT(A116,LEN(A116)-len(regexextract(A116,"".* ""))),Wardrobes_etcData,6,0),IF(ISERROR(FIND(""drawer front"",A116))=FALSE,IF(ISERROR(FIND(""veneer"",WardrobeCarcassMaterial))=TRUE,0,((("&amp;"B116+C116)/1000)*2)*VLOOKUP(""Edge banding (per M)"",SheetsData,5,0)),IF(ISERROR(FIND(""drawer box"",A116))=FALSE,IF(ISERROR(FIND(""veneer"",WardrobeCarcassMaterial))=TRUE,0,(((C116+D116)/1000)*2)*VLOOKUP(""Edge banding (per M)"",SheetsData,5,0)),IF(ISERR"&amp;"OR(FIND(""shelf"",A116))=FALSE,IF(ISERROR(FIND(""veneer"",WardrobeCarcassMaterial))=TRUE,0,(C116/1000)*VLOOKUP(""Edge banding (per M)"",SheetsData,5,0)),IF(AND(OR(ISERROR(FIND(""arcass"",A116))=FALSE,ISERROR(FIND(""Fireplace"",A116))=FALSE),ISERROR(FIND("&amp;"""shelf"",A116))=TRUE),IF(ISERROR(FIND(""veneer"",WardrobeCarcassMaterial))=TRUE,0,((2*(B116+C116))/1000)*VLOOKUP(""Edge banding (per M)"",SheetsData,5,0)),IF(ISERROR(FIND(""door"",A116))=TRUE,"""",IF(ISERROR(FIND(""veneer"",WardrobeDoorMaterial))=TRUE,"""&amp;""",((2*(B116+C116))/1000)*VLOOKUP(""Edge banding (per M)"",SheetsData,5,0))))))))))"),"")</f>
        <v/>
      </c>
      <c r="G116" s="153" t="str">
        <f>IF(A116="","",IF(AND(ISERROR(FIND("arcass",A116))=TRUE,ISERROR(FIND("Fireplace",A116))=TRUE),"",IF(VALUE(C116)&lt;606,4*VLOOKUP("Plinth foot (2 Parts 80mm)",FurnitureData,5,FALSE),IF(VALUE(C116)&lt;1211,6*VLOOKUP("Plinth foot (2 Parts 80mm)",FurnitureData,5,FALSE),8*VLOOKUP("Plinth foot (2 Parts 80mm)",FurnitureData,5,FALSE)))))</f>
        <v/>
      </c>
      <c r="H116" s="115" t="str">
        <f>IF(OR(A116="",ISERROR(FIND("door",A116))=TRUE),"",VLOOKUP("Hinges &amp; plates (Hettich thick door)",FurnitureData,5,0)*5)</f>
        <v/>
      </c>
      <c r="I116" s="115" t="str">
        <f>IF(ISERROR(FIND("shelf",A116))=FALSE,(VLOOKUP("Shelf pegs",FurnitureData,5,0)/100)*4,"")</f>
        <v/>
      </c>
      <c r="J116" s="152" t="str">
        <f>IF(OR(ISERROR(FIND("fridge/freezer",A116))=FALSE,ISERROR(FIND("sink",A116))=FALSE,ISERROR(FIND("larder",A116))=FALSE),VLOOKUP("Deep shelf "&amp;C116,Wardrobes_etcData,18,0),IF(OR(ISERROR(FIND("single oven",A116))=FALSE,ISERROR(FIND("Base carcass",A116))=FALSE),2*VLOOKUP("Deep shelf "&amp;C116,Wardrobes_etcData,18,0),IF(AND(ISERROR(FIND("wall carcass",A116))=FALSE,ISERROR(FIND("Boiler",A116))=TRUE),2*VLOOKUP("Shallow shelf "&amp;C116,Wardrobes_etcData,18,0),IF(ISERROR(FIND("double oven",A116))=FALSE,3*VLOOKUP("Deep shelf "&amp;C116,Wardrobes_etcData,18,0),IF(ISERROR(FIND("Tower carcass",A116))=FALSE,6*VLOOKUP("Deep shelf "&amp;C116,Wardrobes_etcData,18,0),"")))))</f>
        <v/>
      </c>
      <c r="K116" s="152" t="str">
        <f>IF(ISERROR(FIND("sink",A116))=FALSE,VLOOKUP("Sink liner - Aluminium "&amp;RIGHT(A116,LEN(A116)-22)&amp;"mm",ExceptionalData,5,0),IF(ISERROR(FIND("bins",A116))=FALSE,VLOOKUP("Drawer runners and clip set for bin unit (500) Dynapro",FurnitureData,5,0)+(2*VLOOKUP("Bin (42L Anthracite)",FurnitureData,5,0)),IF(ISERROR(FIND("larder",A116))=FALSE,VLOOKUP("Pull out larder unit 600mm",FurnitureData,5,0),IF(AND(ISERROR(FIND("drawer box",A116))=FALSE,ISERROR(FIND("internal",A116))=TRUE),VLOOKUP("Drawer runners and clip set (550) Dynapro",FurnitureData,5,0),IF(ISERROR(FIND("internal drawer box",A116))=FALSE,VLOOKUP("Drawer runners and clip set (450) Dynapro",FurnitureData,5,0),IF(ISERROR(FIND("table",A116))=FALSE,VLOOKUP("Hairpin Leg (12mm Black "&amp;MID(A116,FIND("(",A116)+1,LEN(A116)-(FIND("(",A116))-1)&amp;"mm)",ExceptionalData,4,FALSE),""))))))</f>
        <v/>
      </c>
      <c r="L116" s="152" t="str">
        <f t="shared" si="3"/>
        <v/>
      </c>
      <c r="M116" s="154" t="str">
        <f>IF(A116="","",IF(AND(ISERROR(FIND("drawer front",A116))=FALSE,WardrobeDoorStyle="Flat"),(((B116/1000)*(C116/1000))*2)+((((B116+C116)/1000)*2)*0.022),IF(AND(ISERROR(FIND("drawer front",A116))=FALSE,LEFT(WardrobeDoorStyle,5)="Panel"),(((B116/1000)*(C116/1000))*2)+((((B116+C116)/1000)*2)*0.022)+((((C116/1000)-0.16)*0.013)*2)+((((D116/1000)-0.16)*0.013)*2),IF(AND(ISERROR(FIND("drawer front",A116))=FALSE,WardrobeDoorStyle="In-frame flat"),((((B116-76)/1000)*((C116-38)/1000))*2)+(MID(WardrobeDoorMaterial,FIND("(",WardrobeDoorMaterial)+1,2)/1000)*((((B116-76)+(C116-38))/1000)*2)+(((B116/1000)*0.032)*2)+((((B116-76)/1000)*0.032)*2)+(((B116/1000)*0.019)*4)+(((C116/1000)*0.032)*2)+((((C116-38)/1000)*0.032)*2)+(((C116/1000)*0.038)*4),IF(AND(ISERROR(FIND("drawer front",A116))=FALSE,LEFT(WardrobeDoorStyle,14)="In-frame panel"),((((B116-76)/1000)*((C116-38)/1000))*2)+((MID(WardrobeDoorMaterial,FIND("(",WardrobeDoorMaterial)+1,2)/1000)*((((B116-76)+(C116-38))/1000)*2))+((((B116-236)/1000)+((C116-198)/1000)*2)*0.013)+(((B116/1000)*0.032)*2)+((((B116-76)/1000)*0.032)*2)+(((B116/1000)*0.019)*4)+(((C116/1000)*0.032)*2)+((((C116-38)/1000)*0.032)*2)+(((C116/1000)*0.038)*4),IF(ISERROR(FIND("drawer box",A116))=FALSE,((((B116/1000)*(D116/1000))+((B116/1000)*(C116/1000)))*4)+((((D116/1000)+(C116/1000))*0.016)*4)+(((C116/1000)*(D116/1000))*2),IF(OR(ISERROR(FIND("shelf",A116))=FALSE,ISERROR(FIND("Filler panel",A116))=FALSE),(((C116/1000)*(D116/1000))*2)+((((C116+D116)*2)/1000)*0.022),IF(ISERROR(FIND("Fireplace",A116))=FALSE,((B116/1000)*(C116/1000)),IF(ISERROR(FIND("Worktop",A116))=FALSE,(B116/1000)*(C116/1000),IF(ISERROR(FIND("table",A116))=FALSE,(B116/1000)*0.6,IF(ISERROR(FIND("arcass",A116))=FALSE,(((C116/1000)*(D116/1000))*2)+(((B116/1000)*(D116/1000))*2)+((B116/1000)*(C116/1000))+((((B116/1000)*0.025)+((C116/1000)*0.025))*2),IF(AND(ISERROR(FIND("door",A116))=FALSE,WardrobeDoorStyle="Flat"),(((B116/1000)*(C116/1000))*2)+(MID(WardrobeDoorMaterial,FIND("(",WardrobeDoorMaterial)+1,2)/1000)*(((B116+C116)/1000)*2),IF(AND(ISERROR(FIND("door",A116))=FALSE,LEFT(WardrobeDoorStyle,5)="Panel"),(((B116/1000)*(C116/1000))*2)+((MID(WardrobeDoorMaterial,FIND("(",WardrobeDoorMaterial)+1,2)/1000)*(((B116+C116)/1000)*2))+(((((B116-160)+(C116-160))*2)/1000)*(0.013)),IF(AND(ISERROR(FIND("door",A116))=FALSE,WardrobeDoorStyle="In-frame flat"),((((B116-76)/1000)*((C116-38)/1000))*2)+(MID(WardrobeDoorMaterial,FIND("(",WardrobeDoorMaterial)+1,2)/1000)*((((B116-76)+(C116-38))/1000)*2)+(((B116/1000)*0.032)*2)+((((B116-76)/1000)*0.032)*2)+(((B116/1000)*0.019)*4)+(((C116/1000)*0.032)*2)+((((C116-38)/1000)*0.032)*2)+(((C116/1000)*0.038)*4),IF(AND(ISERROR(FIND("door",A116))=FALSE,LEFT(WardrobeDoorStyle,14)="In-frame panel"),((((B116-76)/1000)*((C116-38)/1000))*2)+((MID(WardrobeDoorMaterial,FIND("(",WardrobeDoorMaterial)+1,2)/1000)*((((B116-76)+(C116-38))/1000)*2))+((((B116-236)/1000)+((C116-198)/1000)*2)*0.013)+(((B116/1000)*0.032)*2)+((((B116-76)/1000)*0.032)*2)+(((B116/1000)*0.019)*4)+(((C116/1000)*0.032)*2)+((((C116-38)/1000)*0.032)*2)+(((C116/1000)*0.038)*4),IF(ISERROR(FIND("Plinth",A116))=FALSE,((B116/1000)*(C116/1000))+(((C116/1000)*0.018)*2)+(((B116/1000)*0.018)*2),IF(ISERROR(FIND("Cornice",A116))=FALSE,(((C116/1000)*0.1)*2)+(((C116/1000)*0.044)*2)+(((B116/1000)*0.08)*2),IF(ISERROR(FIND("Office pod",A116))=FALSE,((2400/1000)*(1200/1000))*6,IF(ISERROR(FIND("panel",A116))=FALSE,((B116/1000)*(C116/1000))+(0.022*((B116/1000)+((C116/1000)*2)))+((B116/1000)*0.05),IF(ISERROR(FIND("Fillers",A116))=FALSE,((C116/1000)*0.06)+((C116/1000)*0.069)+((0.06*0.018)*2)+((0.06*0.009)*2)+((C116/1000)*0.009)+((C116/1000)*0.018),IF(ISERROR(FIND("Pelmet",A116))=FALSE,((C116/1000)*0.05)+((C116/1000)*0.068)+((0.05*0.018)*4)+(((C116/1000)*0.018))*2)))))))))))))))))))))</f>
        <v/>
      </c>
      <c r="N116" s="152" t="str">
        <f>IF(M116="","",IF(AND(ISERROR(FIND("carcass",A116))=TRUE,ISERROR(FIND("unit",A116))=TRUE,ISERROR(FIND("insert",A116))=TRUE,ISERROR(FIND("rack",A116))=TRUE,ISERROR(FIND("box",A116))=TRUE,ISERROR(FIND("shelf",A116))=TRUE),VLOOKUP(WardrobeDoorFinish,Finishing!$A$2:$K$10,9,0)*M116,IF(ISERROR(FIND("table",A116))=FALSE,VLOOKUP("Sayerlack AF0072 Interior Clear Self-Sealer",FinishingData,9,FALSE)*M116,VLOOKUP(WardrobeCarcassFinish,Finishing!$A$2:$K$40,9,0)*M116)))</f>
        <v/>
      </c>
      <c r="O116" s="159"/>
      <c r="P116" s="159"/>
      <c r="Q116" s="152" t="str">
        <f>IF(OR(O116="",P116=""),"",((O116*X116)*(VLOOKUP("Workshop",Labour!$A$3:$E$20,4,0)/8))+((P116*AE116)*(VLOOKUP("Finishing",Labour!$A$3:$E$20,4,0)/8)))</f>
        <v/>
      </c>
      <c r="R116" s="152" t="str">
        <f t="shared" si="4"/>
        <v/>
      </c>
      <c r="S116" s="156" t="str">
        <f>IF(OR(O116="",P116=""),"",IF(OR(ISERROR(FIND("carcass",$A116))=FALSE,ISERROR(FIND("unit",$A116))=FALSE),VLOOKUP(WardrobeCarcassMaterial,FixedListsCarcassMaterial,2,0),0))</f>
        <v/>
      </c>
      <c r="T116" s="156" t="str">
        <f>IF(OR(O116="",P116=""),"",IF(ISERROR(FIND("door",$A116))=FALSE,VLOOKUP(WardrobeDoorStyle,FixedListsDoorStyle,2,0),0))</f>
        <v/>
      </c>
      <c r="U116" s="156" t="str">
        <f>IF(OR(O116="",P116=""),"",IF(ISERROR(FIND("door",$A116))=FALSE,VLOOKUP(WardrobeDoorMaterial,FixedListsDoorMaterial,2,0),0))</f>
        <v/>
      </c>
      <c r="V116" s="156" t="str">
        <f>IF(OR(O116="",P116=""),"",IF(ISERROR(FIND("drawer",$A116))=FALSE,VLOOKUP(WardrobeDrawerType,FixedListsDrawerType,2,0),0))</f>
        <v/>
      </c>
      <c r="W116" s="156" t="str">
        <f>IF(OR(O116="",P116=""),"",IF(S116&gt;0,VLOOKUP(WardrobeHandleType,FixedListsHandleType,2,FALSE),0))</f>
        <v/>
      </c>
      <c r="X116" s="156" t="str">
        <f t="shared" si="5"/>
        <v/>
      </c>
      <c r="Y116" s="156" t="str">
        <f>IF(OR(O116="",P116=""),"",IF(OR(ISERROR(FIND("carcass",$A116))=FALSE,ISERROR(FIND("unit",$A116))=FALSE),VLOOKUP(WardrobeCarcassMaterial,FixedListsCarcassMaterial,3,0),0))</f>
        <v/>
      </c>
      <c r="Z116" s="156" t="str">
        <f>IF(OR(O116="",P116=""),"",IF(ISERROR(FIND("door",$A116))=FALSE,VLOOKUP(WardrobeDoorStyle,FixedListsDoorStyle,3,0),0))</f>
        <v/>
      </c>
      <c r="AA116" s="156" t="str">
        <f>IF(OR(O116="",P116=""),"",IF(ISERROR(FIND("door",$A116))=FALSE,VLOOKUP(WardrobeDoorMaterial,FixedListsDoorMaterial,3,0),0))</f>
        <v/>
      </c>
      <c r="AB116" s="156" t="str">
        <f>IF(OR(O116="",P116=""),"",IF(ISERROR(FIND("drawer",$A116))=FALSE,VLOOKUP(WardrobeDrawerType,FixedListsDrawerType,3,0),0))</f>
        <v/>
      </c>
      <c r="AC116" s="156" t="str">
        <f>IF(OR(O116="",P116=""),"",IF(S116&gt;0,VLOOKUP(WardrobeHandleType,FixedListsHandleType,3,FALSE),0))</f>
        <v/>
      </c>
      <c r="AD116" s="156" t="str">
        <f>IF(OR(O116="",P116=""),"",IF(OR(ISERROR(FIND("carcass",$A116))=FALSE,ISERROR(FIND("unit",$A116))=FALSE),VLOOKUP(WardrobeCarcassFinish,FixedListsFinishes,3,0),IF(OR(ISERROR(FIND("door",$A116))=FALSE,ISERROR(FIND("Plinth",$A116))=FALSE,ISERROR(FIND("Cornice",$A116))=FALSE,ISERROR(FIND("Fillers",$A116))=FALSE,ISERROR(FIND("Pelmet",$A116))=FALSE,ISERROR(FIND("panel",$A116))=FALSE,ISERROR(FIND("post",$A116))=FALSE),VLOOKUP(WardrobeDoorFinish,FixedListsFinishes,3,0),IF(OR(ISERROR(FIND("drawer",$A116))=FALSE,ISERROR(FIND("insert",$A116))=FALSE,ISERROR(FIND("rck",$A116))=FALSE),VLOOKUP(WardrobeCarcassFinish,FixedListsFinishes,3,0),0))))</f>
        <v/>
      </c>
      <c r="AE116" s="156" t="str">
        <f t="shared" si="6"/>
        <v/>
      </c>
      <c r="AF116" s="157" t="str">
        <f>IF(AND(WardrobeHandleType="Channel",OR(ISERROR(FIND("arcass",$A116))=FALSE,ISERROR(FIND("unit",$A116))=FALSE)),IF(ISERROR(FIND("Tower",$A116))=TRUE,IF(WardrobeHandleFinish="Match carcass",IF(ISERROR(FIND("Walnut",WardrobeCarcassMaterial))=FALSE,(0.035*0.075*($C116/1000))*VLOOKUP("Walnut (solid m3)",SolidData,4,FALSE),IF(ISERROR(FIND("Oak",WardrobeCarcassMaterial))=FALSE,(0.035*0.075*($C116/1000))*VLOOKUP("Oak (solid m3)",SolidData,4,FALSE),IF(ISERROR(FIND("ply",WardrobeCarcassMaterial))=FALSE,(0.1*($C116/1000))*VLOOKUP("Birch ply (24mm)",SheetsData,7,FALSE),IF(ISERROR(FIND("H/F",WardrobeCarcassMaterial))=FALSE,(0.1*($C116/1000))*VLOOKUP("H/F (22mm)",SheetsData,7,FALSE),"Carcass - not tower - new material")))),IF(WardrobeHandleFinish="Match door",IF(ISERROR(FIND("Walnut",WardrobeDoorMaterial))=FALSE,(0.035*0.075*($C116/1000))*VLOOKUP("Walnut (solid m3)",SolidData,4,FALSE),IF(ISERROR(FIND("Oak",WardrobeDoorMaterial))=FALSE,(0.035*0.075*($C116/1000))*VLOOKUP("Oak (solid m3)",SolidData,4,FALSE),IF(ISERROR(FIND("ply",WardrobeDoorMaterial))=FALSE,(0.1*($C116/1000))*VLOOKUP("Birch ply (24mm)",SheetsData,7,FALSE),IF(ISERROR(FIND("H/F",WardrobeCarcassMaterial))=FALSE,(0.1*($C116/1000))*VLOOKUP("H/F (22mm)",SheetsData,7,FALSE),"Door - not tower - new material")))),"Channel - not tower - handle set to other")),IF(ISERROR(FIND("Tower",$A116))=FALSE,IF(WardrobeHandleFinish="Match carcass",IF(ISERROR(FIND("Walnut",WardrobeCarcassMaterial))=FALSE,(0.035*0.075*($B116/1000))*VLOOKUP("Walnut (solid m3)",SolidData,4,FALSE),IF(ISERROR(FIND("Oak",WardrobeCarcassMaterial))=FALSE,(0.035*0.075*($B116/1000))*VLOOKUP("Oak (solid m3)",SolidData,4,FALSE),IF(ISERROR(FIND("ply",WardrobeCarcassMaterial))=FALSE,(0.1*($B116/1000))*VLOOKUP("Birch ply (24mm)",SheetsData,7,FALSE),IF(ISERROR(FIND("H/F",WardrobeCarcassMaterial))=FALSE,(0.1*($C116/1000))*VLOOKUP("H/F (22mm)",SheetsData,7,FALSE),"Carcass - tower - new material")))),IF(WardrobeHandleFinish="Match door",IF(ISERROR(FIND("Walnut",WardrobeDoorMaterial))=FALSE,(0.035*0.075*($B116/1000))*VLOOKUP("Walnut (solid m3)",SolidData,4,FALSE),IF(ISERROR(FIND("Oak",WardrobeDoorMaterial))=FALSE,(0.035*0.075*($B116/1000))*VLOOKUP("Oak (solid m3)",SolidData,4,FALSE),IF(ISERROR(FIND("ply",WardrobeDoorMaterial))=FALSE,(0.1*($B116/1000))*VLOOKUP("Birch ply (24mm)",SheetData,7,FALSE),IF(ISERROR(FIND("H/F",WardrobeCarcassMaterial))=FALSE,(0.1*($C116/1000))*VLOOKUP("H/F (22mm)",SheetsData,7,FALSE),"Door - tower - new material")))),"Channel - tower - handle set to other")))),"")</f>
        <v/>
      </c>
    </row>
    <row r="117">
      <c r="A117" s="150"/>
      <c r="B117" s="160" t="str">
        <f t="shared" si="1"/>
        <v/>
      </c>
      <c r="C117" s="160" t="str">
        <f>IFERROR(__xludf.DUMMYFUNCTION("IF(A117="""","""",IF(ISERROR(FIND(""arcass"",A117))=FALSE,MID(A117,FIND(""*"",A117)+1,FIND(""*"",A117,FIND(""*"",A117)+1)-FIND(""*"",A117)-1),IF(ISERROR(FIND(""End panel"",A117))=FALSE,RIGHT(A117,3),IF(OR(ISERROR(FIND(""drawer"",A117))=FALSE,ISERROR(FIND("&amp;"""door"",A117))=FALSE,ISERROR(FIND(""shelf"",A117))=FALSE,ISERROR(FIND(""panel"",A117))=FALSE,ISERROR(FIND(""Plinth"",A117))=FALSE,ISERROR(FIND(""Cornice"",A117))=FALSE,ISERROR(FIND(""Fillers"",A117))=FALSE,ISERROR(FIND(""Pelmet"",A117))=FALSE,ISERROR(FIN"&amp;"D(""Fireplace up to 1600"",A117))=FALSE),RIGHT(A117,LEN(A117)-LEN(regexextract(A117,"".* ""))),IF(ISERROR(FIND(""table"",A117))=FALSE,""560"",IF(ISERROR(FIND(""Office pod"",A117))=FALSE,""1600"",IF(ISERROR(FIND(""Fireplace over 1600"",A117))=FALSE,""2400"&amp;""",IF(ISERROR(FIND(""Worktop"",A117))=FALSE,""650"",""Whoops""))))))))"),"")</f>
        <v/>
      </c>
      <c r="D117" s="161" t="str">
        <f t="shared" si="2"/>
        <v/>
      </c>
      <c r="E117" s="152" t="str">
        <f>IF(OR(A117="",AND(ISERROR(FIND("drawer",A117))=FALSE,WardrobeDrawerType="")),"",IF(ISERROR(FIND("door",A117))=FALSE,IF(WardrobeDoorStyle="Flat",((B117/1000)*(C117/1000))*VLOOKUP(WardrobeDoorMaterial,SheetsData,8,0),IF(LEFT(WardrobeDoorStyle,5)="Panel",(((((B117/1000)*2)*0.08)+((((C117/1000)-0.16)*2)*0.08))*VLOOKUP("H/F (22mm)",SheetsData,8,0))+(((B117/1000)-0.14)*((C117/1000)-0.14)*VLOOKUP("H/F (9mm)",SheetsData,8,0)),IF(WardrobeDoorStyle="In-frame flat",((((((B117/1000)*0.019)*0.038)+((((C117-38)/1000)*0.038)*0.038))*2)*VLOOKUP("Tulip (solid m3)",SolidData,4,0))+(((B117-76)/1000)*((C117-38)/1000))*VLOOKUP("H/F (22mm)",SheetsData,8,0),IF(LEFT(WardrobeDoorStyle,14)="In-frame panel",(((((((B117/1000)*0.019)*0.038)+((((C117-38)/1000)*0.038)*0.038))*2)*VLOOKUP("Tulip (solid m3)",SolidData,4,0))+(((((((B117-76)/1000)*2)*0.08)+(((((C117-198)/1000)*2)*0.08)))*VLOOKUP("H/F (22mm)",SheetsData,8,0))+(((B117-216)/1000)*((C117-178)/1000)*VLOOKUP("H/F (9mm)",SheetsData,8,0)))))))),IF(AND(ISERROR(FIND("arcass",A117))=FALSE,ISERROR(FIND("ost corner",A117))=TRUE),IF(AND(VALUE(B117)&lt;1211,VALUE(C117)&lt;1211,VALUE(D117)&lt;606),1*VLOOKUP(WardrobeCarcassMaterial,SheetsData,5,FALSE),IF(AND(VALUE(B117)&lt;2421,VALUE(C117)&lt;2421,VALUE(D117)&lt;606),2*VLOOKUP(WardrobeCarcassMaterial,SheetsData,5,FALSE),IF(AND(VALUE(B117)&lt;2421,VALUE(C117)&lt;1211,VALUE(D117)&lt;1211),3*VLOOKUP(WardrobeCarcassMaterial,SheetsData,5,FALSE),IF(AND(VALUE(B117)&lt;2421,VALUE(C117)&lt;2421,VALUE(D117)&lt;1211),4*VLOOKUP(WardrobeCarcassMaterial,SheetsData,5,FALSE))))),IF(AND(ISERROR(FIND("arcass",A117))=FALSE,ISERROR(FIND("ost corner",A117))=FALSE),IF(AND(VALUE(B117)&lt;1211,VALUE(C117)&lt;1211,VALUE(D117)&lt;606),(1*VLOOKUP(WardrobeCarcassMaterial,SheetsData,5,FALSE))+(VLOOKUP("H/F (22mm)",SheetsData,7,FALSE)*1.44),IF(AND(VALUE(B117)&lt;2421,VALUE(C117)&lt;2421,VALUE(D117)&lt;606),(2*VLOOKUP(WardrobeCarcassMaterial,SheetsData,5,FALSE))+(VLOOKUP("H/F (22mm)",SheetsData,7,FALSE)*1.44),IF(AND(VALUE(B117)&lt;2421,VALUE(C117)&lt;1211,VALUE(D117)&lt;1211),(3*VLOOKUP(WardrobeCarcassMaterial,SheetsData,5,FALSE))+(VLOOKUP("H/F (22mm)",SheetsData,7,FALSE)*1.44),IF(AND(VALUE(B117)&lt;2421,VALUE(C117)&lt;2421,VALUE(D117)&lt;1211),(4*VLOOKUP(WardrobeCarcassMaterial,SheetsData,5,FALSE))+(VLOOKUP("H/F (22mm)",SheetsData,7,FALSE)*1.44))))),IF(ISERROR(FIND("drawer front",A117))=FALSE,((B117/1000)*(C117/1000))*VLOOKUP(WardrobeDoorMaterial,SheetsData,8,0),IF(AND(WardrobeDrawerType="Match carcass",ISERROR(FIND("drawer box",A117))=FALSE),(((((B117/1000)*(C117/1000))+((B117/1000)*(D117/1000)))*2)*VLOOKUP(WardrobeCarcassMaterial,SheetsData,8,0))+(((C117/1000)*(D117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box",A117))=FALSE),(((((B117/1000)*(C117/1000))+((B117/1000)*(D117/1000)))*2)*(16/1000)*VLOOKUP(LEFT(WardrobeCarcassMaterial,FIND(" ",WardrobeCarcassMaterial))&amp;"(solid m3)",SolidData,4,0))+(((C117/1000)*(D117/1000))*VLOOKUP(LEFT(WardrobeCarcassMaterial,FIND("(",WardrobeCarcassMaterial)-1)&amp;IF(OR(ISERROR(FIND("ply",WardrobeCarcassMaterial))=FALSE,ISERROR(FIND("H/F",WardrobeCarcassMaterial))=FALSE),"(9mm)","(10mm)"),SheetsData,8,0)),IF(ISERROR(FIND("shelf",A117))=FALSE,((C117/1000)*(D117/1000))*VLOOKUP(WardrobeCarcassMaterial,SheetsData,7,FALSE),IF(ISERROR(FIND("Office pod",A117))=FALSE,3*VLOOKUP(WardrobeCarcassMaterial,SheetsData,5,0),IF(ISERROR(FIND(" panel",A117))=FALSE,((B117/1000)*(C117/1000))*VLOOKUP(WardrobeDoorMaterial,SheetsData,8,0),IF(ISERROR(FIND("Fillers",A117))=FALSE,(((0.06*(C117/1000))*2)*VLOOKUP("H/F (18mm)",SheetsData,8,0))+(((0.06*(C117/1000))*2)*VLOOKUP("H/F (9mm)",SheetsData,8,0)),IF(ISERROR(FIND("Cornice (stacked)",A117))=FALSE,((0.08*(C117/1000))*2)*VLOOKUP("H/F (22mm)",SheetsData,8,0),IF(OR(ISERROR(FIND("Plinth",A117))=FALSE,ISERROR(FIND("Cornice (flat)",A117))=FALSE),((B117/1000)*(C117/1000))*VLOOKUP("H/F (18mm)",SheetsData,8,0),IF(ISERROR(FIND("Pelmet",A117))=FALSE,((((B117/1000)*(C117/1000))*2)*VLOOKUP("H/F (18mm)",SheetsData,8,0)),IF(ISERROR(FIND("Fireplace",A117))=FALSE,IF(ISERROR(FIND("over 1600",A117))=FALSE,2*VLOOKUP(WardrobeCarcassMaterial,SheetsData,5,FALSE),VLOOKUP(WardrobeCarcassMaterial,SheetsData,5,FALSE)),IF(ISERROR(FIND("table",A117))=FALSE,((B117/1000)*0.6)*VLOOKUP("Birch ply (24mm)",SheetsData,7,FALSE),IF(ISERROR(FIND("Worktop",A117))=FALSE,((B117/1000)*(C117/1000))*VLOOKUP(WardrobeDoorMaterial,SheetsData,7,FALSE),"Check formula")))))))))))))))))</f>
        <v/>
      </c>
      <c r="F117" s="152" t="str">
        <f>IFERROR(__xludf.DUMMYFUNCTION("IF(OR(A117="""",AND(ISERROR(FIND(""drawer box"",A117))=FALSE,WardrobeDrawerType=""Solid dovetail"")),"""",IF(ISERROR(FIND(""bins"",A117))=FALSE,VLOOKUP(""Base carcass 600"",Wardrobes_etcData,6,0),IF(OR(ISERROR(FIND(""larder"",A117))=FALSE,ISERROR(FIND(""u"&amp;"nit"",A117))=FALSE),VLOOKUP(LEFT(A117,FIND("" "",A117))&amp;""carcass ""&amp;RIGHT(A117,LEN(A117)-len(regexextract(A117,"".* ""))),Wardrobes_etcData,6,0),IF(ISERROR(FIND(""drawer front"",A117))=FALSE,IF(ISERROR(FIND(""veneer"",WardrobeCarcassMaterial))=TRUE,0,((("&amp;"B117+C117)/1000)*2)*VLOOKUP(""Edge banding (per M)"",SheetsData,5,0)),IF(ISERROR(FIND(""drawer box"",A117))=FALSE,IF(ISERROR(FIND(""veneer"",WardrobeCarcassMaterial))=TRUE,0,(((C117+D117)/1000)*2)*VLOOKUP(""Edge banding (per M)"",SheetsData,5,0)),IF(ISERR"&amp;"OR(FIND(""shelf"",A117))=FALSE,IF(ISERROR(FIND(""veneer"",WardrobeCarcassMaterial))=TRUE,0,(C117/1000)*VLOOKUP(""Edge banding (per M)"",SheetsData,5,0)),IF(AND(OR(ISERROR(FIND(""arcass"",A117))=FALSE,ISERROR(FIND(""Fireplace"",A117))=FALSE),ISERROR(FIND("&amp;"""shelf"",A117))=TRUE),IF(ISERROR(FIND(""veneer"",WardrobeCarcassMaterial))=TRUE,0,((2*(B117+C117))/1000)*VLOOKUP(""Edge banding (per M)"",SheetsData,5,0)),IF(ISERROR(FIND(""door"",A117))=TRUE,"""",IF(ISERROR(FIND(""veneer"",WardrobeDoorMaterial))=TRUE,"""&amp;""",((2*(B117+C117))/1000)*VLOOKUP(""Edge banding (per M)"",SheetsData,5,0))))))))))"),"")</f>
        <v/>
      </c>
      <c r="G117" s="153" t="str">
        <f>IF(A117="","",IF(AND(ISERROR(FIND("arcass",A117))=TRUE,ISERROR(FIND("Fireplace",A117))=TRUE),"",IF(VALUE(C117)&lt;606,4*VLOOKUP("Plinth foot (2 Parts 80mm)",FurnitureData,5,FALSE),IF(VALUE(C117)&lt;1211,6*VLOOKUP("Plinth foot (2 Parts 80mm)",FurnitureData,5,FALSE),8*VLOOKUP("Plinth foot (2 Parts 80mm)",FurnitureData,5,FALSE)))))</f>
        <v/>
      </c>
      <c r="H117" s="115" t="str">
        <f>IF(OR(A117="",ISERROR(FIND("door",A117))=TRUE),"",VLOOKUP("Hinges &amp; plates (Hettich thick door)",FurnitureData,5,0)*5)</f>
        <v/>
      </c>
      <c r="I117" s="115" t="str">
        <f>IF(ISERROR(FIND("shelf",A117))=FALSE,(VLOOKUP("Shelf pegs",FurnitureData,5,0)/100)*4,"")</f>
        <v/>
      </c>
      <c r="J117" s="152" t="str">
        <f>IF(OR(ISERROR(FIND("fridge/freezer",A117))=FALSE,ISERROR(FIND("sink",A117))=FALSE,ISERROR(FIND("larder",A117))=FALSE),VLOOKUP("Deep shelf "&amp;C117,Wardrobes_etcData,18,0),IF(OR(ISERROR(FIND("single oven",A117))=FALSE,ISERROR(FIND("Base carcass",A117))=FALSE),2*VLOOKUP("Deep shelf "&amp;C117,Wardrobes_etcData,18,0),IF(AND(ISERROR(FIND("wall carcass",A117))=FALSE,ISERROR(FIND("Boiler",A117))=TRUE),2*VLOOKUP("Shallow shelf "&amp;C117,Wardrobes_etcData,18,0),IF(ISERROR(FIND("double oven",A117))=FALSE,3*VLOOKUP("Deep shelf "&amp;C117,Wardrobes_etcData,18,0),IF(ISERROR(FIND("Tower carcass",A117))=FALSE,6*VLOOKUP("Deep shelf "&amp;C117,Wardrobes_etcData,18,0),"")))))</f>
        <v/>
      </c>
      <c r="K117" s="152" t="str">
        <f>IF(ISERROR(FIND("sink",A117))=FALSE,VLOOKUP("Sink liner - Aluminium "&amp;RIGHT(A117,LEN(A117)-22)&amp;"mm",ExceptionalData,5,0),IF(ISERROR(FIND("bins",A117))=FALSE,VLOOKUP("Drawer runners and clip set for bin unit (500) Dynapro",FurnitureData,5,0)+(2*VLOOKUP("Bin (42L Anthracite)",FurnitureData,5,0)),IF(ISERROR(FIND("larder",A117))=FALSE,VLOOKUP("Pull out larder unit 600mm",FurnitureData,5,0),IF(AND(ISERROR(FIND("drawer box",A117))=FALSE,ISERROR(FIND("internal",A117))=TRUE),VLOOKUP("Drawer runners and clip set (550) Dynapro",FurnitureData,5,0),IF(ISERROR(FIND("internal drawer box",A117))=FALSE,VLOOKUP("Drawer runners and clip set (450) Dynapro",FurnitureData,5,0),IF(ISERROR(FIND("table",A117))=FALSE,VLOOKUP("Hairpin Leg (12mm Black "&amp;MID(A117,FIND("(",A117)+1,LEN(A117)-(FIND("(",A117))-1)&amp;"mm)",ExceptionalData,4,FALSE),""))))))</f>
        <v/>
      </c>
      <c r="L117" s="152" t="str">
        <f t="shared" si="3"/>
        <v/>
      </c>
      <c r="M117" s="154" t="str">
        <f>IF(A117="","",IF(AND(ISERROR(FIND("drawer front",A117))=FALSE,WardrobeDoorStyle="Flat"),(((B117/1000)*(C117/1000))*2)+((((B117+C117)/1000)*2)*0.022),IF(AND(ISERROR(FIND("drawer front",A117))=FALSE,LEFT(WardrobeDoorStyle,5)="Panel"),(((B117/1000)*(C117/1000))*2)+((((B117+C117)/1000)*2)*0.022)+((((C117/1000)-0.16)*0.013)*2)+((((D117/1000)-0.16)*0.013)*2),IF(AND(ISERROR(FIND("drawer front",A117))=FALSE,WardrobeDoorStyle="In-frame flat"),((((B117-76)/1000)*((C117-38)/1000))*2)+(MID(WardrobeDoorMaterial,FIND("(",WardrobeDoorMaterial)+1,2)/1000)*((((B117-76)+(C117-38))/1000)*2)+(((B117/1000)*0.032)*2)+((((B117-76)/1000)*0.032)*2)+(((B117/1000)*0.019)*4)+(((C117/1000)*0.032)*2)+((((C117-38)/1000)*0.032)*2)+(((C117/1000)*0.038)*4),IF(AND(ISERROR(FIND("drawer front",A117))=FALSE,LEFT(WardrobeDoorStyle,14)="In-frame panel"),((((B117-76)/1000)*((C117-38)/1000))*2)+((MID(WardrobeDoorMaterial,FIND("(",WardrobeDoorMaterial)+1,2)/1000)*((((B117-76)+(C117-38))/1000)*2))+((((B117-236)/1000)+((C117-198)/1000)*2)*0.013)+(((B117/1000)*0.032)*2)+((((B117-76)/1000)*0.032)*2)+(((B117/1000)*0.019)*4)+(((C117/1000)*0.032)*2)+((((C117-38)/1000)*0.032)*2)+(((C117/1000)*0.038)*4),IF(ISERROR(FIND("drawer box",A117))=FALSE,((((B117/1000)*(D117/1000))+((B117/1000)*(C117/1000)))*4)+((((D117/1000)+(C117/1000))*0.016)*4)+(((C117/1000)*(D117/1000))*2),IF(OR(ISERROR(FIND("shelf",A117))=FALSE,ISERROR(FIND("Filler panel",A117))=FALSE),(((C117/1000)*(D117/1000))*2)+((((C117+D117)*2)/1000)*0.022),IF(ISERROR(FIND("Fireplace",A117))=FALSE,((B117/1000)*(C117/1000)),IF(ISERROR(FIND("Worktop",A117))=FALSE,(B117/1000)*(C117/1000),IF(ISERROR(FIND("table",A117))=FALSE,(B117/1000)*0.6,IF(ISERROR(FIND("arcass",A117))=FALSE,(((C117/1000)*(D117/1000))*2)+(((B117/1000)*(D117/1000))*2)+((B117/1000)*(C117/1000))+((((B117/1000)*0.025)+((C117/1000)*0.025))*2),IF(AND(ISERROR(FIND("door",A117))=FALSE,WardrobeDoorStyle="Flat"),(((B117/1000)*(C117/1000))*2)+(MID(WardrobeDoorMaterial,FIND("(",WardrobeDoorMaterial)+1,2)/1000)*(((B117+C117)/1000)*2),IF(AND(ISERROR(FIND("door",A117))=FALSE,LEFT(WardrobeDoorStyle,5)="Panel"),(((B117/1000)*(C117/1000))*2)+((MID(WardrobeDoorMaterial,FIND("(",WardrobeDoorMaterial)+1,2)/1000)*(((B117+C117)/1000)*2))+(((((B117-160)+(C117-160))*2)/1000)*(0.013)),IF(AND(ISERROR(FIND("door",A117))=FALSE,WardrobeDoorStyle="In-frame flat"),((((B117-76)/1000)*((C117-38)/1000))*2)+(MID(WardrobeDoorMaterial,FIND("(",WardrobeDoorMaterial)+1,2)/1000)*((((B117-76)+(C117-38))/1000)*2)+(((B117/1000)*0.032)*2)+((((B117-76)/1000)*0.032)*2)+(((B117/1000)*0.019)*4)+(((C117/1000)*0.032)*2)+((((C117-38)/1000)*0.032)*2)+(((C117/1000)*0.038)*4),IF(AND(ISERROR(FIND("door",A117))=FALSE,LEFT(WardrobeDoorStyle,14)="In-frame panel"),((((B117-76)/1000)*((C117-38)/1000))*2)+((MID(WardrobeDoorMaterial,FIND("(",WardrobeDoorMaterial)+1,2)/1000)*((((B117-76)+(C117-38))/1000)*2))+((((B117-236)/1000)+((C117-198)/1000)*2)*0.013)+(((B117/1000)*0.032)*2)+((((B117-76)/1000)*0.032)*2)+(((B117/1000)*0.019)*4)+(((C117/1000)*0.032)*2)+((((C117-38)/1000)*0.032)*2)+(((C117/1000)*0.038)*4),IF(ISERROR(FIND("Plinth",A117))=FALSE,((B117/1000)*(C117/1000))+(((C117/1000)*0.018)*2)+(((B117/1000)*0.018)*2),IF(ISERROR(FIND("Cornice",A117))=FALSE,(((C117/1000)*0.1)*2)+(((C117/1000)*0.044)*2)+(((B117/1000)*0.08)*2),IF(ISERROR(FIND("Office pod",A117))=FALSE,((2400/1000)*(1200/1000))*6,IF(ISERROR(FIND("panel",A117))=FALSE,((B117/1000)*(C117/1000))+(0.022*((B117/1000)+((C117/1000)*2)))+((B117/1000)*0.05),IF(ISERROR(FIND("Fillers",A117))=FALSE,((C117/1000)*0.06)+((C117/1000)*0.069)+((0.06*0.018)*2)+((0.06*0.009)*2)+((C117/1000)*0.009)+((C117/1000)*0.018),IF(ISERROR(FIND("Pelmet",A117))=FALSE,((C117/1000)*0.05)+((C117/1000)*0.068)+((0.05*0.018)*4)+(((C117/1000)*0.018))*2)))))))))))))))))))))</f>
        <v/>
      </c>
      <c r="N117" s="152" t="str">
        <f>IF(M117="","",IF(AND(ISERROR(FIND("carcass",A117))=TRUE,ISERROR(FIND("unit",A117))=TRUE,ISERROR(FIND("insert",A117))=TRUE,ISERROR(FIND("rack",A117))=TRUE,ISERROR(FIND("box",A117))=TRUE,ISERROR(FIND("shelf",A117))=TRUE),VLOOKUP(WardrobeDoorFinish,Finishing!$A$2:$K$10,9,0)*M117,IF(ISERROR(FIND("table",A117))=FALSE,VLOOKUP("Sayerlack AF0072 Interior Clear Self-Sealer",FinishingData,9,FALSE)*M117,VLOOKUP(WardrobeCarcassFinish,Finishing!$A$2:$K$40,9,0)*M117)))</f>
        <v/>
      </c>
      <c r="O117" s="159"/>
      <c r="P117" s="159"/>
      <c r="Q117" s="152" t="str">
        <f>IF(OR(O117="",P117=""),"",((O117*X117)*(VLOOKUP("Workshop",Labour!$A$3:$E$20,4,0)/8))+((P117*AE117)*(VLOOKUP("Finishing",Labour!$A$3:$E$20,4,0)/8)))</f>
        <v/>
      </c>
      <c r="R117" s="152" t="str">
        <f t="shared" si="4"/>
        <v/>
      </c>
      <c r="S117" s="156" t="str">
        <f>IF(OR(O117="",P117=""),"",IF(OR(ISERROR(FIND("carcass",$A117))=FALSE,ISERROR(FIND("unit",$A117))=FALSE),VLOOKUP(WardrobeCarcassMaterial,FixedListsCarcassMaterial,2,0),0))</f>
        <v/>
      </c>
      <c r="T117" s="156" t="str">
        <f>IF(OR(O117="",P117=""),"",IF(ISERROR(FIND("door",$A117))=FALSE,VLOOKUP(WardrobeDoorStyle,FixedListsDoorStyle,2,0),0))</f>
        <v/>
      </c>
      <c r="U117" s="156" t="str">
        <f>IF(OR(O117="",P117=""),"",IF(ISERROR(FIND("door",$A117))=FALSE,VLOOKUP(WardrobeDoorMaterial,FixedListsDoorMaterial,2,0),0))</f>
        <v/>
      </c>
      <c r="V117" s="156" t="str">
        <f>IF(OR(O117="",P117=""),"",IF(ISERROR(FIND("drawer",$A117))=FALSE,VLOOKUP(WardrobeDrawerType,FixedListsDrawerType,2,0),0))</f>
        <v/>
      </c>
      <c r="W117" s="156" t="str">
        <f>IF(OR(O117="",P117=""),"",IF(S117&gt;0,VLOOKUP(WardrobeHandleType,FixedListsHandleType,2,FALSE),0))</f>
        <v/>
      </c>
      <c r="X117" s="156" t="str">
        <f t="shared" si="5"/>
        <v/>
      </c>
      <c r="Y117" s="156" t="str">
        <f>IF(OR(O117="",P117=""),"",IF(OR(ISERROR(FIND("carcass",$A117))=FALSE,ISERROR(FIND("unit",$A117))=FALSE),VLOOKUP(WardrobeCarcassMaterial,FixedListsCarcassMaterial,3,0),0))</f>
        <v/>
      </c>
      <c r="Z117" s="156" t="str">
        <f>IF(OR(O117="",P117=""),"",IF(ISERROR(FIND("door",$A117))=FALSE,VLOOKUP(WardrobeDoorStyle,FixedListsDoorStyle,3,0),0))</f>
        <v/>
      </c>
      <c r="AA117" s="156" t="str">
        <f>IF(OR(O117="",P117=""),"",IF(ISERROR(FIND("door",$A117))=FALSE,VLOOKUP(WardrobeDoorMaterial,FixedListsDoorMaterial,3,0),0))</f>
        <v/>
      </c>
      <c r="AB117" s="156" t="str">
        <f>IF(OR(O117="",P117=""),"",IF(ISERROR(FIND("drawer",$A117))=FALSE,VLOOKUP(WardrobeDrawerType,FixedListsDrawerType,3,0),0))</f>
        <v/>
      </c>
      <c r="AC117" s="156" t="str">
        <f>IF(OR(O117="",P117=""),"",IF(S117&gt;0,VLOOKUP(WardrobeHandleType,FixedListsHandleType,3,FALSE),0))</f>
        <v/>
      </c>
      <c r="AD117" s="156" t="str">
        <f>IF(OR(O117="",P117=""),"",IF(OR(ISERROR(FIND("carcass",$A117))=FALSE,ISERROR(FIND("unit",$A117))=FALSE),VLOOKUP(WardrobeCarcassFinish,FixedListsFinishes,3,0),IF(OR(ISERROR(FIND("door",$A117))=FALSE,ISERROR(FIND("Plinth",$A117))=FALSE,ISERROR(FIND("Cornice",$A117))=FALSE,ISERROR(FIND("Fillers",$A117))=FALSE,ISERROR(FIND("Pelmet",$A117))=FALSE,ISERROR(FIND("panel",$A117))=FALSE,ISERROR(FIND("post",$A117))=FALSE),VLOOKUP(WardrobeDoorFinish,FixedListsFinishes,3,0),IF(OR(ISERROR(FIND("drawer",$A117))=FALSE,ISERROR(FIND("insert",$A117))=FALSE,ISERROR(FIND("rck",$A117))=FALSE),VLOOKUP(WardrobeCarcassFinish,FixedListsFinishes,3,0),0))))</f>
        <v/>
      </c>
      <c r="AE117" s="156" t="str">
        <f t="shared" si="6"/>
        <v/>
      </c>
      <c r="AF117" s="157" t="str">
        <f>IF(AND(WardrobeHandleType="Channel",OR(ISERROR(FIND("arcass",$A117))=FALSE,ISERROR(FIND("unit",$A117))=FALSE)),IF(ISERROR(FIND("Tower",$A117))=TRUE,IF(WardrobeHandleFinish="Match carcass",IF(ISERROR(FIND("Walnut",WardrobeCarcassMaterial))=FALSE,(0.035*0.075*($C117/1000))*VLOOKUP("Walnut (solid m3)",SolidData,4,FALSE),IF(ISERROR(FIND("Oak",WardrobeCarcassMaterial))=FALSE,(0.035*0.075*($C117/1000))*VLOOKUP("Oak (solid m3)",SolidData,4,FALSE),IF(ISERROR(FIND("ply",WardrobeCarcassMaterial))=FALSE,(0.1*($C117/1000))*VLOOKUP("Birch ply (24mm)",SheetsData,7,FALSE),IF(ISERROR(FIND("H/F",WardrobeCarcassMaterial))=FALSE,(0.1*($C117/1000))*VLOOKUP("H/F (22mm)",SheetsData,7,FALSE),"Carcass - not tower - new material")))),IF(WardrobeHandleFinish="Match door",IF(ISERROR(FIND("Walnut",WardrobeDoorMaterial))=FALSE,(0.035*0.075*($C117/1000))*VLOOKUP("Walnut (solid m3)",SolidData,4,FALSE),IF(ISERROR(FIND("Oak",WardrobeDoorMaterial))=FALSE,(0.035*0.075*($C117/1000))*VLOOKUP("Oak (solid m3)",SolidData,4,FALSE),IF(ISERROR(FIND("ply",WardrobeDoorMaterial))=FALSE,(0.1*($C117/1000))*VLOOKUP("Birch ply (24mm)",SheetsData,7,FALSE),IF(ISERROR(FIND("H/F",WardrobeCarcassMaterial))=FALSE,(0.1*($C117/1000))*VLOOKUP("H/F (22mm)",SheetsData,7,FALSE),"Door - not tower - new material")))),"Channel - not tower - handle set to other")),IF(ISERROR(FIND("Tower",$A117))=FALSE,IF(WardrobeHandleFinish="Match carcass",IF(ISERROR(FIND("Walnut",WardrobeCarcassMaterial))=FALSE,(0.035*0.075*($B117/1000))*VLOOKUP("Walnut (solid m3)",SolidData,4,FALSE),IF(ISERROR(FIND("Oak",WardrobeCarcassMaterial))=FALSE,(0.035*0.075*($B117/1000))*VLOOKUP("Oak (solid m3)",SolidData,4,FALSE),IF(ISERROR(FIND("ply",WardrobeCarcassMaterial))=FALSE,(0.1*($B117/1000))*VLOOKUP("Birch ply (24mm)",SheetsData,7,FALSE),IF(ISERROR(FIND("H/F",WardrobeCarcassMaterial))=FALSE,(0.1*($C117/1000))*VLOOKUP("H/F (22mm)",SheetsData,7,FALSE),"Carcass - tower - new material")))),IF(WardrobeHandleFinish="Match door",IF(ISERROR(FIND("Walnut",WardrobeDoorMaterial))=FALSE,(0.035*0.075*($B117/1000))*VLOOKUP("Walnut (solid m3)",SolidData,4,FALSE),IF(ISERROR(FIND("Oak",WardrobeDoorMaterial))=FALSE,(0.035*0.075*($B117/1000))*VLOOKUP("Oak (solid m3)",SolidData,4,FALSE),IF(ISERROR(FIND("ply",WardrobeDoorMaterial))=FALSE,(0.1*($B117/1000))*VLOOKUP("Birch ply (24mm)",SheetData,7,FALSE),IF(ISERROR(FIND("H/F",WardrobeCarcassMaterial))=FALSE,(0.1*($C117/1000))*VLOOKUP("H/F (22mm)",SheetsData,7,FALSE),"Door - tower - new material")))),"Channel - tower - handle set to other")))),"")</f>
        <v/>
      </c>
    </row>
    <row r="118">
      <c r="A118" s="150"/>
      <c r="B118" s="160" t="str">
        <f t="shared" si="1"/>
        <v/>
      </c>
      <c r="C118" s="160" t="str">
        <f>IFERROR(__xludf.DUMMYFUNCTION("IF(A118="""","""",IF(ISERROR(FIND(""arcass"",A118))=FALSE,MID(A118,FIND(""*"",A118)+1,FIND(""*"",A118,FIND(""*"",A118)+1)-FIND(""*"",A118)-1),IF(ISERROR(FIND(""End panel"",A118))=FALSE,RIGHT(A118,3),IF(OR(ISERROR(FIND(""drawer"",A118))=FALSE,ISERROR(FIND("&amp;"""door"",A118))=FALSE,ISERROR(FIND(""shelf"",A118))=FALSE,ISERROR(FIND(""panel"",A118))=FALSE,ISERROR(FIND(""Plinth"",A118))=FALSE,ISERROR(FIND(""Cornice"",A118))=FALSE,ISERROR(FIND(""Fillers"",A118))=FALSE,ISERROR(FIND(""Pelmet"",A118))=FALSE,ISERROR(FIN"&amp;"D(""Fireplace up to 1600"",A118))=FALSE),RIGHT(A118,LEN(A118)-LEN(regexextract(A118,"".* ""))),IF(ISERROR(FIND(""table"",A118))=FALSE,""560"",IF(ISERROR(FIND(""Office pod"",A118))=FALSE,""1600"",IF(ISERROR(FIND(""Fireplace over 1600"",A118))=FALSE,""2400"&amp;""",IF(ISERROR(FIND(""Worktop"",A118))=FALSE,""650"",""Whoops""))))))))"),"")</f>
        <v/>
      </c>
      <c r="D118" s="161" t="str">
        <f t="shared" si="2"/>
        <v/>
      </c>
      <c r="E118" s="152" t="str">
        <f>IF(OR(A118="",AND(ISERROR(FIND("drawer",A118))=FALSE,WardrobeDrawerType="")),"",IF(ISERROR(FIND("door",A118))=FALSE,IF(WardrobeDoorStyle="Flat",((B118/1000)*(C118/1000))*VLOOKUP(WardrobeDoorMaterial,SheetsData,8,0),IF(LEFT(WardrobeDoorStyle,5)="Panel",(((((B118/1000)*2)*0.08)+((((C118/1000)-0.16)*2)*0.08))*VLOOKUP("H/F (22mm)",SheetsData,8,0))+(((B118/1000)-0.14)*((C118/1000)-0.14)*VLOOKUP("H/F (9mm)",SheetsData,8,0)),IF(WardrobeDoorStyle="In-frame flat",((((((B118/1000)*0.019)*0.038)+((((C118-38)/1000)*0.038)*0.038))*2)*VLOOKUP("Tulip (solid m3)",SolidData,4,0))+(((B118-76)/1000)*((C118-38)/1000))*VLOOKUP("H/F (22mm)",SheetsData,8,0),IF(LEFT(WardrobeDoorStyle,14)="In-frame panel",(((((((B118/1000)*0.019)*0.038)+((((C118-38)/1000)*0.038)*0.038))*2)*VLOOKUP("Tulip (solid m3)",SolidData,4,0))+(((((((B118-76)/1000)*2)*0.08)+(((((C118-198)/1000)*2)*0.08)))*VLOOKUP("H/F (22mm)",SheetsData,8,0))+(((B118-216)/1000)*((C118-178)/1000)*VLOOKUP("H/F (9mm)",SheetsData,8,0)))))))),IF(AND(ISERROR(FIND("arcass",A118))=FALSE,ISERROR(FIND("ost corner",A118))=TRUE),IF(AND(VALUE(B118)&lt;1211,VALUE(C118)&lt;1211,VALUE(D118)&lt;606),1*VLOOKUP(WardrobeCarcassMaterial,SheetsData,5,FALSE),IF(AND(VALUE(B118)&lt;2421,VALUE(C118)&lt;2421,VALUE(D118)&lt;606),2*VLOOKUP(WardrobeCarcassMaterial,SheetsData,5,FALSE),IF(AND(VALUE(B118)&lt;2421,VALUE(C118)&lt;1211,VALUE(D118)&lt;1211),3*VLOOKUP(WardrobeCarcassMaterial,SheetsData,5,FALSE),IF(AND(VALUE(B118)&lt;2421,VALUE(C118)&lt;2421,VALUE(D118)&lt;1211),4*VLOOKUP(WardrobeCarcassMaterial,SheetsData,5,FALSE))))),IF(AND(ISERROR(FIND("arcass",A118))=FALSE,ISERROR(FIND("ost corner",A118))=FALSE),IF(AND(VALUE(B118)&lt;1211,VALUE(C118)&lt;1211,VALUE(D118)&lt;606),(1*VLOOKUP(WardrobeCarcassMaterial,SheetsData,5,FALSE))+(VLOOKUP("H/F (22mm)",SheetsData,7,FALSE)*1.44),IF(AND(VALUE(B118)&lt;2421,VALUE(C118)&lt;2421,VALUE(D118)&lt;606),(2*VLOOKUP(WardrobeCarcassMaterial,SheetsData,5,FALSE))+(VLOOKUP("H/F (22mm)",SheetsData,7,FALSE)*1.44),IF(AND(VALUE(B118)&lt;2421,VALUE(C118)&lt;1211,VALUE(D118)&lt;1211),(3*VLOOKUP(WardrobeCarcassMaterial,SheetsData,5,FALSE))+(VLOOKUP("H/F (22mm)",SheetsData,7,FALSE)*1.44),IF(AND(VALUE(B118)&lt;2421,VALUE(C118)&lt;2421,VALUE(D118)&lt;1211),(4*VLOOKUP(WardrobeCarcassMaterial,SheetsData,5,FALSE))+(VLOOKUP("H/F (22mm)",SheetsData,7,FALSE)*1.44))))),IF(ISERROR(FIND("drawer front",A118))=FALSE,((B118/1000)*(C118/1000))*VLOOKUP(WardrobeDoorMaterial,SheetsData,8,0),IF(AND(WardrobeDrawerType="Match carcass",ISERROR(FIND("drawer box",A118))=FALSE),(((((B118/1000)*(C118/1000))+((B118/1000)*(D118/1000)))*2)*VLOOKUP(WardrobeCarcassMaterial,SheetsData,8,0))+(((C118/1000)*(D118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box",A118))=FALSE),(((((B118/1000)*(C118/1000))+((B118/1000)*(D118/1000)))*2)*(16/1000)*VLOOKUP(LEFT(WardrobeCarcassMaterial,FIND(" ",WardrobeCarcassMaterial))&amp;"(solid m3)",SolidData,4,0))+(((C118/1000)*(D118/1000))*VLOOKUP(LEFT(WardrobeCarcassMaterial,FIND("(",WardrobeCarcassMaterial)-1)&amp;IF(OR(ISERROR(FIND("ply",WardrobeCarcassMaterial))=FALSE,ISERROR(FIND("H/F",WardrobeCarcassMaterial))=FALSE),"(9mm)","(10mm)"),SheetsData,8,0)),IF(ISERROR(FIND("shelf",A118))=FALSE,((C118/1000)*(D118/1000))*VLOOKUP(WardrobeCarcassMaterial,SheetsData,7,FALSE),IF(ISERROR(FIND("Office pod",A118))=FALSE,3*VLOOKUP(WardrobeCarcassMaterial,SheetsData,5,0),IF(ISERROR(FIND(" panel",A118))=FALSE,((B118/1000)*(C118/1000))*VLOOKUP(WardrobeDoorMaterial,SheetsData,8,0),IF(ISERROR(FIND("Fillers",A118))=FALSE,(((0.06*(C118/1000))*2)*VLOOKUP("H/F (18mm)",SheetsData,8,0))+(((0.06*(C118/1000))*2)*VLOOKUP("H/F (9mm)",SheetsData,8,0)),IF(ISERROR(FIND("Cornice (stacked)",A118))=FALSE,((0.08*(C118/1000))*2)*VLOOKUP("H/F (22mm)",SheetsData,8,0),IF(OR(ISERROR(FIND("Plinth",A118))=FALSE,ISERROR(FIND("Cornice (flat)",A118))=FALSE),((B118/1000)*(C118/1000))*VLOOKUP("H/F (18mm)",SheetsData,8,0),IF(ISERROR(FIND("Pelmet",A118))=FALSE,((((B118/1000)*(C118/1000))*2)*VLOOKUP("H/F (18mm)",SheetsData,8,0)),IF(ISERROR(FIND("Fireplace",A118))=FALSE,IF(ISERROR(FIND("over 1600",A118))=FALSE,2*VLOOKUP(WardrobeCarcassMaterial,SheetsData,5,FALSE),VLOOKUP(WardrobeCarcassMaterial,SheetsData,5,FALSE)),IF(ISERROR(FIND("table",A118))=FALSE,((B118/1000)*0.6)*VLOOKUP("Birch ply (24mm)",SheetsData,7,FALSE),IF(ISERROR(FIND("Worktop",A118))=FALSE,((B118/1000)*(C118/1000))*VLOOKUP(WardrobeDoorMaterial,SheetsData,7,FALSE),"Check formula")))))))))))))))))</f>
        <v/>
      </c>
      <c r="F118" s="152" t="str">
        <f>IFERROR(__xludf.DUMMYFUNCTION("IF(OR(A118="""",AND(ISERROR(FIND(""drawer box"",A118))=FALSE,WardrobeDrawerType=""Solid dovetail"")),"""",IF(ISERROR(FIND(""bins"",A118))=FALSE,VLOOKUP(""Base carcass 600"",Wardrobes_etcData,6,0),IF(OR(ISERROR(FIND(""larder"",A118))=FALSE,ISERROR(FIND(""u"&amp;"nit"",A118))=FALSE),VLOOKUP(LEFT(A118,FIND("" "",A118))&amp;""carcass ""&amp;RIGHT(A118,LEN(A118)-len(regexextract(A118,"".* ""))),Wardrobes_etcData,6,0),IF(ISERROR(FIND(""drawer front"",A118))=FALSE,IF(ISERROR(FIND(""veneer"",WardrobeCarcassMaterial))=TRUE,0,((("&amp;"B118+C118)/1000)*2)*VLOOKUP(""Edge banding (per M)"",SheetsData,5,0)),IF(ISERROR(FIND(""drawer box"",A118))=FALSE,IF(ISERROR(FIND(""veneer"",WardrobeCarcassMaterial))=TRUE,0,(((C118+D118)/1000)*2)*VLOOKUP(""Edge banding (per M)"",SheetsData,5,0)),IF(ISERR"&amp;"OR(FIND(""shelf"",A118))=FALSE,IF(ISERROR(FIND(""veneer"",WardrobeCarcassMaterial))=TRUE,0,(C118/1000)*VLOOKUP(""Edge banding (per M)"",SheetsData,5,0)),IF(AND(OR(ISERROR(FIND(""arcass"",A118))=FALSE,ISERROR(FIND(""Fireplace"",A118))=FALSE),ISERROR(FIND("&amp;"""shelf"",A118))=TRUE),IF(ISERROR(FIND(""veneer"",WardrobeCarcassMaterial))=TRUE,0,((2*(B118+C118))/1000)*VLOOKUP(""Edge banding (per M)"",SheetsData,5,0)),IF(ISERROR(FIND(""door"",A118))=TRUE,"""",IF(ISERROR(FIND(""veneer"",WardrobeDoorMaterial))=TRUE,"""&amp;""",((2*(B118+C118))/1000)*VLOOKUP(""Edge banding (per M)"",SheetsData,5,0))))))))))"),"")</f>
        <v/>
      </c>
      <c r="G118" s="153" t="str">
        <f>IF(A118="","",IF(AND(ISERROR(FIND("arcass",A118))=TRUE,ISERROR(FIND("Fireplace",A118))=TRUE),"",IF(VALUE(C118)&lt;606,4*VLOOKUP("Plinth foot (2 Parts 80mm)",FurnitureData,5,FALSE),IF(VALUE(C118)&lt;1211,6*VLOOKUP("Plinth foot (2 Parts 80mm)",FurnitureData,5,FALSE),8*VLOOKUP("Plinth foot (2 Parts 80mm)",FurnitureData,5,FALSE)))))</f>
        <v/>
      </c>
      <c r="H118" s="115" t="str">
        <f>IF(OR(A118="",ISERROR(FIND("door",A118))=TRUE),"",VLOOKUP("Hinges &amp; plates (Hettich thick door)",FurnitureData,5,0)*5)</f>
        <v/>
      </c>
      <c r="I118" s="115" t="str">
        <f>IF(ISERROR(FIND("shelf",A118))=FALSE,(VLOOKUP("Shelf pegs",FurnitureData,5,0)/100)*4,"")</f>
        <v/>
      </c>
      <c r="J118" s="152" t="str">
        <f>IF(OR(ISERROR(FIND("fridge/freezer",A118))=FALSE,ISERROR(FIND("sink",A118))=FALSE,ISERROR(FIND("larder",A118))=FALSE),VLOOKUP("Deep shelf "&amp;C118,Wardrobes_etcData,18,0),IF(OR(ISERROR(FIND("single oven",A118))=FALSE,ISERROR(FIND("Base carcass",A118))=FALSE),2*VLOOKUP("Deep shelf "&amp;C118,Wardrobes_etcData,18,0),IF(AND(ISERROR(FIND("wall carcass",A118))=FALSE,ISERROR(FIND("Boiler",A118))=TRUE),2*VLOOKUP("Shallow shelf "&amp;C118,Wardrobes_etcData,18,0),IF(ISERROR(FIND("double oven",A118))=FALSE,3*VLOOKUP("Deep shelf "&amp;C118,Wardrobes_etcData,18,0),IF(ISERROR(FIND("Tower carcass",A118))=FALSE,6*VLOOKUP("Deep shelf "&amp;C118,Wardrobes_etcData,18,0),"")))))</f>
        <v/>
      </c>
      <c r="K118" s="152" t="str">
        <f>IF(ISERROR(FIND("sink",A118))=FALSE,VLOOKUP("Sink liner - Aluminium "&amp;RIGHT(A118,LEN(A118)-22)&amp;"mm",ExceptionalData,5,0),IF(ISERROR(FIND("bins",A118))=FALSE,VLOOKUP("Drawer runners and clip set for bin unit (500) Dynapro",FurnitureData,5,0)+(2*VLOOKUP("Bin (42L Anthracite)",FurnitureData,5,0)),IF(ISERROR(FIND("larder",A118))=FALSE,VLOOKUP("Pull out larder unit 600mm",FurnitureData,5,0),IF(AND(ISERROR(FIND("drawer box",A118))=FALSE,ISERROR(FIND("internal",A118))=TRUE),VLOOKUP("Drawer runners and clip set (550) Dynapro",FurnitureData,5,0),IF(ISERROR(FIND("internal drawer box",A118))=FALSE,VLOOKUP("Drawer runners and clip set (450) Dynapro",FurnitureData,5,0),IF(ISERROR(FIND("table",A118))=FALSE,VLOOKUP("Hairpin Leg (12mm Black "&amp;MID(A118,FIND("(",A118)+1,LEN(A118)-(FIND("(",A118))-1)&amp;"mm)",ExceptionalData,4,FALSE),""))))))</f>
        <v/>
      </c>
      <c r="L118" s="152" t="str">
        <f t="shared" si="3"/>
        <v/>
      </c>
      <c r="M118" s="154" t="str">
        <f>IF(A118="","",IF(AND(ISERROR(FIND("drawer front",A118))=FALSE,WardrobeDoorStyle="Flat"),(((B118/1000)*(C118/1000))*2)+((((B118+C118)/1000)*2)*0.022),IF(AND(ISERROR(FIND("drawer front",A118))=FALSE,LEFT(WardrobeDoorStyle,5)="Panel"),(((B118/1000)*(C118/1000))*2)+((((B118+C118)/1000)*2)*0.022)+((((C118/1000)-0.16)*0.013)*2)+((((D118/1000)-0.16)*0.013)*2),IF(AND(ISERROR(FIND("drawer front",A118))=FALSE,WardrobeDoorStyle="In-frame flat"),((((B118-76)/1000)*((C118-38)/1000))*2)+(MID(WardrobeDoorMaterial,FIND("(",WardrobeDoorMaterial)+1,2)/1000)*((((B118-76)+(C118-38))/1000)*2)+(((B118/1000)*0.032)*2)+((((B118-76)/1000)*0.032)*2)+(((B118/1000)*0.019)*4)+(((C118/1000)*0.032)*2)+((((C118-38)/1000)*0.032)*2)+(((C118/1000)*0.038)*4),IF(AND(ISERROR(FIND("drawer front",A118))=FALSE,LEFT(WardrobeDoorStyle,14)="In-frame panel"),((((B118-76)/1000)*((C118-38)/1000))*2)+((MID(WardrobeDoorMaterial,FIND("(",WardrobeDoorMaterial)+1,2)/1000)*((((B118-76)+(C118-38))/1000)*2))+((((B118-236)/1000)+((C118-198)/1000)*2)*0.013)+(((B118/1000)*0.032)*2)+((((B118-76)/1000)*0.032)*2)+(((B118/1000)*0.019)*4)+(((C118/1000)*0.032)*2)+((((C118-38)/1000)*0.032)*2)+(((C118/1000)*0.038)*4),IF(ISERROR(FIND("drawer box",A118))=FALSE,((((B118/1000)*(D118/1000))+((B118/1000)*(C118/1000)))*4)+((((D118/1000)+(C118/1000))*0.016)*4)+(((C118/1000)*(D118/1000))*2),IF(OR(ISERROR(FIND("shelf",A118))=FALSE,ISERROR(FIND("Filler panel",A118))=FALSE),(((C118/1000)*(D118/1000))*2)+((((C118+D118)*2)/1000)*0.022),IF(ISERROR(FIND("Fireplace",A118))=FALSE,((B118/1000)*(C118/1000)),IF(ISERROR(FIND("Worktop",A118))=FALSE,(B118/1000)*(C118/1000),IF(ISERROR(FIND("table",A118))=FALSE,(B118/1000)*0.6,IF(ISERROR(FIND("arcass",A118))=FALSE,(((C118/1000)*(D118/1000))*2)+(((B118/1000)*(D118/1000))*2)+((B118/1000)*(C118/1000))+((((B118/1000)*0.025)+((C118/1000)*0.025))*2),IF(AND(ISERROR(FIND("door",A118))=FALSE,WardrobeDoorStyle="Flat"),(((B118/1000)*(C118/1000))*2)+(MID(WardrobeDoorMaterial,FIND("(",WardrobeDoorMaterial)+1,2)/1000)*(((B118+C118)/1000)*2),IF(AND(ISERROR(FIND("door",A118))=FALSE,LEFT(WardrobeDoorStyle,5)="Panel"),(((B118/1000)*(C118/1000))*2)+((MID(WardrobeDoorMaterial,FIND("(",WardrobeDoorMaterial)+1,2)/1000)*(((B118+C118)/1000)*2))+(((((B118-160)+(C118-160))*2)/1000)*(0.013)),IF(AND(ISERROR(FIND("door",A118))=FALSE,WardrobeDoorStyle="In-frame flat"),((((B118-76)/1000)*((C118-38)/1000))*2)+(MID(WardrobeDoorMaterial,FIND("(",WardrobeDoorMaterial)+1,2)/1000)*((((B118-76)+(C118-38))/1000)*2)+(((B118/1000)*0.032)*2)+((((B118-76)/1000)*0.032)*2)+(((B118/1000)*0.019)*4)+(((C118/1000)*0.032)*2)+((((C118-38)/1000)*0.032)*2)+(((C118/1000)*0.038)*4),IF(AND(ISERROR(FIND("door",A118))=FALSE,LEFT(WardrobeDoorStyle,14)="In-frame panel"),((((B118-76)/1000)*((C118-38)/1000))*2)+((MID(WardrobeDoorMaterial,FIND("(",WardrobeDoorMaterial)+1,2)/1000)*((((B118-76)+(C118-38))/1000)*2))+((((B118-236)/1000)+((C118-198)/1000)*2)*0.013)+(((B118/1000)*0.032)*2)+((((B118-76)/1000)*0.032)*2)+(((B118/1000)*0.019)*4)+(((C118/1000)*0.032)*2)+((((C118-38)/1000)*0.032)*2)+(((C118/1000)*0.038)*4),IF(ISERROR(FIND("Plinth",A118))=FALSE,((B118/1000)*(C118/1000))+(((C118/1000)*0.018)*2)+(((B118/1000)*0.018)*2),IF(ISERROR(FIND("Cornice",A118))=FALSE,(((C118/1000)*0.1)*2)+(((C118/1000)*0.044)*2)+(((B118/1000)*0.08)*2),IF(ISERROR(FIND("Office pod",A118))=FALSE,((2400/1000)*(1200/1000))*6,IF(ISERROR(FIND("panel",A118))=FALSE,((B118/1000)*(C118/1000))+(0.022*((B118/1000)+((C118/1000)*2)))+((B118/1000)*0.05),IF(ISERROR(FIND("Fillers",A118))=FALSE,((C118/1000)*0.06)+((C118/1000)*0.069)+((0.06*0.018)*2)+((0.06*0.009)*2)+((C118/1000)*0.009)+((C118/1000)*0.018),IF(ISERROR(FIND("Pelmet",A118))=FALSE,((C118/1000)*0.05)+((C118/1000)*0.068)+((0.05*0.018)*4)+(((C118/1000)*0.018))*2)))))))))))))))))))))</f>
        <v/>
      </c>
      <c r="N118" s="152" t="str">
        <f>IF(M118="","",IF(AND(ISERROR(FIND("carcass",A118))=TRUE,ISERROR(FIND("unit",A118))=TRUE,ISERROR(FIND("insert",A118))=TRUE,ISERROR(FIND("rack",A118))=TRUE,ISERROR(FIND("box",A118))=TRUE,ISERROR(FIND("shelf",A118))=TRUE),VLOOKUP(WardrobeDoorFinish,Finishing!$A$2:$K$10,9,0)*M118,IF(ISERROR(FIND("table",A118))=FALSE,VLOOKUP("Sayerlack AF0072 Interior Clear Self-Sealer",FinishingData,9,FALSE)*M118,VLOOKUP(WardrobeCarcassFinish,Finishing!$A$2:$K$40,9,0)*M118)))</f>
        <v/>
      </c>
      <c r="O118" s="159"/>
      <c r="P118" s="159"/>
      <c r="Q118" s="152" t="str">
        <f>IF(OR(O118="",P118=""),"",((O118*X118)*(VLOOKUP("Workshop",Labour!$A$3:$E$20,4,0)/8))+((P118*AE118)*(VLOOKUP("Finishing",Labour!$A$3:$E$20,4,0)/8)))</f>
        <v/>
      </c>
      <c r="R118" s="152" t="str">
        <f t="shared" si="4"/>
        <v/>
      </c>
      <c r="S118" s="156" t="str">
        <f>IF(OR(O118="",P118=""),"",IF(OR(ISERROR(FIND("carcass",$A118))=FALSE,ISERROR(FIND("unit",$A118))=FALSE),VLOOKUP(WardrobeCarcassMaterial,FixedListsCarcassMaterial,2,0),0))</f>
        <v/>
      </c>
      <c r="T118" s="156" t="str">
        <f>IF(OR(O118="",P118=""),"",IF(ISERROR(FIND("door",$A118))=FALSE,VLOOKUP(WardrobeDoorStyle,FixedListsDoorStyle,2,0),0))</f>
        <v/>
      </c>
      <c r="U118" s="156" t="str">
        <f>IF(OR(O118="",P118=""),"",IF(ISERROR(FIND("door",$A118))=FALSE,VLOOKUP(WardrobeDoorMaterial,FixedListsDoorMaterial,2,0),0))</f>
        <v/>
      </c>
      <c r="V118" s="156" t="str">
        <f>IF(OR(O118="",P118=""),"",IF(ISERROR(FIND("drawer",$A118))=FALSE,VLOOKUP(WardrobeDrawerType,FixedListsDrawerType,2,0),0))</f>
        <v/>
      </c>
      <c r="W118" s="156" t="str">
        <f>IF(OR(O118="",P118=""),"",IF(S118&gt;0,VLOOKUP(WardrobeHandleType,FixedListsHandleType,2,FALSE),0))</f>
        <v/>
      </c>
      <c r="X118" s="156" t="str">
        <f t="shared" si="5"/>
        <v/>
      </c>
      <c r="Y118" s="156" t="str">
        <f>IF(OR(O118="",P118=""),"",IF(OR(ISERROR(FIND("carcass",$A118))=FALSE,ISERROR(FIND("unit",$A118))=FALSE),VLOOKUP(WardrobeCarcassMaterial,FixedListsCarcassMaterial,3,0),0))</f>
        <v/>
      </c>
      <c r="Z118" s="156" t="str">
        <f>IF(OR(O118="",P118=""),"",IF(ISERROR(FIND("door",$A118))=FALSE,VLOOKUP(WardrobeDoorStyle,FixedListsDoorStyle,3,0),0))</f>
        <v/>
      </c>
      <c r="AA118" s="156" t="str">
        <f>IF(OR(O118="",P118=""),"",IF(ISERROR(FIND("door",$A118))=FALSE,VLOOKUP(WardrobeDoorMaterial,FixedListsDoorMaterial,3,0),0))</f>
        <v/>
      </c>
      <c r="AB118" s="156" t="str">
        <f>IF(OR(O118="",P118=""),"",IF(ISERROR(FIND("drawer",$A118))=FALSE,VLOOKUP(WardrobeDrawerType,FixedListsDrawerType,3,0),0))</f>
        <v/>
      </c>
      <c r="AC118" s="156" t="str">
        <f>IF(OR(O118="",P118=""),"",IF(S118&gt;0,VLOOKUP(WardrobeHandleType,FixedListsHandleType,3,FALSE),0))</f>
        <v/>
      </c>
      <c r="AD118" s="156" t="str">
        <f>IF(OR(O118="",P118=""),"",IF(OR(ISERROR(FIND("carcass",$A118))=FALSE,ISERROR(FIND("unit",$A118))=FALSE),VLOOKUP(WardrobeCarcassFinish,FixedListsFinishes,3,0),IF(OR(ISERROR(FIND("door",$A118))=FALSE,ISERROR(FIND("Plinth",$A118))=FALSE,ISERROR(FIND("Cornice",$A118))=FALSE,ISERROR(FIND("Fillers",$A118))=FALSE,ISERROR(FIND("Pelmet",$A118))=FALSE,ISERROR(FIND("panel",$A118))=FALSE,ISERROR(FIND("post",$A118))=FALSE),VLOOKUP(WardrobeDoorFinish,FixedListsFinishes,3,0),IF(OR(ISERROR(FIND("drawer",$A118))=FALSE,ISERROR(FIND("insert",$A118))=FALSE,ISERROR(FIND("rck",$A118))=FALSE),VLOOKUP(WardrobeCarcassFinish,FixedListsFinishes,3,0),0))))</f>
        <v/>
      </c>
      <c r="AE118" s="156" t="str">
        <f t="shared" si="6"/>
        <v/>
      </c>
      <c r="AF118" s="157" t="str">
        <f>IF(AND(WardrobeHandleType="Channel",OR(ISERROR(FIND("arcass",$A118))=FALSE,ISERROR(FIND("unit",$A118))=FALSE)),IF(ISERROR(FIND("Tower",$A118))=TRUE,IF(WardrobeHandleFinish="Match carcass",IF(ISERROR(FIND("Walnut",WardrobeCarcassMaterial))=FALSE,(0.035*0.075*($C118/1000))*VLOOKUP("Walnut (solid m3)",SolidData,4,FALSE),IF(ISERROR(FIND("Oak",WardrobeCarcassMaterial))=FALSE,(0.035*0.075*($C118/1000))*VLOOKUP("Oak (solid m3)",SolidData,4,FALSE),IF(ISERROR(FIND("ply",WardrobeCarcassMaterial))=FALSE,(0.1*($C118/1000))*VLOOKUP("Birch ply (24mm)",SheetsData,7,FALSE),IF(ISERROR(FIND("H/F",WardrobeCarcassMaterial))=FALSE,(0.1*($C118/1000))*VLOOKUP("H/F (22mm)",SheetsData,7,FALSE),"Carcass - not tower - new material")))),IF(WardrobeHandleFinish="Match door",IF(ISERROR(FIND("Walnut",WardrobeDoorMaterial))=FALSE,(0.035*0.075*($C118/1000))*VLOOKUP("Walnut (solid m3)",SolidData,4,FALSE),IF(ISERROR(FIND("Oak",WardrobeDoorMaterial))=FALSE,(0.035*0.075*($C118/1000))*VLOOKUP("Oak (solid m3)",SolidData,4,FALSE),IF(ISERROR(FIND("ply",WardrobeDoorMaterial))=FALSE,(0.1*($C118/1000))*VLOOKUP("Birch ply (24mm)",SheetsData,7,FALSE),IF(ISERROR(FIND("H/F",WardrobeCarcassMaterial))=FALSE,(0.1*($C118/1000))*VLOOKUP("H/F (22mm)",SheetsData,7,FALSE),"Door - not tower - new material")))),"Channel - not tower - handle set to other")),IF(ISERROR(FIND("Tower",$A118))=FALSE,IF(WardrobeHandleFinish="Match carcass",IF(ISERROR(FIND("Walnut",WardrobeCarcassMaterial))=FALSE,(0.035*0.075*($B118/1000))*VLOOKUP("Walnut (solid m3)",SolidData,4,FALSE),IF(ISERROR(FIND("Oak",WardrobeCarcassMaterial))=FALSE,(0.035*0.075*($B118/1000))*VLOOKUP("Oak (solid m3)",SolidData,4,FALSE),IF(ISERROR(FIND("ply",WardrobeCarcassMaterial))=FALSE,(0.1*($B118/1000))*VLOOKUP("Birch ply (24mm)",SheetsData,7,FALSE),IF(ISERROR(FIND("H/F",WardrobeCarcassMaterial))=FALSE,(0.1*($C118/1000))*VLOOKUP("H/F (22mm)",SheetsData,7,FALSE),"Carcass - tower - new material")))),IF(WardrobeHandleFinish="Match door",IF(ISERROR(FIND("Walnut",WardrobeDoorMaterial))=FALSE,(0.035*0.075*($B118/1000))*VLOOKUP("Walnut (solid m3)",SolidData,4,FALSE),IF(ISERROR(FIND("Oak",WardrobeDoorMaterial))=FALSE,(0.035*0.075*($B118/1000))*VLOOKUP("Oak (solid m3)",SolidData,4,FALSE),IF(ISERROR(FIND("ply",WardrobeDoorMaterial))=FALSE,(0.1*($B118/1000))*VLOOKUP("Birch ply (24mm)",SheetData,7,FALSE),IF(ISERROR(FIND("H/F",WardrobeCarcassMaterial))=FALSE,(0.1*($C118/1000))*VLOOKUP("H/F (22mm)",SheetsData,7,FALSE),"Door - tower - new material")))),"Channel - tower - handle set to other")))),"")</f>
        <v/>
      </c>
    </row>
    <row r="119">
      <c r="A119" s="150"/>
      <c r="B119" s="160" t="str">
        <f t="shared" si="1"/>
        <v/>
      </c>
      <c r="C119" s="160" t="str">
        <f>IFERROR(__xludf.DUMMYFUNCTION("IF(A119="""","""",IF(ISERROR(FIND(""arcass"",A119))=FALSE,MID(A119,FIND(""*"",A119)+1,FIND(""*"",A119,FIND(""*"",A119)+1)-FIND(""*"",A119)-1),IF(ISERROR(FIND(""End panel"",A119))=FALSE,RIGHT(A119,3),IF(OR(ISERROR(FIND(""drawer"",A119))=FALSE,ISERROR(FIND("&amp;"""door"",A119))=FALSE,ISERROR(FIND(""shelf"",A119))=FALSE,ISERROR(FIND(""panel"",A119))=FALSE,ISERROR(FIND(""Plinth"",A119))=FALSE,ISERROR(FIND(""Cornice"",A119))=FALSE,ISERROR(FIND(""Fillers"",A119))=FALSE,ISERROR(FIND(""Pelmet"",A119))=FALSE,ISERROR(FIN"&amp;"D(""Fireplace up to 1600"",A119))=FALSE),RIGHT(A119,LEN(A119)-LEN(regexextract(A119,"".* ""))),IF(ISERROR(FIND(""table"",A119))=FALSE,""560"",IF(ISERROR(FIND(""Office pod"",A119))=FALSE,""1600"",IF(ISERROR(FIND(""Fireplace over 1600"",A119))=FALSE,""2400"&amp;""",IF(ISERROR(FIND(""Worktop"",A119))=FALSE,""650"",""Whoops""))))))))"),"")</f>
        <v/>
      </c>
      <c r="D119" s="161" t="str">
        <f t="shared" si="2"/>
        <v/>
      </c>
      <c r="E119" s="152" t="str">
        <f>IF(OR(A119="",AND(ISERROR(FIND("drawer",A119))=FALSE,WardrobeDrawerType="")),"",IF(ISERROR(FIND("door",A119))=FALSE,IF(WardrobeDoorStyle="Flat",((B119/1000)*(C119/1000))*VLOOKUP(WardrobeDoorMaterial,SheetsData,8,0),IF(LEFT(WardrobeDoorStyle,5)="Panel",(((((B119/1000)*2)*0.08)+((((C119/1000)-0.16)*2)*0.08))*VLOOKUP("H/F (22mm)",SheetsData,8,0))+(((B119/1000)-0.14)*((C119/1000)-0.14)*VLOOKUP("H/F (9mm)",SheetsData,8,0)),IF(WardrobeDoorStyle="In-frame flat",((((((B119/1000)*0.019)*0.038)+((((C119-38)/1000)*0.038)*0.038))*2)*VLOOKUP("Tulip (solid m3)",SolidData,4,0))+(((B119-76)/1000)*((C119-38)/1000))*VLOOKUP("H/F (22mm)",SheetsData,8,0),IF(LEFT(WardrobeDoorStyle,14)="In-frame panel",(((((((B119/1000)*0.019)*0.038)+((((C119-38)/1000)*0.038)*0.038))*2)*VLOOKUP("Tulip (solid m3)",SolidData,4,0))+(((((((B119-76)/1000)*2)*0.08)+(((((C119-198)/1000)*2)*0.08)))*VLOOKUP("H/F (22mm)",SheetsData,8,0))+(((B119-216)/1000)*((C119-178)/1000)*VLOOKUP("H/F (9mm)",SheetsData,8,0)))))))),IF(AND(ISERROR(FIND("arcass",A119))=FALSE,ISERROR(FIND("ost corner",A119))=TRUE),IF(AND(VALUE(B119)&lt;1211,VALUE(C119)&lt;1211,VALUE(D119)&lt;606),1*VLOOKUP(WardrobeCarcassMaterial,SheetsData,5,FALSE),IF(AND(VALUE(B119)&lt;2421,VALUE(C119)&lt;2421,VALUE(D119)&lt;606),2*VLOOKUP(WardrobeCarcassMaterial,SheetsData,5,FALSE),IF(AND(VALUE(B119)&lt;2421,VALUE(C119)&lt;1211,VALUE(D119)&lt;1211),3*VLOOKUP(WardrobeCarcassMaterial,SheetsData,5,FALSE),IF(AND(VALUE(B119)&lt;2421,VALUE(C119)&lt;2421,VALUE(D119)&lt;1211),4*VLOOKUP(WardrobeCarcassMaterial,SheetsData,5,FALSE))))),IF(AND(ISERROR(FIND("arcass",A119))=FALSE,ISERROR(FIND("ost corner",A119))=FALSE),IF(AND(VALUE(B119)&lt;1211,VALUE(C119)&lt;1211,VALUE(D119)&lt;606),(1*VLOOKUP(WardrobeCarcassMaterial,SheetsData,5,FALSE))+(VLOOKUP("H/F (22mm)",SheetsData,7,FALSE)*1.44),IF(AND(VALUE(B119)&lt;2421,VALUE(C119)&lt;2421,VALUE(D119)&lt;606),(2*VLOOKUP(WardrobeCarcassMaterial,SheetsData,5,FALSE))+(VLOOKUP("H/F (22mm)",SheetsData,7,FALSE)*1.44),IF(AND(VALUE(B119)&lt;2421,VALUE(C119)&lt;1211,VALUE(D119)&lt;1211),(3*VLOOKUP(WardrobeCarcassMaterial,SheetsData,5,FALSE))+(VLOOKUP("H/F (22mm)",SheetsData,7,FALSE)*1.44),IF(AND(VALUE(B119)&lt;2421,VALUE(C119)&lt;2421,VALUE(D119)&lt;1211),(4*VLOOKUP(WardrobeCarcassMaterial,SheetsData,5,FALSE))+(VLOOKUP("H/F (22mm)",SheetsData,7,FALSE)*1.44))))),IF(ISERROR(FIND("drawer front",A119))=FALSE,((B119/1000)*(C119/1000))*VLOOKUP(WardrobeDoorMaterial,SheetsData,8,0),IF(AND(WardrobeDrawerType="Match carcass",ISERROR(FIND("drawer box",A119))=FALSE),(((((B119/1000)*(C119/1000))+((B119/1000)*(D119/1000)))*2)*VLOOKUP(WardrobeCarcassMaterial,SheetsData,8,0))+(((C119/1000)*(D119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box",A119))=FALSE),(((((B119/1000)*(C119/1000))+((B119/1000)*(D119/1000)))*2)*(16/1000)*VLOOKUP(LEFT(WardrobeCarcassMaterial,FIND(" ",WardrobeCarcassMaterial))&amp;"(solid m3)",SolidData,4,0))+(((C119/1000)*(D119/1000))*VLOOKUP(LEFT(WardrobeCarcassMaterial,FIND("(",WardrobeCarcassMaterial)-1)&amp;IF(OR(ISERROR(FIND("ply",WardrobeCarcassMaterial))=FALSE,ISERROR(FIND("H/F",WardrobeCarcassMaterial))=FALSE),"(9mm)","(10mm)"),SheetsData,8,0)),IF(ISERROR(FIND("shelf",A119))=FALSE,((C119/1000)*(D119/1000))*VLOOKUP(WardrobeCarcassMaterial,SheetsData,7,FALSE),IF(ISERROR(FIND("Office pod",A119))=FALSE,3*VLOOKUP(WardrobeCarcassMaterial,SheetsData,5,0),IF(ISERROR(FIND(" panel",A119))=FALSE,((B119/1000)*(C119/1000))*VLOOKUP(WardrobeDoorMaterial,SheetsData,8,0),IF(ISERROR(FIND("Fillers",A119))=FALSE,(((0.06*(C119/1000))*2)*VLOOKUP("H/F (18mm)",SheetsData,8,0))+(((0.06*(C119/1000))*2)*VLOOKUP("H/F (9mm)",SheetsData,8,0)),IF(ISERROR(FIND("Cornice (stacked)",A119))=FALSE,((0.08*(C119/1000))*2)*VLOOKUP("H/F (22mm)",SheetsData,8,0),IF(OR(ISERROR(FIND("Plinth",A119))=FALSE,ISERROR(FIND("Cornice (flat)",A119))=FALSE),((B119/1000)*(C119/1000))*VLOOKUP("H/F (18mm)",SheetsData,8,0),IF(ISERROR(FIND("Pelmet",A119))=FALSE,((((B119/1000)*(C119/1000))*2)*VLOOKUP("H/F (18mm)",SheetsData,8,0)),IF(ISERROR(FIND("Fireplace",A119))=FALSE,IF(ISERROR(FIND("over 1600",A119))=FALSE,2*VLOOKUP(WardrobeCarcassMaterial,SheetsData,5,FALSE),VLOOKUP(WardrobeCarcassMaterial,SheetsData,5,FALSE)),IF(ISERROR(FIND("table",A119))=FALSE,((B119/1000)*0.6)*VLOOKUP("Birch ply (24mm)",SheetsData,7,FALSE),IF(ISERROR(FIND("Worktop",A119))=FALSE,((B119/1000)*(C119/1000))*VLOOKUP(WardrobeDoorMaterial,SheetsData,7,FALSE),"Check formula")))))))))))))))))</f>
        <v/>
      </c>
      <c r="F119" s="152" t="str">
        <f>IFERROR(__xludf.DUMMYFUNCTION("IF(OR(A119="""",AND(ISERROR(FIND(""drawer box"",A119))=FALSE,WardrobeDrawerType=""Solid dovetail"")),"""",IF(ISERROR(FIND(""bins"",A119))=FALSE,VLOOKUP(""Base carcass 600"",Wardrobes_etcData,6,0),IF(OR(ISERROR(FIND(""larder"",A119))=FALSE,ISERROR(FIND(""u"&amp;"nit"",A119))=FALSE),VLOOKUP(LEFT(A119,FIND("" "",A119))&amp;""carcass ""&amp;RIGHT(A119,LEN(A119)-len(regexextract(A119,"".* ""))),Wardrobes_etcData,6,0),IF(ISERROR(FIND(""drawer front"",A119))=FALSE,IF(ISERROR(FIND(""veneer"",WardrobeCarcassMaterial))=TRUE,0,((("&amp;"B119+C119)/1000)*2)*VLOOKUP(""Edge banding (per M)"",SheetsData,5,0)),IF(ISERROR(FIND(""drawer box"",A119))=FALSE,IF(ISERROR(FIND(""veneer"",WardrobeCarcassMaterial))=TRUE,0,(((C119+D119)/1000)*2)*VLOOKUP(""Edge banding (per M)"",SheetsData,5,0)),IF(ISERR"&amp;"OR(FIND(""shelf"",A119))=FALSE,IF(ISERROR(FIND(""veneer"",WardrobeCarcassMaterial))=TRUE,0,(C119/1000)*VLOOKUP(""Edge banding (per M)"",SheetsData,5,0)),IF(AND(OR(ISERROR(FIND(""arcass"",A119))=FALSE,ISERROR(FIND(""Fireplace"",A119))=FALSE),ISERROR(FIND("&amp;"""shelf"",A119))=TRUE),IF(ISERROR(FIND(""veneer"",WardrobeCarcassMaterial))=TRUE,0,((2*(B119+C119))/1000)*VLOOKUP(""Edge banding (per M)"",SheetsData,5,0)),IF(ISERROR(FIND(""door"",A119))=TRUE,"""",IF(ISERROR(FIND(""veneer"",WardrobeDoorMaterial))=TRUE,"""&amp;""",((2*(B119+C119))/1000)*VLOOKUP(""Edge banding (per M)"",SheetsData,5,0))))))))))"),"")</f>
        <v/>
      </c>
      <c r="G119" s="153" t="str">
        <f>IF(A119="","",IF(AND(ISERROR(FIND("arcass",A119))=TRUE,ISERROR(FIND("Fireplace",A119))=TRUE),"",IF(VALUE(C119)&lt;606,4*VLOOKUP("Plinth foot (2 Parts 80mm)",FurnitureData,5,FALSE),IF(VALUE(C119)&lt;1211,6*VLOOKUP("Plinth foot (2 Parts 80mm)",FurnitureData,5,FALSE),8*VLOOKUP("Plinth foot (2 Parts 80mm)",FurnitureData,5,FALSE)))))</f>
        <v/>
      </c>
      <c r="H119" s="115" t="str">
        <f>IF(OR(A119="",ISERROR(FIND("door",A119))=TRUE),"",VLOOKUP("Hinges &amp; plates (Hettich thick door)",FurnitureData,5,0)*5)</f>
        <v/>
      </c>
      <c r="I119" s="115" t="str">
        <f>IF(ISERROR(FIND("shelf",A119))=FALSE,(VLOOKUP("Shelf pegs",FurnitureData,5,0)/100)*4,"")</f>
        <v/>
      </c>
      <c r="J119" s="152" t="str">
        <f>IF(OR(ISERROR(FIND("fridge/freezer",A119))=FALSE,ISERROR(FIND("sink",A119))=FALSE,ISERROR(FIND("larder",A119))=FALSE),VLOOKUP("Deep shelf "&amp;C119,Wardrobes_etcData,18,0),IF(OR(ISERROR(FIND("single oven",A119))=FALSE,ISERROR(FIND("Base carcass",A119))=FALSE),2*VLOOKUP("Deep shelf "&amp;C119,Wardrobes_etcData,18,0),IF(AND(ISERROR(FIND("wall carcass",A119))=FALSE,ISERROR(FIND("Boiler",A119))=TRUE),2*VLOOKUP("Shallow shelf "&amp;C119,Wardrobes_etcData,18,0),IF(ISERROR(FIND("double oven",A119))=FALSE,3*VLOOKUP("Deep shelf "&amp;C119,Wardrobes_etcData,18,0),IF(ISERROR(FIND("Tower carcass",A119))=FALSE,6*VLOOKUP("Deep shelf "&amp;C119,Wardrobes_etcData,18,0),"")))))</f>
        <v/>
      </c>
      <c r="K119" s="152" t="str">
        <f>IF(ISERROR(FIND("sink",A119))=FALSE,VLOOKUP("Sink liner - Aluminium "&amp;RIGHT(A119,LEN(A119)-22)&amp;"mm",ExceptionalData,5,0),IF(ISERROR(FIND("bins",A119))=FALSE,VLOOKUP("Drawer runners and clip set for bin unit (500) Dynapro",FurnitureData,5,0)+(2*VLOOKUP("Bin (42L Anthracite)",FurnitureData,5,0)),IF(ISERROR(FIND("larder",A119))=FALSE,VLOOKUP("Pull out larder unit 600mm",FurnitureData,5,0),IF(AND(ISERROR(FIND("drawer box",A119))=FALSE,ISERROR(FIND("internal",A119))=TRUE),VLOOKUP("Drawer runners and clip set (550) Dynapro",FurnitureData,5,0),IF(ISERROR(FIND("internal drawer box",A119))=FALSE,VLOOKUP("Drawer runners and clip set (450) Dynapro",FurnitureData,5,0),IF(ISERROR(FIND("table",A119))=FALSE,VLOOKUP("Hairpin Leg (12mm Black "&amp;MID(A119,FIND("(",A119)+1,LEN(A119)-(FIND("(",A119))-1)&amp;"mm)",ExceptionalData,4,FALSE),""))))))</f>
        <v/>
      </c>
      <c r="L119" s="152" t="str">
        <f t="shared" si="3"/>
        <v/>
      </c>
      <c r="M119" s="154" t="str">
        <f>IF(A119="","",IF(AND(ISERROR(FIND("drawer front",A119))=FALSE,WardrobeDoorStyle="Flat"),(((B119/1000)*(C119/1000))*2)+((((B119+C119)/1000)*2)*0.022),IF(AND(ISERROR(FIND("drawer front",A119))=FALSE,LEFT(WardrobeDoorStyle,5)="Panel"),(((B119/1000)*(C119/1000))*2)+((((B119+C119)/1000)*2)*0.022)+((((C119/1000)-0.16)*0.013)*2)+((((D119/1000)-0.16)*0.013)*2),IF(AND(ISERROR(FIND("drawer front",A119))=FALSE,WardrobeDoorStyle="In-frame flat"),((((B119-76)/1000)*((C119-38)/1000))*2)+(MID(WardrobeDoorMaterial,FIND("(",WardrobeDoorMaterial)+1,2)/1000)*((((B119-76)+(C119-38))/1000)*2)+(((B119/1000)*0.032)*2)+((((B119-76)/1000)*0.032)*2)+(((B119/1000)*0.019)*4)+(((C119/1000)*0.032)*2)+((((C119-38)/1000)*0.032)*2)+(((C119/1000)*0.038)*4),IF(AND(ISERROR(FIND("drawer front",A119))=FALSE,LEFT(WardrobeDoorStyle,14)="In-frame panel"),((((B119-76)/1000)*((C119-38)/1000))*2)+((MID(WardrobeDoorMaterial,FIND("(",WardrobeDoorMaterial)+1,2)/1000)*((((B119-76)+(C119-38))/1000)*2))+((((B119-236)/1000)+((C119-198)/1000)*2)*0.013)+(((B119/1000)*0.032)*2)+((((B119-76)/1000)*0.032)*2)+(((B119/1000)*0.019)*4)+(((C119/1000)*0.032)*2)+((((C119-38)/1000)*0.032)*2)+(((C119/1000)*0.038)*4),IF(ISERROR(FIND("drawer box",A119))=FALSE,((((B119/1000)*(D119/1000))+((B119/1000)*(C119/1000)))*4)+((((D119/1000)+(C119/1000))*0.016)*4)+(((C119/1000)*(D119/1000))*2),IF(OR(ISERROR(FIND("shelf",A119))=FALSE,ISERROR(FIND("Filler panel",A119))=FALSE),(((C119/1000)*(D119/1000))*2)+((((C119+D119)*2)/1000)*0.022),IF(ISERROR(FIND("Fireplace",A119))=FALSE,((B119/1000)*(C119/1000)),IF(ISERROR(FIND("Worktop",A119))=FALSE,(B119/1000)*(C119/1000),IF(ISERROR(FIND("table",A119))=FALSE,(B119/1000)*0.6,IF(ISERROR(FIND("arcass",A119))=FALSE,(((C119/1000)*(D119/1000))*2)+(((B119/1000)*(D119/1000))*2)+((B119/1000)*(C119/1000))+((((B119/1000)*0.025)+((C119/1000)*0.025))*2),IF(AND(ISERROR(FIND("door",A119))=FALSE,WardrobeDoorStyle="Flat"),(((B119/1000)*(C119/1000))*2)+(MID(WardrobeDoorMaterial,FIND("(",WardrobeDoorMaterial)+1,2)/1000)*(((B119+C119)/1000)*2),IF(AND(ISERROR(FIND("door",A119))=FALSE,LEFT(WardrobeDoorStyle,5)="Panel"),(((B119/1000)*(C119/1000))*2)+((MID(WardrobeDoorMaterial,FIND("(",WardrobeDoorMaterial)+1,2)/1000)*(((B119+C119)/1000)*2))+(((((B119-160)+(C119-160))*2)/1000)*(0.013)),IF(AND(ISERROR(FIND("door",A119))=FALSE,WardrobeDoorStyle="In-frame flat"),((((B119-76)/1000)*((C119-38)/1000))*2)+(MID(WardrobeDoorMaterial,FIND("(",WardrobeDoorMaterial)+1,2)/1000)*((((B119-76)+(C119-38))/1000)*2)+(((B119/1000)*0.032)*2)+((((B119-76)/1000)*0.032)*2)+(((B119/1000)*0.019)*4)+(((C119/1000)*0.032)*2)+((((C119-38)/1000)*0.032)*2)+(((C119/1000)*0.038)*4),IF(AND(ISERROR(FIND("door",A119))=FALSE,LEFT(WardrobeDoorStyle,14)="In-frame panel"),((((B119-76)/1000)*((C119-38)/1000))*2)+((MID(WardrobeDoorMaterial,FIND("(",WardrobeDoorMaterial)+1,2)/1000)*((((B119-76)+(C119-38))/1000)*2))+((((B119-236)/1000)+((C119-198)/1000)*2)*0.013)+(((B119/1000)*0.032)*2)+((((B119-76)/1000)*0.032)*2)+(((B119/1000)*0.019)*4)+(((C119/1000)*0.032)*2)+((((C119-38)/1000)*0.032)*2)+(((C119/1000)*0.038)*4),IF(ISERROR(FIND("Plinth",A119))=FALSE,((B119/1000)*(C119/1000))+(((C119/1000)*0.018)*2)+(((B119/1000)*0.018)*2),IF(ISERROR(FIND("Cornice",A119))=FALSE,(((C119/1000)*0.1)*2)+(((C119/1000)*0.044)*2)+(((B119/1000)*0.08)*2),IF(ISERROR(FIND("Office pod",A119))=FALSE,((2400/1000)*(1200/1000))*6,IF(ISERROR(FIND("panel",A119))=FALSE,((B119/1000)*(C119/1000))+(0.022*((B119/1000)+((C119/1000)*2)))+((B119/1000)*0.05),IF(ISERROR(FIND("Fillers",A119))=FALSE,((C119/1000)*0.06)+((C119/1000)*0.069)+((0.06*0.018)*2)+((0.06*0.009)*2)+((C119/1000)*0.009)+((C119/1000)*0.018),IF(ISERROR(FIND("Pelmet",A119))=FALSE,((C119/1000)*0.05)+((C119/1000)*0.068)+((0.05*0.018)*4)+(((C119/1000)*0.018))*2)))))))))))))))))))))</f>
        <v/>
      </c>
      <c r="N119" s="152" t="str">
        <f>IF(M119="","",IF(AND(ISERROR(FIND("carcass",A119))=TRUE,ISERROR(FIND("unit",A119))=TRUE,ISERROR(FIND("insert",A119))=TRUE,ISERROR(FIND("rack",A119))=TRUE,ISERROR(FIND("box",A119))=TRUE,ISERROR(FIND("shelf",A119))=TRUE),VLOOKUP(WardrobeDoorFinish,Finishing!$A$2:$K$10,9,0)*M119,IF(ISERROR(FIND("table",A119))=FALSE,VLOOKUP("Sayerlack AF0072 Interior Clear Self-Sealer",FinishingData,9,FALSE)*M119,VLOOKUP(WardrobeCarcassFinish,Finishing!$A$2:$K$40,9,0)*M119)))</f>
        <v/>
      </c>
      <c r="O119" s="159"/>
      <c r="P119" s="159"/>
      <c r="Q119" s="152" t="str">
        <f>IF(OR(O119="",P119=""),"",((O119*X119)*(VLOOKUP("Workshop",Labour!$A$3:$E$20,4,0)/8))+((P119*AE119)*(VLOOKUP("Finishing",Labour!$A$3:$E$20,4,0)/8)))</f>
        <v/>
      </c>
      <c r="R119" s="152" t="str">
        <f t="shared" si="4"/>
        <v/>
      </c>
      <c r="S119" s="156" t="str">
        <f>IF(OR(O119="",P119=""),"",IF(OR(ISERROR(FIND("carcass",$A119))=FALSE,ISERROR(FIND("unit",$A119))=FALSE),VLOOKUP(WardrobeCarcassMaterial,FixedListsCarcassMaterial,2,0),0))</f>
        <v/>
      </c>
      <c r="T119" s="156" t="str">
        <f>IF(OR(O119="",P119=""),"",IF(ISERROR(FIND("door",$A119))=FALSE,VLOOKUP(WardrobeDoorStyle,FixedListsDoorStyle,2,0),0))</f>
        <v/>
      </c>
      <c r="U119" s="156" t="str">
        <f>IF(OR(O119="",P119=""),"",IF(ISERROR(FIND("door",$A119))=FALSE,VLOOKUP(WardrobeDoorMaterial,FixedListsDoorMaterial,2,0),0))</f>
        <v/>
      </c>
      <c r="V119" s="156" t="str">
        <f>IF(OR(O119="",P119=""),"",IF(ISERROR(FIND("drawer",$A119))=FALSE,VLOOKUP(WardrobeDrawerType,FixedListsDrawerType,2,0),0))</f>
        <v/>
      </c>
      <c r="W119" s="156" t="str">
        <f>IF(OR(O119="",P119=""),"",IF(S119&gt;0,VLOOKUP(WardrobeHandleType,FixedListsHandleType,2,FALSE),0))</f>
        <v/>
      </c>
      <c r="X119" s="156" t="str">
        <f t="shared" si="5"/>
        <v/>
      </c>
      <c r="Y119" s="156" t="str">
        <f>IF(OR(O119="",P119=""),"",IF(OR(ISERROR(FIND("carcass",$A119))=FALSE,ISERROR(FIND("unit",$A119))=FALSE),VLOOKUP(WardrobeCarcassMaterial,FixedListsCarcassMaterial,3,0),0))</f>
        <v/>
      </c>
      <c r="Z119" s="156" t="str">
        <f>IF(OR(O119="",P119=""),"",IF(ISERROR(FIND("door",$A119))=FALSE,VLOOKUP(WardrobeDoorStyle,FixedListsDoorStyle,3,0),0))</f>
        <v/>
      </c>
      <c r="AA119" s="156" t="str">
        <f>IF(OR(O119="",P119=""),"",IF(ISERROR(FIND("door",$A119))=FALSE,VLOOKUP(WardrobeDoorMaterial,FixedListsDoorMaterial,3,0),0))</f>
        <v/>
      </c>
      <c r="AB119" s="156" t="str">
        <f>IF(OR(O119="",P119=""),"",IF(ISERROR(FIND("drawer",$A119))=FALSE,VLOOKUP(WardrobeDrawerType,FixedListsDrawerType,3,0),0))</f>
        <v/>
      </c>
      <c r="AC119" s="156" t="str">
        <f>IF(OR(O119="",P119=""),"",IF(S119&gt;0,VLOOKUP(WardrobeHandleType,FixedListsHandleType,3,FALSE),0))</f>
        <v/>
      </c>
      <c r="AD119" s="156" t="str">
        <f>IF(OR(O119="",P119=""),"",IF(OR(ISERROR(FIND("carcass",$A119))=FALSE,ISERROR(FIND("unit",$A119))=FALSE),VLOOKUP(WardrobeCarcassFinish,FixedListsFinishes,3,0),IF(OR(ISERROR(FIND("door",$A119))=FALSE,ISERROR(FIND("Plinth",$A119))=FALSE,ISERROR(FIND("Cornice",$A119))=FALSE,ISERROR(FIND("Fillers",$A119))=FALSE,ISERROR(FIND("Pelmet",$A119))=FALSE,ISERROR(FIND("panel",$A119))=FALSE,ISERROR(FIND("post",$A119))=FALSE),VLOOKUP(WardrobeDoorFinish,FixedListsFinishes,3,0),IF(OR(ISERROR(FIND("drawer",$A119))=FALSE,ISERROR(FIND("insert",$A119))=FALSE,ISERROR(FIND("rck",$A119))=FALSE),VLOOKUP(WardrobeCarcassFinish,FixedListsFinishes,3,0),0))))</f>
        <v/>
      </c>
      <c r="AE119" s="156" t="str">
        <f t="shared" si="6"/>
        <v/>
      </c>
      <c r="AF119" s="157" t="str">
        <f>IF(AND(WardrobeHandleType="Channel",OR(ISERROR(FIND("arcass",$A119))=FALSE,ISERROR(FIND("unit",$A119))=FALSE)),IF(ISERROR(FIND("Tower",$A119))=TRUE,IF(WardrobeHandleFinish="Match carcass",IF(ISERROR(FIND("Walnut",WardrobeCarcassMaterial))=FALSE,(0.035*0.075*($C119/1000))*VLOOKUP("Walnut (solid m3)",SolidData,4,FALSE),IF(ISERROR(FIND("Oak",WardrobeCarcassMaterial))=FALSE,(0.035*0.075*($C119/1000))*VLOOKUP("Oak (solid m3)",SolidData,4,FALSE),IF(ISERROR(FIND("ply",WardrobeCarcassMaterial))=FALSE,(0.1*($C119/1000))*VLOOKUP("Birch ply (24mm)",SheetsData,7,FALSE),IF(ISERROR(FIND("H/F",WardrobeCarcassMaterial))=FALSE,(0.1*($C119/1000))*VLOOKUP("H/F (22mm)",SheetsData,7,FALSE),"Carcass - not tower - new material")))),IF(WardrobeHandleFinish="Match door",IF(ISERROR(FIND("Walnut",WardrobeDoorMaterial))=FALSE,(0.035*0.075*($C119/1000))*VLOOKUP("Walnut (solid m3)",SolidData,4,FALSE),IF(ISERROR(FIND("Oak",WardrobeDoorMaterial))=FALSE,(0.035*0.075*($C119/1000))*VLOOKUP("Oak (solid m3)",SolidData,4,FALSE),IF(ISERROR(FIND("ply",WardrobeDoorMaterial))=FALSE,(0.1*($C119/1000))*VLOOKUP("Birch ply (24mm)",SheetsData,7,FALSE),IF(ISERROR(FIND("H/F",WardrobeCarcassMaterial))=FALSE,(0.1*($C119/1000))*VLOOKUP("H/F (22mm)",SheetsData,7,FALSE),"Door - not tower - new material")))),"Channel - not tower - handle set to other")),IF(ISERROR(FIND("Tower",$A119))=FALSE,IF(WardrobeHandleFinish="Match carcass",IF(ISERROR(FIND("Walnut",WardrobeCarcassMaterial))=FALSE,(0.035*0.075*($B119/1000))*VLOOKUP("Walnut (solid m3)",SolidData,4,FALSE),IF(ISERROR(FIND("Oak",WardrobeCarcassMaterial))=FALSE,(0.035*0.075*($B119/1000))*VLOOKUP("Oak (solid m3)",SolidData,4,FALSE),IF(ISERROR(FIND("ply",WardrobeCarcassMaterial))=FALSE,(0.1*($B119/1000))*VLOOKUP("Birch ply (24mm)",SheetsData,7,FALSE),IF(ISERROR(FIND("H/F",WardrobeCarcassMaterial))=FALSE,(0.1*($C119/1000))*VLOOKUP("H/F (22mm)",SheetsData,7,FALSE),"Carcass - tower - new material")))),IF(WardrobeHandleFinish="Match door",IF(ISERROR(FIND("Walnut",WardrobeDoorMaterial))=FALSE,(0.035*0.075*($B119/1000))*VLOOKUP("Walnut (solid m3)",SolidData,4,FALSE),IF(ISERROR(FIND("Oak",WardrobeDoorMaterial))=FALSE,(0.035*0.075*($B119/1000))*VLOOKUP("Oak (solid m3)",SolidData,4,FALSE),IF(ISERROR(FIND("ply",WardrobeDoorMaterial))=FALSE,(0.1*($B119/1000))*VLOOKUP("Birch ply (24mm)",SheetData,7,FALSE),IF(ISERROR(FIND("H/F",WardrobeCarcassMaterial))=FALSE,(0.1*($C119/1000))*VLOOKUP("H/F (22mm)",SheetsData,7,FALSE),"Door - tower - new material")))),"Channel - tower - handle set to other")))),"")</f>
        <v/>
      </c>
    </row>
    <row r="120">
      <c r="A120" s="150"/>
      <c r="B120" s="160" t="str">
        <f t="shared" si="1"/>
        <v/>
      </c>
      <c r="C120" s="160" t="str">
        <f>IFERROR(__xludf.DUMMYFUNCTION("IF(A120="""","""",IF(ISERROR(FIND(""arcass"",A120))=FALSE,MID(A120,FIND(""*"",A120)+1,FIND(""*"",A120,FIND(""*"",A120)+1)-FIND(""*"",A120)-1),IF(ISERROR(FIND(""End panel"",A120))=FALSE,RIGHT(A120,3),IF(OR(ISERROR(FIND(""drawer"",A120))=FALSE,ISERROR(FIND("&amp;"""door"",A120))=FALSE,ISERROR(FIND(""shelf"",A120))=FALSE,ISERROR(FIND(""panel"",A120))=FALSE,ISERROR(FIND(""Plinth"",A120))=FALSE,ISERROR(FIND(""Cornice"",A120))=FALSE,ISERROR(FIND(""Fillers"",A120))=FALSE,ISERROR(FIND(""Pelmet"",A120))=FALSE,ISERROR(FIN"&amp;"D(""Fireplace up to 1600"",A120))=FALSE),RIGHT(A120,LEN(A120)-LEN(regexextract(A120,"".* ""))),IF(ISERROR(FIND(""table"",A120))=FALSE,""560"",IF(ISERROR(FIND(""Office pod"",A120))=FALSE,""1600"",IF(ISERROR(FIND(""Fireplace over 1600"",A120))=FALSE,""2400"&amp;""",IF(ISERROR(FIND(""Worktop"",A120))=FALSE,""650"",""Whoops""))))))))"),"")</f>
        <v/>
      </c>
      <c r="D120" s="161" t="str">
        <f t="shared" si="2"/>
        <v/>
      </c>
      <c r="E120" s="152" t="str">
        <f>IF(OR(A120="",AND(ISERROR(FIND("drawer",A120))=FALSE,WardrobeDrawerType="")),"",IF(ISERROR(FIND("door",A120))=FALSE,IF(WardrobeDoorStyle="Flat",((B120/1000)*(C120/1000))*VLOOKUP(WardrobeDoorMaterial,SheetsData,8,0),IF(LEFT(WardrobeDoorStyle,5)="Panel",(((((B120/1000)*2)*0.08)+((((C120/1000)-0.16)*2)*0.08))*VLOOKUP("H/F (22mm)",SheetsData,8,0))+(((B120/1000)-0.14)*((C120/1000)-0.14)*VLOOKUP("H/F (9mm)",SheetsData,8,0)),IF(WardrobeDoorStyle="In-frame flat",((((((B120/1000)*0.019)*0.038)+((((C120-38)/1000)*0.038)*0.038))*2)*VLOOKUP("Tulip (solid m3)",SolidData,4,0))+(((B120-76)/1000)*((C120-38)/1000))*VLOOKUP("H/F (22mm)",SheetsData,8,0),IF(LEFT(WardrobeDoorStyle,14)="In-frame panel",(((((((B120/1000)*0.019)*0.038)+((((C120-38)/1000)*0.038)*0.038))*2)*VLOOKUP("Tulip (solid m3)",SolidData,4,0))+(((((((B120-76)/1000)*2)*0.08)+(((((C120-198)/1000)*2)*0.08)))*VLOOKUP("H/F (22mm)",SheetsData,8,0))+(((B120-216)/1000)*((C120-178)/1000)*VLOOKUP("H/F (9mm)",SheetsData,8,0)))))))),IF(AND(ISERROR(FIND("arcass",A120))=FALSE,ISERROR(FIND("ost corner",A120))=TRUE),IF(AND(VALUE(B120)&lt;1211,VALUE(C120)&lt;1211,VALUE(D120)&lt;606),1*VLOOKUP(WardrobeCarcassMaterial,SheetsData,5,FALSE),IF(AND(VALUE(B120)&lt;2421,VALUE(C120)&lt;2421,VALUE(D120)&lt;606),2*VLOOKUP(WardrobeCarcassMaterial,SheetsData,5,FALSE),IF(AND(VALUE(B120)&lt;2421,VALUE(C120)&lt;1211,VALUE(D120)&lt;1211),3*VLOOKUP(WardrobeCarcassMaterial,SheetsData,5,FALSE),IF(AND(VALUE(B120)&lt;2421,VALUE(C120)&lt;2421,VALUE(D120)&lt;1211),4*VLOOKUP(WardrobeCarcassMaterial,SheetsData,5,FALSE))))),IF(AND(ISERROR(FIND("arcass",A120))=FALSE,ISERROR(FIND("ost corner",A120))=FALSE),IF(AND(VALUE(B120)&lt;1211,VALUE(C120)&lt;1211,VALUE(D120)&lt;606),(1*VLOOKUP(WardrobeCarcassMaterial,SheetsData,5,FALSE))+(VLOOKUP("H/F (22mm)",SheetsData,7,FALSE)*1.44),IF(AND(VALUE(B120)&lt;2421,VALUE(C120)&lt;2421,VALUE(D120)&lt;606),(2*VLOOKUP(WardrobeCarcassMaterial,SheetsData,5,FALSE))+(VLOOKUP("H/F (22mm)",SheetsData,7,FALSE)*1.44),IF(AND(VALUE(B120)&lt;2421,VALUE(C120)&lt;1211,VALUE(D120)&lt;1211),(3*VLOOKUP(WardrobeCarcassMaterial,SheetsData,5,FALSE))+(VLOOKUP("H/F (22mm)",SheetsData,7,FALSE)*1.44),IF(AND(VALUE(B120)&lt;2421,VALUE(C120)&lt;2421,VALUE(D120)&lt;1211),(4*VLOOKUP(WardrobeCarcassMaterial,SheetsData,5,FALSE))+(VLOOKUP("H/F (22mm)",SheetsData,7,FALSE)*1.44))))),IF(ISERROR(FIND("drawer front",A120))=FALSE,((B120/1000)*(C120/1000))*VLOOKUP(WardrobeDoorMaterial,SheetsData,8,0),IF(AND(WardrobeDrawerType="Match carcass",ISERROR(FIND("drawer box",A120))=FALSE),(((((B120/1000)*(C120/1000))+((B120/1000)*(D120/1000)))*2)*VLOOKUP(WardrobeCarcassMaterial,SheetsData,8,0))+(((C120/1000)*(D120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box",A120))=FALSE),(((((B120/1000)*(C120/1000))+((B120/1000)*(D120/1000)))*2)*(16/1000)*VLOOKUP(LEFT(WardrobeCarcassMaterial,FIND(" ",WardrobeCarcassMaterial))&amp;"(solid m3)",SolidData,4,0))+(((C120/1000)*(D120/1000))*VLOOKUP(LEFT(WardrobeCarcassMaterial,FIND("(",WardrobeCarcassMaterial)-1)&amp;IF(OR(ISERROR(FIND("ply",WardrobeCarcassMaterial))=FALSE,ISERROR(FIND("H/F",WardrobeCarcassMaterial))=FALSE),"(9mm)","(10mm)"),SheetsData,8,0)),IF(ISERROR(FIND("shelf",A120))=FALSE,((C120/1000)*(D120/1000))*VLOOKUP(WardrobeCarcassMaterial,SheetsData,7,FALSE),IF(ISERROR(FIND("Office pod",A120))=FALSE,3*VLOOKUP(WardrobeCarcassMaterial,SheetsData,5,0),IF(ISERROR(FIND(" panel",A120))=FALSE,((B120/1000)*(C120/1000))*VLOOKUP(WardrobeDoorMaterial,SheetsData,8,0),IF(ISERROR(FIND("Fillers",A120))=FALSE,(((0.06*(C120/1000))*2)*VLOOKUP("H/F (18mm)",SheetsData,8,0))+(((0.06*(C120/1000))*2)*VLOOKUP("H/F (9mm)",SheetsData,8,0)),IF(ISERROR(FIND("Cornice (stacked)",A120))=FALSE,((0.08*(C120/1000))*2)*VLOOKUP("H/F (22mm)",SheetsData,8,0),IF(OR(ISERROR(FIND("Plinth",A120))=FALSE,ISERROR(FIND("Cornice (flat)",A120))=FALSE),((B120/1000)*(C120/1000))*VLOOKUP("H/F (18mm)",SheetsData,8,0),IF(ISERROR(FIND("Pelmet",A120))=FALSE,((((B120/1000)*(C120/1000))*2)*VLOOKUP("H/F (18mm)",SheetsData,8,0)),IF(ISERROR(FIND("Fireplace",A120))=FALSE,IF(ISERROR(FIND("over 1600",A120))=FALSE,2*VLOOKUP(WardrobeCarcassMaterial,SheetsData,5,FALSE),VLOOKUP(WardrobeCarcassMaterial,SheetsData,5,FALSE)),IF(ISERROR(FIND("table",A120))=FALSE,((B120/1000)*0.6)*VLOOKUP("Birch ply (24mm)",SheetsData,7,FALSE),IF(ISERROR(FIND("Worktop",A120))=FALSE,((B120/1000)*(C120/1000))*VLOOKUP(WardrobeDoorMaterial,SheetsData,7,FALSE),"Check formula")))))))))))))))))</f>
        <v/>
      </c>
      <c r="F120" s="152" t="str">
        <f>IFERROR(__xludf.DUMMYFUNCTION("IF(OR(A120="""",AND(ISERROR(FIND(""drawer box"",A120))=FALSE,WardrobeDrawerType=""Solid dovetail"")),"""",IF(ISERROR(FIND(""bins"",A120))=FALSE,VLOOKUP(""Base carcass 600"",Wardrobes_etcData,6,0),IF(OR(ISERROR(FIND(""larder"",A120))=FALSE,ISERROR(FIND(""u"&amp;"nit"",A120))=FALSE),VLOOKUP(LEFT(A120,FIND("" "",A120))&amp;""carcass ""&amp;RIGHT(A120,LEN(A120)-len(regexextract(A120,"".* ""))),Wardrobes_etcData,6,0),IF(ISERROR(FIND(""drawer front"",A120))=FALSE,IF(ISERROR(FIND(""veneer"",WardrobeCarcassMaterial))=TRUE,0,((("&amp;"B120+C120)/1000)*2)*VLOOKUP(""Edge banding (per M)"",SheetsData,5,0)),IF(ISERROR(FIND(""drawer box"",A120))=FALSE,IF(ISERROR(FIND(""veneer"",WardrobeCarcassMaterial))=TRUE,0,(((C120+D120)/1000)*2)*VLOOKUP(""Edge banding (per M)"",SheetsData,5,0)),IF(ISERR"&amp;"OR(FIND(""shelf"",A120))=FALSE,IF(ISERROR(FIND(""veneer"",WardrobeCarcassMaterial))=TRUE,0,(C120/1000)*VLOOKUP(""Edge banding (per M)"",SheetsData,5,0)),IF(AND(OR(ISERROR(FIND(""arcass"",A120))=FALSE,ISERROR(FIND(""Fireplace"",A120))=FALSE),ISERROR(FIND("&amp;"""shelf"",A120))=TRUE),IF(ISERROR(FIND(""veneer"",WardrobeCarcassMaterial))=TRUE,0,((2*(B120+C120))/1000)*VLOOKUP(""Edge banding (per M)"",SheetsData,5,0)),IF(ISERROR(FIND(""door"",A120))=TRUE,"""",IF(ISERROR(FIND(""veneer"",WardrobeDoorMaterial))=TRUE,"""&amp;""",((2*(B120+C120))/1000)*VLOOKUP(""Edge banding (per M)"",SheetsData,5,0))))))))))"),"")</f>
        <v/>
      </c>
      <c r="G120" s="153" t="str">
        <f>IF(A120="","",IF(AND(ISERROR(FIND("arcass",A120))=TRUE,ISERROR(FIND("Fireplace",A120))=TRUE),"",IF(VALUE(C120)&lt;606,4*VLOOKUP("Plinth foot (2 Parts 80mm)",FurnitureData,5,FALSE),IF(VALUE(C120)&lt;1211,6*VLOOKUP("Plinth foot (2 Parts 80mm)",FurnitureData,5,FALSE),8*VLOOKUP("Plinth foot (2 Parts 80mm)",FurnitureData,5,FALSE)))))</f>
        <v/>
      </c>
      <c r="H120" s="115" t="str">
        <f>IF(OR(A120="",ISERROR(FIND("door",A120))=TRUE),"",VLOOKUP("Hinges &amp; plates (Hettich thick door)",FurnitureData,5,0)*5)</f>
        <v/>
      </c>
      <c r="I120" s="115" t="str">
        <f>IF(ISERROR(FIND("shelf",A120))=FALSE,(VLOOKUP("Shelf pegs",FurnitureData,5,0)/100)*4,"")</f>
        <v/>
      </c>
      <c r="J120" s="152" t="str">
        <f>IF(OR(ISERROR(FIND("fridge/freezer",A120))=FALSE,ISERROR(FIND("sink",A120))=FALSE,ISERROR(FIND("larder",A120))=FALSE),VLOOKUP("Deep shelf "&amp;C120,Wardrobes_etcData,18,0),IF(OR(ISERROR(FIND("single oven",A120))=FALSE,ISERROR(FIND("Base carcass",A120))=FALSE),2*VLOOKUP("Deep shelf "&amp;C120,Wardrobes_etcData,18,0),IF(AND(ISERROR(FIND("wall carcass",A120))=FALSE,ISERROR(FIND("Boiler",A120))=TRUE),2*VLOOKUP("Shallow shelf "&amp;C120,Wardrobes_etcData,18,0),IF(ISERROR(FIND("double oven",A120))=FALSE,3*VLOOKUP("Deep shelf "&amp;C120,Wardrobes_etcData,18,0),IF(ISERROR(FIND("Tower carcass",A120))=FALSE,6*VLOOKUP("Deep shelf "&amp;C120,Wardrobes_etcData,18,0),"")))))</f>
        <v/>
      </c>
      <c r="K120" s="152" t="str">
        <f>IF(ISERROR(FIND("sink",A120))=FALSE,VLOOKUP("Sink liner - Aluminium "&amp;RIGHT(A120,LEN(A120)-22)&amp;"mm",ExceptionalData,5,0),IF(ISERROR(FIND("bins",A120))=FALSE,VLOOKUP("Drawer runners and clip set for bin unit (500) Dynapro",FurnitureData,5,0)+(2*VLOOKUP("Bin (42L Anthracite)",FurnitureData,5,0)),IF(ISERROR(FIND("larder",A120))=FALSE,VLOOKUP("Pull out larder unit 600mm",FurnitureData,5,0),IF(AND(ISERROR(FIND("drawer box",A120))=FALSE,ISERROR(FIND("internal",A120))=TRUE),VLOOKUP("Drawer runners and clip set (550) Dynapro",FurnitureData,5,0),IF(ISERROR(FIND("internal drawer box",A120))=FALSE,VLOOKUP("Drawer runners and clip set (450) Dynapro",FurnitureData,5,0),IF(ISERROR(FIND("table",A120))=FALSE,VLOOKUP("Hairpin Leg (12mm Black "&amp;MID(A120,FIND("(",A120)+1,LEN(A120)-(FIND("(",A120))-1)&amp;"mm)",ExceptionalData,4,FALSE),""))))))</f>
        <v/>
      </c>
      <c r="L120" s="152" t="str">
        <f t="shared" si="3"/>
        <v/>
      </c>
      <c r="M120" s="154" t="str">
        <f>IF(A120="","",IF(AND(ISERROR(FIND("drawer front",A120))=FALSE,WardrobeDoorStyle="Flat"),(((B120/1000)*(C120/1000))*2)+((((B120+C120)/1000)*2)*0.022),IF(AND(ISERROR(FIND("drawer front",A120))=FALSE,LEFT(WardrobeDoorStyle,5)="Panel"),(((B120/1000)*(C120/1000))*2)+((((B120+C120)/1000)*2)*0.022)+((((C120/1000)-0.16)*0.013)*2)+((((D120/1000)-0.16)*0.013)*2),IF(AND(ISERROR(FIND("drawer front",A120))=FALSE,WardrobeDoorStyle="In-frame flat"),((((B120-76)/1000)*((C120-38)/1000))*2)+(MID(WardrobeDoorMaterial,FIND("(",WardrobeDoorMaterial)+1,2)/1000)*((((B120-76)+(C120-38))/1000)*2)+(((B120/1000)*0.032)*2)+((((B120-76)/1000)*0.032)*2)+(((B120/1000)*0.019)*4)+(((C120/1000)*0.032)*2)+((((C120-38)/1000)*0.032)*2)+(((C120/1000)*0.038)*4),IF(AND(ISERROR(FIND("drawer front",A120))=FALSE,LEFT(WardrobeDoorStyle,14)="In-frame panel"),((((B120-76)/1000)*((C120-38)/1000))*2)+((MID(WardrobeDoorMaterial,FIND("(",WardrobeDoorMaterial)+1,2)/1000)*((((B120-76)+(C120-38))/1000)*2))+((((B120-236)/1000)+((C120-198)/1000)*2)*0.013)+(((B120/1000)*0.032)*2)+((((B120-76)/1000)*0.032)*2)+(((B120/1000)*0.019)*4)+(((C120/1000)*0.032)*2)+((((C120-38)/1000)*0.032)*2)+(((C120/1000)*0.038)*4),IF(ISERROR(FIND("drawer box",A120))=FALSE,((((B120/1000)*(D120/1000))+((B120/1000)*(C120/1000)))*4)+((((D120/1000)+(C120/1000))*0.016)*4)+(((C120/1000)*(D120/1000))*2),IF(OR(ISERROR(FIND("shelf",A120))=FALSE,ISERROR(FIND("Filler panel",A120))=FALSE),(((C120/1000)*(D120/1000))*2)+((((C120+D120)*2)/1000)*0.022),IF(ISERROR(FIND("Fireplace",A120))=FALSE,((B120/1000)*(C120/1000)),IF(ISERROR(FIND("Worktop",A120))=FALSE,(B120/1000)*(C120/1000),IF(ISERROR(FIND("table",A120))=FALSE,(B120/1000)*0.6,IF(ISERROR(FIND("arcass",A120))=FALSE,(((C120/1000)*(D120/1000))*2)+(((B120/1000)*(D120/1000))*2)+((B120/1000)*(C120/1000))+((((B120/1000)*0.025)+((C120/1000)*0.025))*2),IF(AND(ISERROR(FIND("door",A120))=FALSE,WardrobeDoorStyle="Flat"),(((B120/1000)*(C120/1000))*2)+(MID(WardrobeDoorMaterial,FIND("(",WardrobeDoorMaterial)+1,2)/1000)*(((B120+C120)/1000)*2),IF(AND(ISERROR(FIND("door",A120))=FALSE,LEFT(WardrobeDoorStyle,5)="Panel"),(((B120/1000)*(C120/1000))*2)+((MID(WardrobeDoorMaterial,FIND("(",WardrobeDoorMaterial)+1,2)/1000)*(((B120+C120)/1000)*2))+(((((B120-160)+(C120-160))*2)/1000)*(0.013)),IF(AND(ISERROR(FIND("door",A120))=FALSE,WardrobeDoorStyle="In-frame flat"),((((B120-76)/1000)*((C120-38)/1000))*2)+(MID(WardrobeDoorMaterial,FIND("(",WardrobeDoorMaterial)+1,2)/1000)*((((B120-76)+(C120-38))/1000)*2)+(((B120/1000)*0.032)*2)+((((B120-76)/1000)*0.032)*2)+(((B120/1000)*0.019)*4)+(((C120/1000)*0.032)*2)+((((C120-38)/1000)*0.032)*2)+(((C120/1000)*0.038)*4),IF(AND(ISERROR(FIND("door",A120))=FALSE,LEFT(WardrobeDoorStyle,14)="In-frame panel"),((((B120-76)/1000)*((C120-38)/1000))*2)+((MID(WardrobeDoorMaterial,FIND("(",WardrobeDoorMaterial)+1,2)/1000)*((((B120-76)+(C120-38))/1000)*2))+((((B120-236)/1000)+((C120-198)/1000)*2)*0.013)+(((B120/1000)*0.032)*2)+((((B120-76)/1000)*0.032)*2)+(((B120/1000)*0.019)*4)+(((C120/1000)*0.032)*2)+((((C120-38)/1000)*0.032)*2)+(((C120/1000)*0.038)*4),IF(ISERROR(FIND("Plinth",A120))=FALSE,((B120/1000)*(C120/1000))+(((C120/1000)*0.018)*2)+(((B120/1000)*0.018)*2),IF(ISERROR(FIND("Cornice",A120))=FALSE,(((C120/1000)*0.1)*2)+(((C120/1000)*0.044)*2)+(((B120/1000)*0.08)*2),IF(ISERROR(FIND("Office pod",A120))=FALSE,((2400/1000)*(1200/1000))*6,IF(ISERROR(FIND("panel",A120))=FALSE,((B120/1000)*(C120/1000))+(0.022*((B120/1000)+((C120/1000)*2)))+((B120/1000)*0.05),IF(ISERROR(FIND("Fillers",A120))=FALSE,((C120/1000)*0.06)+((C120/1000)*0.069)+((0.06*0.018)*2)+((0.06*0.009)*2)+((C120/1000)*0.009)+((C120/1000)*0.018),IF(ISERROR(FIND("Pelmet",A120))=FALSE,((C120/1000)*0.05)+((C120/1000)*0.068)+((0.05*0.018)*4)+(((C120/1000)*0.018))*2)))))))))))))))))))))</f>
        <v/>
      </c>
      <c r="N120" s="152" t="str">
        <f>IF(M120="","",IF(AND(ISERROR(FIND("carcass",A120))=TRUE,ISERROR(FIND("unit",A120))=TRUE,ISERROR(FIND("insert",A120))=TRUE,ISERROR(FIND("rack",A120))=TRUE,ISERROR(FIND("box",A120))=TRUE,ISERROR(FIND("shelf",A120))=TRUE),VLOOKUP(WardrobeDoorFinish,Finishing!$A$2:$K$10,9,0)*M120,IF(ISERROR(FIND("table",A120))=FALSE,VLOOKUP("Sayerlack AF0072 Interior Clear Self-Sealer",FinishingData,9,FALSE)*M120,VLOOKUP(WardrobeCarcassFinish,Finishing!$A$2:$K$40,9,0)*M120)))</f>
        <v/>
      </c>
      <c r="O120" s="159"/>
      <c r="P120" s="159"/>
      <c r="Q120" s="152" t="str">
        <f>IF(OR(O120="",P120=""),"",((O120*X120)*(VLOOKUP("Workshop",Labour!$A$3:$E$20,4,0)/8))+((P120*AE120)*(VLOOKUP("Finishing",Labour!$A$3:$E$20,4,0)/8)))</f>
        <v/>
      </c>
      <c r="R120" s="152" t="str">
        <f t="shared" si="4"/>
        <v/>
      </c>
      <c r="S120" s="156" t="str">
        <f>IF(OR(O120="",P120=""),"",IF(OR(ISERROR(FIND("carcass",$A120))=FALSE,ISERROR(FIND("unit",$A120))=FALSE),VLOOKUP(WardrobeCarcassMaterial,FixedListsCarcassMaterial,2,0),0))</f>
        <v/>
      </c>
      <c r="T120" s="156" t="str">
        <f>IF(OR(O120="",P120=""),"",IF(ISERROR(FIND("door",$A120))=FALSE,VLOOKUP(WardrobeDoorStyle,FixedListsDoorStyle,2,0),0))</f>
        <v/>
      </c>
      <c r="U120" s="156" t="str">
        <f>IF(OR(O120="",P120=""),"",IF(ISERROR(FIND("door",$A120))=FALSE,VLOOKUP(WardrobeDoorMaterial,FixedListsDoorMaterial,2,0),0))</f>
        <v/>
      </c>
      <c r="V120" s="156" t="str">
        <f>IF(OR(O120="",P120=""),"",IF(ISERROR(FIND("drawer",$A120))=FALSE,VLOOKUP(WardrobeDrawerType,FixedListsDrawerType,2,0),0))</f>
        <v/>
      </c>
      <c r="W120" s="156" t="str">
        <f>IF(OR(O120="",P120=""),"",IF(S120&gt;0,VLOOKUP(WardrobeHandleType,FixedListsHandleType,2,FALSE),0))</f>
        <v/>
      </c>
      <c r="X120" s="156" t="str">
        <f t="shared" si="5"/>
        <v/>
      </c>
      <c r="Y120" s="156" t="str">
        <f>IF(OR(O120="",P120=""),"",IF(OR(ISERROR(FIND("carcass",$A120))=FALSE,ISERROR(FIND("unit",$A120))=FALSE),VLOOKUP(WardrobeCarcassMaterial,FixedListsCarcassMaterial,3,0),0))</f>
        <v/>
      </c>
      <c r="Z120" s="156" t="str">
        <f>IF(OR(O120="",P120=""),"",IF(ISERROR(FIND("door",$A120))=FALSE,VLOOKUP(WardrobeDoorStyle,FixedListsDoorStyle,3,0),0))</f>
        <v/>
      </c>
      <c r="AA120" s="156" t="str">
        <f>IF(OR(O120="",P120=""),"",IF(ISERROR(FIND("door",$A120))=FALSE,VLOOKUP(WardrobeDoorMaterial,FixedListsDoorMaterial,3,0),0))</f>
        <v/>
      </c>
      <c r="AB120" s="156" t="str">
        <f>IF(OR(O120="",P120=""),"",IF(ISERROR(FIND("drawer",$A120))=FALSE,VLOOKUP(WardrobeDrawerType,FixedListsDrawerType,3,0),0))</f>
        <v/>
      </c>
      <c r="AC120" s="156" t="str">
        <f>IF(OR(O120="",P120=""),"",IF(S120&gt;0,VLOOKUP(WardrobeHandleType,FixedListsHandleType,3,FALSE),0))</f>
        <v/>
      </c>
      <c r="AD120" s="156" t="str">
        <f>IF(OR(O120="",P120=""),"",IF(OR(ISERROR(FIND("carcass",$A120))=FALSE,ISERROR(FIND("unit",$A120))=FALSE),VLOOKUP(WardrobeCarcassFinish,FixedListsFinishes,3,0),IF(OR(ISERROR(FIND("door",$A120))=FALSE,ISERROR(FIND("Plinth",$A120))=FALSE,ISERROR(FIND("Cornice",$A120))=FALSE,ISERROR(FIND("Fillers",$A120))=FALSE,ISERROR(FIND("Pelmet",$A120))=FALSE,ISERROR(FIND("panel",$A120))=FALSE,ISERROR(FIND("post",$A120))=FALSE),VLOOKUP(WardrobeDoorFinish,FixedListsFinishes,3,0),IF(OR(ISERROR(FIND("drawer",$A120))=FALSE,ISERROR(FIND("insert",$A120))=FALSE,ISERROR(FIND("rck",$A120))=FALSE),VLOOKUP(WardrobeCarcassFinish,FixedListsFinishes,3,0),0))))</f>
        <v/>
      </c>
      <c r="AE120" s="156" t="str">
        <f t="shared" si="6"/>
        <v/>
      </c>
      <c r="AF120" s="157" t="str">
        <f>IF(AND(WardrobeHandleType="Channel",OR(ISERROR(FIND("arcass",$A120))=FALSE,ISERROR(FIND("unit",$A120))=FALSE)),IF(ISERROR(FIND("Tower",$A120))=TRUE,IF(WardrobeHandleFinish="Match carcass",IF(ISERROR(FIND("Walnut",WardrobeCarcassMaterial))=FALSE,(0.035*0.075*($C120/1000))*VLOOKUP("Walnut (solid m3)",SolidData,4,FALSE),IF(ISERROR(FIND("Oak",WardrobeCarcassMaterial))=FALSE,(0.035*0.075*($C120/1000))*VLOOKUP("Oak (solid m3)",SolidData,4,FALSE),IF(ISERROR(FIND("ply",WardrobeCarcassMaterial))=FALSE,(0.1*($C120/1000))*VLOOKUP("Birch ply (24mm)",SheetsData,7,FALSE),IF(ISERROR(FIND("H/F",WardrobeCarcassMaterial))=FALSE,(0.1*($C120/1000))*VLOOKUP("H/F (22mm)",SheetsData,7,FALSE),"Carcass - not tower - new material")))),IF(WardrobeHandleFinish="Match door",IF(ISERROR(FIND("Walnut",WardrobeDoorMaterial))=FALSE,(0.035*0.075*($C120/1000))*VLOOKUP("Walnut (solid m3)",SolidData,4,FALSE),IF(ISERROR(FIND("Oak",WardrobeDoorMaterial))=FALSE,(0.035*0.075*($C120/1000))*VLOOKUP("Oak (solid m3)",SolidData,4,FALSE),IF(ISERROR(FIND("ply",WardrobeDoorMaterial))=FALSE,(0.1*($C120/1000))*VLOOKUP("Birch ply (24mm)",SheetsData,7,FALSE),IF(ISERROR(FIND("H/F",WardrobeCarcassMaterial))=FALSE,(0.1*($C120/1000))*VLOOKUP("H/F (22mm)",SheetsData,7,FALSE),"Door - not tower - new material")))),"Channel - not tower - handle set to other")),IF(ISERROR(FIND("Tower",$A120))=FALSE,IF(WardrobeHandleFinish="Match carcass",IF(ISERROR(FIND("Walnut",WardrobeCarcassMaterial))=FALSE,(0.035*0.075*($B120/1000))*VLOOKUP("Walnut (solid m3)",SolidData,4,FALSE),IF(ISERROR(FIND("Oak",WardrobeCarcassMaterial))=FALSE,(0.035*0.075*($B120/1000))*VLOOKUP("Oak (solid m3)",SolidData,4,FALSE),IF(ISERROR(FIND("ply",WardrobeCarcassMaterial))=FALSE,(0.1*($B120/1000))*VLOOKUP("Birch ply (24mm)",SheetsData,7,FALSE),IF(ISERROR(FIND("H/F",WardrobeCarcassMaterial))=FALSE,(0.1*($C120/1000))*VLOOKUP("H/F (22mm)",SheetsData,7,FALSE),"Carcass - tower - new material")))),IF(WardrobeHandleFinish="Match door",IF(ISERROR(FIND("Walnut",WardrobeDoorMaterial))=FALSE,(0.035*0.075*($B120/1000))*VLOOKUP("Walnut (solid m3)",SolidData,4,FALSE),IF(ISERROR(FIND("Oak",WardrobeDoorMaterial))=FALSE,(0.035*0.075*($B120/1000))*VLOOKUP("Oak (solid m3)",SolidData,4,FALSE),IF(ISERROR(FIND("ply",WardrobeDoorMaterial))=FALSE,(0.1*($B120/1000))*VLOOKUP("Birch ply (24mm)",SheetData,7,FALSE),IF(ISERROR(FIND("H/F",WardrobeCarcassMaterial))=FALSE,(0.1*($C120/1000))*VLOOKUP("H/F (22mm)",SheetsData,7,FALSE),"Door - tower - new material")))),"Channel - tower - handle set to other")))),"")</f>
        <v/>
      </c>
    </row>
    <row r="121">
      <c r="A121" s="150"/>
      <c r="B121" s="160" t="str">
        <f t="shared" si="1"/>
        <v/>
      </c>
      <c r="C121" s="160" t="str">
        <f>IFERROR(__xludf.DUMMYFUNCTION("IF(A121="""","""",IF(ISERROR(FIND(""arcass"",A121))=FALSE,MID(A121,FIND(""*"",A121)+1,FIND(""*"",A121,FIND(""*"",A121)+1)-FIND(""*"",A121)-1),IF(ISERROR(FIND(""End panel"",A121))=FALSE,RIGHT(A121,3),IF(OR(ISERROR(FIND(""drawer"",A121))=FALSE,ISERROR(FIND("&amp;"""door"",A121))=FALSE,ISERROR(FIND(""shelf"",A121))=FALSE,ISERROR(FIND(""panel"",A121))=FALSE,ISERROR(FIND(""Plinth"",A121))=FALSE,ISERROR(FIND(""Cornice"",A121))=FALSE,ISERROR(FIND(""Fillers"",A121))=FALSE,ISERROR(FIND(""Pelmet"",A121))=FALSE,ISERROR(FIN"&amp;"D(""Fireplace up to 1600"",A121))=FALSE),RIGHT(A121,LEN(A121)-LEN(regexextract(A121,"".* ""))),IF(ISERROR(FIND(""table"",A121))=FALSE,""560"",IF(ISERROR(FIND(""Office pod"",A121))=FALSE,""1600"",IF(ISERROR(FIND(""Fireplace over 1600"",A121))=FALSE,""2400"&amp;""",IF(ISERROR(FIND(""Worktop"",A121))=FALSE,""650"",""Whoops""))))))))"),"")</f>
        <v/>
      </c>
      <c r="D121" s="161" t="str">
        <f t="shared" si="2"/>
        <v/>
      </c>
      <c r="E121" s="152" t="str">
        <f>IF(OR(A121="",AND(ISERROR(FIND("drawer",A121))=FALSE,WardrobeDrawerType="")),"",IF(ISERROR(FIND("door",A121))=FALSE,IF(WardrobeDoorStyle="Flat",((B121/1000)*(C121/1000))*VLOOKUP(WardrobeDoorMaterial,SheetsData,8,0),IF(LEFT(WardrobeDoorStyle,5)="Panel",(((((B121/1000)*2)*0.08)+((((C121/1000)-0.16)*2)*0.08))*VLOOKUP("H/F (22mm)",SheetsData,8,0))+(((B121/1000)-0.14)*((C121/1000)-0.14)*VLOOKUP("H/F (9mm)",SheetsData,8,0)),IF(WardrobeDoorStyle="In-frame flat",((((((B121/1000)*0.019)*0.038)+((((C121-38)/1000)*0.038)*0.038))*2)*VLOOKUP("Tulip (solid m3)",SolidData,4,0))+(((B121-76)/1000)*((C121-38)/1000))*VLOOKUP("H/F (22mm)",SheetsData,8,0),IF(LEFT(WardrobeDoorStyle,14)="In-frame panel",(((((((B121/1000)*0.019)*0.038)+((((C121-38)/1000)*0.038)*0.038))*2)*VLOOKUP("Tulip (solid m3)",SolidData,4,0))+(((((((B121-76)/1000)*2)*0.08)+(((((C121-198)/1000)*2)*0.08)))*VLOOKUP("H/F (22mm)",SheetsData,8,0))+(((B121-216)/1000)*((C121-178)/1000)*VLOOKUP("H/F (9mm)",SheetsData,8,0)))))))),IF(AND(ISERROR(FIND("arcass",A121))=FALSE,ISERROR(FIND("ost corner",A121))=TRUE),IF(AND(VALUE(B121)&lt;1211,VALUE(C121)&lt;1211,VALUE(D121)&lt;606),1*VLOOKUP(WardrobeCarcassMaterial,SheetsData,5,FALSE),IF(AND(VALUE(B121)&lt;2421,VALUE(C121)&lt;2421,VALUE(D121)&lt;606),2*VLOOKUP(WardrobeCarcassMaterial,SheetsData,5,FALSE),IF(AND(VALUE(B121)&lt;2421,VALUE(C121)&lt;1211,VALUE(D121)&lt;1211),3*VLOOKUP(WardrobeCarcassMaterial,SheetsData,5,FALSE),IF(AND(VALUE(B121)&lt;2421,VALUE(C121)&lt;2421,VALUE(D121)&lt;1211),4*VLOOKUP(WardrobeCarcassMaterial,SheetsData,5,FALSE))))),IF(AND(ISERROR(FIND("arcass",A121))=FALSE,ISERROR(FIND("ost corner",A121))=FALSE),IF(AND(VALUE(B121)&lt;1211,VALUE(C121)&lt;1211,VALUE(D121)&lt;606),(1*VLOOKUP(WardrobeCarcassMaterial,SheetsData,5,FALSE))+(VLOOKUP("H/F (22mm)",SheetsData,7,FALSE)*1.44),IF(AND(VALUE(B121)&lt;2421,VALUE(C121)&lt;2421,VALUE(D121)&lt;606),(2*VLOOKUP(WardrobeCarcassMaterial,SheetsData,5,FALSE))+(VLOOKUP("H/F (22mm)",SheetsData,7,FALSE)*1.44),IF(AND(VALUE(B121)&lt;2421,VALUE(C121)&lt;1211,VALUE(D121)&lt;1211),(3*VLOOKUP(WardrobeCarcassMaterial,SheetsData,5,FALSE))+(VLOOKUP("H/F (22mm)",SheetsData,7,FALSE)*1.44),IF(AND(VALUE(B121)&lt;2421,VALUE(C121)&lt;2421,VALUE(D121)&lt;1211),(4*VLOOKUP(WardrobeCarcassMaterial,SheetsData,5,FALSE))+(VLOOKUP("H/F (22mm)",SheetsData,7,FALSE)*1.44))))),IF(ISERROR(FIND("drawer front",A121))=FALSE,((B121/1000)*(C121/1000))*VLOOKUP(WardrobeDoorMaterial,SheetsData,8,0),IF(AND(WardrobeDrawerType="Match carcass",ISERROR(FIND("drawer box",A121))=FALSE),(((((B121/1000)*(C121/1000))+((B121/1000)*(D121/1000)))*2)*VLOOKUP(WardrobeCarcassMaterial,SheetsData,8,0))+(((C121/1000)*(D121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box",A121))=FALSE),(((((B121/1000)*(C121/1000))+((B121/1000)*(D121/1000)))*2)*(16/1000)*VLOOKUP(LEFT(WardrobeCarcassMaterial,FIND(" ",WardrobeCarcassMaterial))&amp;"(solid m3)",SolidData,4,0))+(((C121/1000)*(D121/1000))*VLOOKUP(LEFT(WardrobeCarcassMaterial,FIND("(",WardrobeCarcassMaterial)-1)&amp;IF(OR(ISERROR(FIND("ply",WardrobeCarcassMaterial))=FALSE,ISERROR(FIND("H/F",WardrobeCarcassMaterial))=FALSE),"(9mm)","(10mm)"),SheetsData,8,0)),IF(ISERROR(FIND("shelf",A121))=FALSE,((C121/1000)*(D121/1000))*VLOOKUP(WardrobeCarcassMaterial,SheetsData,7,FALSE),IF(ISERROR(FIND("Office pod",A121))=FALSE,3*VLOOKUP(WardrobeCarcassMaterial,SheetsData,5,0),IF(ISERROR(FIND(" panel",A121))=FALSE,((B121/1000)*(C121/1000))*VLOOKUP(WardrobeDoorMaterial,SheetsData,8,0),IF(ISERROR(FIND("Fillers",A121))=FALSE,(((0.06*(C121/1000))*2)*VLOOKUP("H/F (18mm)",SheetsData,8,0))+(((0.06*(C121/1000))*2)*VLOOKUP("H/F (9mm)",SheetsData,8,0)),IF(ISERROR(FIND("Cornice (stacked)",A121))=FALSE,((0.08*(C121/1000))*2)*VLOOKUP("H/F (22mm)",SheetsData,8,0),IF(OR(ISERROR(FIND("Plinth",A121))=FALSE,ISERROR(FIND("Cornice (flat)",A121))=FALSE),((B121/1000)*(C121/1000))*VLOOKUP("H/F (18mm)",SheetsData,8,0),IF(ISERROR(FIND("Pelmet",A121))=FALSE,((((B121/1000)*(C121/1000))*2)*VLOOKUP("H/F (18mm)",SheetsData,8,0)),IF(ISERROR(FIND("Fireplace",A121))=FALSE,IF(ISERROR(FIND("over 1600",A121))=FALSE,2*VLOOKUP(WardrobeCarcassMaterial,SheetsData,5,FALSE),VLOOKUP(WardrobeCarcassMaterial,SheetsData,5,FALSE)),IF(ISERROR(FIND("table",A121))=FALSE,((B121/1000)*0.6)*VLOOKUP("Birch ply (24mm)",SheetsData,7,FALSE),IF(ISERROR(FIND("Worktop",A121))=FALSE,((B121/1000)*(C121/1000))*VLOOKUP(WardrobeDoorMaterial,SheetsData,7,FALSE),"Check formula")))))))))))))))))</f>
        <v/>
      </c>
      <c r="F121" s="152" t="str">
        <f>IFERROR(__xludf.DUMMYFUNCTION("IF(OR(A121="""",AND(ISERROR(FIND(""drawer box"",A121))=FALSE,WardrobeDrawerType=""Solid dovetail"")),"""",IF(ISERROR(FIND(""bins"",A121))=FALSE,VLOOKUP(""Base carcass 600"",Wardrobes_etcData,6,0),IF(OR(ISERROR(FIND(""larder"",A121))=FALSE,ISERROR(FIND(""u"&amp;"nit"",A121))=FALSE),VLOOKUP(LEFT(A121,FIND("" "",A121))&amp;""carcass ""&amp;RIGHT(A121,LEN(A121)-len(regexextract(A121,"".* ""))),Wardrobes_etcData,6,0),IF(ISERROR(FIND(""drawer front"",A121))=FALSE,IF(ISERROR(FIND(""veneer"",WardrobeCarcassMaterial))=TRUE,0,((("&amp;"B121+C121)/1000)*2)*VLOOKUP(""Edge banding (per M)"",SheetsData,5,0)),IF(ISERROR(FIND(""drawer box"",A121))=FALSE,IF(ISERROR(FIND(""veneer"",WardrobeCarcassMaterial))=TRUE,0,(((C121+D121)/1000)*2)*VLOOKUP(""Edge banding (per M)"",SheetsData,5,0)),IF(ISERR"&amp;"OR(FIND(""shelf"",A121))=FALSE,IF(ISERROR(FIND(""veneer"",WardrobeCarcassMaterial))=TRUE,0,(C121/1000)*VLOOKUP(""Edge banding (per M)"",SheetsData,5,0)),IF(AND(OR(ISERROR(FIND(""arcass"",A121))=FALSE,ISERROR(FIND(""Fireplace"",A121))=FALSE),ISERROR(FIND("&amp;"""shelf"",A121))=TRUE),IF(ISERROR(FIND(""veneer"",WardrobeCarcassMaterial))=TRUE,0,((2*(B121+C121))/1000)*VLOOKUP(""Edge banding (per M)"",SheetsData,5,0)),IF(ISERROR(FIND(""door"",A121))=TRUE,"""",IF(ISERROR(FIND(""veneer"",WardrobeDoorMaterial))=TRUE,"""&amp;""",((2*(B121+C121))/1000)*VLOOKUP(""Edge banding (per M)"",SheetsData,5,0))))))))))"),"")</f>
        <v/>
      </c>
      <c r="G121" s="153" t="str">
        <f>IF(A121="","",IF(AND(ISERROR(FIND("arcass",A121))=TRUE,ISERROR(FIND("Fireplace",A121))=TRUE),"",IF(VALUE(C121)&lt;606,4*VLOOKUP("Plinth foot (2 Parts 80mm)",FurnitureData,5,FALSE),IF(VALUE(C121)&lt;1211,6*VLOOKUP("Plinth foot (2 Parts 80mm)",FurnitureData,5,FALSE),8*VLOOKUP("Plinth foot (2 Parts 80mm)",FurnitureData,5,FALSE)))))</f>
        <v/>
      </c>
      <c r="H121" s="115" t="str">
        <f>IF(OR(A121="",ISERROR(FIND("door",A121))=TRUE),"",VLOOKUP("Hinges &amp; plates (Hettich thick door)",FurnitureData,5,0)*5)</f>
        <v/>
      </c>
      <c r="I121" s="115" t="str">
        <f>IF(ISERROR(FIND("shelf",A121))=FALSE,(VLOOKUP("Shelf pegs",FurnitureData,5,0)/100)*4,"")</f>
        <v/>
      </c>
      <c r="J121" s="152" t="str">
        <f>IF(OR(ISERROR(FIND("fridge/freezer",A121))=FALSE,ISERROR(FIND("sink",A121))=FALSE,ISERROR(FIND("larder",A121))=FALSE),VLOOKUP("Deep shelf "&amp;C121,Wardrobes_etcData,18,0),IF(OR(ISERROR(FIND("single oven",A121))=FALSE,ISERROR(FIND("Base carcass",A121))=FALSE),2*VLOOKUP("Deep shelf "&amp;C121,Wardrobes_etcData,18,0),IF(AND(ISERROR(FIND("wall carcass",A121))=FALSE,ISERROR(FIND("Boiler",A121))=TRUE),2*VLOOKUP("Shallow shelf "&amp;C121,Wardrobes_etcData,18,0),IF(ISERROR(FIND("double oven",A121))=FALSE,3*VLOOKUP("Deep shelf "&amp;C121,Wardrobes_etcData,18,0),IF(ISERROR(FIND("Tower carcass",A121))=FALSE,6*VLOOKUP("Deep shelf "&amp;C121,Wardrobes_etcData,18,0),"")))))</f>
        <v/>
      </c>
      <c r="K121" s="152" t="str">
        <f>IF(ISERROR(FIND("sink",A121))=FALSE,VLOOKUP("Sink liner - Aluminium "&amp;RIGHT(A121,LEN(A121)-22)&amp;"mm",ExceptionalData,5,0),IF(ISERROR(FIND("bins",A121))=FALSE,VLOOKUP("Drawer runners and clip set for bin unit (500) Dynapro",FurnitureData,5,0)+(2*VLOOKUP("Bin (42L Anthracite)",FurnitureData,5,0)),IF(ISERROR(FIND("larder",A121))=FALSE,VLOOKUP("Pull out larder unit 600mm",FurnitureData,5,0),IF(AND(ISERROR(FIND("drawer box",A121))=FALSE,ISERROR(FIND("internal",A121))=TRUE),VLOOKUP("Drawer runners and clip set (550) Dynapro",FurnitureData,5,0),IF(ISERROR(FIND("internal drawer box",A121))=FALSE,VLOOKUP("Drawer runners and clip set (450) Dynapro",FurnitureData,5,0),IF(ISERROR(FIND("table",A121))=FALSE,VLOOKUP("Hairpin Leg (12mm Black "&amp;MID(A121,FIND("(",A121)+1,LEN(A121)-(FIND("(",A121))-1)&amp;"mm)",ExceptionalData,4,FALSE),""))))))</f>
        <v/>
      </c>
      <c r="L121" s="152" t="str">
        <f t="shared" si="3"/>
        <v/>
      </c>
      <c r="M121" s="154" t="str">
        <f>IF(A121="","",IF(AND(ISERROR(FIND("drawer front",A121))=FALSE,WardrobeDoorStyle="Flat"),(((B121/1000)*(C121/1000))*2)+((((B121+C121)/1000)*2)*0.022),IF(AND(ISERROR(FIND("drawer front",A121))=FALSE,LEFT(WardrobeDoorStyle,5)="Panel"),(((B121/1000)*(C121/1000))*2)+((((B121+C121)/1000)*2)*0.022)+((((C121/1000)-0.16)*0.013)*2)+((((D121/1000)-0.16)*0.013)*2),IF(AND(ISERROR(FIND("drawer front",A121))=FALSE,WardrobeDoorStyle="In-frame flat"),((((B121-76)/1000)*((C121-38)/1000))*2)+(MID(WardrobeDoorMaterial,FIND("(",WardrobeDoorMaterial)+1,2)/1000)*((((B121-76)+(C121-38))/1000)*2)+(((B121/1000)*0.032)*2)+((((B121-76)/1000)*0.032)*2)+(((B121/1000)*0.019)*4)+(((C121/1000)*0.032)*2)+((((C121-38)/1000)*0.032)*2)+(((C121/1000)*0.038)*4),IF(AND(ISERROR(FIND("drawer front",A121))=FALSE,LEFT(WardrobeDoorStyle,14)="In-frame panel"),((((B121-76)/1000)*((C121-38)/1000))*2)+((MID(WardrobeDoorMaterial,FIND("(",WardrobeDoorMaterial)+1,2)/1000)*((((B121-76)+(C121-38))/1000)*2))+((((B121-236)/1000)+((C121-198)/1000)*2)*0.013)+(((B121/1000)*0.032)*2)+((((B121-76)/1000)*0.032)*2)+(((B121/1000)*0.019)*4)+(((C121/1000)*0.032)*2)+((((C121-38)/1000)*0.032)*2)+(((C121/1000)*0.038)*4),IF(ISERROR(FIND("drawer box",A121))=FALSE,((((B121/1000)*(D121/1000))+((B121/1000)*(C121/1000)))*4)+((((D121/1000)+(C121/1000))*0.016)*4)+(((C121/1000)*(D121/1000))*2),IF(OR(ISERROR(FIND("shelf",A121))=FALSE,ISERROR(FIND("Filler panel",A121))=FALSE),(((C121/1000)*(D121/1000))*2)+((((C121+D121)*2)/1000)*0.022),IF(ISERROR(FIND("Fireplace",A121))=FALSE,((B121/1000)*(C121/1000)),IF(ISERROR(FIND("Worktop",A121))=FALSE,(B121/1000)*(C121/1000),IF(ISERROR(FIND("table",A121))=FALSE,(B121/1000)*0.6,IF(ISERROR(FIND("arcass",A121))=FALSE,(((C121/1000)*(D121/1000))*2)+(((B121/1000)*(D121/1000))*2)+((B121/1000)*(C121/1000))+((((B121/1000)*0.025)+((C121/1000)*0.025))*2),IF(AND(ISERROR(FIND("door",A121))=FALSE,WardrobeDoorStyle="Flat"),(((B121/1000)*(C121/1000))*2)+(MID(WardrobeDoorMaterial,FIND("(",WardrobeDoorMaterial)+1,2)/1000)*(((B121+C121)/1000)*2),IF(AND(ISERROR(FIND("door",A121))=FALSE,LEFT(WardrobeDoorStyle,5)="Panel"),(((B121/1000)*(C121/1000))*2)+((MID(WardrobeDoorMaterial,FIND("(",WardrobeDoorMaterial)+1,2)/1000)*(((B121+C121)/1000)*2))+(((((B121-160)+(C121-160))*2)/1000)*(0.013)),IF(AND(ISERROR(FIND("door",A121))=FALSE,WardrobeDoorStyle="In-frame flat"),((((B121-76)/1000)*((C121-38)/1000))*2)+(MID(WardrobeDoorMaterial,FIND("(",WardrobeDoorMaterial)+1,2)/1000)*((((B121-76)+(C121-38))/1000)*2)+(((B121/1000)*0.032)*2)+((((B121-76)/1000)*0.032)*2)+(((B121/1000)*0.019)*4)+(((C121/1000)*0.032)*2)+((((C121-38)/1000)*0.032)*2)+(((C121/1000)*0.038)*4),IF(AND(ISERROR(FIND("door",A121))=FALSE,LEFT(WardrobeDoorStyle,14)="In-frame panel"),((((B121-76)/1000)*((C121-38)/1000))*2)+((MID(WardrobeDoorMaterial,FIND("(",WardrobeDoorMaterial)+1,2)/1000)*((((B121-76)+(C121-38))/1000)*2))+((((B121-236)/1000)+((C121-198)/1000)*2)*0.013)+(((B121/1000)*0.032)*2)+((((B121-76)/1000)*0.032)*2)+(((B121/1000)*0.019)*4)+(((C121/1000)*0.032)*2)+((((C121-38)/1000)*0.032)*2)+(((C121/1000)*0.038)*4),IF(ISERROR(FIND("Plinth",A121))=FALSE,((B121/1000)*(C121/1000))+(((C121/1000)*0.018)*2)+(((B121/1000)*0.018)*2),IF(ISERROR(FIND("Cornice",A121))=FALSE,(((C121/1000)*0.1)*2)+(((C121/1000)*0.044)*2)+(((B121/1000)*0.08)*2),IF(ISERROR(FIND("Office pod",A121))=FALSE,((2400/1000)*(1200/1000))*6,IF(ISERROR(FIND("panel",A121))=FALSE,((B121/1000)*(C121/1000))+(0.022*((B121/1000)+((C121/1000)*2)))+((B121/1000)*0.05),IF(ISERROR(FIND("Fillers",A121))=FALSE,((C121/1000)*0.06)+((C121/1000)*0.069)+((0.06*0.018)*2)+((0.06*0.009)*2)+((C121/1000)*0.009)+((C121/1000)*0.018),IF(ISERROR(FIND("Pelmet",A121))=FALSE,((C121/1000)*0.05)+((C121/1000)*0.068)+((0.05*0.018)*4)+(((C121/1000)*0.018))*2)))))))))))))))))))))</f>
        <v/>
      </c>
      <c r="N121" s="152" t="str">
        <f>IF(M121="","",IF(AND(ISERROR(FIND("carcass",A121))=TRUE,ISERROR(FIND("unit",A121))=TRUE,ISERROR(FIND("insert",A121))=TRUE,ISERROR(FIND("rack",A121))=TRUE,ISERROR(FIND("box",A121))=TRUE,ISERROR(FIND("shelf",A121))=TRUE),VLOOKUP(WardrobeDoorFinish,Finishing!$A$2:$K$10,9,0)*M121,IF(ISERROR(FIND("table",A121))=FALSE,VLOOKUP("Sayerlack AF0072 Interior Clear Self-Sealer",FinishingData,9,FALSE)*M121,VLOOKUP(WardrobeCarcassFinish,Finishing!$A$2:$K$40,9,0)*M121)))</f>
        <v/>
      </c>
      <c r="O121" s="159"/>
      <c r="P121" s="159"/>
      <c r="Q121" s="152" t="str">
        <f>IF(OR(O121="",P121=""),"",((O121*X121)*(VLOOKUP("Workshop",Labour!$A$3:$E$20,4,0)/8))+((P121*AE121)*(VLOOKUP("Finishing",Labour!$A$3:$E$20,4,0)/8)))</f>
        <v/>
      </c>
      <c r="R121" s="152" t="str">
        <f t="shared" si="4"/>
        <v/>
      </c>
      <c r="S121" s="156" t="str">
        <f>IF(OR(O121="",P121=""),"",IF(OR(ISERROR(FIND("carcass",$A121))=FALSE,ISERROR(FIND("unit",$A121))=FALSE),VLOOKUP(WardrobeCarcassMaterial,FixedListsCarcassMaterial,2,0),0))</f>
        <v/>
      </c>
      <c r="T121" s="156" t="str">
        <f>IF(OR(O121="",P121=""),"",IF(ISERROR(FIND("door",$A121))=FALSE,VLOOKUP(WardrobeDoorStyle,FixedListsDoorStyle,2,0),0))</f>
        <v/>
      </c>
      <c r="U121" s="156" t="str">
        <f>IF(OR(O121="",P121=""),"",IF(ISERROR(FIND("door",$A121))=FALSE,VLOOKUP(WardrobeDoorMaterial,FixedListsDoorMaterial,2,0),0))</f>
        <v/>
      </c>
      <c r="V121" s="156" t="str">
        <f>IF(OR(O121="",P121=""),"",IF(ISERROR(FIND("drawer",$A121))=FALSE,VLOOKUP(WardrobeDrawerType,FixedListsDrawerType,2,0),0))</f>
        <v/>
      </c>
      <c r="W121" s="156" t="str">
        <f>IF(OR(O121="",P121=""),"",IF(S121&gt;0,VLOOKUP(WardrobeHandleType,FixedListsHandleType,2,FALSE),0))</f>
        <v/>
      </c>
      <c r="X121" s="156" t="str">
        <f t="shared" si="5"/>
        <v/>
      </c>
      <c r="Y121" s="156" t="str">
        <f>IF(OR(O121="",P121=""),"",IF(OR(ISERROR(FIND("carcass",$A121))=FALSE,ISERROR(FIND("unit",$A121))=FALSE),VLOOKUP(WardrobeCarcassMaterial,FixedListsCarcassMaterial,3,0),0))</f>
        <v/>
      </c>
      <c r="Z121" s="156" t="str">
        <f>IF(OR(O121="",P121=""),"",IF(ISERROR(FIND("door",$A121))=FALSE,VLOOKUP(WardrobeDoorStyle,FixedListsDoorStyle,3,0),0))</f>
        <v/>
      </c>
      <c r="AA121" s="156" t="str">
        <f>IF(OR(O121="",P121=""),"",IF(ISERROR(FIND("door",$A121))=FALSE,VLOOKUP(WardrobeDoorMaterial,FixedListsDoorMaterial,3,0),0))</f>
        <v/>
      </c>
      <c r="AB121" s="156" t="str">
        <f>IF(OR(O121="",P121=""),"",IF(ISERROR(FIND("drawer",$A121))=FALSE,VLOOKUP(WardrobeDrawerType,FixedListsDrawerType,3,0),0))</f>
        <v/>
      </c>
      <c r="AC121" s="156" t="str">
        <f>IF(OR(O121="",P121=""),"",IF(S121&gt;0,VLOOKUP(WardrobeHandleType,FixedListsHandleType,3,FALSE),0))</f>
        <v/>
      </c>
      <c r="AD121" s="156" t="str">
        <f>IF(OR(O121="",P121=""),"",IF(OR(ISERROR(FIND("carcass",$A121))=FALSE,ISERROR(FIND("unit",$A121))=FALSE),VLOOKUP(WardrobeCarcassFinish,FixedListsFinishes,3,0),IF(OR(ISERROR(FIND("door",$A121))=FALSE,ISERROR(FIND("Plinth",$A121))=FALSE,ISERROR(FIND("Cornice",$A121))=FALSE,ISERROR(FIND("Fillers",$A121))=FALSE,ISERROR(FIND("Pelmet",$A121))=FALSE,ISERROR(FIND("panel",$A121))=FALSE,ISERROR(FIND("post",$A121))=FALSE),VLOOKUP(WardrobeDoorFinish,FixedListsFinishes,3,0),IF(OR(ISERROR(FIND("drawer",$A121))=FALSE,ISERROR(FIND("insert",$A121))=FALSE,ISERROR(FIND("rck",$A121))=FALSE),VLOOKUP(WardrobeCarcassFinish,FixedListsFinishes,3,0),0))))</f>
        <v/>
      </c>
      <c r="AE121" s="156" t="str">
        <f t="shared" si="6"/>
        <v/>
      </c>
      <c r="AF121" s="157" t="str">
        <f>IF(AND(WardrobeHandleType="Channel",OR(ISERROR(FIND("arcass",$A121))=FALSE,ISERROR(FIND("unit",$A121))=FALSE)),IF(ISERROR(FIND("Tower",$A121))=TRUE,IF(WardrobeHandleFinish="Match carcass",IF(ISERROR(FIND("Walnut",WardrobeCarcassMaterial))=FALSE,(0.035*0.075*($C121/1000))*VLOOKUP("Walnut (solid m3)",SolidData,4,FALSE),IF(ISERROR(FIND("Oak",WardrobeCarcassMaterial))=FALSE,(0.035*0.075*($C121/1000))*VLOOKUP("Oak (solid m3)",SolidData,4,FALSE),IF(ISERROR(FIND("ply",WardrobeCarcassMaterial))=FALSE,(0.1*($C121/1000))*VLOOKUP("Birch ply (24mm)",SheetsData,7,FALSE),IF(ISERROR(FIND("H/F",WardrobeCarcassMaterial))=FALSE,(0.1*($C121/1000))*VLOOKUP("H/F (22mm)",SheetsData,7,FALSE),"Carcass - not tower - new material")))),IF(WardrobeHandleFinish="Match door",IF(ISERROR(FIND("Walnut",WardrobeDoorMaterial))=FALSE,(0.035*0.075*($C121/1000))*VLOOKUP("Walnut (solid m3)",SolidData,4,FALSE),IF(ISERROR(FIND("Oak",WardrobeDoorMaterial))=FALSE,(0.035*0.075*($C121/1000))*VLOOKUP("Oak (solid m3)",SolidData,4,FALSE),IF(ISERROR(FIND("ply",WardrobeDoorMaterial))=FALSE,(0.1*($C121/1000))*VLOOKUP("Birch ply (24mm)",SheetsData,7,FALSE),IF(ISERROR(FIND("H/F",WardrobeCarcassMaterial))=FALSE,(0.1*($C121/1000))*VLOOKUP("H/F (22mm)",SheetsData,7,FALSE),"Door - not tower - new material")))),"Channel - not tower - handle set to other")),IF(ISERROR(FIND("Tower",$A121))=FALSE,IF(WardrobeHandleFinish="Match carcass",IF(ISERROR(FIND("Walnut",WardrobeCarcassMaterial))=FALSE,(0.035*0.075*($B121/1000))*VLOOKUP("Walnut (solid m3)",SolidData,4,FALSE),IF(ISERROR(FIND("Oak",WardrobeCarcassMaterial))=FALSE,(0.035*0.075*($B121/1000))*VLOOKUP("Oak (solid m3)",SolidData,4,FALSE),IF(ISERROR(FIND("ply",WardrobeCarcassMaterial))=FALSE,(0.1*($B121/1000))*VLOOKUP("Birch ply (24mm)",SheetsData,7,FALSE),IF(ISERROR(FIND("H/F",WardrobeCarcassMaterial))=FALSE,(0.1*($C121/1000))*VLOOKUP("H/F (22mm)",SheetsData,7,FALSE),"Carcass - tower - new material")))),IF(WardrobeHandleFinish="Match door",IF(ISERROR(FIND("Walnut",WardrobeDoorMaterial))=FALSE,(0.035*0.075*($B121/1000))*VLOOKUP("Walnut (solid m3)",SolidData,4,FALSE),IF(ISERROR(FIND("Oak",WardrobeDoorMaterial))=FALSE,(0.035*0.075*($B121/1000))*VLOOKUP("Oak (solid m3)",SolidData,4,FALSE),IF(ISERROR(FIND("ply",WardrobeDoorMaterial))=FALSE,(0.1*($B121/1000))*VLOOKUP("Birch ply (24mm)",SheetData,7,FALSE),IF(ISERROR(FIND("H/F",WardrobeCarcassMaterial))=FALSE,(0.1*($C121/1000))*VLOOKUP("H/F (22mm)",SheetsData,7,FALSE),"Door - tower - new material")))),"Channel - tower - handle set to other")))),"")</f>
        <v/>
      </c>
    </row>
    <row r="122">
      <c r="A122" s="150"/>
      <c r="B122" s="160" t="str">
        <f t="shared" si="1"/>
        <v/>
      </c>
      <c r="C122" s="160" t="str">
        <f>IFERROR(__xludf.DUMMYFUNCTION("IF(A122="""","""",IF(ISERROR(FIND(""arcass"",A122))=FALSE,MID(A122,FIND(""*"",A122)+1,FIND(""*"",A122,FIND(""*"",A122)+1)-FIND(""*"",A122)-1),IF(ISERROR(FIND(""End panel"",A122))=FALSE,RIGHT(A122,3),IF(OR(ISERROR(FIND(""drawer"",A122))=FALSE,ISERROR(FIND("&amp;"""door"",A122))=FALSE,ISERROR(FIND(""shelf"",A122))=FALSE,ISERROR(FIND(""panel"",A122))=FALSE,ISERROR(FIND(""Plinth"",A122))=FALSE,ISERROR(FIND(""Cornice"",A122))=FALSE,ISERROR(FIND(""Fillers"",A122))=FALSE,ISERROR(FIND(""Pelmet"",A122))=FALSE,ISERROR(FIN"&amp;"D(""Fireplace up to 1600"",A122))=FALSE),RIGHT(A122,LEN(A122)-LEN(regexextract(A122,"".* ""))),IF(ISERROR(FIND(""table"",A122))=FALSE,""560"",IF(ISERROR(FIND(""Office pod"",A122))=FALSE,""1600"",IF(ISERROR(FIND(""Fireplace over 1600"",A122))=FALSE,""2400"&amp;""",IF(ISERROR(FIND(""Worktop"",A122))=FALSE,""650"",""Whoops""))))))))"),"")</f>
        <v/>
      </c>
      <c r="D122" s="161" t="str">
        <f t="shared" si="2"/>
        <v/>
      </c>
      <c r="E122" s="152" t="str">
        <f>IF(OR(A122="",AND(ISERROR(FIND("drawer",A122))=FALSE,WardrobeDrawerType="")),"",IF(ISERROR(FIND("door",A122))=FALSE,IF(WardrobeDoorStyle="Flat",((B122/1000)*(C122/1000))*VLOOKUP(WardrobeDoorMaterial,SheetsData,8,0),IF(LEFT(WardrobeDoorStyle,5)="Panel",(((((B122/1000)*2)*0.08)+((((C122/1000)-0.16)*2)*0.08))*VLOOKUP("H/F (22mm)",SheetsData,8,0))+(((B122/1000)-0.14)*((C122/1000)-0.14)*VLOOKUP("H/F (9mm)",SheetsData,8,0)),IF(WardrobeDoorStyle="In-frame flat",((((((B122/1000)*0.019)*0.038)+((((C122-38)/1000)*0.038)*0.038))*2)*VLOOKUP("Tulip (solid m3)",SolidData,4,0))+(((B122-76)/1000)*((C122-38)/1000))*VLOOKUP("H/F (22mm)",SheetsData,8,0),IF(LEFT(WardrobeDoorStyle,14)="In-frame panel",(((((((B122/1000)*0.019)*0.038)+((((C122-38)/1000)*0.038)*0.038))*2)*VLOOKUP("Tulip (solid m3)",SolidData,4,0))+(((((((B122-76)/1000)*2)*0.08)+(((((C122-198)/1000)*2)*0.08)))*VLOOKUP("H/F (22mm)",SheetsData,8,0))+(((B122-216)/1000)*((C122-178)/1000)*VLOOKUP("H/F (9mm)",SheetsData,8,0)))))))),IF(AND(ISERROR(FIND("arcass",A122))=FALSE,ISERROR(FIND("ost corner",A122))=TRUE),IF(AND(VALUE(B122)&lt;1211,VALUE(C122)&lt;1211,VALUE(D122)&lt;606),1*VLOOKUP(WardrobeCarcassMaterial,SheetsData,5,FALSE),IF(AND(VALUE(B122)&lt;2421,VALUE(C122)&lt;2421,VALUE(D122)&lt;606),2*VLOOKUP(WardrobeCarcassMaterial,SheetsData,5,FALSE),IF(AND(VALUE(B122)&lt;2421,VALUE(C122)&lt;1211,VALUE(D122)&lt;1211),3*VLOOKUP(WardrobeCarcassMaterial,SheetsData,5,FALSE),IF(AND(VALUE(B122)&lt;2421,VALUE(C122)&lt;2421,VALUE(D122)&lt;1211),4*VLOOKUP(WardrobeCarcassMaterial,SheetsData,5,FALSE))))),IF(AND(ISERROR(FIND("arcass",A122))=FALSE,ISERROR(FIND("ost corner",A122))=FALSE),IF(AND(VALUE(B122)&lt;1211,VALUE(C122)&lt;1211,VALUE(D122)&lt;606),(1*VLOOKUP(WardrobeCarcassMaterial,SheetsData,5,FALSE))+(VLOOKUP("H/F (22mm)",SheetsData,7,FALSE)*1.44),IF(AND(VALUE(B122)&lt;2421,VALUE(C122)&lt;2421,VALUE(D122)&lt;606),(2*VLOOKUP(WardrobeCarcassMaterial,SheetsData,5,FALSE))+(VLOOKUP("H/F (22mm)",SheetsData,7,FALSE)*1.44),IF(AND(VALUE(B122)&lt;2421,VALUE(C122)&lt;1211,VALUE(D122)&lt;1211),(3*VLOOKUP(WardrobeCarcassMaterial,SheetsData,5,FALSE))+(VLOOKUP("H/F (22mm)",SheetsData,7,FALSE)*1.44),IF(AND(VALUE(B122)&lt;2421,VALUE(C122)&lt;2421,VALUE(D122)&lt;1211),(4*VLOOKUP(WardrobeCarcassMaterial,SheetsData,5,FALSE))+(VLOOKUP("H/F (22mm)",SheetsData,7,FALSE)*1.44))))),IF(ISERROR(FIND("drawer front",A122))=FALSE,((B122/1000)*(C122/1000))*VLOOKUP(WardrobeDoorMaterial,SheetsData,8,0),IF(AND(WardrobeDrawerType="Match carcass",ISERROR(FIND("drawer box",A122))=FALSE),(((((B122/1000)*(C122/1000))+((B122/1000)*(D122/1000)))*2)*VLOOKUP(WardrobeCarcassMaterial,SheetsData,8,0))+(((C122/1000)*(D122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box",A122))=FALSE),(((((B122/1000)*(C122/1000))+((B122/1000)*(D122/1000)))*2)*(16/1000)*VLOOKUP(LEFT(WardrobeCarcassMaterial,FIND(" ",WardrobeCarcassMaterial))&amp;"(solid m3)",SolidData,4,0))+(((C122/1000)*(D122/1000))*VLOOKUP(LEFT(WardrobeCarcassMaterial,FIND("(",WardrobeCarcassMaterial)-1)&amp;IF(OR(ISERROR(FIND("ply",WardrobeCarcassMaterial))=FALSE,ISERROR(FIND("H/F",WardrobeCarcassMaterial))=FALSE),"(9mm)","(10mm)"),SheetsData,8,0)),IF(ISERROR(FIND("shelf",A122))=FALSE,((C122/1000)*(D122/1000))*VLOOKUP(WardrobeCarcassMaterial,SheetsData,7,FALSE),IF(ISERROR(FIND("Office pod",A122))=FALSE,3*VLOOKUP(WardrobeCarcassMaterial,SheetsData,5,0),IF(ISERROR(FIND(" panel",A122))=FALSE,((B122/1000)*(C122/1000))*VLOOKUP(WardrobeDoorMaterial,SheetsData,8,0),IF(ISERROR(FIND("Fillers",A122))=FALSE,(((0.06*(C122/1000))*2)*VLOOKUP("H/F (18mm)",SheetsData,8,0))+(((0.06*(C122/1000))*2)*VLOOKUP("H/F (9mm)",SheetsData,8,0)),IF(ISERROR(FIND("Cornice (stacked)",A122))=FALSE,((0.08*(C122/1000))*2)*VLOOKUP("H/F (22mm)",SheetsData,8,0),IF(OR(ISERROR(FIND("Plinth",A122))=FALSE,ISERROR(FIND("Cornice (flat)",A122))=FALSE),((B122/1000)*(C122/1000))*VLOOKUP("H/F (18mm)",SheetsData,8,0),IF(ISERROR(FIND("Pelmet",A122))=FALSE,((((B122/1000)*(C122/1000))*2)*VLOOKUP("H/F (18mm)",SheetsData,8,0)),IF(ISERROR(FIND("Fireplace",A122))=FALSE,IF(ISERROR(FIND("over 1600",A122))=FALSE,2*VLOOKUP(WardrobeCarcassMaterial,SheetsData,5,FALSE),VLOOKUP(WardrobeCarcassMaterial,SheetsData,5,FALSE)),IF(ISERROR(FIND("table",A122))=FALSE,((B122/1000)*0.6)*VLOOKUP("Birch ply (24mm)",SheetsData,7,FALSE),IF(ISERROR(FIND("Worktop",A122))=FALSE,((B122/1000)*(C122/1000))*VLOOKUP(WardrobeDoorMaterial,SheetsData,7,FALSE),"Check formula")))))))))))))))))</f>
        <v/>
      </c>
      <c r="F122" s="152" t="str">
        <f>IFERROR(__xludf.DUMMYFUNCTION("IF(OR(A122="""",AND(ISERROR(FIND(""drawer box"",A122))=FALSE,WardrobeDrawerType=""Solid dovetail"")),"""",IF(ISERROR(FIND(""bins"",A122))=FALSE,VLOOKUP(""Base carcass 600"",Wardrobes_etcData,6,0),IF(OR(ISERROR(FIND(""larder"",A122))=FALSE,ISERROR(FIND(""u"&amp;"nit"",A122))=FALSE),VLOOKUP(LEFT(A122,FIND("" "",A122))&amp;""carcass ""&amp;RIGHT(A122,LEN(A122)-len(regexextract(A122,"".* ""))),Wardrobes_etcData,6,0),IF(ISERROR(FIND(""drawer front"",A122))=FALSE,IF(ISERROR(FIND(""veneer"",WardrobeCarcassMaterial))=TRUE,0,((("&amp;"B122+C122)/1000)*2)*VLOOKUP(""Edge banding (per M)"",SheetsData,5,0)),IF(ISERROR(FIND(""drawer box"",A122))=FALSE,IF(ISERROR(FIND(""veneer"",WardrobeCarcassMaterial))=TRUE,0,(((C122+D122)/1000)*2)*VLOOKUP(""Edge banding (per M)"",SheetsData,5,0)),IF(ISERR"&amp;"OR(FIND(""shelf"",A122))=FALSE,IF(ISERROR(FIND(""veneer"",WardrobeCarcassMaterial))=TRUE,0,(C122/1000)*VLOOKUP(""Edge banding (per M)"",SheetsData,5,0)),IF(AND(OR(ISERROR(FIND(""arcass"",A122))=FALSE,ISERROR(FIND(""Fireplace"",A122))=FALSE),ISERROR(FIND("&amp;"""shelf"",A122))=TRUE),IF(ISERROR(FIND(""veneer"",WardrobeCarcassMaterial))=TRUE,0,((2*(B122+C122))/1000)*VLOOKUP(""Edge banding (per M)"",SheetsData,5,0)),IF(ISERROR(FIND(""door"",A122))=TRUE,"""",IF(ISERROR(FIND(""veneer"",WardrobeDoorMaterial))=TRUE,"""&amp;""",((2*(B122+C122))/1000)*VLOOKUP(""Edge banding (per M)"",SheetsData,5,0))))))))))"),"")</f>
        <v/>
      </c>
      <c r="G122" s="153" t="str">
        <f>IF(A122="","",IF(AND(ISERROR(FIND("arcass",A122))=TRUE,ISERROR(FIND("Fireplace",A122))=TRUE),"",IF(VALUE(C122)&lt;606,4*VLOOKUP("Plinth foot (2 Parts 80mm)",FurnitureData,5,FALSE),IF(VALUE(C122)&lt;1211,6*VLOOKUP("Plinth foot (2 Parts 80mm)",FurnitureData,5,FALSE),8*VLOOKUP("Plinth foot (2 Parts 80mm)",FurnitureData,5,FALSE)))))</f>
        <v/>
      </c>
      <c r="H122" s="115" t="str">
        <f>IF(OR(A122="",ISERROR(FIND("door",A122))=TRUE),"",VLOOKUP("Hinges &amp; plates (Hettich thick door)",FurnitureData,5,0)*5)</f>
        <v/>
      </c>
      <c r="I122" s="115" t="str">
        <f>IF(ISERROR(FIND("shelf",A122))=FALSE,(VLOOKUP("Shelf pegs",FurnitureData,5,0)/100)*4,"")</f>
        <v/>
      </c>
      <c r="J122" s="152" t="str">
        <f>IF(OR(ISERROR(FIND("fridge/freezer",A122))=FALSE,ISERROR(FIND("sink",A122))=FALSE,ISERROR(FIND("larder",A122))=FALSE),VLOOKUP("Deep shelf "&amp;C122,Wardrobes_etcData,18,0),IF(OR(ISERROR(FIND("single oven",A122))=FALSE,ISERROR(FIND("Base carcass",A122))=FALSE),2*VLOOKUP("Deep shelf "&amp;C122,Wardrobes_etcData,18,0),IF(AND(ISERROR(FIND("wall carcass",A122))=FALSE,ISERROR(FIND("Boiler",A122))=TRUE),2*VLOOKUP("Shallow shelf "&amp;C122,Wardrobes_etcData,18,0),IF(ISERROR(FIND("double oven",A122))=FALSE,3*VLOOKUP("Deep shelf "&amp;C122,Wardrobes_etcData,18,0),IF(ISERROR(FIND("Tower carcass",A122))=FALSE,6*VLOOKUP("Deep shelf "&amp;C122,Wardrobes_etcData,18,0),"")))))</f>
        <v/>
      </c>
      <c r="K122" s="152" t="str">
        <f>IF(ISERROR(FIND("sink",A122))=FALSE,VLOOKUP("Sink liner - Aluminium "&amp;RIGHT(A122,LEN(A122)-22)&amp;"mm",ExceptionalData,5,0),IF(ISERROR(FIND("bins",A122))=FALSE,VLOOKUP("Drawer runners and clip set for bin unit (500) Dynapro",FurnitureData,5,0)+(2*VLOOKUP("Bin (42L Anthracite)",FurnitureData,5,0)),IF(ISERROR(FIND("larder",A122))=FALSE,VLOOKUP("Pull out larder unit 600mm",FurnitureData,5,0),IF(AND(ISERROR(FIND("drawer box",A122))=FALSE,ISERROR(FIND("internal",A122))=TRUE),VLOOKUP("Drawer runners and clip set (550) Dynapro",FurnitureData,5,0),IF(ISERROR(FIND("internal drawer box",A122))=FALSE,VLOOKUP("Drawer runners and clip set (450) Dynapro",FurnitureData,5,0),IF(ISERROR(FIND("table",A122))=FALSE,VLOOKUP("Hairpin Leg (12mm Black "&amp;MID(A122,FIND("(",A122)+1,LEN(A122)-(FIND("(",A122))-1)&amp;"mm)",ExceptionalData,4,FALSE),""))))))</f>
        <v/>
      </c>
      <c r="L122" s="152" t="str">
        <f t="shared" si="3"/>
        <v/>
      </c>
      <c r="M122" s="154" t="str">
        <f>IF(A122="","",IF(AND(ISERROR(FIND("drawer front",A122))=FALSE,WardrobeDoorStyle="Flat"),(((B122/1000)*(C122/1000))*2)+((((B122+C122)/1000)*2)*0.022),IF(AND(ISERROR(FIND("drawer front",A122))=FALSE,LEFT(WardrobeDoorStyle,5)="Panel"),(((B122/1000)*(C122/1000))*2)+((((B122+C122)/1000)*2)*0.022)+((((C122/1000)-0.16)*0.013)*2)+((((D122/1000)-0.16)*0.013)*2),IF(AND(ISERROR(FIND("drawer front",A122))=FALSE,WardrobeDoorStyle="In-frame flat"),((((B122-76)/1000)*((C122-38)/1000))*2)+(MID(WardrobeDoorMaterial,FIND("(",WardrobeDoorMaterial)+1,2)/1000)*((((B122-76)+(C122-38))/1000)*2)+(((B122/1000)*0.032)*2)+((((B122-76)/1000)*0.032)*2)+(((B122/1000)*0.019)*4)+(((C122/1000)*0.032)*2)+((((C122-38)/1000)*0.032)*2)+(((C122/1000)*0.038)*4),IF(AND(ISERROR(FIND("drawer front",A122))=FALSE,LEFT(WardrobeDoorStyle,14)="In-frame panel"),((((B122-76)/1000)*((C122-38)/1000))*2)+((MID(WardrobeDoorMaterial,FIND("(",WardrobeDoorMaterial)+1,2)/1000)*((((B122-76)+(C122-38))/1000)*2))+((((B122-236)/1000)+((C122-198)/1000)*2)*0.013)+(((B122/1000)*0.032)*2)+((((B122-76)/1000)*0.032)*2)+(((B122/1000)*0.019)*4)+(((C122/1000)*0.032)*2)+((((C122-38)/1000)*0.032)*2)+(((C122/1000)*0.038)*4),IF(ISERROR(FIND("drawer box",A122))=FALSE,((((B122/1000)*(D122/1000))+((B122/1000)*(C122/1000)))*4)+((((D122/1000)+(C122/1000))*0.016)*4)+(((C122/1000)*(D122/1000))*2),IF(OR(ISERROR(FIND("shelf",A122))=FALSE,ISERROR(FIND("Filler panel",A122))=FALSE),(((C122/1000)*(D122/1000))*2)+((((C122+D122)*2)/1000)*0.022),IF(ISERROR(FIND("Fireplace",A122))=FALSE,((B122/1000)*(C122/1000)),IF(ISERROR(FIND("Worktop",A122))=FALSE,(B122/1000)*(C122/1000),IF(ISERROR(FIND("table",A122))=FALSE,(B122/1000)*0.6,IF(ISERROR(FIND("arcass",A122))=FALSE,(((C122/1000)*(D122/1000))*2)+(((B122/1000)*(D122/1000))*2)+((B122/1000)*(C122/1000))+((((B122/1000)*0.025)+((C122/1000)*0.025))*2),IF(AND(ISERROR(FIND("door",A122))=FALSE,WardrobeDoorStyle="Flat"),(((B122/1000)*(C122/1000))*2)+(MID(WardrobeDoorMaterial,FIND("(",WardrobeDoorMaterial)+1,2)/1000)*(((B122+C122)/1000)*2),IF(AND(ISERROR(FIND("door",A122))=FALSE,LEFT(WardrobeDoorStyle,5)="Panel"),(((B122/1000)*(C122/1000))*2)+((MID(WardrobeDoorMaterial,FIND("(",WardrobeDoorMaterial)+1,2)/1000)*(((B122+C122)/1000)*2))+(((((B122-160)+(C122-160))*2)/1000)*(0.013)),IF(AND(ISERROR(FIND("door",A122))=FALSE,WardrobeDoorStyle="In-frame flat"),((((B122-76)/1000)*((C122-38)/1000))*2)+(MID(WardrobeDoorMaterial,FIND("(",WardrobeDoorMaterial)+1,2)/1000)*((((B122-76)+(C122-38))/1000)*2)+(((B122/1000)*0.032)*2)+((((B122-76)/1000)*0.032)*2)+(((B122/1000)*0.019)*4)+(((C122/1000)*0.032)*2)+((((C122-38)/1000)*0.032)*2)+(((C122/1000)*0.038)*4),IF(AND(ISERROR(FIND("door",A122))=FALSE,LEFT(WardrobeDoorStyle,14)="In-frame panel"),((((B122-76)/1000)*((C122-38)/1000))*2)+((MID(WardrobeDoorMaterial,FIND("(",WardrobeDoorMaterial)+1,2)/1000)*((((B122-76)+(C122-38))/1000)*2))+((((B122-236)/1000)+((C122-198)/1000)*2)*0.013)+(((B122/1000)*0.032)*2)+((((B122-76)/1000)*0.032)*2)+(((B122/1000)*0.019)*4)+(((C122/1000)*0.032)*2)+((((C122-38)/1000)*0.032)*2)+(((C122/1000)*0.038)*4),IF(ISERROR(FIND("Plinth",A122))=FALSE,((B122/1000)*(C122/1000))+(((C122/1000)*0.018)*2)+(((B122/1000)*0.018)*2),IF(ISERROR(FIND("Cornice",A122))=FALSE,(((C122/1000)*0.1)*2)+(((C122/1000)*0.044)*2)+(((B122/1000)*0.08)*2),IF(ISERROR(FIND("Office pod",A122))=FALSE,((2400/1000)*(1200/1000))*6,IF(ISERROR(FIND("panel",A122))=FALSE,((B122/1000)*(C122/1000))+(0.022*((B122/1000)+((C122/1000)*2)))+((B122/1000)*0.05),IF(ISERROR(FIND("Fillers",A122))=FALSE,((C122/1000)*0.06)+((C122/1000)*0.069)+((0.06*0.018)*2)+((0.06*0.009)*2)+((C122/1000)*0.009)+((C122/1000)*0.018),IF(ISERROR(FIND("Pelmet",A122))=FALSE,((C122/1000)*0.05)+((C122/1000)*0.068)+((0.05*0.018)*4)+(((C122/1000)*0.018))*2)))))))))))))))))))))</f>
        <v/>
      </c>
      <c r="N122" s="152" t="str">
        <f>IF(M122="","",IF(AND(ISERROR(FIND("carcass",A122))=TRUE,ISERROR(FIND("unit",A122))=TRUE,ISERROR(FIND("insert",A122))=TRUE,ISERROR(FIND("rack",A122))=TRUE,ISERROR(FIND("box",A122))=TRUE,ISERROR(FIND("shelf",A122))=TRUE),VLOOKUP(WardrobeDoorFinish,Finishing!$A$2:$K$10,9,0)*M122,IF(ISERROR(FIND("table",A122))=FALSE,VLOOKUP("Sayerlack AF0072 Interior Clear Self-Sealer",FinishingData,9,FALSE)*M122,VLOOKUP(WardrobeCarcassFinish,Finishing!$A$2:$K$40,9,0)*M122)))</f>
        <v/>
      </c>
      <c r="O122" s="159"/>
      <c r="P122" s="159"/>
      <c r="Q122" s="152" t="str">
        <f>IF(OR(O122="",P122=""),"",((O122*X122)*(VLOOKUP("Workshop",Labour!$A$3:$E$20,4,0)/8))+((P122*AE122)*(VLOOKUP("Finishing",Labour!$A$3:$E$20,4,0)/8)))</f>
        <v/>
      </c>
      <c r="R122" s="152" t="str">
        <f t="shared" si="4"/>
        <v/>
      </c>
      <c r="S122" s="156" t="str">
        <f>IF(OR(O122="",P122=""),"",IF(OR(ISERROR(FIND("carcass",$A122))=FALSE,ISERROR(FIND("unit",$A122))=FALSE),VLOOKUP(WardrobeCarcassMaterial,FixedListsCarcassMaterial,2,0),0))</f>
        <v/>
      </c>
      <c r="T122" s="156" t="str">
        <f>IF(OR(O122="",P122=""),"",IF(ISERROR(FIND("door",$A122))=FALSE,VLOOKUP(WardrobeDoorStyle,FixedListsDoorStyle,2,0),0))</f>
        <v/>
      </c>
      <c r="U122" s="156" t="str">
        <f>IF(OR(O122="",P122=""),"",IF(ISERROR(FIND("door",$A122))=FALSE,VLOOKUP(WardrobeDoorMaterial,FixedListsDoorMaterial,2,0),0))</f>
        <v/>
      </c>
      <c r="V122" s="156" t="str">
        <f>IF(OR(O122="",P122=""),"",IF(ISERROR(FIND("drawer",$A122))=FALSE,VLOOKUP(WardrobeDrawerType,FixedListsDrawerType,2,0),0))</f>
        <v/>
      </c>
      <c r="W122" s="156" t="str">
        <f>IF(OR(O122="",P122=""),"",IF(S122&gt;0,VLOOKUP(WardrobeHandleType,FixedListsHandleType,2,FALSE),0))</f>
        <v/>
      </c>
      <c r="X122" s="156" t="str">
        <f t="shared" si="5"/>
        <v/>
      </c>
      <c r="Y122" s="156" t="str">
        <f>IF(OR(O122="",P122=""),"",IF(OR(ISERROR(FIND("carcass",$A122))=FALSE,ISERROR(FIND("unit",$A122))=FALSE),VLOOKUP(WardrobeCarcassMaterial,FixedListsCarcassMaterial,3,0),0))</f>
        <v/>
      </c>
      <c r="Z122" s="156" t="str">
        <f>IF(OR(O122="",P122=""),"",IF(ISERROR(FIND("door",$A122))=FALSE,VLOOKUP(WardrobeDoorStyle,FixedListsDoorStyle,3,0),0))</f>
        <v/>
      </c>
      <c r="AA122" s="156" t="str">
        <f>IF(OR(O122="",P122=""),"",IF(ISERROR(FIND("door",$A122))=FALSE,VLOOKUP(WardrobeDoorMaterial,FixedListsDoorMaterial,3,0),0))</f>
        <v/>
      </c>
      <c r="AB122" s="156" t="str">
        <f>IF(OR(O122="",P122=""),"",IF(ISERROR(FIND("drawer",$A122))=FALSE,VLOOKUP(WardrobeDrawerType,FixedListsDrawerType,3,0),0))</f>
        <v/>
      </c>
      <c r="AC122" s="156" t="str">
        <f>IF(OR(O122="",P122=""),"",IF(S122&gt;0,VLOOKUP(WardrobeHandleType,FixedListsHandleType,3,FALSE),0))</f>
        <v/>
      </c>
      <c r="AD122" s="156" t="str">
        <f>IF(OR(O122="",P122=""),"",IF(OR(ISERROR(FIND("carcass",$A122))=FALSE,ISERROR(FIND("unit",$A122))=FALSE),VLOOKUP(WardrobeCarcassFinish,FixedListsFinishes,3,0),IF(OR(ISERROR(FIND("door",$A122))=FALSE,ISERROR(FIND("Plinth",$A122))=FALSE,ISERROR(FIND("Cornice",$A122))=FALSE,ISERROR(FIND("Fillers",$A122))=FALSE,ISERROR(FIND("Pelmet",$A122))=FALSE,ISERROR(FIND("panel",$A122))=FALSE,ISERROR(FIND("post",$A122))=FALSE),VLOOKUP(WardrobeDoorFinish,FixedListsFinishes,3,0),IF(OR(ISERROR(FIND("drawer",$A122))=FALSE,ISERROR(FIND("insert",$A122))=FALSE,ISERROR(FIND("rck",$A122))=FALSE),VLOOKUP(WardrobeCarcassFinish,FixedListsFinishes,3,0),0))))</f>
        <v/>
      </c>
      <c r="AE122" s="156" t="str">
        <f t="shared" si="6"/>
        <v/>
      </c>
      <c r="AF122" s="157" t="str">
        <f>IF(AND(WardrobeHandleType="Channel",OR(ISERROR(FIND("arcass",$A122))=FALSE,ISERROR(FIND("unit",$A122))=FALSE)),IF(ISERROR(FIND("Tower",$A122))=TRUE,IF(WardrobeHandleFinish="Match carcass",IF(ISERROR(FIND("Walnut",WardrobeCarcassMaterial))=FALSE,(0.035*0.075*($C122/1000))*VLOOKUP("Walnut (solid m3)",SolidData,4,FALSE),IF(ISERROR(FIND("Oak",WardrobeCarcassMaterial))=FALSE,(0.035*0.075*($C122/1000))*VLOOKUP("Oak (solid m3)",SolidData,4,FALSE),IF(ISERROR(FIND("ply",WardrobeCarcassMaterial))=FALSE,(0.1*($C122/1000))*VLOOKUP("Birch ply (24mm)",SheetsData,7,FALSE),IF(ISERROR(FIND("H/F",WardrobeCarcassMaterial))=FALSE,(0.1*($C122/1000))*VLOOKUP("H/F (22mm)",SheetsData,7,FALSE),"Carcass - not tower - new material")))),IF(WardrobeHandleFinish="Match door",IF(ISERROR(FIND("Walnut",WardrobeDoorMaterial))=FALSE,(0.035*0.075*($C122/1000))*VLOOKUP("Walnut (solid m3)",SolidData,4,FALSE),IF(ISERROR(FIND("Oak",WardrobeDoorMaterial))=FALSE,(0.035*0.075*($C122/1000))*VLOOKUP("Oak (solid m3)",SolidData,4,FALSE),IF(ISERROR(FIND("ply",WardrobeDoorMaterial))=FALSE,(0.1*($C122/1000))*VLOOKUP("Birch ply (24mm)",SheetsData,7,FALSE),IF(ISERROR(FIND("H/F",WardrobeCarcassMaterial))=FALSE,(0.1*($C122/1000))*VLOOKUP("H/F (22mm)",SheetsData,7,FALSE),"Door - not tower - new material")))),"Channel - not tower - handle set to other")),IF(ISERROR(FIND("Tower",$A122))=FALSE,IF(WardrobeHandleFinish="Match carcass",IF(ISERROR(FIND("Walnut",WardrobeCarcassMaterial))=FALSE,(0.035*0.075*($B122/1000))*VLOOKUP("Walnut (solid m3)",SolidData,4,FALSE),IF(ISERROR(FIND("Oak",WardrobeCarcassMaterial))=FALSE,(0.035*0.075*($B122/1000))*VLOOKUP("Oak (solid m3)",SolidData,4,FALSE),IF(ISERROR(FIND("ply",WardrobeCarcassMaterial))=FALSE,(0.1*($B122/1000))*VLOOKUP("Birch ply (24mm)",SheetsData,7,FALSE),IF(ISERROR(FIND("H/F",WardrobeCarcassMaterial))=FALSE,(0.1*($C122/1000))*VLOOKUP("H/F (22mm)",SheetsData,7,FALSE),"Carcass - tower - new material")))),IF(WardrobeHandleFinish="Match door",IF(ISERROR(FIND("Walnut",WardrobeDoorMaterial))=FALSE,(0.035*0.075*($B122/1000))*VLOOKUP("Walnut (solid m3)",SolidData,4,FALSE),IF(ISERROR(FIND("Oak",WardrobeDoorMaterial))=FALSE,(0.035*0.075*($B122/1000))*VLOOKUP("Oak (solid m3)",SolidData,4,FALSE),IF(ISERROR(FIND("ply",WardrobeDoorMaterial))=FALSE,(0.1*($B122/1000))*VLOOKUP("Birch ply (24mm)",SheetData,7,FALSE),IF(ISERROR(FIND("H/F",WardrobeCarcassMaterial))=FALSE,(0.1*($C122/1000))*VLOOKUP("H/F (22mm)",SheetsData,7,FALSE),"Door - tower - new material")))),"Channel - tower - handle set to other")))),"")</f>
        <v/>
      </c>
    </row>
    <row r="123">
      <c r="A123" s="150"/>
      <c r="B123" s="160" t="str">
        <f t="shared" si="1"/>
        <v/>
      </c>
      <c r="C123" s="160" t="str">
        <f>IFERROR(__xludf.DUMMYFUNCTION("IF(A123="""","""",IF(ISERROR(FIND(""arcass"",A123))=FALSE,MID(A123,FIND(""*"",A123)+1,FIND(""*"",A123,FIND(""*"",A123)+1)-FIND(""*"",A123)-1),IF(ISERROR(FIND(""End panel"",A123))=FALSE,RIGHT(A123,3),IF(OR(ISERROR(FIND(""drawer"",A123))=FALSE,ISERROR(FIND("&amp;"""door"",A123))=FALSE,ISERROR(FIND(""shelf"",A123))=FALSE,ISERROR(FIND(""panel"",A123))=FALSE,ISERROR(FIND(""Plinth"",A123))=FALSE,ISERROR(FIND(""Cornice"",A123))=FALSE,ISERROR(FIND(""Fillers"",A123))=FALSE,ISERROR(FIND(""Pelmet"",A123))=FALSE,ISERROR(FIN"&amp;"D(""Fireplace up to 1600"",A123))=FALSE),RIGHT(A123,LEN(A123)-LEN(regexextract(A123,"".* ""))),IF(ISERROR(FIND(""table"",A123))=FALSE,""560"",IF(ISERROR(FIND(""Office pod"",A123))=FALSE,""1600"",IF(ISERROR(FIND(""Fireplace over 1600"",A123))=FALSE,""2400"&amp;""",IF(ISERROR(FIND(""Worktop"",A123))=FALSE,""650"",""Whoops""))))))))"),"")</f>
        <v/>
      </c>
      <c r="D123" s="161" t="str">
        <f t="shared" si="2"/>
        <v/>
      </c>
      <c r="E123" s="152" t="str">
        <f>IF(OR(A123="",AND(ISERROR(FIND("drawer",A123))=FALSE,WardrobeDrawerType="")),"",IF(ISERROR(FIND("door",A123))=FALSE,IF(WardrobeDoorStyle="Flat",((B123/1000)*(C123/1000))*VLOOKUP(WardrobeDoorMaterial,SheetsData,8,0),IF(LEFT(WardrobeDoorStyle,5)="Panel",(((((B123/1000)*2)*0.08)+((((C123/1000)-0.16)*2)*0.08))*VLOOKUP("H/F (22mm)",SheetsData,8,0))+(((B123/1000)-0.14)*((C123/1000)-0.14)*VLOOKUP("H/F (9mm)",SheetsData,8,0)),IF(WardrobeDoorStyle="In-frame flat",((((((B123/1000)*0.019)*0.038)+((((C123-38)/1000)*0.038)*0.038))*2)*VLOOKUP("Tulip (solid m3)",SolidData,4,0))+(((B123-76)/1000)*((C123-38)/1000))*VLOOKUP("H/F (22mm)",SheetsData,8,0),IF(LEFT(WardrobeDoorStyle,14)="In-frame panel",(((((((B123/1000)*0.019)*0.038)+((((C123-38)/1000)*0.038)*0.038))*2)*VLOOKUP("Tulip (solid m3)",SolidData,4,0))+(((((((B123-76)/1000)*2)*0.08)+(((((C123-198)/1000)*2)*0.08)))*VLOOKUP("H/F (22mm)",SheetsData,8,0))+(((B123-216)/1000)*((C123-178)/1000)*VLOOKUP("H/F (9mm)",SheetsData,8,0)))))))),IF(AND(ISERROR(FIND("arcass",A123))=FALSE,ISERROR(FIND("ost corner",A123))=TRUE),IF(AND(VALUE(B123)&lt;1211,VALUE(C123)&lt;1211,VALUE(D123)&lt;606),1*VLOOKUP(WardrobeCarcassMaterial,SheetsData,5,FALSE),IF(AND(VALUE(B123)&lt;2421,VALUE(C123)&lt;2421,VALUE(D123)&lt;606),2*VLOOKUP(WardrobeCarcassMaterial,SheetsData,5,FALSE),IF(AND(VALUE(B123)&lt;2421,VALUE(C123)&lt;1211,VALUE(D123)&lt;1211),3*VLOOKUP(WardrobeCarcassMaterial,SheetsData,5,FALSE),IF(AND(VALUE(B123)&lt;2421,VALUE(C123)&lt;2421,VALUE(D123)&lt;1211),4*VLOOKUP(WardrobeCarcassMaterial,SheetsData,5,FALSE))))),IF(AND(ISERROR(FIND("arcass",A123))=FALSE,ISERROR(FIND("ost corner",A123))=FALSE),IF(AND(VALUE(B123)&lt;1211,VALUE(C123)&lt;1211,VALUE(D123)&lt;606),(1*VLOOKUP(WardrobeCarcassMaterial,SheetsData,5,FALSE))+(VLOOKUP("H/F (22mm)",SheetsData,7,FALSE)*1.44),IF(AND(VALUE(B123)&lt;2421,VALUE(C123)&lt;2421,VALUE(D123)&lt;606),(2*VLOOKUP(WardrobeCarcassMaterial,SheetsData,5,FALSE))+(VLOOKUP("H/F (22mm)",SheetsData,7,FALSE)*1.44),IF(AND(VALUE(B123)&lt;2421,VALUE(C123)&lt;1211,VALUE(D123)&lt;1211),(3*VLOOKUP(WardrobeCarcassMaterial,SheetsData,5,FALSE))+(VLOOKUP("H/F (22mm)",SheetsData,7,FALSE)*1.44),IF(AND(VALUE(B123)&lt;2421,VALUE(C123)&lt;2421,VALUE(D123)&lt;1211),(4*VLOOKUP(WardrobeCarcassMaterial,SheetsData,5,FALSE))+(VLOOKUP("H/F (22mm)",SheetsData,7,FALSE)*1.44))))),IF(ISERROR(FIND("drawer front",A123))=FALSE,((B123/1000)*(C123/1000))*VLOOKUP(WardrobeDoorMaterial,SheetsData,8,0),IF(AND(WardrobeDrawerType="Match carcass",ISERROR(FIND("drawer box",A123))=FALSE),(((((B123/1000)*(C123/1000))+((B123/1000)*(D123/1000)))*2)*VLOOKUP(WardrobeCarcassMaterial,SheetsData,8,0))+(((C123/1000)*(D123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box",A123))=FALSE),(((((B123/1000)*(C123/1000))+((B123/1000)*(D123/1000)))*2)*(16/1000)*VLOOKUP(LEFT(WardrobeCarcassMaterial,FIND(" ",WardrobeCarcassMaterial))&amp;"(solid m3)",SolidData,4,0))+(((C123/1000)*(D123/1000))*VLOOKUP(LEFT(WardrobeCarcassMaterial,FIND("(",WardrobeCarcassMaterial)-1)&amp;IF(OR(ISERROR(FIND("ply",WardrobeCarcassMaterial))=FALSE,ISERROR(FIND("H/F",WardrobeCarcassMaterial))=FALSE),"(9mm)","(10mm)"),SheetsData,8,0)),IF(ISERROR(FIND("shelf",A123))=FALSE,((C123/1000)*(D123/1000))*VLOOKUP(WardrobeCarcassMaterial,SheetsData,7,FALSE),IF(ISERROR(FIND("Office pod",A123))=FALSE,3*VLOOKUP(WardrobeCarcassMaterial,SheetsData,5,0),IF(ISERROR(FIND(" panel",A123))=FALSE,((B123/1000)*(C123/1000))*VLOOKUP(WardrobeDoorMaterial,SheetsData,8,0),IF(ISERROR(FIND("Fillers",A123))=FALSE,(((0.06*(C123/1000))*2)*VLOOKUP("H/F (18mm)",SheetsData,8,0))+(((0.06*(C123/1000))*2)*VLOOKUP("H/F (9mm)",SheetsData,8,0)),IF(ISERROR(FIND("Cornice (stacked)",A123))=FALSE,((0.08*(C123/1000))*2)*VLOOKUP("H/F (22mm)",SheetsData,8,0),IF(OR(ISERROR(FIND("Plinth",A123))=FALSE,ISERROR(FIND("Cornice (flat)",A123))=FALSE),((B123/1000)*(C123/1000))*VLOOKUP("H/F (18mm)",SheetsData,8,0),IF(ISERROR(FIND("Pelmet",A123))=FALSE,((((B123/1000)*(C123/1000))*2)*VLOOKUP("H/F (18mm)",SheetsData,8,0)),IF(ISERROR(FIND("Fireplace",A123))=FALSE,IF(ISERROR(FIND("over 1600",A123))=FALSE,2*VLOOKUP(WardrobeCarcassMaterial,SheetsData,5,FALSE),VLOOKUP(WardrobeCarcassMaterial,SheetsData,5,FALSE)),IF(ISERROR(FIND("table",A123))=FALSE,((B123/1000)*0.6)*VLOOKUP("Birch ply (24mm)",SheetsData,7,FALSE),IF(ISERROR(FIND("Worktop",A123))=FALSE,((B123/1000)*(C123/1000))*VLOOKUP(WardrobeDoorMaterial,SheetsData,7,FALSE),"Check formula")))))))))))))))))</f>
        <v/>
      </c>
      <c r="F123" s="152" t="str">
        <f>IFERROR(__xludf.DUMMYFUNCTION("IF(OR(A123="""",AND(ISERROR(FIND(""drawer box"",A123))=FALSE,WardrobeDrawerType=""Solid dovetail"")),"""",IF(ISERROR(FIND(""bins"",A123))=FALSE,VLOOKUP(""Base carcass 600"",Wardrobes_etcData,6,0),IF(OR(ISERROR(FIND(""larder"",A123))=FALSE,ISERROR(FIND(""u"&amp;"nit"",A123))=FALSE),VLOOKUP(LEFT(A123,FIND("" "",A123))&amp;""carcass ""&amp;RIGHT(A123,LEN(A123)-len(regexextract(A123,"".* ""))),Wardrobes_etcData,6,0),IF(ISERROR(FIND(""drawer front"",A123))=FALSE,IF(ISERROR(FIND(""veneer"",WardrobeCarcassMaterial))=TRUE,0,((("&amp;"B123+C123)/1000)*2)*VLOOKUP(""Edge banding (per M)"",SheetsData,5,0)),IF(ISERROR(FIND(""drawer box"",A123))=FALSE,IF(ISERROR(FIND(""veneer"",WardrobeCarcassMaterial))=TRUE,0,(((C123+D123)/1000)*2)*VLOOKUP(""Edge banding (per M)"",SheetsData,5,0)),IF(ISERR"&amp;"OR(FIND(""shelf"",A123))=FALSE,IF(ISERROR(FIND(""veneer"",WardrobeCarcassMaterial))=TRUE,0,(C123/1000)*VLOOKUP(""Edge banding (per M)"",SheetsData,5,0)),IF(AND(OR(ISERROR(FIND(""arcass"",A123))=FALSE,ISERROR(FIND(""Fireplace"",A123))=FALSE),ISERROR(FIND("&amp;"""shelf"",A123))=TRUE),IF(ISERROR(FIND(""veneer"",WardrobeCarcassMaterial))=TRUE,0,((2*(B123+C123))/1000)*VLOOKUP(""Edge banding (per M)"",SheetsData,5,0)),IF(ISERROR(FIND(""door"",A123))=TRUE,"""",IF(ISERROR(FIND(""veneer"",WardrobeDoorMaterial))=TRUE,"""&amp;""",((2*(B123+C123))/1000)*VLOOKUP(""Edge banding (per M)"",SheetsData,5,0))))))))))"),"")</f>
        <v/>
      </c>
      <c r="G123" s="153" t="str">
        <f>IF(A123="","",IF(AND(ISERROR(FIND("arcass",A123))=TRUE,ISERROR(FIND("Fireplace",A123))=TRUE),"",IF(VALUE(C123)&lt;606,4*VLOOKUP("Plinth foot (2 Parts 80mm)",FurnitureData,5,FALSE),IF(VALUE(C123)&lt;1211,6*VLOOKUP("Plinth foot (2 Parts 80mm)",FurnitureData,5,FALSE),8*VLOOKUP("Plinth foot (2 Parts 80mm)",FurnitureData,5,FALSE)))))</f>
        <v/>
      </c>
      <c r="H123" s="115" t="str">
        <f>IF(OR(A123="",ISERROR(FIND("door",A123))=TRUE),"",VLOOKUP("Hinges &amp; plates (Hettich thick door)",FurnitureData,5,0)*5)</f>
        <v/>
      </c>
      <c r="I123" s="115" t="str">
        <f>IF(ISERROR(FIND("shelf",A123))=FALSE,(VLOOKUP("Shelf pegs",FurnitureData,5,0)/100)*4,"")</f>
        <v/>
      </c>
      <c r="J123" s="152" t="str">
        <f>IF(OR(ISERROR(FIND("fridge/freezer",A123))=FALSE,ISERROR(FIND("sink",A123))=FALSE,ISERROR(FIND("larder",A123))=FALSE),VLOOKUP("Deep shelf "&amp;C123,Wardrobes_etcData,18,0),IF(OR(ISERROR(FIND("single oven",A123))=FALSE,ISERROR(FIND("Base carcass",A123))=FALSE),2*VLOOKUP("Deep shelf "&amp;C123,Wardrobes_etcData,18,0),IF(AND(ISERROR(FIND("wall carcass",A123))=FALSE,ISERROR(FIND("Boiler",A123))=TRUE),2*VLOOKUP("Shallow shelf "&amp;C123,Wardrobes_etcData,18,0),IF(ISERROR(FIND("double oven",A123))=FALSE,3*VLOOKUP("Deep shelf "&amp;C123,Wardrobes_etcData,18,0),IF(ISERROR(FIND("Tower carcass",A123))=FALSE,6*VLOOKUP("Deep shelf "&amp;C123,Wardrobes_etcData,18,0),"")))))</f>
        <v/>
      </c>
      <c r="K123" s="152" t="str">
        <f>IF(ISERROR(FIND("sink",A123))=FALSE,VLOOKUP("Sink liner - Aluminium "&amp;RIGHT(A123,LEN(A123)-22)&amp;"mm",ExceptionalData,5,0),IF(ISERROR(FIND("bins",A123))=FALSE,VLOOKUP("Drawer runners and clip set for bin unit (500) Dynapro",FurnitureData,5,0)+(2*VLOOKUP("Bin (42L Anthracite)",FurnitureData,5,0)),IF(ISERROR(FIND("larder",A123))=FALSE,VLOOKUP("Pull out larder unit 600mm",FurnitureData,5,0),IF(AND(ISERROR(FIND("drawer box",A123))=FALSE,ISERROR(FIND("internal",A123))=TRUE),VLOOKUP("Drawer runners and clip set (550) Dynapro",FurnitureData,5,0),IF(ISERROR(FIND("internal drawer box",A123))=FALSE,VLOOKUP("Drawer runners and clip set (450) Dynapro",FurnitureData,5,0),IF(ISERROR(FIND("table",A123))=FALSE,VLOOKUP("Hairpin Leg (12mm Black "&amp;MID(A123,FIND("(",A123)+1,LEN(A123)-(FIND("(",A123))-1)&amp;"mm)",ExceptionalData,4,FALSE),""))))))</f>
        <v/>
      </c>
      <c r="L123" s="152" t="str">
        <f t="shared" si="3"/>
        <v/>
      </c>
      <c r="M123" s="154" t="str">
        <f>IF(A123="","",IF(AND(ISERROR(FIND("drawer front",A123))=FALSE,WardrobeDoorStyle="Flat"),(((B123/1000)*(C123/1000))*2)+((((B123+C123)/1000)*2)*0.022),IF(AND(ISERROR(FIND("drawer front",A123))=FALSE,LEFT(WardrobeDoorStyle,5)="Panel"),(((B123/1000)*(C123/1000))*2)+((((B123+C123)/1000)*2)*0.022)+((((C123/1000)-0.16)*0.013)*2)+((((D123/1000)-0.16)*0.013)*2),IF(AND(ISERROR(FIND("drawer front",A123))=FALSE,WardrobeDoorStyle="In-frame flat"),((((B123-76)/1000)*((C123-38)/1000))*2)+(MID(WardrobeDoorMaterial,FIND("(",WardrobeDoorMaterial)+1,2)/1000)*((((B123-76)+(C123-38))/1000)*2)+(((B123/1000)*0.032)*2)+((((B123-76)/1000)*0.032)*2)+(((B123/1000)*0.019)*4)+(((C123/1000)*0.032)*2)+((((C123-38)/1000)*0.032)*2)+(((C123/1000)*0.038)*4),IF(AND(ISERROR(FIND("drawer front",A123))=FALSE,LEFT(WardrobeDoorStyle,14)="In-frame panel"),((((B123-76)/1000)*((C123-38)/1000))*2)+((MID(WardrobeDoorMaterial,FIND("(",WardrobeDoorMaterial)+1,2)/1000)*((((B123-76)+(C123-38))/1000)*2))+((((B123-236)/1000)+((C123-198)/1000)*2)*0.013)+(((B123/1000)*0.032)*2)+((((B123-76)/1000)*0.032)*2)+(((B123/1000)*0.019)*4)+(((C123/1000)*0.032)*2)+((((C123-38)/1000)*0.032)*2)+(((C123/1000)*0.038)*4),IF(ISERROR(FIND("drawer box",A123))=FALSE,((((B123/1000)*(D123/1000))+((B123/1000)*(C123/1000)))*4)+((((D123/1000)+(C123/1000))*0.016)*4)+(((C123/1000)*(D123/1000))*2),IF(OR(ISERROR(FIND("shelf",A123))=FALSE,ISERROR(FIND("Filler panel",A123))=FALSE),(((C123/1000)*(D123/1000))*2)+((((C123+D123)*2)/1000)*0.022),IF(ISERROR(FIND("Fireplace",A123))=FALSE,((B123/1000)*(C123/1000)),IF(ISERROR(FIND("Worktop",A123))=FALSE,(B123/1000)*(C123/1000),IF(ISERROR(FIND("table",A123))=FALSE,(B123/1000)*0.6,IF(ISERROR(FIND("arcass",A123))=FALSE,(((C123/1000)*(D123/1000))*2)+(((B123/1000)*(D123/1000))*2)+((B123/1000)*(C123/1000))+((((B123/1000)*0.025)+((C123/1000)*0.025))*2),IF(AND(ISERROR(FIND("door",A123))=FALSE,WardrobeDoorStyle="Flat"),(((B123/1000)*(C123/1000))*2)+(MID(WardrobeDoorMaterial,FIND("(",WardrobeDoorMaterial)+1,2)/1000)*(((B123+C123)/1000)*2),IF(AND(ISERROR(FIND("door",A123))=FALSE,LEFT(WardrobeDoorStyle,5)="Panel"),(((B123/1000)*(C123/1000))*2)+((MID(WardrobeDoorMaterial,FIND("(",WardrobeDoorMaterial)+1,2)/1000)*(((B123+C123)/1000)*2))+(((((B123-160)+(C123-160))*2)/1000)*(0.013)),IF(AND(ISERROR(FIND("door",A123))=FALSE,WardrobeDoorStyle="In-frame flat"),((((B123-76)/1000)*((C123-38)/1000))*2)+(MID(WardrobeDoorMaterial,FIND("(",WardrobeDoorMaterial)+1,2)/1000)*((((B123-76)+(C123-38))/1000)*2)+(((B123/1000)*0.032)*2)+((((B123-76)/1000)*0.032)*2)+(((B123/1000)*0.019)*4)+(((C123/1000)*0.032)*2)+((((C123-38)/1000)*0.032)*2)+(((C123/1000)*0.038)*4),IF(AND(ISERROR(FIND("door",A123))=FALSE,LEFT(WardrobeDoorStyle,14)="In-frame panel"),((((B123-76)/1000)*((C123-38)/1000))*2)+((MID(WardrobeDoorMaterial,FIND("(",WardrobeDoorMaterial)+1,2)/1000)*((((B123-76)+(C123-38))/1000)*2))+((((B123-236)/1000)+((C123-198)/1000)*2)*0.013)+(((B123/1000)*0.032)*2)+((((B123-76)/1000)*0.032)*2)+(((B123/1000)*0.019)*4)+(((C123/1000)*0.032)*2)+((((C123-38)/1000)*0.032)*2)+(((C123/1000)*0.038)*4),IF(ISERROR(FIND("Plinth",A123))=FALSE,((B123/1000)*(C123/1000))+(((C123/1000)*0.018)*2)+(((B123/1000)*0.018)*2),IF(ISERROR(FIND("Cornice",A123))=FALSE,(((C123/1000)*0.1)*2)+(((C123/1000)*0.044)*2)+(((B123/1000)*0.08)*2),IF(ISERROR(FIND("Office pod",A123))=FALSE,((2400/1000)*(1200/1000))*6,IF(ISERROR(FIND("panel",A123))=FALSE,((B123/1000)*(C123/1000))+(0.022*((B123/1000)+((C123/1000)*2)))+((B123/1000)*0.05),IF(ISERROR(FIND("Fillers",A123))=FALSE,((C123/1000)*0.06)+((C123/1000)*0.069)+((0.06*0.018)*2)+((0.06*0.009)*2)+((C123/1000)*0.009)+((C123/1000)*0.018),IF(ISERROR(FIND("Pelmet",A123))=FALSE,((C123/1000)*0.05)+((C123/1000)*0.068)+((0.05*0.018)*4)+(((C123/1000)*0.018))*2)))))))))))))))))))))</f>
        <v/>
      </c>
      <c r="N123" s="152" t="str">
        <f>IF(M123="","",IF(AND(ISERROR(FIND("carcass",A123))=TRUE,ISERROR(FIND("unit",A123))=TRUE,ISERROR(FIND("insert",A123))=TRUE,ISERROR(FIND("rack",A123))=TRUE,ISERROR(FIND("box",A123))=TRUE,ISERROR(FIND("shelf",A123))=TRUE),VLOOKUP(WardrobeDoorFinish,Finishing!$A$2:$K$10,9,0)*M123,IF(ISERROR(FIND("table",A123))=FALSE,VLOOKUP("Sayerlack AF0072 Interior Clear Self-Sealer",FinishingData,9,FALSE)*M123,VLOOKUP(WardrobeCarcassFinish,Finishing!$A$2:$K$40,9,0)*M123)))</f>
        <v/>
      </c>
      <c r="O123" s="159"/>
      <c r="P123" s="159"/>
      <c r="Q123" s="152" t="str">
        <f>IF(OR(O123="",P123=""),"",((O123*X123)*(VLOOKUP("Workshop",Labour!$A$3:$E$20,4,0)/8))+((P123*AE123)*(VLOOKUP("Finishing",Labour!$A$3:$E$20,4,0)/8)))</f>
        <v/>
      </c>
      <c r="R123" s="152" t="str">
        <f t="shared" si="4"/>
        <v/>
      </c>
      <c r="S123" s="156" t="str">
        <f>IF(OR(O123="",P123=""),"",IF(OR(ISERROR(FIND("carcass",$A123))=FALSE,ISERROR(FIND("unit",$A123))=FALSE),VLOOKUP(WardrobeCarcassMaterial,FixedListsCarcassMaterial,2,0),0))</f>
        <v/>
      </c>
      <c r="T123" s="156" t="str">
        <f>IF(OR(O123="",P123=""),"",IF(ISERROR(FIND("door",$A123))=FALSE,VLOOKUP(WardrobeDoorStyle,FixedListsDoorStyle,2,0),0))</f>
        <v/>
      </c>
      <c r="U123" s="156" t="str">
        <f>IF(OR(O123="",P123=""),"",IF(ISERROR(FIND("door",$A123))=FALSE,VLOOKUP(WardrobeDoorMaterial,FixedListsDoorMaterial,2,0),0))</f>
        <v/>
      </c>
      <c r="V123" s="156" t="str">
        <f>IF(OR(O123="",P123=""),"",IF(ISERROR(FIND("drawer",$A123))=FALSE,VLOOKUP(WardrobeDrawerType,FixedListsDrawerType,2,0),0))</f>
        <v/>
      </c>
      <c r="W123" s="156" t="str">
        <f>IF(OR(O123="",P123=""),"",IF(S123&gt;0,VLOOKUP(WardrobeHandleType,FixedListsHandleType,2,FALSE),0))</f>
        <v/>
      </c>
      <c r="X123" s="156" t="str">
        <f t="shared" si="5"/>
        <v/>
      </c>
      <c r="Y123" s="156" t="str">
        <f>IF(OR(O123="",P123=""),"",IF(OR(ISERROR(FIND("carcass",$A123))=FALSE,ISERROR(FIND("unit",$A123))=FALSE),VLOOKUP(WardrobeCarcassMaterial,FixedListsCarcassMaterial,3,0),0))</f>
        <v/>
      </c>
      <c r="Z123" s="156" t="str">
        <f>IF(OR(O123="",P123=""),"",IF(ISERROR(FIND("door",$A123))=FALSE,VLOOKUP(WardrobeDoorStyle,FixedListsDoorStyle,3,0),0))</f>
        <v/>
      </c>
      <c r="AA123" s="156" t="str">
        <f>IF(OR(O123="",P123=""),"",IF(ISERROR(FIND("door",$A123))=FALSE,VLOOKUP(WardrobeDoorMaterial,FixedListsDoorMaterial,3,0),0))</f>
        <v/>
      </c>
      <c r="AB123" s="156" t="str">
        <f>IF(OR(O123="",P123=""),"",IF(ISERROR(FIND("drawer",$A123))=FALSE,VLOOKUP(WardrobeDrawerType,FixedListsDrawerType,3,0),0))</f>
        <v/>
      </c>
      <c r="AC123" s="156" t="str">
        <f>IF(OR(O123="",P123=""),"",IF(S123&gt;0,VLOOKUP(WardrobeHandleType,FixedListsHandleType,3,FALSE),0))</f>
        <v/>
      </c>
      <c r="AD123" s="156" t="str">
        <f>IF(OR(O123="",P123=""),"",IF(OR(ISERROR(FIND("carcass",$A123))=FALSE,ISERROR(FIND("unit",$A123))=FALSE),VLOOKUP(WardrobeCarcassFinish,FixedListsFinishes,3,0),IF(OR(ISERROR(FIND("door",$A123))=FALSE,ISERROR(FIND("Plinth",$A123))=FALSE,ISERROR(FIND("Cornice",$A123))=FALSE,ISERROR(FIND("Fillers",$A123))=FALSE,ISERROR(FIND("Pelmet",$A123))=FALSE,ISERROR(FIND("panel",$A123))=FALSE,ISERROR(FIND("post",$A123))=FALSE),VLOOKUP(WardrobeDoorFinish,FixedListsFinishes,3,0),IF(OR(ISERROR(FIND("drawer",$A123))=FALSE,ISERROR(FIND("insert",$A123))=FALSE,ISERROR(FIND("rck",$A123))=FALSE),VLOOKUP(WardrobeCarcassFinish,FixedListsFinishes,3,0),0))))</f>
        <v/>
      </c>
      <c r="AE123" s="156" t="str">
        <f t="shared" si="6"/>
        <v/>
      </c>
      <c r="AF123" s="157" t="str">
        <f>IF(AND(WardrobeHandleType="Channel",OR(ISERROR(FIND("arcass",$A123))=FALSE,ISERROR(FIND("unit",$A123))=FALSE)),IF(ISERROR(FIND("Tower",$A123))=TRUE,IF(WardrobeHandleFinish="Match carcass",IF(ISERROR(FIND("Walnut",WardrobeCarcassMaterial))=FALSE,(0.035*0.075*($C123/1000))*VLOOKUP("Walnut (solid m3)",SolidData,4,FALSE),IF(ISERROR(FIND("Oak",WardrobeCarcassMaterial))=FALSE,(0.035*0.075*($C123/1000))*VLOOKUP("Oak (solid m3)",SolidData,4,FALSE),IF(ISERROR(FIND("ply",WardrobeCarcassMaterial))=FALSE,(0.1*($C123/1000))*VLOOKUP("Birch ply (24mm)",SheetsData,7,FALSE),IF(ISERROR(FIND("H/F",WardrobeCarcassMaterial))=FALSE,(0.1*($C123/1000))*VLOOKUP("H/F (22mm)",SheetsData,7,FALSE),"Carcass - not tower - new material")))),IF(WardrobeHandleFinish="Match door",IF(ISERROR(FIND("Walnut",WardrobeDoorMaterial))=FALSE,(0.035*0.075*($C123/1000))*VLOOKUP("Walnut (solid m3)",SolidData,4,FALSE),IF(ISERROR(FIND("Oak",WardrobeDoorMaterial))=FALSE,(0.035*0.075*($C123/1000))*VLOOKUP("Oak (solid m3)",SolidData,4,FALSE),IF(ISERROR(FIND("ply",WardrobeDoorMaterial))=FALSE,(0.1*($C123/1000))*VLOOKUP("Birch ply (24mm)",SheetsData,7,FALSE),IF(ISERROR(FIND("H/F",WardrobeCarcassMaterial))=FALSE,(0.1*($C123/1000))*VLOOKUP("H/F (22mm)",SheetsData,7,FALSE),"Door - not tower - new material")))),"Channel - not tower - handle set to other")),IF(ISERROR(FIND("Tower",$A123))=FALSE,IF(WardrobeHandleFinish="Match carcass",IF(ISERROR(FIND("Walnut",WardrobeCarcassMaterial))=FALSE,(0.035*0.075*($B123/1000))*VLOOKUP("Walnut (solid m3)",SolidData,4,FALSE),IF(ISERROR(FIND("Oak",WardrobeCarcassMaterial))=FALSE,(0.035*0.075*($B123/1000))*VLOOKUP("Oak (solid m3)",SolidData,4,FALSE),IF(ISERROR(FIND("ply",WardrobeCarcassMaterial))=FALSE,(0.1*($B123/1000))*VLOOKUP("Birch ply (24mm)",SheetsData,7,FALSE),IF(ISERROR(FIND("H/F",WardrobeCarcassMaterial))=FALSE,(0.1*($C123/1000))*VLOOKUP("H/F (22mm)",SheetsData,7,FALSE),"Carcass - tower - new material")))),IF(WardrobeHandleFinish="Match door",IF(ISERROR(FIND("Walnut",WardrobeDoorMaterial))=FALSE,(0.035*0.075*($B123/1000))*VLOOKUP("Walnut (solid m3)",SolidData,4,FALSE),IF(ISERROR(FIND("Oak",WardrobeDoorMaterial))=FALSE,(0.035*0.075*($B123/1000))*VLOOKUP("Oak (solid m3)",SolidData,4,FALSE),IF(ISERROR(FIND("ply",WardrobeDoorMaterial))=FALSE,(0.1*($B123/1000))*VLOOKUP("Birch ply (24mm)",SheetData,7,FALSE),IF(ISERROR(FIND("H/F",WardrobeCarcassMaterial))=FALSE,(0.1*($C123/1000))*VLOOKUP("H/F (22mm)",SheetsData,7,FALSE),"Door - tower - new material")))),"Channel - tower - handle set to other")))),"")</f>
        <v/>
      </c>
    </row>
    <row r="124">
      <c r="A124" s="150"/>
      <c r="B124" s="160" t="str">
        <f t="shared" si="1"/>
        <v/>
      </c>
      <c r="C124" s="160" t="str">
        <f>IFERROR(__xludf.DUMMYFUNCTION("IF(A124="""","""",IF(ISERROR(FIND(""arcass"",A124))=FALSE,MID(A124,FIND(""*"",A124)+1,FIND(""*"",A124,FIND(""*"",A124)+1)-FIND(""*"",A124)-1),IF(ISERROR(FIND(""End panel"",A124))=FALSE,RIGHT(A124,3),IF(OR(ISERROR(FIND(""drawer"",A124))=FALSE,ISERROR(FIND("&amp;"""door"",A124))=FALSE,ISERROR(FIND(""shelf"",A124))=FALSE,ISERROR(FIND(""panel"",A124))=FALSE,ISERROR(FIND(""Plinth"",A124))=FALSE,ISERROR(FIND(""Cornice"",A124))=FALSE,ISERROR(FIND(""Fillers"",A124))=FALSE,ISERROR(FIND(""Pelmet"",A124))=FALSE,ISERROR(FIN"&amp;"D(""Fireplace up to 1600"",A124))=FALSE),RIGHT(A124,LEN(A124)-LEN(regexextract(A124,"".* ""))),IF(ISERROR(FIND(""table"",A124))=FALSE,""560"",IF(ISERROR(FIND(""Office pod"",A124))=FALSE,""1600"",IF(ISERROR(FIND(""Fireplace over 1600"",A124))=FALSE,""2400"&amp;""",IF(ISERROR(FIND(""Worktop"",A124))=FALSE,""650"",""Whoops""))))))))"),"")</f>
        <v/>
      </c>
      <c r="D124" s="161" t="str">
        <f t="shared" si="2"/>
        <v/>
      </c>
      <c r="E124" s="152" t="str">
        <f>IF(OR(A124="",AND(ISERROR(FIND("drawer",A124))=FALSE,WardrobeDrawerType="")),"",IF(ISERROR(FIND("door",A124))=FALSE,IF(WardrobeDoorStyle="Flat",((B124/1000)*(C124/1000))*VLOOKUP(WardrobeDoorMaterial,SheetsData,8,0),IF(LEFT(WardrobeDoorStyle,5)="Panel",(((((B124/1000)*2)*0.08)+((((C124/1000)-0.16)*2)*0.08))*VLOOKUP("H/F (22mm)",SheetsData,8,0))+(((B124/1000)-0.14)*((C124/1000)-0.14)*VLOOKUP("H/F (9mm)",SheetsData,8,0)),IF(WardrobeDoorStyle="In-frame flat",((((((B124/1000)*0.019)*0.038)+((((C124-38)/1000)*0.038)*0.038))*2)*VLOOKUP("Tulip (solid m3)",SolidData,4,0))+(((B124-76)/1000)*((C124-38)/1000))*VLOOKUP("H/F (22mm)",SheetsData,8,0),IF(LEFT(WardrobeDoorStyle,14)="In-frame panel",(((((((B124/1000)*0.019)*0.038)+((((C124-38)/1000)*0.038)*0.038))*2)*VLOOKUP("Tulip (solid m3)",SolidData,4,0))+(((((((B124-76)/1000)*2)*0.08)+(((((C124-198)/1000)*2)*0.08)))*VLOOKUP("H/F (22mm)",SheetsData,8,0))+(((B124-216)/1000)*((C124-178)/1000)*VLOOKUP("H/F (9mm)",SheetsData,8,0)))))))),IF(AND(ISERROR(FIND("arcass",A124))=FALSE,ISERROR(FIND("ost corner",A124))=TRUE),IF(AND(VALUE(B124)&lt;1211,VALUE(C124)&lt;1211,VALUE(D124)&lt;606),1*VLOOKUP(WardrobeCarcassMaterial,SheetsData,5,FALSE),IF(AND(VALUE(B124)&lt;2421,VALUE(C124)&lt;2421,VALUE(D124)&lt;606),2*VLOOKUP(WardrobeCarcassMaterial,SheetsData,5,FALSE),IF(AND(VALUE(B124)&lt;2421,VALUE(C124)&lt;1211,VALUE(D124)&lt;1211),3*VLOOKUP(WardrobeCarcassMaterial,SheetsData,5,FALSE),IF(AND(VALUE(B124)&lt;2421,VALUE(C124)&lt;2421,VALUE(D124)&lt;1211),4*VLOOKUP(WardrobeCarcassMaterial,SheetsData,5,FALSE))))),IF(AND(ISERROR(FIND("arcass",A124))=FALSE,ISERROR(FIND("ost corner",A124))=FALSE),IF(AND(VALUE(B124)&lt;1211,VALUE(C124)&lt;1211,VALUE(D124)&lt;606),(1*VLOOKUP(WardrobeCarcassMaterial,SheetsData,5,FALSE))+(VLOOKUP("H/F (22mm)",SheetsData,7,FALSE)*1.44),IF(AND(VALUE(B124)&lt;2421,VALUE(C124)&lt;2421,VALUE(D124)&lt;606),(2*VLOOKUP(WardrobeCarcassMaterial,SheetsData,5,FALSE))+(VLOOKUP("H/F (22mm)",SheetsData,7,FALSE)*1.44),IF(AND(VALUE(B124)&lt;2421,VALUE(C124)&lt;1211,VALUE(D124)&lt;1211),(3*VLOOKUP(WardrobeCarcassMaterial,SheetsData,5,FALSE))+(VLOOKUP("H/F (22mm)",SheetsData,7,FALSE)*1.44),IF(AND(VALUE(B124)&lt;2421,VALUE(C124)&lt;2421,VALUE(D124)&lt;1211),(4*VLOOKUP(WardrobeCarcassMaterial,SheetsData,5,FALSE))+(VLOOKUP("H/F (22mm)",SheetsData,7,FALSE)*1.44))))),IF(ISERROR(FIND("drawer front",A124))=FALSE,((B124/1000)*(C124/1000))*VLOOKUP(WardrobeDoorMaterial,SheetsData,8,0),IF(AND(WardrobeDrawerType="Match carcass",ISERROR(FIND("drawer box",A124))=FALSE),(((((B124/1000)*(C124/1000))+((B124/1000)*(D124/1000)))*2)*VLOOKUP(WardrobeCarcassMaterial,SheetsData,8,0))+(((C124/1000)*(D124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box",A124))=FALSE),(((((B124/1000)*(C124/1000))+((B124/1000)*(D124/1000)))*2)*(16/1000)*VLOOKUP(LEFT(WardrobeCarcassMaterial,FIND(" ",WardrobeCarcassMaterial))&amp;"(solid m3)",SolidData,4,0))+(((C124/1000)*(D124/1000))*VLOOKUP(LEFT(WardrobeCarcassMaterial,FIND("(",WardrobeCarcassMaterial)-1)&amp;IF(OR(ISERROR(FIND("ply",WardrobeCarcassMaterial))=FALSE,ISERROR(FIND("H/F",WardrobeCarcassMaterial))=FALSE),"(9mm)","(10mm)"),SheetsData,8,0)),IF(ISERROR(FIND("shelf",A124))=FALSE,((C124/1000)*(D124/1000))*VLOOKUP(WardrobeCarcassMaterial,SheetsData,7,FALSE),IF(ISERROR(FIND("Office pod",A124))=FALSE,3*VLOOKUP(WardrobeCarcassMaterial,SheetsData,5,0),IF(ISERROR(FIND(" panel",A124))=FALSE,((B124/1000)*(C124/1000))*VLOOKUP(WardrobeDoorMaterial,SheetsData,8,0),IF(ISERROR(FIND("Fillers",A124))=FALSE,(((0.06*(C124/1000))*2)*VLOOKUP("H/F (18mm)",SheetsData,8,0))+(((0.06*(C124/1000))*2)*VLOOKUP("H/F (9mm)",SheetsData,8,0)),IF(ISERROR(FIND("Cornice (stacked)",A124))=FALSE,((0.08*(C124/1000))*2)*VLOOKUP("H/F (22mm)",SheetsData,8,0),IF(OR(ISERROR(FIND("Plinth",A124))=FALSE,ISERROR(FIND("Cornice (flat)",A124))=FALSE),((B124/1000)*(C124/1000))*VLOOKUP("H/F (18mm)",SheetsData,8,0),IF(ISERROR(FIND("Pelmet",A124))=FALSE,((((B124/1000)*(C124/1000))*2)*VLOOKUP("H/F (18mm)",SheetsData,8,0)),IF(ISERROR(FIND("Fireplace",A124))=FALSE,IF(ISERROR(FIND("over 1600",A124))=FALSE,2*VLOOKUP(WardrobeCarcassMaterial,SheetsData,5,FALSE),VLOOKUP(WardrobeCarcassMaterial,SheetsData,5,FALSE)),IF(ISERROR(FIND("table",A124))=FALSE,((B124/1000)*0.6)*VLOOKUP("Birch ply (24mm)",SheetsData,7,FALSE),IF(ISERROR(FIND("Worktop",A124))=FALSE,((B124/1000)*(C124/1000))*VLOOKUP(WardrobeDoorMaterial,SheetsData,7,FALSE),"Check formula")))))))))))))))))</f>
        <v/>
      </c>
      <c r="F124" s="152" t="str">
        <f>IFERROR(__xludf.DUMMYFUNCTION("IF(OR(A124="""",AND(ISERROR(FIND(""drawer box"",A124))=FALSE,WardrobeDrawerType=""Solid dovetail"")),"""",IF(ISERROR(FIND(""bins"",A124))=FALSE,VLOOKUP(""Base carcass 600"",Wardrobes_etcData,6,0),IF(OR(ISERROR(FIND(""larder"",A124))=FALSE,ISERROR(FIND(""u"&amp;"nit"",A124))=FALSE),VLOOKUP(LEFT(A124,FIND("" "",A124))&amp;""carcass ""&amp;RIGHT(A124,LEN(A124)-len(regexextract(A124,"".* ""))),Wardrobes_etcData,6,0),IF(ISERROR(FIND(""drawer front"",A124))=FALSE,IF(ISERROR(FIND(""veneer"",WardrobeCarcassMaterial))=TRUE,0,((("&amp;"B124+C124)/1000)*2)*VLOOKUP(""Edge banding (per M)"",SheetsData,5,0)),IF(ISERROR(FIND(""drawer box"",A124))=FALSE,IF(ISERROR(FIND(""veneer"",WardrobeCarcassMaterial))=TRUE,0,(((C124+D124)/1000)*2)*VLOOKUP(""Edge banding (per M)"",SheetsData,5,0)),IF(ISERR"&amp;"OR(FIND(""shelf"",A124))=FALSE,IF(ISERROR(FIND(""veneer"",WardrobeCarcassMaterial))=TRUE,0,(C124/1000)*VLOOKUP(""Edge banding (per M)"",SheetsData,5,0)),IF(AND(OR(ISERROR(FIND(""arcass"",A124))=FALSE,ISERROR(FIND(""Fireplace"",A124))=FALSE),ISERROR(FIND("&amp;"""shelf"",A124))=TRUE),IF(ISERROR(FIND(""veneer"",WardrobeCarcassMaterial))=TRUE,0,((2*(B124+C124))/1000)*VLOOKUP(""Edge banding (per M)"",SheetsData,5,0)),IF(ISERROR(FIND(""door"",A124))=TRUE,"""",IF(ISERROR(FIND(""veneer"",WardrobeDoorMaterial))=TRUE,"""&amp;""",((2*(B124+C124))/1000)*VLOOKUP(""Edge banding (per M)"",SheetsData,5,0))))))))))"),"")</f>
        <v/>
      </c>
      <c r="G124" s="153" t="str">
        <f>IF(A124="","",IF(AND(ISERROR(FIND("arcass",A124))=TRUE,ISERROR(FIND("Fireplace",A124))=TRUE),"",IF(VALUE(C124)&lt;606,4*VLOOKUP("Plinth foot (2 Parts 80mm)",FurnitureData,5,FALSE),IF(VALUE(C124)&lt;1211,6*VLOOKUP("Plinth foot (2 Parts 80mm)",FurnitureData,5,FALSE),8*VLOOKUP("Plinth foot (2 Parts 80mm)",FurnitureData,5,FALSE)))))</f>
        <v/>
      </c>
      <c r="H124" s="115" t="str">
        <f>IF(OR(A124="",ISERROR(FIND("door",A124))=TRUE),"",VLOOKUP("Hinges &amp; plates (Hettich thick door)",FurnitureData,5,0)*5)</f>
        <v/>
      </c>
      <c r="I124" s="115" t="str">
        <f>IF(ISERROR(FIND("shelf",A124))=FALSE,(VLOOKUP("Shelf pegs",FurnitureData,5,0)/100)*4,"")</f>
        <v/>
      </c>
      <c r="J124" s="152" t="str">
        <f>IF(OR(ISERROR(FIND("fridge/freezer",A124))=FALSE,ISERROR(FIND("sink",A124))=FALSE,ISERROR(FIND("larder",A124))=FALSE),VLOOKUP("Deep shelf "&amp;C124,Wardrobes_etcData,18,0),IF(OR(ISERROR(FIND("single oven",A124))=FALSE,ISERROR(FIND("Base carcass",A124))=FALSE),2*VLOOKUP("Deep shelf "&amp;C124,Wardrobes_etcData,18,0),IF(AND(ISERROR(FIND("wall carcass",A124))=FALSE,ISERROR(FIND("Boiler",A124))=TRUE),2*VLOOKUP("Shallow shelf "&amp;C124,Wardrobes_etcData,18,0),IF(ISERROR(FIND("double oven",A124))=FALSE,3*VLOOKUP("Deep shelf "&amp;C124,Wardrobes_etcData,18,0),IF(ISERROR(FIND("Tower carcass",A124))=FALSE,6*VLOOKUP("Deep shelf "&amp;C124,Wardrobes_etcData,18,0),"")))))</f>
        <v/>
      </c>
      <c r="K124" s="152" t="str">
        <f>IF(ISERROR(FIND("sink",A124))=FALSE,VLOOKUP("Sink liner - Aluminium "&amp;RIGHT(A124,LEN(A124)-22)&amp;"mm",ExceptionalData,5,0),IF(ISERROR(FIND("bins",A124))=FALSE,VLOOKUP("Drawer runners and clip set for bin unit (500) Dynapro",FurnitureData,5,0)+(2*VLOOKUP("Bin (42L Anthracite)",FurnitureData,5,0)),IF(ISERROR(FIND("larder",A124))=FALSE,VLOOKUP("Pull out larder unit 600mm",FurnitureData,5,0),IF(AND(ISERROR(FIND("drawer box",A124))=FALSE,ISERROR(FIND("internal",A124))=TRUE),VLOOKUP("Drawer runners and clip set (550) Dynapro",FurnitureData,5,0),IF(ISERROR(FIND("internal drawer box",A124))=FALSE,VLOOKUP("Drawer runners and clip set (450) Dynapro",FurnitureData,5,0),IF(ISERROR(FIND("table",A124))=FALSE,VLOOKUP("Hairpin Leg (12mm Black "&amp;MID(A124,FIND("(",A124)+1,LEN(A124)-(FIND("(",A124))-1)&amp;"mm)",ExceptionalData,4,FALSE),""))))))</f>
        <v/>
      </c>
      <c r="L124" s="152" t="str">
        <f t="shared" si="3"/>
        <v/>
      </c>
      <c r="M124" s="154" t="str">
        <f>IF(A124="","",IF(AND(ISERROR(FIND("drawer front",A124))=FALSE,WardrobeDoorStyle="Flat"),(((B124/1000)*(C124/1000))*2)+((((B124+C124)/1000)*2)*0.022),IF(AND(ISERROR(FIND("drawer front",A124))=FALSE,LEFT(WardrobeDoorStyle,5)="Panel"),(((B124/1000)*(C124/1000))*2)+((((B124+C124)/1000)*2)*0.022)+((((C124/1000)-0.16)*0.013)*2)+((((D124/1000)-0.16)*0.013)*2),IF(AND(ISERROR(FIND("drawer front",A124))=FALSE,WardrobeDoorStyle="In-frame flat"),((((B124-76)/1000)*((C124-38)/1000))*2)+(MID(WardrobeDoorMaterial,FIND("(",WardrobeDoorMaterial)+1,2)/1000)*((((B124-76)+(C124-38))/1000)*2)+(((B124/1000)*0.032)*2)+((((B124-76)/1000)*0.032)*2)+(((B124/1000)*0.019)*4)+(((C124/1000)*0.032)*2)+((((C124-38)/1000)*0.032)*2)+(((C124/1000)*0.038)*4),IF(AND(ISERROR(FIND("drawer front",A124))=FALSE,LEFT(WardrobeDoorStyle,14)="In-frame panel"),((((B124-76)/1000)*((C124-38)/1000))*2)+((MID(WardrobeDoorMaterial,FIND("(",WardrobeDoorMaterial)+1,2)/1000)*((((B124-76)+(C124-38))/1000)*2))+((((B124-236)/1000)+((C124-198)/1000)*2)*0.013)+(((B124/1000)*0.032)*2)+((((B124-76)/1000)*0.032)*2)+(((B124/1000)*0.019)*4)+(((C124/1000)*0.032)*2)+((((C124-38)/1000)*0.032)*2)+(((C124/1000)*0.038)*4),IF(ISERROR(FIND("drawer box",A124))=FALSE,((((B124/1000)*(D124/1000))+((B124/1000)*(C124/1000)))*4)+((((D124/1000)+(C124/1000))*0.016)*4)+(((C124/1000)*(D124/1000))*2),IF(OR(ISERROR(FIND("shelf",A124))=FALSE,ISERROR(FIND("Filler panel",A124))=FALSE),(((C124/1000)*(D124/1000))*2)+((((C124+D124)*2)/1000)*0.022),IF(ISERROR(FIND("Fireplace",A124))=FALSE,((B124/1000)*(C124/1000)),IF(ISERROR(FIND("Worktop",A124))=FALSE,(B124/1000)*(C124/1000),IF(ISERROR(FIND("table",A124))=FALSE,(B124/1000)*0.6,IF(ISERROR(FIND("arcass",A124))=FALSE,(((C124/1000)*(D124/1000))*2)+(((B124/1000)*(D124/1000))*2)+((B124/1000)*(C124/1000))+((((B124/1000)*0.025)+((C124/1000)*0.025))*2),IF(AND(ISERROR(FIND("door",A124))=FALSE,WardrobeDoorStyle="Flat"),(((B124/1000)*(C124/1000))*2)+(MID(WardrobeDoorMaterial,FIND("(",WardrobeDoorMaterial)+1,2)/1000)*(((B124+C124)/1000)*2),IF(AND(ISERROR(FIND("door",A124))=FALSE,LEFT(WardrobeDoorStyle,5)="Panel"),(((B124/1000)*(C124/1000))*2)+((MID(WardrobeDoorMaterial,FIND("(",WardrobeDoorMaterial)+1,2)/1000)*(((B124+C124)/1000)*2))+(((((B124-160)+(C124-160))*2)/1000)*(0.013)),IF(AND(ISERROR(FIND("door",A124))=FALSE,WardrobeDoorStyle="In-frame flat"),((((B124-76)/1000)*((C124-38)/1000))*2)+(MID(WardrobeDoorMaterial,FIND("(",WardrobeDoorMaterial)+1,2)/1000)*((((B124-76)+(C124-38))/1000)*2)+(((B124/1000)*0.032)*2)+((((B124-76)/1000)*0.032)*2)+(((B124/1000)*0.019)*4)+(((C124/1000)*0.032)*2)+((((C124-38)/1000)*0.032)*2)+(((C124/1000)*0.038)*4),IF(AND(ISERROR(FIND("door",A124))=FALSE,LEFT(WardrobeDoorStyle,14)="In-frame panel"),((((B124-76)/1000)*((C124-38)/1000))*2)+((MID(WardrobeDoorMaterial,FIND("(",WardrobeDoorMaterial)+1,2)/1000)*((((B124-76)+(C124-38))/1000)*2))+((((B124-236)/1000)+((C124-198)/1000)*2)*0.013)+(((B124/1000)*0.032)*2)+((((B124-76)/1000)*0.032)*2)+(((B124/1000)*0.019)*4)+(((C124/1000)*0.032)*2)+((((C124-38)/1000)*0.032)*2)+(((C124/1000)*0.038)*4),IF(ISERROR(FIND("Plinth",A124))=FALSE,((B124/1000)*(C124/1000))+(((C124/1000)*0.018)*2)+(((B124/1000)*0.018)*2),IF(ISERROR(FIND("Cornice",A124))=FALSE,(((C124/1000)*0.1)*2)+(((C124/1000)*0.044)*2)+(((B124/1000)*0.08)*2),IF(ISERROR(FIND("Office pod",A124))=FALSE,((2400/1000)*(1200/1000))*6,IF(ISERROR(FIND("panel",A124))=FALSE,((B124/1000)*(C124/1000))+(0.022*((B124/1000)+((C124/1000)*2)))+((B124/1000)*0.05),IF(ISERROR(FIND("Fillers",A124))=FALSE,((C124/1000)*0.06)+((C124/1000)*0.069)+((0.06*0.018)*2)+((0.06*0.009)*2)+((C124/1000)*0.009)+((C124/1000)*0.018),IF(ISERROR(FIND("Pelmet",A124))=FALSE,((C124/1000)*0.05)+((C124/1000)*0.068)+((0.05*0.018)*4)+(((C124/1000)*0.018))*2)))))))))))))))))))))</f>
        <v/>
      </c>
      <c r="N124" s="152" t="str">
        <f>IF(M124="","",IF(AND(ISERROR(FIND("carcass",A124))=TRUE,ISERROR(FIND("unit",A124))=TRUE,ISERROR(FIND("insert",A124))=TRUE,ISERROR(FIND("rack",A124))=TRUE,ISERROR(FIND("box",A124))=TRUE,ISERROR(FIND("shelf",A124))=TRUE),VLOOKUP(WardrobeDoorFinish,Finishing!$A$2:$K$10,9,0)*M124,IF(ISERROR(FIND("table",A124))=FALSE,VLOOKUP("Sayerlack AF0072 Interior Clear Self-Sealer",FinishingData,9,FALSE)*M124,VLOOKUP(WardrobeCarcassFinish,Finishing!$A$2:$K$40,9,0)*M124)))</f>
        <v/>
      </c>
      <c r="O124" s="159"/>
      <c r="P124" s="159"/>
      <c r="Q124" s="152" t="str">
        <f>IF(OR(O124="",P124=""),"",((O124*X124)*(VLOOKUP("Workshop",Labour!$A$3:$E$20,4,0)/8))+((P124*AE124)*(VLOOKUP("Finishing",Labour!$A$3:$E$20,4,0)/8)))</f>
        <v/>
      </c>
      <c r="R124" s="152" t="str">
        <f t="shared" si="4"/>
        <v/>
      </c>
      <c r="S124" s="156" t="str">
        <f>IF(OR(O124="",P124=""),"",IF(OR(ISERROR(FIND("carcass",$A124))=FALSE,ISERROR(FIND("unit",$A124))=FALSE),VLOOKUP(WardrobeCarcassMaterial,FixedListsCarcassMaterial,2,0),0))</f>
        <v/>
      </c>
      <c r="T124" s="156" t="str">
        <f>IF(OR(O124="",P124=""),"",IF(ISERROR(FIND("door",$A124))=FALSE,VLOOKUP(WardrobeDoorStyle,FixedListsDoorStyle,2,0),0))</f>
        <v/>
      </c>
      <c r="U124" s="156" t="str">
        <f>IF(OR(O124="",P124=""),"",IF(ISERROR(FIND("door",$A124))=FALSE,VLOOKUP(WardrobeDoorMaterial,FixedListsDoorMaterial,2,0),0))</f>
        <v/>
      </c>
      <c r="V124" s="156" t="str">
        <f>IF(OR(O124="",P124=""),"",IF(ISERROR(FIND("drawer",$A124))=FALSE,VLOOKUP(WardrobeDrawerType,FixedListsDrawerType,2,0),0))</f>
        <v/>
      </c>
      <c r="W124" s="156" t="str">
        <f>IF(OR(O124="",P124=""),"",IF(S124&gt;0,VLOOKUP(WardrobeHandleType,FixedListsHandleType,2,FALSE),0))</f>
        <v/>
      </c>
      <c r="X124" s="156" t="str">
        <f t="shared" si="5"/>
        <v/>
      </c>
      <c r="Y124" s="156" t="str">
        <f>IF(OR(O124="",P124=""),"",IF(OR(ISERROR(FIND("carcass",$A124))=FALSE,ISERROR(FIND("unit",$A124))=FALSE),VLOOKUP(WardrobeCarcassMaterial,FixedListsCarcassMaterial,3,0),0))</f>
        <v/>
      </c>
      <c r="Z124" s="156" t="str">
        <f>IF(OR(O124="",P124=""),"",IF(ISERROR(FIND("door",$A124))=FALSE,VLOOKUP(WardrobeDoorStyle,FixedListsDoorStyle,3,0),0))</f>
        <v/>
      </c>
      <c r="AA124" s="156" t="str">
        <f>IF(OR(O124="",P124=""),"",IF(ISERROR(FIND("door",$A124))=FALSE,VLOOKUP(WardrobeDoorMaterial,FixedListsDoorMaterial,3,0),0))</f>
        <v/>
      </c>
      <c r="AB124" s="156" t="str">
        <f>IF(OR(O124="",P124=""),"",IF(ISERROR(FIND("drawer",$A124))=FALSE,VLOOKUP(WardrobeDrawerType,FixedListsDrawerType,3,0),0))</f>
        <v/>
      </c>
      <c r="AC124" s="156" t="str">
        <f>IF(OR(O124="",P124=""),"",IF(S124&gt;0,VLOOKUP(WardrobeHandleType,FixedListsHandleType,3,FALSE),0))</f>
        <v/>
      </c>
      <c r="AD124" s="156" t="str">
        <f>IF(OR(O124="",P124=""),"",IF(OR(ISERROR(FIND("carcass",$A124))=FALSE,ISERROR(FIND("unit",$A124))=FALSE),VLOOKUP(WardrobeCarcassFinish,FixedListsFinishes,3,0),IF(OR(ISERROR(FIND("door",$A124))=FALSE,ISERROR(FIND("Plinth",$A124))=FALSE,ISERROR(FIND("Cornice",$A124))=FALSE,ISERROR(FIND("Fillers",$A124))=FALSE,ISERROR(FIND("Pelmet",$A124))=FALSE,ISERROR(FIND("panel",$A124))=FALSE,ISERROR(FIND("post",$A124))=FALSE),VLOOKUP(WardrobeDoorFinish,FixedListsFinishes,3,0),IF(OR(ISERROR(FIND("drawer",$A124))=FALSE,ISERROR(FIND("insert",$A124))=FALSE,ISERROR(FIND("rck",$A124))=FALSE),VLOOKUP(WardrobeCarcassFinish,FixedListsFinishes,3,0),0))))</f>
        <v/>
      </c>
      <c r="AE124" s="156" t="str">
        <f t="shared" si="6"/>
        <v/>
      </c>
      <c r="AF124" s="157" t="str">
        <f>IF(AND(WardrobeHandleType="Channel",OR(ISERROR(FIND("arcass",$A124))=FALSE,ISERROR(FIND("unit",$A124))=FALSE)),IF(ISERROR(FIND("Tower",$A124))=TRUE,IF(WardrobeHandleFinish="Match carcass",IF(ISERROR(FIND("Walnut",WardrobeCarcassMaterial))=FALSE,(0.035*0.075*($C124/1000))*VLOOKUP("Walnut (solid m3)",SolidData,4,FALSE),IF(ISERROR(FIND("Oak",WardrobeCarcassMaterial))=FALSE,(0.035*0.075*($C124/1000))*VLOOKUP("Oak (solid m3)",SolidData,4,FALSE),IF(ISERROR(FIND("ply",WardrobeCarcassMaterial))=FALSE,(0.1*($C124/1000))*VLOOKUP("Birch ply (24mm)",SheetsData,7,FALSE),IF(ISERROR(FIND("H/F",WardrobeCarcassMaterial))=FALSE,(0.1*($C124/1000))*VLOOKUP("H/F (22mm)",SheetsData,7,FALSE),"Carcass - not tower - new material")))),IF(WardrobeHandleFinish="Match door",IF(ISERROR(FIND("Walnut",WardrobeDoorMaterial))=FALSE,(0.035*0.075*($C124/1000))*VLOOKUP("Walnut (solid m3)",SolidData,4,FALSE),IF(ISERROR(FIND("Oak",WardrobeDoorMaterial))=FALSE,(0.035*0.075*($C124/1000))*VLOOKUP("Oak (solid m3)",SolidData,4,FALSE),IF(ISERROR(FIND("ply",WardrobeDoorMaterial))=FALSE,(0.1*($C124/1000))*VLOOKUP("Birch ply (24mm)",SheetsData,7,FALSE),IF(ISERROR(FIND("H/F",WardrobeCarcassMaterial))=FALSE,(0.1*($C124/1000))*VLOOKUP("H/F (22mm)",SheetsData,7,FALSE),"Door - not tower - new material")))),"Channel - not tower - handle set to other")),IF(ISERROR(FIND("Tower",$A124))=FALSE,IF(WardrobeHandleFinish="Match carcass",IF(ISERROR(FIND("Walnut",WardrobeCarcassMaterial))=FALSE,(0.035*0.075*($B124/1000))*VLOOKUP("Walnut (solid m3)",SolidData,4,FALSE),IF(ISERROR(FIND("Oak",WardrobeCarcassMaterial))=FALSE,(0.035*0.075*($B124/1000))*VLOOKUP("Oak (solid m3)",SolidData,4,FALSE),IF(ISERROR(FIND("ply",WardrobeCarcassMaterial))=FALSE,(0.1*($B124/1000))*VLOOKUP("Birch ply (24mm)",SheetsData,7,FALSE),IF(ISERROR(FIND("H/F",WardrobeCarcassMaterial))=FALSE,(0.1*($C124/1000))*VLOOKUP("H/F (22mm)",SheetsData,7,FALSE),"Carcass - tower - new material")))),IF(WardrobeHandleFinish="Match door",IF(ISERROR(FIND("Walnut",WardrobeDoorMaterial))=FALSE,(0.035*0.075*($B124/1000))*VLOOKUP("Walnut (solid m3)",SolidData,4,FALSE),IF(ISERROR(FIND("Oak",WardrobeDoorMaterial))=FALSE,(0.035*0.075*($B124/1000))*VLOOKUP("Oak (solid m3)",SolidData,4,FALSE),IF(ISERROR(FIND("ply",WardrobeDoorMaterial))=FALSE,(0.1*($B124/1000))*VLOOKUP("Birch ply (24mm)",SheetData,7,FALSE),IF(ISERROR(FIND("H/F",WardrobeCarcassMaterial))=FALSE,(0.1*($C124/1000))*VLOOKUP("H/F (22mm)",SheetsData,7,FALSE),"Door - tower - new material")))),"Channel - tower - handle set to other")))),"")</f>
        <v/>
      </c>
    </row>
    <row r="125">
      <c r="A125" s="150"/>
      <c r="B125" s="160" t="str">
        <f t="shared" si="1"/>
        <v/>
      </c>
      <c r="C125" s="160" t="str">
        <f>IFERROR(__xludf.DUMMYFUNCTION("IF(A125="""","""",IF(ISERROR(FIND(""arcass"",A125))=FALSE,MID(A125,FIND(""*"",A125)+1,FIND(""*"",A125,FIND(""*"",A125)+1)-FIND(""*"",A125)-1),IF(ISERROR(FIND(""End panel"",A125))=FALSE,RIGHT(A125,3),IF(OR(ISERROR(FIND(""drawer"",A125))=FALSE,ISERROR(FIND("&amp;"""door"",A125))=FALSE,ISERROR(FIND(""shelf"",A125))=FALSE,ISERROR(FIND(""panel"",A125))=FALSE,ISERROR(FIND(""Plinth"",A125))=FALSE,ISERROR(FIND(""Cornice"",A125))=FALSE,ISERROR(FIND(""Fillers"",A125))=FALSE,ISERROR(FIND(""Pelmet"",A125))=FALSE,ISERROR(FIN"&amp;"D(""Fireplace up to 1600"",A125))=FALSE),RIGHT(A125,LEN(A125)-LEN(regexextract(A125,"".* ""))),IF(ISERROR(FIND(""table"",A125))=FALSE,""560"",IF(ISERROR(FIND(""Office pod"",A125))=FALSE,""1600"",IF(ISERROR(FIND(""Fireplace over 1600"",A125))=FALSE,""2400"&amp;""",IF(ISERROR(FIND(""Worktop"",A125))=FALSE,""650"",""Whoops""))))))))"),"")</f>
        <v/>
      </c>
      <c r="D125" s="161" t="str">
        <f t="shared" si="2"/>
        <v/>
      </c>
      <c r="E125" s="152" t="str">
        <f>IF(OR(A125="",AND(ISERROR(FIND("drawer",A125))=FALSE,WardrobeDrawerType="")),"",IF(ISERROR(FIND("door",A125))=FALSE,IF(WardrobeDoorStyle="Flat",((B125/1000)*(C125/1000))*VLOOKUP(WardrobeDoorMaterial,SheetsData,8,0),IF(LEFT(WardrobeDoorStyle,5)="Panel",(((((B125/1000)*2)*0.08)+((((C125/1000)-0.16)*2)*0.08))*VLOOKUP("H/F (22mm)",SheetsData,8,0))+(((B125/1000)-0.14)*((C125/1000)-0.14)*VLOOKUP("H/F (9mm)",SheetsData,8,0)),IF(WardrobeDoorStyle="In-frame flat",((((((B125/1000)*0.019)*0.038)+((((C125-38)/1000)*0.038)*0.038))*2)*VLOOKUP("Tulip (solid m3)",SolidData,4,0))+(((B125-76)/1000)*((C125-38)/1000))*VLOOKUP("H/F (22mm)",SheetsData,8,0),IF(LEFT(WardrobeDoorStyle,14)="In-frame panel",(((((((B125/1000)*0.019)*0.038)+((((C125-38)/1000)*0.038)*0.038))*2)*VLOOKUP("Tulip (solid m3)",SolidData,4,0))+(((((((B125-76)/1000)*2)*0.08)+(((((C125-198)/1000)*2)*0.08)))*VLOOKUP("H/F (22mm)",SheetsData,8,0))+(((B125-216)/1000)*((C125-178)/1000)*VLOOKUP("H/F (9mm)",SheetsData,8,0)))))))),IF(AND(ISERROR(FIND("arcass",A125))=FALSE,ISERROR(FIND("ost corner",A125))=TRUE),IF(AND(VALUE(B125)&lt;1211,VALUE(C125)&lt;1211,VALUE(D125)&lt;606),1*VLOOKUP(WardrobeCarcassMaterial,SheetsData,5,FALSE),IF(AND(VALUE(B125)&lt;2421,VALUE(C125)&lt;2421,VALUE(D125)&lt;606),2*VLOOKUP(WardrobeCarcassMaterial,SheetsData,5,FALSE),IF(AND(VALUE(B125)&lt;2421,VALUE(C125)&lt;1211,VALUE(D125)&lt;1211),3*VLOOKUP(WardrobeCarcassMaterial,SheetsData,5,FALSE),IF(AND(VALUE(B125)&lt;2421,VALUE(C125)&lt;2421,VALUE(D125)&lt;1211),4*VLOOKUP(WardrobeCarcassMaterial,SheetsData,5,FALSE))))),IF(AND(ISERROR(FIND("arcass",A125))=FALSE,ISERROR(FIND("ost corner",A125))=FALSE),IF(AND(VALUE(B125)&lt;1211,VALUE(C125)&lt;1211,VALUE(D125)&lt;606),(1*VLOOKUP(WardrobeCarcassMaterial,SheetsData,5,FALSE))+(VLOOKUP("H/F (22mm)",SheetsData,7,FALSE)*1.44),IF(AND(VALUE(B125)&lt;2421,VALUE(C125)&lt;2421,VALUE(D125)&lt;606),(2*VLOOKUP(WardrobeCarcassMaterial,SheetsData,5,FALSE))+(VLOOKUP("H/F (22mm)",SheetsData,7,FALSE)*1.44),IF(AND(VALUE(B125)&lt;2421,VALUE(C125)&lt;1211,VALUE(D125)&lt;1211),(3*VLOOKUP(WardrobeCarcassMaterial,SheetsData,5,FALSE))+(VLOOKUP("H/F (22mm)",SheetsData,7,FALSE)*1.44),IF(AND(VALUE(B125)&lt;2421,VALUE(C125)&lt;2421,VALUE(D125)&lt;1211),(4*VLOOKUP(WardrobeCarcassMaterial,SheetsData,5,FALSE))+(VLOOKUP("H/F (22mm)",SheetsData,7,FALSE)*1.44))))),IF(ISERROR(FIND("drawer front",A125))=FALSE,((B125/1000)*(C125/1000))*VLOOKUP(WardrobeDoorMaterial,SheetsData,8,0),IF(AND(WardrobeDrawerType="Match carcass",ISERROR(FIND("drawer box",A125))=FALSE),(((((B125/1000)*(C125/1000))+((B125/1000)*(D125/1000)))*2)*VLOOKUP(WardrobeCarcassMaterial,SheetsData,8,0))+(((C125/1000)*(D125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box",A125))=FALSE),(((((B125/1000)*(C125/1000))+((B125/1000)*(D125/1000)))*2)*(16/1000)*VLOOKUP(LEFT(WardrobeCarcassMaterial,FIND(" ",WardrobeCarcassMaterial))&amp;"(solid m3)",SolidData,4,0))+(((C125/1000)*(D125/1000))*VLOOKUP(LEFT(WardrobeCarcassMaterial,FIND("(",WardrobeCarcassMaterial)-1)&amp;IF(OR(ISERROR(FIND("ply",WardrobeCarcassMaterial))=FALSE,ISERROR(FIND("H/F",WardrobeCarcassMaterial))=FALSE),"(9mm)","(10mm)"),SheetsData,8,0)),IF(ISERROR(FIND("shelf",A125))=FALSE,((C125/1000)*(D125/1000))*VLOOKUP(WardrobeCarcassMaterial,SheetsData,7,FALSE),IF(ISERROR(FIND("Office pod",A125))=FALSE,3*VLOOKUP(WardrobeCarcassMaterial,SheetsData,5,0),IF(ISERROR(FIND(" panel",A125))=FALSE,((B125/1000)*(C125/1000))*VLOOKUP(WardrobeDoorMaterial,SheetsData,8,0),IF(ISERROR(FIND("Fillers",A125))=FALSE,(((0.06*(C125/1000))*2)*VLOOKUP("H/F (18mm)",SheetsData,8,0))+(((0.06*(C125/1000))*2)*VLOOKUP("H/F (9mm)",SheetsData,8,0)),IF(ISERROR(FIND("Cornice (stacked)",A125))=FALSE,((0.08*(C125/1000))*2)*VLOOKUP("H/F (22mm)",SheetsData,8,0),IF(OR(ISERROR(FIND("Plinth",A125))=FALSE,ISERROR(FIND("Cornice (flat)",A125))=FALSE),((B125/1000)*(C125/1000))*VLOOKUP("H/F (18mm)",SheetsData,8,0),IF(ISERROR(FIND("Pelmet",A125))=FALSE,((((B125/1000)*(C125/1000))*2)*VLOOKUP("H/F (18mm)",SheetsData,8,0)),IF(ISERROR(FIND("Fireplace",A125))=FALSE,IF(ISERROR(FIND("over 1600",A125))=FALSE,2*VLOOKUP(WardrobeCarcassMaterial,SheetsData,5,FALSE),VLOOKUP(WardrobeCarcassMaterial,SheetsData,5,FALSE)),IF(ISERROR(FIND("table",A125))=FALSE,((B125/1000)*0.6)*VLOOKUP("Birch ply (24mm)",SheetsData,7,FALSE),IF(ISERROR(FIND("Worktop",A125))=FALSE,((B125/1000)*(C125/1000))*VLOOKUP(WardrobeDoorMaterial,SheetsData,7,FALSE),"Check formula")))))))))))))))))</f>
        <v/>
      </c>
      <c r="F125" s="152" t="str">
        <f>IFERROR(__xludf.DUMMYFUNCTION("IF(OR(A125="""",AND(ISERROR(FIND(""drawer box"",A125))=FALSE,WardrobeDrawerType=""Solid dovetail"")),"""",IF(ISERROR(FIND(""bins"",A125))=FALSE,VLOOKUP(""Base carcass 600"",Wardrobes_etcData,6,0),IF(OR(ISERROR(FIND(""larder"",A125))=FALSE,ISERROR(FIND(""u"&amp;"nit"",A125))=FALSE),VLOOKUP(LEFT(A125,FIND("" "",A125))&amp;""carcass ""&amp;RIGHT(A125,LEN(A125)-len(regexextract(A125,"".* ""))),Wardrobes_etcData,6,0),IF(ISERROR(FIND(""drawer front"",A125))=FALSE,IF(ISERROR(FIND(""veneer"",WardrobeCarcassMaterial))=TRUE,0,((("&amp;"B125+C125)/1000)*2)*VLOOKUP(""Edge banding (per M)"",SheetsData,5,0)),IF(ISERROR(FIND(""drawer box"",A125))=FALSE,IF(ISERROR(FIND(""veneer"",WardrobeCarcassMaterial))=TRUE,0,(((C125+D125)/1000)*2)*VLOOKUP(""Edge banding (per M)"",SheetsData,5,0)),IF(ISERR"&amp;"OR(FIND(""shelf"",A125))=FALSE,IF(ISERROR(FIND(""veneer"",WardrobeCarcassMaterial))=TRUE,0,(C125/1000)*VLOOKUP(""Edge banding (per M)"",SheetsData,5,0)),IF(AND(OR(ISERROR(FIND(""arcass"",A125))=FALSE,ISERROR(FIND(""Fireplace"",A125))=FALSE),ISERROR(FIND("&amp;"""shelf"",A125))=TRUE),IF(ISERROR(FIND(""veneer"",WardrobeCarcassMaterial))=TRUE,0,((2*(B125+C125))/1000)*VLOOKUP(""Edge banding (per M)"",SheetsData,5,0)),IF(ISERROR(FIND(""door"",A125))=TRUE,"""",IF(ISERROR(FIND(""veneer"",WardrobeDoorMaterial))=TRUE,"""&amp;""",((2*(B125+C125))/1000)*VLOOKUP(""Edge banding (per M)"",SheetsData,5,0))))))))))"),"")</f>
        <v/>
      </c>
      <c r="G125" s="153" t="str">
        <f>IF(A125="","",IF(AND(ISERROR(FIND("arcass",A125))=TRUE,ISERROR(FIND("Fireplace",A125))=TRUE),"",IF(VALUE(C125)&lt;606,4*VLOOKUP("Plinth foot (2 Parts 80mm)",FurnitureData,5,FALSE),IF(VALUE(C125)&lt;1211,6*VLOOKUP("Plinth foot (2 Parts 80mm)",FurnitureData,5,FALSE),8*VLOOKUP("Plinth foot (2 Parts 80mm)",FurnitureData,5,FALSE)))))</f>
        <v/>
      </c>
      <c r="H125" s="115" t="str">
        <f>IF(OR(A125="",ISERROR(FIND("door",A125))=TRUE),"",VLOOKUP("Hinges &amp; plates (Hettich thick door)",FurnitureData,5,0)*5)</f>
        <v/>
      </c>
      <c r="I125" s="115" t="str">
        <f>IF(ISERROR(FIND("shelf",A125))=FALSE,(VLOOKUP("Shelf pegs",FurnitureData,5,0)/100)*4,"")</f>
        <v/>
      </c>
      <c r="J125" s="152" t="str">
        <f>IF(OR(ISERROR(FIND("fridge/freezer",A125))=FALSE,ISERROR(FIND("sink",A125))=FALSE,ISERROR(FIND("larder",A125))=FALSE),VLOOKUP("Deep shelf "&amp;C125,Wardrobes_etcData,18,0),IF(OR(ISERROR(FIND("single oven",A125))=FALSE,ISERROR(FIND("Base carcass",A125))=FALSE),2*VLOOKUP("Deep shelf "&amp;C125,Wardrobes_etcData,18,0),IF(AND(ISERROR(FIND("wall carcass",A125))=FALSE,ISERROR(FIND("Boiler",A125))=TRUE),2*VLOOKUP("Shallow shelf "&amp;C125,Wardrobes_etcData,18,0),IF(ISERROR(FIND("double oven",A125))=FALSE,3*VLOOKUP("Deep shelf "&amp;C125,Wardrobes_etcData,18,0),IF(ISERROR(FIND("Tower carcass",A125))=FALSE,6*VLOOKUP("Deep shelf "&amp;C125,Wardrobes_etcData,18,0),"")))))</f>
        <v/>
      </c>
      <c r="K125" s="152" t="str">
        <f>IF(ISERROR(FIND("sink",A125))=FALSE,VLOOKUP("Sink liner - Aluminium "&amp;RIGHT(A125,LEN(A125)-22)&amp;"mm",ExceptionalData,5,0),IF(ISERROR(FIND("bins",A125))=FALSE,VLOOKUP("Drawer runners and clip set for bin unit (500) Dynapro",FurnitureData,5,0)+(2*VLOOKUP("Bin (42L Anthracite)",FurnitureData,5,0)),IF(ISERROR(FIND("larder",A125))=FALSE,VLOOKUP("Pull out larder unit 600mm",FurnitureData,5,0),IF(AND(ISERROR(FIND("drawer box",A125))=FALSE,ISERROR(FIND("internal",A125))=TRUE),VLOOKUP("Drawer runners and clip set (550) Dynapro",FurnitureData,5,0),IF(ISERROR(FIND("internal drawer box",A125))=FALSE,VLOOKUP("Drawer runners and clip set (450) Dynapro",FurnitureData,5,0),IF(ISERROR(FIND("table",A125))=FALSE,VLOOKUP("Hairpin Leg (12mm Black "&amp;MID(A125,FIND("(",A125)+1,LEN(A125)-(FIND("(",A125))-1)&amp;"mm)",ExceptionalData,4,FALSE),""))))))</f>
        <v/>
      </c>
      <c r="L125" s="152" t="str">
        <f t="shared" si="3"/>
        <v/>
      </c>
      <c r="M125" s="154" t="str">
        <f>IF(A125="","",IF(AND(ISERROR(FIND("drawer front",A125))=FALSE,WardrobeDoorStyle="Flat"),(((B125/1000)*(C125/1000))*2)+((((B125+C125)/1000)*2)*0.022),IF(AND(ISERROR(FIND("drawer front",A125))=FALSE,LEFT(WardrobeDoorStyle,5)="Panel"),(((B125/1000)*(C125/1000))*2)+((((B125+C125)/1000)*2)*0.022)+((((C125/1000)-0.16)*0.013)*2)+((((D125/1000)-0.16)*0.013)*2),IF(AND(ISERROR(FIND("drawer front",A125))=FALSE,WardrobeDoorStyle="In-frame flat"),((((B125-76)/1000)*((C125-38)/1000))*2)+(MID(WardrobeDoorMaterial,FIND("(",WardrobeDoorMaterial)+1,2)/1000)*((((B125-76)+(C125-38))/1000)*2)+(((B125/1000)*0.032)*2)+((((B125-76)/1000)*0.032)*2)+(((B125/1000)*0.019)*4)+(((C125/1000)*0.032)*2)+((((C125-38)/1000)*0.032)*2)+(((C125/1000)*0.038)*4),IF(AND(ISERROR(FIND("drawer front",A125))=FALSE,LEFT(WardrobeDoorStyle,14)="In-frame panel"),((((B125-76)/1000)*((C125-38)/1000))*2)+((MID(WardrobeDoorMaterial,FIND("(",WardrobeDoorMaterial)+1,2)/1000)*((((B125-76)+(C125-38))/1000)*2))+((((B125-236)/1000)+((C125-198)/1000)*2)*0.013)+(((B125/1000)*0.032)*2)+((((B125-76)/1000)*0.032)*2)+(((B125/1000)*0.019)*4)+(((C125/1000)*0.032)*2)+((((C125-38)/1000)*0.032)*2)+(((C125/1000)*0.038)*4),IF(ISERROR(FIND("drawer box",A125))=FALSE,((((B125/1000)*(D125/1000))+((B125/1000)*(C125/1000)))*4)+((((D125/1000)+(C125/1000))*0.016)*4)+(((C125/1000)*(D125/1000))*2),IF(OR(ISERROR(FIND("shelf",A125))=FALSE,ISERROR(FIND("Filler panel",A125))=FALSE),(((C125/1000)*(D125/1000))*2)+((((C125+D125)*2)/1000)*0.022),IF(ISERROR(FIND("Fireplace",A125))=FALSE,((B125/1000)*(C125/1000)),IF(ISERROR(FIND("Worktop",A125))=FALSE,(B125/1000)*(C125/1000),IF(ISERROR(FIND("table",A125))=FALSE,(B125/1000)*0.6,IF(ISERROR(FIND("arcass",A125))=FALSE,(((C125/1000)*(D125/1000))*2)+(((B125/1000)*(D125/1000))*2)+((B125/1000)*(C125/1000))+((((B125/1000)*0.025)+((C125/1000)*0.025))*2),IF(AND(ISERROR(FIND("door",A125))=FALSE,WardrobeDoorStyle="Flat"),(((B125/1000)*(C125/1000))*2)+(MID(WardrobeDoorMaterial,FIND("(",WardrobeDoorMaterial)+1,2)/1000)*(((B125+C125)/1000)*2),IF(AND(ISERROR(FIND("door",A125))=FALSE,LEFT(WardrobeDoorStyle,5)="Panel"),(((B125/1000)*(C125/1000))*2)+((MID(WardrobeDoorMaterial,FIND("(",WardrobeDoorMaterial)+1,2)/1000)*(((B125+C125)/1000)*2))+(((((B125-160)+(C125-160))*2)/1000)*(0.013)),IF(AND(ISERROR(FIND("door",A125))=FALSE,WardrobeDoorStyle="In-frame flat"),((((B125-76)/1000)*((C125-38)/1000))*2)+(MID(WardrobeDoorMaterial,FIND("(",WardrobeDoorMaterial)+1,2)/1000)*((((B125-76)+(C125-38))/1000)*2)+(((B125/1000)*0.032)*2)+((((B125-76)/1000)*0.032)*2)+(((B125/1000)*0.019)*4)+(((C125/1000)*0.032)*2)+((((C125-38)/1000)*0.032)*2)+(((C125/1000)*0.038)*4),IF(AND(ISERROR(FIND("door",A125))=FALSE,LEFT(WardrobeDoorStyle,14)="In-frame panel"),((((B125-76)/1000)*((C125-38)/1000))*2)+((MID(WardrobeDoorMaterial,FIND("(",WardrobeDoorMaterial)+1,2)/1000)*((((B125-76)+(C125-38))/1000)*2))+((((B125-236)/1000)+((C125-198)/1000)*2)*0.013)+(((B125/1000)*0.032)*2)+((((B125-76)/1000)*0.032)*2)+(((B125/1000)*0.019)*4)+(((C125/1000)*0.032)*2)+((((C125-38)/1000)*0.032)*2)+(((C125/1000)*0.038)*4),IF(ISERROR(FIND("Plinth",A125))=FALSE,((B125/1000)*(C125/1000))+(((C125/1000)*0.018)*2)+(((B125/1000)*0.018)*2),IF(ISERROR(FIND("Cornice",A125))=FALSE,(((C125/1000)*0.1)*2)+(((C125/1000)*0.044)*2)+(((B125/1000)*0.08)*2),IF(ISERROR(FIND("Office pod",A125))=FALSE,((2400/1000)*(1200/1000))*6,IF(ISERROR(FIND("panel",A125))=FALSE,((B125/1000)*(C125/1000))+(0.022*((B125/1000)+((C125/1000)*2)))+((B125/1000)*0.05),IF(ISERROR(FIND("Fillers",A125))=FALSE,((C125/1000)*0.06)+((C125/1000)*0.069)+((0.06*0.018)*2)+((0.06*0.009)*2)+((C125/1000)*0.009)+((C125/1000)*0.018),IF(ISERROR(FIND("Pelmet",A125))=FALSE,((C125/1000)*0.05)+((C125/1000)*0.068)+((0.05*0.018)*4)+(((C125/1000)*0.018))*2)))))))))))))))))))))</f>
        <v/>
      </c>
      <c r="N125" s="152" t="str">
        <f>IF(M125="","",IF(AND(ISERROR(FIND("carcass",A125))=TRUE,ISERROR(FIND("unit",A125))=TRUE,ISERROR(FIND("insert",A125))=TRUE,ISERROR(FIND("rack",A125))=TRUE,ISERROR(FIND("box",A125))=TRUE,ISERROR(FIND("shelf",A125))=TRUE),VLOOKUP(WardrobeDoorFinish,Finishing!$A$2:$K$10,9,0)*M125,IF(ISERROR(FIND("table",A125))=FALSE,VLOOKUP("Sayerlack AF0072 Interior Clear Self-Sealer",FinishingData,9,FALSE)*M125,VLOOKUP(WardrobeCarcassFinish,Finishing!$A$2:$K$40,9,0)*M125)))</f>
        <v/>
      </c>
      <c r="O125" s="159"/>
      <c r="P125" s="159"/>
      <c r="Q125" s="152" t="str">
        <f>IF(OR(O125="",P125=""),"",((O125*X125)*(VLOOKUP("Workshop",Labour!$A$3:$E$20,4,0)/8))+((P125*AE125)*(VLOOKUP("Finishing",Labour!$A$3:$E$20,4,0)/8)))</f>
        <v/>
      </c>
      <c r="R125" s="152" t="str">
        <f t="shared" si="4"/>
        <v/>
      </c>
      <c r="S125" s="156" t="str">
        <f>IF(OR(O125="",P125=""),"",IF(OR(ISERROR(FIND("carcass",$A125))=FALSE,ISERROR(FIND("unit",$A125))=FALSE),VLOOKUP(WardrobeCarcassMaterial,FixedListsCarcassMaterial,2,0),0))</f>
        <v/>
      </c>
      <c r="T125" s="156" t="str">
        <f>IF(OR(O125="",P125=""),"",IF(ISERROR(FIND("door",$A125))=FALSE,VLOOKUP(WardrobeDoorStyle,FixedListsDoorStyle,2,0),0))</f>
        <v/>
      </c>
      <c r="U125" s="156" t="str">
        <f>IF(OR(O125="",P125=""),"",IF(ISERROR(FIND("door",$A125))=FALSE,VLOOKUP(WardrobeDoorMaterial,FixedListsDoorMaterial,2,0),0))</f>
        <v/>
      </c>
      <c r="V125" s="156" t="str">
        <f>IF(OR(O125="",P125=""),"",IF(ISERROR(FIND("drawer",$A125))=FALSE,VLOOKUP(WardrobeDrawerType,FixedListsDrawerType,2,0),0))</f>
        <v/>
      </c>
      <c r="W125" s="156" t="str">
        <f>IF(OR(O125="",P125=""),"",IF(S125&gt;0,VLOOKUP(WardrobeHandleType,FixedListsHandleType,2,FALSE),0))</f>
        <v/>
      </c>
      <c r="X125" s="156" t="str">
        <f t="shared" si="5"/>
        <v/>
      </c>
      <c r="Y125" s="156" t="str">
        <f>IF(OR(O125="",P125=""),"",IF(OR(ISERROR(FIND("carcass",$A125))=FALSE,ISERROR(FIND("unit",$A125))=FALSE),VLOOKUP(WardrobeCarcassMaterial,FixedListsCarcassMaterial,3,0),0))</f>
        <v/>
      </c>
      <c r="Z125" s="156" t="str">
        <f>IF(OR(O125="",P125=""),"",IF(ISERROR(FIND("door",$A125))=FALSE,VLOOKUP(WardrobeDoorStyle,FixedListsDoorStyle,3,0),0))</f>
        <v/>
      </c>
      <c r="AA125" s="156" t="str">
        <f>IF(OR(O125="",P125=""),"",IF(ISERROR(FIND("door",$A125))=FALSE,VLOOKUP(WardrobeDoorMaterial,FixedListsDoorMaterial,3,0),0))</f>
        <v/>
      </c>
      <c r="AB125" s="156" t="str">
        <f>IF(OR(O125="",P125=""),"",IF(ISERROR(FIND("drawer",$A125))=FALSE,VLOOKUP(WardrobeDrawerType,FixedListsDrawerType,3,0),0))</f>
        <v/>
      </c>
      <c r="AC125" s="156" t="str">
        <f>IF(OR(O125="",P125=""),"",IF(S125&gt;0,VLOOKUP(WardrobeHandleType,FixedListsHandleType,3,FALSE),0))</f>
        <v/>
      </c>
      <c r="AD125" s="156" t="str">
        <f>IF(OR(O125="",P125=""),"",IF(OR(ISERROR(FIND("carcass",$A125))=FALSE,ISERROR(FIND("unit",$A125))=FALSE),VLOOKUP(WardrobeCarcassFinish,FixedListsFinishes,3,0),IF(OR(ISERROR(FIND("door",$A125))=FALSE,ISERROR(FIND("Plinth",$A125))=FALSE,ISERROR(FIND("Cornice",$A125))=FALSE,ISERROR(FIND("Fillers",$A125))=FALSE,ISERROR(FIND("Pelmet",$A125))=FALSE,ISERROR(FIND("panel",$A125))=FALSE,ISERROR(FIND("post",$A125))=FALSE),VLOOKUP(WardrobeDoorFinish,FixedListsFinishes,3,0),IF(OR(ISERROR(FIND("drawer",$A125))=FALSE,ISERROR(FIND("insert",$A125))=FALSE,ISERROR(FIND("rck",$A125))=FALSE),VLOOKUP(WardrobeCarcassFinish,FixedListsFinishes,3,0),0))))</f>
        <v/>
      </c>
      <c r="AE125" s="156" t="str">
        <f t="shared" si="6"/>
        <v/>
      </c>
      <c r="AF125" s="157" t="str">
        <f>IF(AND(WardrobeHandleType="Channel",OR(ISERROR(FIND("arcass",$A125))=FALSE,ISERROR(FIND("unit",$A125))=FALSE)),IF(ISERROR(FIND("Tower",$A125))=TRUE,IF(WardrobeHandleFinish="Match carcass",IF(ISERROR(FIND("Walnut",WardrobeCarcassMaterial))=FALSE,(0.035*0.075*($C125/1000))*VLOOKUP("Walnut (solid m3)",SolidData,4,FALSE),IF(ISERROR(FIND("Oak",WardrobeCarcassMaterial))=FALSE,(0.035*0.075*($C125/1000))*VLOOKUP("Oak (solid m3)",SolidData,4,FALSE),IF(ISERROR(FIND("ply",WardrobeCarcassMaterial))=FALSE,(0.1*($C125/1000))*VLOOKUP("Birch ply (24mm)",SheetsData,7,FALSE),IF(ISERROR(FIND("H/F",WardrobeCarcassMaterial))=FALSE,(0.1*($C125/1000))*VLOOKUP("H/F (22mm)",SheetsData,7,FALSE),"Carcass - not tower - new material")))),IF(WardrobeHandleFinish="Match door",IF(ISERROR(FIND("Walnut",WardrobeDoorMaterial))=FALSE,(0.035*0.075*($C125/1000))*VLOOKUP("Walnut (solid m3)",SolidData,4,FALSE),IF(ISERROR(FIND("Oak",WardrobeDoorMaterial))=FALSE,(0.035*0.075*($C125/1000))*VLOOKUP("Oak (solid m3)",SolidData,4,FALSE),IF(ISERROR(FIND("ply",WardrobeDoorMaterial))=FALSE,(0.1*($C125/1000))*VLOOKUP("Birch ply (24mm)",SheetsData,7,FALSE),IF(ISERROR(FIND("H/F",WardrobeCarcassMaterial))=FALSE,(0.1*($C125/1000))*VLOOKUP("H/F (22mm)",SheetsData,7,FALSE),"Door - not tower - new material")))),"Channel - not tower - handle set to other")),IF(ISERROR(FIND("Tower",$A125))=FALSE,IF(WardrobeHandleFinish="Match carcass",IF(ISERROR(FIND("Walnut",WardrobeCarcassMaterial))=FALSE,(0.035*0.075*($B125/1000))*VLOOKUP("Walnut (solid m3)",SolidData,4,FALSE),IF(ISERROR(FIND("Oak",WardrobeCarcassMaterial))=FALSE,(0.035*0.075*($B125/1000))*VLOOKUP("Oak (solid m3)",SolidData,4,FALSE),IF(ISERROR(FIND("ply",WardrobeCarcassMaterial))=FALSE,(0.1*($B125/1000))*VLOOKUP("Birch ply (24mm)",SheetsData,7,FALSE),IF(ISERROR(FIND("H/F",WardrobeCarcassMaterial))=FALSE,(0.1*($C125/1000))*VLOOKUP("H/F (22mm)",SheetsData,7,FALSE),"Carcass - tower - new material")))),IF(WardrobeHandleFinish="Match door",IF(ISERROR(FIND("Walnut",WardrobeDoorMaterial))=FALSE,(0.035*0.075*($B125/1000))*VLOOKUP("Walnut (solid m3)",SolidData,4,FALSE),IF(ISERROR(FIND("Oak",WardrobeDoorMaterial))=FALSE,(0.035*0.075*($B125/1000))*VLOOKUP("Oak (solid m3)",SolidData,4,FALSE),IF(ISERROR(FIND("ply",WardrobeDoorMaterial))=FALSE,(0.1*($B125/1000))*VLOOKUP("Birch ply (24mm)",SheetData,7,FALSE),IF(ISERROR(FIND("H/F",WardrobeCarcassMaterial))=FALSE,(0.1*($C125/1000))*VLOOKUP("H/F (22mm)",SheetsData,7,FALSE),"Door - tower - new material")))),"Channel - tower - handle set to other")))),"")</f>
        <v/>
      </c>
    </row>
    <row r="126">
      <c r="A126" s="150"/>
      <c r="B126" s="160" t="str">
        <f t="shared" si="1"/>
        <v/>
      </c>
      <c r="C126" s="160" t="str">
        <f>IFERROR(__xludf.DUMMYFUNCTION("IF(A126="""","""",IF(ISERROR(FIND(""arcass"",A126))=FALSE,MID(A126,FIND(""*"",A126)+1,FIND(""*"",A126,FIND(""*"",A126)+1)-FIND(""*"",A126)-1),IF(ISERROR(FIND(""End panel"",A126))=FALSE,RIGHT(A126,3),IF(OR(ISERROR(FIND(""drawer"",A126))=FALSE,ISERROR(FIND("&amp;"""door"",A126))=FALSE,ISERROR(FIND(""shelf"",A126))=FALSE,ISERROR(FIND(""panel"",A126))=FALSE,ISERROR(FIND(""Plinth"",A126))=FALSE,ISERROR(FIND(""Cornice"",A126))=FALSE,ISERROR(FIND(""Fillers"",A126))=FALSE,ISERROR(FIND(""Pelmet"",A126))=FALSE,ISERROR(FIN"&amp;"D(""Fireplace up to 1600"",A126))=FALSE),RIGHT(A126,LEN(A126)-LEN(regexextract(A126,"".* ""))),IF(ISERROR(FIND(""table"",A126))=FALSE,""560"",IF(ISERROR(FIND(""Office pod"",A126))=FALSE,""1600"",IF(ISERROR(FIND(""Fireplace over 1600"",A126))=FALSE,""2400"&amp;""",IF(ISERROR(FIND(""Worktop"",A126))=FALSE,""650"",""Whoops""))))))))"),"")</f>
        <v/>
      </c>
      <c r="D126" s="161" t="str">
        <f t="shared" si="2"/>
        <v/>
      </c>
      <c r="E126" s="152" t="str">
        <f>IF(OR(A126="",AND(ISERROR(FIND("drawer",A126))=FALSE,WardrobeDrawerType="")),"",IF(ISERROR(FIND("door",A126))=FALSE,IF(WardrobeDoorStyle="Flat",((B126/1000)*(C126/1000))*VLOOKUP(WardrobeDoorMaterial,SheetsData,8,0),IF(LEFT(WardrobeDoorStyle,5)="Panel",(((((B126/1000)*2)*0.08)+((((C126/1000)-0.16)*2)*0.08))*VLOOKUP("H/F (22mm)",SheetsData,8,0))+(((B126/1000)-0.14)*((C126/1000)-0.14)*VLOOKUP("H/F (9mm)",SheetsData,8,0)),IF(WardrobeDoorStyle="In-frame flat",((((((B126/1000)*0.019)*0.038)+((((C126-38)/1000)*0.038)*0.038))*2)*VLOOKUP("Tulip (solid m3)",SolidData,4,0))+(((B126-76)/1000)*((C126-38)/1000))*VLOOKUP("H/F (22mm)",SheetsData,8,0),IF(LEFT(WardrobeDoorStyle,14)="In-frame panel",(((((((B126/1000)*0.019)*0.038)+((((C126-38)/1000)*0.038)*0.038))*2)*VLOOKUP("Tulip (solid m3)",SolidData,4,0))+(((((((B126-76)/1000)*2)*0.08)+(((((C126-198)/1000)*2)*0.08)))*VLOOKUP("H/F (22mm)",SheetsData,8,0))+(((B126-216)/1000)*((C126-178)/1000)*VLOOKUP("H/F (9mm)",SheetsData,8,0)))))))),IF(AND(ISERROR(FIND("arcass",A126))=FALSE,ISERROR(FIND("ost corner",A126))=TRUE),IF(AND(VALUE(B126)&lt;1211,VALUE(C126)&lt;1211,VALUE(D126)&lt;606),1*VLOOKUP(WardrobeCarcassMaterial,SheetsData,5,FALSE),IF(AND(VALUE(B126)&lt;2421,VALUE(C126)&lt;2421,VALUE(D126)&lt;606),2*VLOOKUP(WardrobeCarcassMaterial,SheetsData,5,FALSE),IF(AND(VALUE(B126)&lt;2421,VALUE(C126)&lt;1211,VALUE(D126)&lt;1211),3*VLOOKUP(WardrobeCarcassMaterial,SheetsData,5,FALSE),IF(AND(VALUE(B126)&lt;2421,VALUE(C126)&lt;2421,VALUE(D126)&lt;1211),4*VLOOKUP(WardrobeCarcassMaterial,SheetsData,5,FALSE))))),IF(AND(ISERROR(FIND("arcass",A126))=FALSE,ISERROR(FIND("ost corner",A126))=FALSE),IF(AND(VALUE(B126)&lt;1211,VALUE(C126)&lt;1211,VALUE(D126)&lt;606),(1*VLOOKUP(WardrobeCarcassMaterial,SheetsData,5,FALSE))+(VLOOKUP("H/F (22mm)",SheetsData,7,FALSE)*1.44),IF(AND(VALUE(B126)&lt;2421,VALUE(C126)&lt;2421,VALUE(D126)&lt;606),(2*VLOOKUP(WardrobeCarcassMaterial,SheetsData,5,FALSE))+(VLOOKUP("H/F (22mm)",SheetsData,7,FALSE)*1.44),IF(AND(VALUE(B126)&lt;2421,VALUE(C126)&lt;1211,VALUE(D126)&lt;1211),(3*VLOOKUP(WardrobeCarcassMaterial,SheetsData,5,FALSE))+(VLOOKUP("H/F (22mm)",SheetsData,7,FALSE)*1.44),IF(AND(VALUE(B126)&lt;2421,VALUE(C126)&lt;2421,VALUE(D126)&lt;1211),(4*VLOOKUP(WardrobeCarcassMaterial,SheetsData,5,FALSE))+(VLOOKUP("H/F (22mm)",SheetsData,7,FALSE)*1.44))))),IF(ISERROR(FIND("drawer front",A126))=FALSE,((B126/1000)*(C126/1000))*VLOOKUP(WardrobeDoorMaterial,SheetsData,8,0),IF(AND(WardrobeDrawerType="Match carcass",ISERROR(FIND("drawer box",A126))=FALSE),(((((B126/1000)*(C126/1000))+((B126/1000)*(D126/1000)))*2)*VLOOKUP(WardrobeCarcassMaterial,SheetsData,8,0))+(((C126/1000)*(D126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box",A126))=FALSE),(((((B126/1000)*(C126/1000))+((B126/1000)*(D126/1000)))*2)*(16/1000)*VLOOKUP(LEFT(WardrobeCarcassMaterial,FIND(" ",WardrobeCarcassMaterial))&amp;"(solid m3)",SolidData,4,0))+(((C126/1000)*(D126/1000))*VLOOKUP(LEFT(WardrobeCarcassMaterial,FIND("(",WardrobeCarcassMaterial)-1)&amp;IF(OR(ISERROR(FIND("ply",WardrobeCarcassMaterial))=FALSE,ISERROR(FIND("H/F",WardrobeCarcassMaterial))=FALSE),"(9mm)","(10mm)"),SheetsData,8,0)),IF(ISERROR(FIND("shelf",A126))=FALSE,((C126/1000)*(D126/1000))*VLOOKUP(WardrobeCarcassMaterial,SheetsData,7,FALSE),IF(ISERROR(FIND("Office pod",A126))=FALSE,3*VLOOKUP(WardrobeCarcassMaterial,SheetsData,5,0),IF(ISERROR(FIND(" panel",A126))=FALSE,((B126/1000)*(C126/1000))*VLOOKUP(WardrobeDoorMaterial,SheetsData,8,0),IF(ISERROR(FIND("Fillers",A126))=FALSE,(((0.06*(C126/1000))*2)*VLOOKUP("H/F (18mm)",SheetsData,8,0))+(((0.06*(C126/1000))*2)*VLOOKUP("H/F (9mm)",SheetsData,8,0)),IF(ISERROR(FIND("Cornice (stacked)",A126))=FALSE,((0.08*(C126/1000))*2)*VLOOKUP("H/F (22mm)",SheetsData,8,0),IF(OR(ISERROR(FIND("Plinth",A126))=FALSE,ISERROR(FIND("Cornice (flat)",A126))=FALSE),((B126/1000)*(C126/1000))*VLOOKUP("H/F (18mm)",SheetsData,8,0),IF(ISERROR(FIND("Pelmet",A126))=FALSE,((((B126/1000)*(C126/1000))*2)*VLOOKUP("H/F (18mm)",SheetsData,8,0)),IF(ISERROR(FIND("Fireplace",A126))=FALSE,IF(ISERROR(FIND("over 1600",A126))=FALSE,2*VLOOKUP(WardrobeCarcassMaterial,SheetsData,5,FALSE),VLOOKUP(WardrobeCarcassMaterial,SheetsData,5,FALSE)),IF(ISERROR(FIND("table",A126))=FALSE,((B126/1000)*0.6)*VLOOKUP("Birch ply (24mm)",SheetsData,7,FALSE),IF(ISERROR(FIND("Worktop",A126))=FALSE,((B126/1000)*(C126/1000))*VLOOKUP(WardrobeDoorMaterial,SheetsData,7,FALSE),"Check formula")))))))))))))))))</f>
        <v/>
      </c>
      <c r="F126" s="152" t="str">
        <f>IFERROR(__xludf.DUMMYFUNCTION("IF(OR(A126="""",AND(ISERROR(FIND(""drawer box"",A126))=FALSE,WardrobeDrawerType=""Solid dovetail"")),"""",IF(ISERROR(FIND(""bins"",A126))=FALSE,VLOOKUP(""Base carcass 600"",Wardrobes_etcData,6,0),IF(OR(ISERROR(FIND(""larder"",A126))=FALSE,ISERROR(FIND(""u"&amp;"nit"",A126))=FALSE),VLOOKUP(LEFT(A126,FIND("" "",A126))&amp;""carcass ""&amp;RIGHT(A126,LEN(A126)-len(regexextract(A126,"".* ""))),Wardrobes_etcData,6,0),IF(ISERROR(FIND(""drawer front"",A126))=FALSE,IF(ISERROR(FIND(""veneer"",WardrobeCarcassMaterial))=TRUE,0,((("&amp;"B126+C126)/1000)*2)*VLOOKUP(""Edge banding (per M)"",SheetsData,5,0)),IF(ISERROR(FIND(""drawer box"",A126))=FALSE,IF(ISERROR(FIND(""veneer"",WardrobeCarcassMaterial))=TRUE,0,(((C126+D126)/1000)*2)*VLOOKUP(""Edge banding (per M)"",SheetsData,5,0)),IF(ISERR"&amp;"OR(FIND(""shelf"",A126))=FALSE,IF(ISERROR(FIND(""veneer"",WardrobeCarcassMaterial))=TRUE,0,(C126/1000)*VLOOKUP(""Edge banding (per M)"",SheetsData,5,0)),IF(AND(OR(ISERROR(FIND(""arcass"",A126))=FALSE,ISERROR(FIND(""Fireplace"",A126))=FALSE),ISERROR(FIND("&amp;"""shelf"",A126))=TRUE),IF(ISERROR(FIND(""veneer"",WardrobeCarcassMaterial))=TRUE,0,((2*(B126+C126))/1000)*VLOOKUP(""Edge banding (per M)"",SheetsData,5,0)),IF(ISERROR(FIND(""door"",A126))=TRUE,"""",IF(ISERROR(FIND(""veneer"",WardrobeDoorMaterial))=TRUE,"""&amp;""",((2*(B126+C126))/1000)*VLOOKUP(""Edge banding (per M)"",SheetsData,5,0))))))))))"),"")</f>
        <v/>
      </c>
      <c r="G126" s="153" t="str">
        <f>IF(A126="","",IF(AND(ISERROR(FIND("arcass",A126))=TRUE,ISERROR(FIND("Fireplace",A126))=TRUE),"",IF(VALUE(C126)&lt;606,4*VLOOKUP("Plinth foot (2 Parts 80mm)",FurnitureData,5,FALSE),IF(VALUE(C126)&lt;1211,6*VLOOKUP("Plinth foot (2 Parts 80mm)",FurnitureData,5,FALSE),8*VLOOKUP("Plinth foot (2 Parts 80mm)",FurnitureData,5,FALSE)))))</f>
        <v/>
      </c>
      <c r="H126" s="115" t="str">
        <f>IF(OR(A126="",ISERROR(FIND("door",A126))=TRUE),"",VLOOKUP("Hinges &amp; plates (Hettich thick door)",FurnitureData,5,0)*5)</f>
        <v/>
      </c>
      <c r="I126" s="115" t="str">
        <f>IF(ISERROR(FIND("shelf",A126))=FALSE,(VLOOKUP("Shelf pegs",FurnitureData,5,0)/100)*4,"")</f>
        <v/>
      </c>
      <c r="J126" s="152" t="str">
        <f>IF(OR(ISERROR(FIND("fridge/freezer",A126))=FALSE,ISERROR(FIND("sink",A126))=FALSE,ISERROR(FIND("larder",A126))=FALSE),VLOOKUP("Deep shelf "&amp;C126,Wardrobes_etcData,18,0),IF(OR(ISERROR(FIND("single oven",A126))=FALSE,ISERROR(FIND("Base carcass",A126))=FALSE),2*VLOOKUP("Deep shelf "&amp;C126,Wardrobes_etcData,18,0),IF(AND(ISERROR(FIND("wall carcass",A126))=FALSE,ISERROR(FIND("Boiler",A126))=TRUE),2*VLOOKUP("Shallow shelf "&amp;C126,Wardrobes_etcData,18,0),IF(ISERROR(FIND("double oven",A126))=FALSE,3*VLOOKUP("Deep shelf "&amp;C126,Wardrobes_etcData,18,0),IF(ISERROR(FIND("Tower carcass",A126))=FALSE,6*VLOOKUP("Deep shelf "&amp;C126,Wardrobes_etcData,18,0),"")))))</f>
        <v/>
      </c>
      <c r="K126" s="152" t="str">
        <f>IF(ISERROR(FIND("sink",A126))=FALSE,VLOOKUP("Sink liner - Aluminium "&amp;RIGHT(A126,LEN(A126)-22)&amp;"mm",ExceptionalData,5,0),IF(ISERROR(FIND("bins",A126))=FALSE,VLOOKUP("Drawer runners and clip set for bin unit (500) Dynapro",FurnitureData,5,0)+(2*VLOOKUP("Bin (42L Anthracite)",FurnitureData,5,0)),IF(ISERROR(FIND("larder",A126))=FALSE,VLOOKUP("Pull out larder unit 600mm",FurnitureData,5,0),IF(AND(ISERROR(FIND("drawer box",A126))=FALSE,ISERROR(FIND("internal",A126))=TRUE),VLOOKUP("Drawer runners and clip set (550) Dynapro",FurnitureData,5,0),IF(ISERROR(FIND("internal drawer box",A126))=FALSE,VLOOKUP("Drawer runners and clip set (450) Dynapro",FurnitureData,5,0),IF(ISERROR(FIND("table",A126))=FALSE,VLOOKUP("Hairpin Leg (12mm Black "&amp;MID(A126,FIND("(",A126)+1,LEN(A126)-(FIND("(",A126))-1)&amp;"mm)",ExceptionalData,4,FALSE),""))))))</f>
        <v/>
      </c>
      <c r="L126" s="152" t="str">
        <f t="shared" si="3"/>
        <v/>
      </c>
      <c r="M126" s="154" t="str">
        <f>IF(A126="","",IF(AND(ISERROR(FIND("drawer front",A126))=FALSE,WardrobeDoorStyle="Flat"),(((B126/1000)*(C126/1000))*2)+((((B126+C126)/1000)*2)*0.022),IF(AND(ISERROR(FIND("drawer front",A126))=FALSE,LEFT(WardrobeDoorStyle,5)="Panel"),(((B126/1000)*(C126/1000))*2)+((((B126+C126)/1000)*2)*0.022)+((((C126/1000)-0.16)*0.013)*2)+((((D126/1000)-0.16)*0.013)*2),IF(AND(ISERROR(FIND("drawer front",A126))=FALSE,WardrobeDoorStyle="In-frame flat"),((((B126-76)/1000)*((C126-38)/1000))*2)+(MID(WardrobeDoorMaterial,FIND("(",WardrobeDoorMaterial)+1,2)/1000)*((((B126-76)+(C126-38))/1000)*2)+(((B126/1000)*0.032)*2)+((((B126-76)/1000)*0.032)*2)+(((B126/1000)*0.019)*4)+(((C126/1000)*0.032)*2)+((((C126-38)/1000)*0.032)*2)+(((C126/1000)*0.038)*4),IF(AND(ISERROR(FIND("drawer front",A126))=FALSE,LEFT(WardrobeDoorStyle,14)="In-frame panel"),((((B126-76)/1000)*((C126-38)/1000))*2)+((MID(WardrobeDoorMaterial,FIND("(",WardrobeDoorMaterial)+1,2)/1000)*((((B126-76)+(C126-38))/1000)*2))+((((B126-236)/1000)+((C126-198)/1000)*2)*0.013)+(((B126/1000)*0.032)*2)+((((B126-76)/1000)*0.032)*2)+(((B126/1000)*0.019)*4)+(((C126/1000)*0.032)*2)+((((C126-38)/1000)*0.032)*2)+(((C126/1000)*0.038)*4),IF(ISERROR(FIND("drawer box",A126))=FALSE,((((B126/1000)*(D126/1000))+((B126/1000)*(C126/1000)))*4)+((((D126/1000)+(C126/1000))*0.016)*4)+(((C126/1000)*(D126/1000))*2),IF(OR(ISERROR(FIND("shelf",A126))=FALSE,ISERROR(FIND("Filler panel",A126))=FALSE),(((C126/1000)*(D126/1000))*2)+((((C126+D126)*2)/1000)*0.022),IF(ISERROR(FIND("Fireplace",A126))=FALSE,((B126/1000)*(C126/1000)),IF(ISERROR(FIND("Worktop",A126))=FALSE,(B126/1000)*(C126/1000),IF(ISERROR(FIND("table",A126))=FALSE,(B126/1000)*0.6,IF(ISERROR(FIND("arcass",A126))=FALSE,(((C126/1000)*(D126/1000))*2)+(((B126/1000)*(D126/1000))*2)+((B126/1000)*(C126/1000))+((((B126/1000)*0.025)+((C126/1000)*0.025))*2),IF(AND(ISERROR(FIND("door",A126))=FALSE,WardrobeDoorStyle="Flat"),(((B126/1000)*(C126/1000))*2)+(MID(WardrobeDoorMaterial,FIND("(",WardrobeDoorMaterial)+1,2)/1000)*(((B126+C126)/1000)*2),IF(AND(ISERROR(FIND("door",A126))=FALSE,LEFT(WardrobeDoorStyle,5)="Panel"),(((B126/1000)*(C126/1000))*2)+((MID(WardrobeDoorMaterial,FIND("(",WardrobeDoorMaterial)+1,2)/1000)*(((B126+C126)/1000)*2))+(((((B126-160)+(C126-160))*2)/1000)*(0.013)),IF(AND(ISERROR(FIND("door",A126))=FALSE,WardrobeDoorStyle="In-frame flat"),((((B126-76)/1000)*((C126-38)/1000))*2)+(MID(WardrobeDoorMaterial,FIND("(",WardrobeDoorMaterial)+1,2)/1000)*((((B126-76)+(C126-38))/1000)*2)+(((B126/1000)*0.032)*2)+((((B126-76)/1000)*0.032)*2)+(((B126/1000)*0.019)*4)+(((C126/1000)*0.032)*2)+((((C126-38)/1000)*0.032)*2)+(((C126/1000)*0.038)*4),IF(AND(ISERROR(FIND("door",A126))=FALSE,LEFT(WardrobeDoorStyle,14)="In-frame panel"),((((B126-76)/1000)*((C126-38)/1000))*2)+((MID(WardrobeDoorMaterial,FIND("(",WardrobeDoorMaterial)+1,2)/1000)*((((B126-76)+(C126-38))/1000)*2))+((((B126-236)/1000)+((C126-198)/1000)*2)*0.013)+(((B126/1000)*0.032)*2)+((((B126-76)/1000)*0.032)*2)+(((B126/1000)*0.019)*4)+(((C126/1000)*0.032)*2)+((((C126-38)/1000)*0.032)*2)+(((C126/1000)*0.038)*4),IF(ISERROR(FIND("Plinth",A126))=FALSE,((B126/1000)*(C126/1000))+(((C126/1000)*0.018)*2)+(((B126/1000)*0.018)*2),IF(ISERROR(FIND("Cornice",A126))=FALSE,(((C126/1000)*0.1)*2)+(((C126/1000)*0.044)*2)+(((B126/1000)*0.08)*2),IF(ISERROR(FIND("Office pod",A126))=FALSE,((2400/1000)*(1200/1000))*6,IF(ISERROR(FIND("panel",A126))=FALSE,((B126/1000)*(C126/1000))+(0.022*((B126/1000)+((C126/1000)*2)))+((B126/1000)*0.05),IF(ISERROR(FIND("Fillers",A126))=FALSE,((C126/1000)*0.06)+((C126/1000)*0.069)+((0.06*0.018)*2)+((0.06*0.009)*2)+((C126/1000)*0.009)+((C126/1000)*0.018),IF(ISERROR(FIND("Pelmet",A126))=FALSE,((C126/1000)*0.05)+((C126/1000)*0.068)+((0.05*0.018)*4)+(((C126/1000)*0.018))*2)))))))))))))))))))))</f>
        <v/>
      </c>
      <c r="N126" s="152" t="str">
        <f>IF(M126="","",IF(AND(ISERROR(FIND("carcass",A126))=TRUE,ISERROR(FIND("unit",A126))=TRUE,ISERROR(FIND("insert",A126))=TRUE,ISERROR(FIND("rack",A126))=TRUE,ISERROR(FIND("box",A126))=TRUE,ISERROR(FIND("shelf",A126))=TRUE),VLOOKUP(WardrobeDoorFinish,Finishing!$A$2:$K$10,9,0)*M126,IF(ISERROR(FIND("table",A126))=FALSE,VLOOKUP("Sayerlack AF0072 Interior Clear Self-Sealer",FinishingData,9,FALSE)*M126,VLOOKUP(WardrobeCarcassFinish,Finishing!$A$2:$K$40,9,0)*M126)))</f>
        <v/>
      </c>
      <c r="O126" s="159"/>
      <c r="P126" s="159"/>
      <c r="Q126" s="152" t="str">
        <f>IF(OR(O126="",P126=""),"",((O126*X126)*(VLOOKUP("Workshop",Labour!$A$3:$E$20,4,0)/8))+((P126*AE126)*(VLOOKUP("Finishing",Labour!$A$3:$E$20,4,0)/8)))</f>
        <v/>
      </c>
      <c r="R126" s="152" t="str">
        <f t="shared" si="4"/>
        <v/>
      </c>
      <c r="S126" s="156" t="str">
        <f>IF(OR(O126="",P126=""),"",IF(OR(ISERROR(FIND("carcass",$A126))=FALSE,ISERROR(FIND("unit",$A126))=FALSE),VLOOKUP(WardrobeCarcassMaterial,FixedListsCarcassMaterial,2,0),0))</f>
        <v/>
      </c>
      <c r="T126" s="156" t="str">
        <f>IF(OR(O126="",P126=""),"",IF(ISERROR(FIND("door",$A126))=FALSE,VLOOKUP(WardrobeDoorStyle,FixedListsDoorStyle,2,0),0))</f>
        <v/>
      </c>
      <c r="U126" s="156" t="str">
        <f>IF(OR(O126="",P126=""),"",IF(ISERROR(FIND("door",$A126))=FALSE,VLOOKUP(WardrobeDoorMaterial,FixedListsDoorMaterial,2,0),0))</f>
        <v/>
      </c>
      <c r="V126" s="156" t="str">
        <f>IF(OR(O126="",P126=""),"",IF(ISERROR(FIND("drawer",$A126))=FALSE,VLOOKUP(WardrobeDrawerType,FixedListsDrawerType,2,0),0))</f>
        <v/>
      </c>
      <c r="W126" s="156" t="str">
        <f>IF(OR(O126="",P126=""),"",IF(S126&gt;0,VLOOKUP(WardrobeHandleType,FixedListsHandleType,2,FALSE),0))</f>
        <v/>
      </c>
      <c r="X126" s="156" t="str">
        <f t="shared" si="5"/>
        <v/>
      </c>
      <c r="Y126" s="156" t="str">
        <f>IF(OR(O126="",P126=""),"",IF(OR(ISERROR(FIND("carcass",$A126))=FALSE,ISERROR(FIND("unit",$A126))=FALSE),VLOOKUP(WardrobeCarcassMaterial,FixedListsCarcassMaterial,3,0),0))</f>
        <v/>
      </c>
      <c r="Z126" s="156" t="str">
        <f>IF(OR(O126="",P126=""),"",IF(ISERROR(FIND("door",$A126))=FALSE,VLOOKUP(WardrobeDoorStyle,FixedListsDoorStyle,3,0),0))</f>
        <v/>
      </c>
      <c r="AA126" s="156" t="str">
        <f>IF(OR(O126="",P126=""),"",IF(ISERROR(FIND("door",$A126))=FALSE,VLOOKUP(WardrobeDoorMaterial,FixedListsDoorMaterial,3,0),0))</f>
        <v/>
      </c>
      <c r="AB126" s="156" t="str">
        <f>IF(OR(O126="",P126=""),"",IF(ISERROR(FIND("drawer",$A126))=FALSE,VLOOKUP(WardrobeDrawerType,FixedListsDrawerType,3,0),0))</f>
        <v/>
      </c>
      <c r="AC126" s="156" t="str">
        <f>IF(OR(O126="",P126=""),"",IF(S126&gt;0,VLOOKUP(WardrobeHandleType,FixedListsHandleType,3,FALSE),0))</f>
        <v/>
      </c>
      <c r="AD126" s="156" t="str">
        <f>IF(OR(O126="",P126=""),"",IF(OR(ISERROR(FIND("carcass",$A126))=FALSE,ISERROR(FIND("unit",$A126))=FALSE),VLOOKUP(WardrobeCarcassFinish,FixedListsFinishes,3,0),IF(OR(ISERROR(FIND("door",$A126))=FALSE,ISERROR(FIND("Plinth",$A126))=FALSE,ISERROR(FIND("Cornice",$A126))=FALSE,ISERROR(FIND("Fillers",$A126))=FALSE,ISERROR(FIND("Pelmet",$A126))=FALSE,ISERROR(FIND("panel",$A126))=FALSE,ISERROR(FIND("post",$A126))=FALSE),VLOOKUP(WardrobeDoorFinish,FixedListsFinishes,3,0),IF(OR(ISERROR(FIND("drawer",$A126))=FALSE,ISERROR(FIND("insert",$A126))=FALSE,ISERROR(FIND("rck",$A126))=FALSE),VLOOKUP(WardrobeCarcassFinish,FixedListsFinishes,3,0),0))))</f>
        <v/>
      </c>
      <c r="AE126" s="156" t="str">
        <f t="shared" si="6"/>
        <v/>
      </c>
      <c r="AF126" s="157" t="str">
        <f>IF(AND(WardrobeHandleType="Channel",OR(ISERROR(FIND("arcass",$A126))=FALSE,ISERROR(FIND("unit",$A126))=FALSE)),IF(ISERROR(FIND("Tower",$A126))=TRUE,IF(WardrobeHandleFinish="Match carcass",IF(ISERROR(FIND("Walnut",WardrobeCarcassMaterial))=FALSE,(0.035*0.075*($C126/1000))*VLOOKUP("Walnut (solid m3)",SolidData,4,FALSE),IF(ISERROR(FIND("Oak",WardrobeCarcassMaterial))=FALSE,(0.035*0.075*($C126/1000))*VLOOKUP("Oak (solid m3)",SolidData,4,FALSE),IF(ISERROR(FIND("ply",WardrobeCarcassMaterial))=FALSE,(0.1*($C126/1000))*VLOOKUP("Birch ply (24mm)",SheetsData,7,FALSE),IF(ISERROR(FIND("H/F",WardrobeCarcassMaterial))=FALSE,(0.1*($C126/1000))*VLOOKUP("H/F (22mm)",SheetsData,7,FALSE),"Carcass - not tower - new material")))),IF(WardrobeHandleFinish="Match door",IF(ISERROR(FIND("Walnut",WardrobeDoorMaterial))=FALSE,(0.035*0.075*($C126/1000))*VLOOKUP("Walnut (solid m3)",SolidData,4,FALSE),IF(ISERROR(FIND("Oak",WardrobeDoorMaterial))=FALSE,(0.035*0.075*($C126/1000))*VLOOKUP("Oak (solid m3)",SolidData,4,FALSE),IF(ISERROR(FIND("ply",WardrobeDoorMaterial))=FALSE,(0.1*($C126/1000))*VLOOKUP("Birch ply (24mm)",SheetsData,7,FALSE),IF(ISERROR(FIND("H/F",WardrobeCarcassMaterial))=FALSE,(0.1*($C126/1000))*VLOOKUP("H/F (22mm)",SheetsData,7,FALSE),"Door - not tower - new material")))),"Channel - not tower - handle set to other")),IF(ISERROR(FIND("Tower",$A126))=FALSE,IF(WardrobeHandleFinish="Match carcass",IF(ISERROR(FIND("Walnut",WardrobeCarcassMaterial))=FALSE,(0.035*0.075*($B126/1000))*VLOOKUP("Walnut (solid m3)",SolidData,4,FALSE),IF(ISERROR(FIND("Oak",WardrobeCarcassMaterial))=FALSE,(0.035*0.075*($B126/1000))*VLOOKUP("Oak (solid m3)",SolidData,4,FALSE),IF(ISERROR(FIND("ply",WardrobeCarcassMaterial))=FALSE,(0.1*($B126/1000))*VLOOKUP("Birch ply (24mm)",SheetsData,7,FALSE),IF(ISERROR(FIND("H/F",WardrobeCarcassMaterial))=FALSE,(0.1*($C126/1000))*VLOOKUP("H/F (22mm)",SheetsData,7,FALSE),"Carcass - tower - new material")))),IF(WardrobeHandleFinish="Match door",IF(ISERROR(FIND("Walnut",WardrobeDoorMaterial))=FALSE,(0.035*0.075*($B126/1000))*VLOOKUP("Walnut (solid m3)",SolidData,4,FALSE),IF(ISERROR(FIND("Oak",WardrobeDoorMaterial))=FALSE,(0.035*0.075*($B126/1000))*VLOOKUP("Oak (solid m3)",SolidData,4,FALSE),IF(ISERROR(FIND("ply",WardrobeDoorMaterial))=FALSE,(0.1*($B126/1000))*VLOOKUP("Birch ply (24mm)",SheetData,7,FALSE),IF(ISERROR(FIND("H/F",WardrobeCarcassMaterial))=FALSE,(0.1*($C126/1000))*VLOOKUP("H/F (22mm)",SheetsData,7,FALSE),"Door - tower - new material")))),"Channel - tower - handle set to other")))),"")</f>
        <v/>
      </c>
    </row>
    <row r="127">
      <c r="A127" s="150"/>
      <c r="B127" s="160" t="str">
        <f t="shared" si="1"/>
        <v/>
      </c>
      <c r="C127" s="160" t="str">
        <f>IFERROR(__xludf.DUMMYFUNCTION("IF(A127="""","""",IF(ISERROR(FIND(""arcass"",A127))=FALSE,MID(A127,FIND(""*"",A127)+1,FIND(""*"",A127,FIND(""*"",A127)+1)-FIND(""*"",A127)-1),IF(ISERROR(FIND(""End panel"",A127))=FALSE,RIGHT(A127,3),IF(OR(ISERROR(FIND(""drawer"",A127))=FALSE,ISERROR(FIND("&amp;"""door"",A127))=FALSE,ISERROR(FIND(""shelf"",A127))=FALSE,ISERROR(FIND(""panel"",A127))=FALSE,ISERROR(FIND(""Plinth"",A127))=FALSE,ISERROR(FIND(""Cornice"",A127))=FALSE,ISERROR(FIND(""Fillers"",A127))=FALSE,ISERROR(FIND(""Pelmet"",A127))=FALSE,ISERROR(FIN"&amp;"D(""Fireplace up to 1600"",A127))=FALSE),RIGHT(A127,LEN(A127)-LEN(regexextract(A127,"".* ""))),IF(ISERROR(FIND(""table"",A127))=FALSE,""560"",IF(ISERROR(FIND(""Office pod"",A127))=FALSE,""1600"",IF(ISERROR(FIND(""Fireplace over 1600"",A127))=FALSE,""2400"&amp;""",IF(ISERROR(FIND(""Worktop"",A127))=FALSE,""650"",""Whoops""))))))))"),"")</f>
        <v/>
      </c>
      <c r="D127" s="161" t="str">
        <f t="shared" si="2"/>
        <v/>
      </c>
      <c r="E127" s="152" t="str">
        <f>IF(OR(A127="",AND(ISERROR(FIND("drawer",A127))=FALSE,WardrobeDrawerType="")),"",IF(ISERROR(FIND("door",A127))=FALSE,IF(WardrobeDoorStyle="Flat",((B127/1000)*(C127/1000))*VLOOKUP(WardrobeDoorMaterial,SheetsData,8,0),IF(LEFT(WardrobeDoorStyle,5)="Panel",(((((B127/1000)*2)*0.08)+((((C127/1000)-0.16)*2)*0.08))*VLOOKUP("H/F (22mm)",SheetsData,8,0))+(((B127/1000)-0.14)*((C127/1000)-0.14)*VLOOKUP("H/F (9mm)",SheetsData,8,0)),IF(WardrobeDoorStyle="In-frame flat",((((((B127/1000)*0.019)*0.038)+((((C127-38)/1000)*0.038)*0.038))*2)*VLOOKUP("Tulip (solid m3)",SolidData,4,0))+(((B127-76)/1000)*((C127-38)/1000))*VLOOKUP("H/F (22mm)",SheetsData,8,0),IF(LEFT(WardrobeDoorStyle,14)="In-frame panel",(((((((B127/1000)*0.019)*0.038)+((((C127-38)/1000)*0.038)*0.038))*2)*VLOOKUP("Tulip (solid m3)",SolidData,4,0))+(((((((B127-76)/1000)*2)*0.08)+(((((C127-198)/1000)*2)*0.08)))*VLOOKUP("H/F (22mm)",SheetsData,8,0))+(((B127-216)/1000)*((C127-178)/1000)*VLOOKUP("H/F (9mm)",SheetsData,8,0)))))))),IF(AND(ISERROR(FIND("arcass",A127))=FALSE,ISERROR(FIND("ost corner",A127))=TRUE),IF(AND(VALUE(B127)&lt;1211,VALUE(C127)&lt;1211,VALUE(D127)&lt;606),1*VLOOKUP(WardrobeCarcassMaterial,SheetsData,5,FALSE),IF(AND(VALUE(B127)&lt;2421,VALUE(C127)&lt;2421,VALUE(D127)&lt;606),2*VLOOKUP(WardrobeCarcassMaterial,SheetsData,5,FALSE),IF(AND(VALUE(B127)&lt;2421,VALUE(C127)&lt;1211,VALUE(D127)&lt;1211),3*VLOOKUP(WardrobeCarcassMaterial,SheetsData,5,FALSE),IF(AND(VALUE(B127)&lt;2421,VALUE(C127)&lt;2421,VALUE(D127)&lt;1211),4*VLOOKUP(WardrobeCarcassMaterial,SheetsData,5,FALSE))))),IF(AND(ISERROR(FIND("arcass",A127))=FALSE,ISERROR(FIND("ost corner",A127))=FALSE),IF(AND(VALUE(B127)&lt;1211,VALUE(C127)&lt;1211,VALUE(D127)&lt;606),(1*VLOOKUP(WardrobeCarcassMaterial,SheetsData,5,FALSE))+(VLOOKUP("H/F (22mm)",SheetsData,7,FALSE)*1.44),IF(AND(VALUE(B127)&lt;2421,VALUE(C127)&lt;2421,VALUE(D127)&lt;606),(2*VLOOKUP(WardrobeCarcassMaterial,SheetsData,5,FALSE))+(VLOOKUP("H/F (22mm)",SheetsData,7,FALSE)*1.44),IF(AND(VALUE(B127)&lt;2421,VALUE(C127)&lt;1211,VALUE(D127)&lt;1211),(3*VLOOKUP(WardrobeCarcassMaterial,SheetsData,5,FALSE))+(VLOOKUP("H/F (22mm)",SheetsData,7,FALSE)*1.44),IF(AND(VALUE(B127)&lt;2421,VALUE(C127)&lt;2421,VALUE(D127)&lt;1211),(4*VLOOKUP(WardrobeCarcassMaterial,SheetsData,5,FALSE))+(VLOOKUP("H/F (22mm)",SheetsData,7,FALSE)*1.44))))),IF(ISERROR(FIND("drawer front",A127))=FALSE,((B127/1000)*(C127/1000))*VLOOKUP(WardrobeDoorMaterial,SheetsData,8,0),IF(AND(WardrobeDrawerType="Match carcass",ISERROR(FIND("drawer box",A127))=FALSE),(((((B127/1000)*(C127/1000))+((B127/1000)*(D127/1000)))*2)*VLOOKUP(WardrobeCarcassMaterial,SheetsData,8,0))+(((C127/1000)*(D127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box",A127))=FALSE),(((((B127/1000)*(C127/1000))+((B127/1000)*(D127/1000)))*2)*(16/1000)*VLOOKUP(LEFT(WardrobeCarcassMaterial,FIND(" ",WardrobeCarcassMaterial))&amp;"(solid m3)",SolidData,4,0))+(((C127/1000)*(D127/1000))*VLOOKUP(LEFT(WardrobeCarcassMaterial,FIND("(",WardrobeCarcassMaterial)-1)&amp;IF(OR(ISERROR(FIND("ply",WardrobeCarcassMaterial))=FALSE,ISERROR(FIND("H/F",WardrobeCarcassMaterial))=FALSE),"(9mm)","(10mm)"),SheetsData,8,0)),IF(ISERROR(FIND("shelf",A127))=FALSE,((C127/1000)*(D127/1000))*VLOOKUP(WardrobeCarcassMaterial,SheetsData,7,FALSE),IF(ISERROR(FIND("Office pod",A127))=FALSE,3*VLOOKUP(WardrobeCarcassMaterial,SheetsData,5,0),IF(ISERROR(FIND(" panel",A127))=FALSE,((B127/1000)*(C127/1000))*VLOOKUP(WardrobeDoorMaterial,SheetsData,8,0),IF(ISERROR(FIND("Fillers",A127))=FALSE,(((0.06*(C127/1000))*2)*VLOOKUP("H/F (18mm)",SheetsData,8,0))+(((0.06*(C127/1000))*2)*VLOOKUP("H/F (9mm)",SheetsData,8,0)),IF(ISERROR(FIND("Cornice (stacked)",A127))=FALSE,((0.08*(C127/1000))*2)*VLOOKUP("H/F (22mm)",SheetsData,8,0),IF(OR(ISERROR(FIND("Plinth",A127))=FALSE,ISERROR(FIND("Cornice (flat)",A127))=FALSE),((B127/1000)*(C127/1000))*VLOOKUP("H/F (18mm)",SheetsData,8,0),IF(ISERROR(FIND("Pelmet",A127))=FALSE,((((B127/1000)*(C127/1000))*2)*VLOOKUP("H/F (18mm)",SheetsData,8,0)),IF(ISERROR(FIND("Fireplace",A127))=FALSE,IF(ISERROR(FIND("over 1600",A127))=FALSE,2*VLOOKUP(WardrobeCarcassMaterial,SheetsData,5,FALSE),VLOOKUP(WardrobeCarcassMaterial,SheetsData,5,FALSE)),IF(ISERROR(FIND("table",A127))=FALSE,((B127/1000)*0.6)*VLOOKUP("Birch ply (24mm)",SheetsData,7,FALSE),IF(ISERROR(FIND("Worktop",A127))=FALSE,((B127/1000)*(C127/1000))*VLOOKUP(WardrobeDoorMaterial,SheetsData,7,FALSE),"Check formula")))))))))))))))))</f>
        <v/>
      </c>
      <c r="F127" s="152" t="str">
        <f>IFERROR(__xludf.DUMMYFUNCTION("IF(OR(A127="""",AND(ISERROR(FIND(""drawer box"",A127))=FALSE,WardrobeDrawerType=""Solid dovetail"")),"""",IF(ISERROR(FIND(""bins"",A127))=FALSE,VLOOKUP(""Base carcass 600"",Wardrobes_etcData,6,0),IF(OR(ISERROR(FIND(""larder"",A127))=FALSE,ISERROR(FIND(""u"&amp;"nit"",A127))=FALSE),VLOOKUP(LEFT(A127,FIND("" "",A127))&amp;""carcass ""&amp;RIGHT(A127,LEN(A127)-len(regexextract(A127,"".* ""))),Wardrobes_etcData,6,0),IF(ISERROR(FIND(""drawer front"",A127))=FALSE,IF(ISERROR(FIND(""veneer"",WardrobeCarcassMaterial))=TRUE,0,((("&amp;"B127+C127)/1000)*2)*VLOOKUP(""Edge banding (per M)"",SheetsData,5,0)),IF(ISERROR(FIND(""drawer box"",A127))=FALSE,IF(ISERROR(FIND(""veneer"",WardrobeCarcassMaterial))=TRUE,0,(((C127+D127)/1000)*2)*VLOOKUP(""Edge banding (per M)"",SheetsData,5,0)),IF(ISERR"&amp;"OR(FIND(""shelf"",A127))=FALSE,IF(ISERROR(FIND(""veneer"",WardrobeCarcassMaterial))=TRUE,0,(C127/1000)*VLOOKUP(""Edge banding (per M)"",SheetsData,5,0)),IF(AND(OR(ISERROR(FIND(""arcass"",A127))=FALSE,ISERROR(FIND(""Fireplace"",A127))=FALSE),ISERROR(FIND("&amp;"""shelf"",A127))=TRUE),IF(ISERROR(FIND(""veneer"",WardrobeCarcassMaterial))=TRUE,0,((2*(B127+C127))/1000)*VLOOKUP(""Edge banding (per M)"",SheetsData,5,0)),IF(ISERROR(FIND(""door"",A127))=TRUE,"""",IF(ISERROR(FIND(""veneer"",WardrobeDoorMaterial))=TRUE,"""&amp;""",((2*(B127+C127))/1000)*VLOOKUP(""Edge banding (per M)"",SheetsData,5,0))))))))))"),"")</f>
        <v/>
      </c>
      <c r="G127" s="153" t="str">
        <f>IF(A127="","",IF(AND(ISERROR(FIND("arcass",A127))=TRUE,ISERROR(FIND("Fireplace",A127))=TRUE),"",IF(VALUE(C127)&lt;606,4*VLOOKUP("Plinth foot (2 Parts 80mm)",FurnitureData,5,FALSE),IF(VALUE(C127)&lt;1211,6*VLOOKUP("Plinth foot (2 Parts 80mm)",FurnitureData,5,FALSE),8*VLOOKUP("Plinth foot (2 Parts 80mm)",FurnitureData,5,FALSE)))))</f>
        <v/>
      </c>
      <c r="H127" s="115" t="str">
        <f>IF(OR(A127="",ISERROR(FIND("door",A127))=TRUE),"",VLOOKUP("Hinges &amp; plates (Hettich thick door)",FurnitureData,5,0)*5)</f>
        <v/>
      </c>
      <c r="I127" s="115" t="str">
        <f>IF(ISERROR(FIND("shelf",A127))=FALSE,(VLOOKUP("Shelf pegs",FurnitureData,5,0)/100)*4,"")</f>
        <v/>
      </c>
      <c r="J127" s="152" t="str">
        <f>IF(OR(ISERROR(FIND("fridge/freezer",A127))=FALSE,ISERROR(FIND("sink",A127))=FALSE,ISERROR(FIND("larder",A127))=FALSE),VLOOKUP("Deep shelf "&amp;C127,Wardrobes_etcData,18,0),IF(OR(ISERROR(FIND("single oven",A127))=FALSE,ISERROR(FIND("Base carcass",A127))=FALSE),2*VLOOKUP("Deep shelf "&amp;C127,Wardrobes_etcData,18,0),IF(AND(ISERROR(FIND("wall carcass",A127))=FALSE,ISERROR(FIND("Boiler",A127))=TRUE),2*VLOOKUP("Shallow shelf "&amp;C127,Wardrobes_etcData,18,0),IF(ISERROR(FIND("double oven",A127))=FALSE,3*VLOOKUP("Deep shelf "&amp;C127,Wardrobes_etcData,18,0),IF(ISERROR(FIND("Tower carcass",A127))=FALSE,6*VLOOKUP("Deep shelf "&amp;C127,Wardrobes_etcData,18,0),"")))))</f>
        <v/>
      </c>
      <c r="K127" s="152" t="str">
        <f>IF(ISERROR(FIND("sink",A127))=FALSE,VLOOKUP("Sink liner - Aluminium "&amp;RIGHT(A127,LEN(A127)-22)&amp;"mm",ExceptionalData,5,0),IF(ISERROR(FIND("bins",A127))=FALSE,VLOOKUP("Drawer runners and clip set for bin unit (500) Dynapro",FurnitureData,5,0)+(2*VLOOKUP("Bin (42L Anthracite)",FurnitureData,5,0)),IF(ISERROR(FIND("larder",A127))=FALSE,VLOOKUP("Pull out larder unit 600mm",FurnitureData,5,0),IF(AND(ISERROR(FIND("drawer box",A127))=FALSE,ISERROR(FIND("internal",A127))=TRUE),VLOOKUP("Drawer runners and clip set (550) Dynapro",FurnitureData,5,0),IF(ISERROR(FIND("internal drawer box",A127))=FALSE,VLOOKUP("Drawer runners and clip set (450) Dynapro",FurnitureData,5,0),IF(ISERROR(FIND("table",A127))=FALSE,VLOOKUP("Hairpin Leg (12mm Black "&amp;MID(A127,FIND("(",A127)+1,LEN(A127)-(FIND("(",A127))-1)&amp;"mm)",ExceptionalData,4,FALSE),""))))))</f>
        <v/>
      </c>
      <c r="L127" s="152" t="str">
        <f t="shared" si="3"/>
        <v/>
      </c>
      <c r="M127" s="154" t="str">
        <f>IF(A127="","",IF(AND(ISERROR(FIND("drawer front",A127))=FALSE,WardrobeDoorStyle="Flat"),(((B127/1000)*(C127/1000))*2)+((((B127+C127)/1000)*2)*0.022),IF(AND(ISERROR(FIND("drawer front",A127))=FALSE,LEFT(WardrobeDoorStyle,5)="Panel"),(((B127/1000)*(C127/1000))*2)+((((B127+C127)/1000)*2)*0.022)+((((C127/1000)-0.16)*0.013)*2)+((((D127/1000)-0.16)*0.013)*2),IF(AND(ISERROR(FIND("drawer front",A127))=FALSE,WardrobeDoorStyle="In-frame flat"),((((B127-76)/1000)*((C127-38)/1000))*2)+(MID(WardrobeDoorMaterial,FIND("(",WardrobeDoorMaterial)+1,2)/1000)*((((B127-76)+(C127-38))/1000)*2)+(((B127/1000)*0.032)*2)+((((B127-76)/1000)*0.032)*2)+(((B127/1000)*0.019)*4)+(((C127/1000)*0.032)*2)+((((C127-38)/1000)*0.032)*2)+(((C127/1000)*0.038)*4),IF(AND(ISERROR(FIND("drawer front",A127))=FALSE,LEFT(WardrobeDoorStyle,14)="In-frame panel"),((((B127-76)/1000)*((C127-38)/1000))*2)+((MID(WardrobeDoorMaterial,FIND("(",WardrobeDoorMaterial)+1,2)/1000)*((((B127-76)+(C127-38))/1000)*2))+((((B127-236)/1000)+((C127-198)/1000)*2)*0.013)+(((B127/1000)*0.032)*2)+((((B127-76)/1000)*0.032)*2)+(((B127/1000)*0.019)*4)+(((C127/1000)*0.032)*2)+((((C127-38)/1000)*0.032)*2)+(((C127/1000)*0.038)*4),IF(ISERROR(FIND("drawer box",A127))=FALSE,((((B127/1000)*(D127/1000))+((B127/1000)*(C127/1000)))*4)+((((D127/1000)+(C127/1000))*0.016)*4)+(((C127/1000)*(D127/1000))*2),IF(OR(ISERROR(FIND("shelf",A127))=FALSE,ISERROR(FIND("Filler panel",A127))=FALSE),(((C127/1000)*(D127/1000))*2)+((((C127+D127)*2)/1000)*0.022),IF(ISERROR(FIND("Fireplace",A127))=FALSE,((B127/1000)*(C127/1000)),IF(ISERROR(FIND("Worktop",A127))=FALSE,(B127/1000)*(C127/1000),IF(ISERROR(FIND("table",A127))=FALSE,(B127/1000)*0.6,IF(ISERROR(FIND("arcass",A127))=FALSE,(((C127/1000)*(D127/1000))*2)+(((B127/1000)*(D127/1000))*2)+((B127/1000)*(C127/1000))+((((B127/1000)*0.025)+((C127/1000)*0.025))*2),IF(AND(ISERROR(FIND("door",A127))=FALSE,WardrobeDoorStyle="Flat"),(((B127/1000)*(C127/1000))*2)+(MID(WardrobeDoorMaterial,FIND("(",WardrobeDoorMaterial)+1,2)/1000)*(((B127+C127)/1000)*2),IF(AND(ISERROR(FIND("door",A127))=FALSE,LEFT(WardrobeDoorStyle,5)="Panel"),(((B127/1000)*(C127/1000))*2)+((MID(WardrobeDoorMaterial,FIND("(",WardrobeDoorMaterial)+1,2)/1000)*(((B127+C127)/1000)*2))+(((((B127-160)+(C127-160))*2)/1000)*(0.013)),IF(AND(ISERROR(FIND("door",A127))=FALSE,WardrobeDoorStyle="In-frame flat"),((((B127-76)/1000)*((C127-38)/1000))*2)+(MID(WardrobeDoorMaterial,FIND("(",WardrobeDoorMaterial)+1,2)/1000)*((((B127-76)+(C127-38))/1000)*2)+(((B127/1000)*0.032)*2)+((((B127-76)/1000)*0.032)*2)+(((B127/1000)*0.019)*4)+(((C127/1000)*0.032)*2)+((((C127-38)/1000)*0.032)*2)+(((C127/1000)*0.038)*4),IF(AND(ISERROR(FIND("door",A127))=FALSE,LEFT(WardrobeDoorStyle,14)="In-frame panel"),((((B127-76)/1000)*((C127-38)/1000))*2)+((MID(WardrobeDoorMaterial,FIND("(",WardrobeDoorMaterial)+1,2)/1000)*((((B127-76)+(C127-38))/1000)*2))+((((B127-236)/1000)+((C127-198)/1000)*2)*0.013)+(((B127/1000)*0.032)*2)+((((B127-76)/1000)*0.032)*2)+(((B127/1000)*0.019)*4)+(((C127/1000)*0.032)*2)+((((C127-38)/1000)*0.032)*2)+(((C127/1000)*0.038)*4),IF(ISERROR(FIND("Plinth",A127))=FALSE,((B127/1000)*(C127/1000))+(((C127/1000)*0.018)*2)+(((B127/1000)*0.018)*2),IF(ISERROR(FIND("Cornice",A127))=FALSE,(((C127/1000)*0.1)*2)+(((C127/1000)*0.044)*2)+(((B127/1000)*0.08)*2),IF(ISERROR(FIND("Office pod",A127))=FALSE,((2400/1000)*(1200/1000))*6,IF(ISERROR(FIND("panel",A127))=FALSE,((B127/1000)*(C127/1000))+(0.022*((B127/1000)+((C127/1000)*2)))+((B127/1000)*0.05),IF(ISERROR(FIND("Fillers",A127))=FALSE,((C127/1000)*0.06)+((C127/1000)*0.069)+((0.06*0.018)*2)+((0.06*0.009)*2)+((C127/1000)*0.009)+((C127/1000)*0.018),IF(ISERROR(FIND("Pelmet",A127))=FALSE,((C127/1000)*0.05)+((C127/1000)*0.068)+((0.05*0.018)*4)+(((C127/1000)*0.018))*2)))))))))))))))))))))</f>
        <v/>
      </c>
      <c r="N127" s="152" t="str">
        <f>IF(M127="","",IF(AND(ISERROR(FIND("carcass",A127))=TRUE,ISERROR(FIND("unit",A127))=TRUE,ISERROR(FIND("insert",A127))=TRUE,ISERROR(FIND("rack",A127))=TRUE,ISERROR(FIND("box",A127))=TRUE,ISERROR(FIND("shelf",A127))=TRUE),VLOOKUP(WardrobeDoorFinish,Finishing!$A$2:$K$10,9,0)*M127,IF(ISERROR(FIND("table",A127))=FALSE,VLOOKUP("Sayerlack AF0072 Interior Clear Self-Sealer",FinishingData,9,FALSE)*M127,VLOOKUP(WardrobeCarcassFinish,Finishing!$A$2:$K$40,9,0)*M127)))</f>
        <v/>
      </c>
      <c r="O127" s="159"/>
      <c r="P127" s="159"/>
      <c r="Q127" s="152" t="str">
        <f>IF(OR(O127="",P127=""),"",((O127*X127)*(VLOOKUP("Workshop",Labour!$A$3:$E$20,4,0)/8))+((P127*AE127)*(VLOOKUP("Finishing",Labour!$A$3:$E$20,4,0)/8)))</f>
        <v/>
      </c>
      <c r="R127" s="152" t="str">
        <f t="shared" si="4"/>
        <v/>
      </c>
      <c r="S127" s="156" t="str">
        <f>IF(OR(O127="",P127=""),"",IF(OR(ISERROR(FIND("carcass",$A127))=FALSE,ISERROR(FIND("unit",$A127))=FALSE),VLOOKUP(WardrobeCarcassMaterial,FixedListsCarcassMaterial,2,0),0))</f>
        <v/>
      </c>
      <c r="T127" s="156" t="str">
        <f>IF(OR(O127="",P127=""),"",IF(ISERROR(FIND("door",$A127))=FALSE,VLOOKUP(WardrobeDoorStyle,FixedListsDoorStyle,2,0),0))</f>
        <v/>
      </c>
      <c r="U127" s="156" t="str">
        <f>IF(OR(O127="",P127=""),"",IF(ISERROR(FIND("door",$A127))=FALSE,VLOOKUP(WardrobeDoorMaterial,FixedListsDoorMaterial,2,0),0))</f>
        <v/>
      </c>
      <c r="V127" s="156" t="str">
        <f>IF(OR(O127="",P127=""),"",IF(ISERROR(FIND("drawer",$A127))=FALSE,VLOOKUP(WardrobeDrawerType,FixedListsDrawerType,2,0),0))</f>
        <v/>
      </c>
      <c r="W127" s="156" t="str">
        <f>IF(OR(O127="",P127=""),"",IF(S127&gt;0,VLOOKUP(WardrobeHandleType,FixedListsHandleType,2,FALSE),0))</f>
        <v/>
      </c>
      <c r="X127" s="156" t="str">
        <f t="shared" si="5"/>
        <v/>
      </c>
      <c r="Y127" s="156" t="str">
        <f>IF(OR(O127="",P127=""),"",IF(OR(ISERROR(FIND("carcass",$A127))=FALSE,ISERROR(FIND("unit",$A127))=FALSE),VLOOKUP(WardrobeCarcassMaterial,FixedListsCarcassMaterial,3,0),0))</f>
        <v/>
      </c>
      <c r="Z127" s="156" t="str">
        <f>IF(OR(O127="",P127=""),"",IF(ISERROR(FIND("door",$A127))=FALSE,VLOOKUP(WardrobeDoorStyle,FixedListsDoorStyle,3,0),0))</f>
        <v/>
      </c>
      <c r="AA127" s="156" t="str">
        <f>IF(OR(O127="",P127=""),"",IF(ISERROR(FIND("door",$A127))=FALSE,VLOOKUP(WardrobeDoorMaterial,FixedListsDoorMaterial,3,0),0))</f>
        <v/>
      </c>
      <c r="AB127" s="156" t="str">
        <f>IF(OR(O127="",P127=""),"",IF(ISERROR(FIND("drawer",$A127))=FALSE,VLOOKUP(WardrobeDrawerType,FixedListsDrawerType,3,0),0))</f>
        <v/>
      </c>
      <c r="AC127" s="156" t="str">
        <f>IF(OR(O127="",P127=""),"",IF(S127&gt;0,VLOOKUP(WardrobeHandleType,FixedListsHandleType,3,FALSE),0))</f>
        <v/>
      </c>
      <c r="AD127" s="156" t="str">
        <f>IF(OR(O127="",P127=""),"",IF(OR(ISERROR(FIND("carcass",$A127))=FALSE,ISERROR(FIND("unit",$A127))=FALSE),VLOOKUP(WardrobeCarcassFinish,FixedListsFinishes,3,0),IF(OR(ISERROR(FIND("door",$A127))=FALSE,ISERROR(FIND("Plinth",$A127))=FALSE,ISERROR(FIND("Cornice",$A127))=FALSE,ISERROR(FIND("Fillers",$A127))=FALSE,ISERROR(FIND("Pelmet",$A127))=FALSE,ISERROR(FIND("panel",$A127))=FALSE,ISERROR(FIND("post",$A127))=FALSE),VLOOKUP(WardrobeDoorFinish,FixedListsFinishes,3,0),IF(OR(ISERROR(FIND("drawer",$A127))=FALSE,ISERROR(FIND("insert",$A127))=FALSE,ISERROR(FIND("rck",$A127))=FALSE),VLOOKUP(WardrobeCarcassFinish,FixedListsFinishes,3,0),0))))</f>
        <v/>
      </c>
      <c r="AE127" s="156" t="str">
        <f t="shared" si="6"/>
        <v/>
      </c>
      <c r="AF127" s="157" t="str">
        <f>IF(AND(WardrobeHandleType="Channel",OR(ISERROR(FIND("arcass",$A127))=FALSE,ISERROR(FIND("unit",$A127))=FALSE)),IF(ISERROR(FIND("Tower",$A127))=TRUE,IF(WardrobeHandleFinish="Match carcass",IF(ISERROR(FIND("Walnut",WardrobeCarcassMaterial))=FALSE,(0.035*0.075*($C127/1000))*VLOOKUP("Walnut (solid m3)",SolidData,4,FALSE),IF(ISERROR(FIND("Oak",WardrobeCarcassMaterial))=FALSE,(0.035*0.075*($C127/1000))*VLOOKUP("Oak (solid m3)",SolidData,4,FALSE),IF(ISERROR(FIND("ply",WardrobeCarcassMaterial))=FALSE,(0.1*($C127/1000))*VLOOKUP("Birch ply (24mm)",SheetsData,7,FALSE),IF(ISERROR(FIND("H/F",WardrobeCarcassMaterial))=FALSE,(0.1*($C127/1000))*VLOOKUP("H/F (22mm)",SheetsData,7,FALSE),"Carcass - not tower - new material")))),IF(WardrobeHandleFinish="Match door",IF(ISERROR(FIND("Walnut",WardrobeDoorMaterial))=FALSE,(0.035*0.075*($C127/1000))*VLOOKUP("Walnut (solid m3)",SolidData,4,FALSE),IF(ISERROR(FIND("Oak",WardrobeDoorMaterial))=FALSE,(0.035*0.075*($C127/1000))*VLOOKUP("Oak (solid m3)",SolidData,4,FALSE),IF(ISERROR(FIND("ply",WardrobeDoorMaterial))=FALSE,(0.1*($C127/1000))*VLOOKUP("Birch ply (24mm)",SheetsData,7,FALSE),IF(ISERROR(FIND("H/F",WardrobeCarcassMaterial))=FALSE,(0.1*($C127/1000))*VLOOKUP("H/F (22mm)",SheetsData,7,FALSE),"Door - not tower - new material")))),"Channel - not tower - handle set to other")),IF(ISERROR(FIND("Tower",$A127))=FALSE,IF(WardrobeHandleFinish="Match carcass",IF(ISERROR(FIND("Walnut",WardrobeCarcassMaterial))=FALSE,(0.035*0.075*($B127/1000))*VLOOKUP("Walnut (solid m3)",SolidData,4,FALSE),IF(ISERROR(FIND("Oak",WardrobeCarcassMaterial))=FALSE,(0.035*0.075*($B127/1000))*VLOOKUP("Oak (solid m3)",SolidData,4,FALSE),IF(ISERROR(FIND("ply",WardrobeCarcassMaterial))=FALSE,(0.1*($B127/1000))*VLOOKUP("Birch ply (24mm)",SheetsData,7,FALSE),IF(ISERROR(FIND("H/F",WardrobeCarcassMaterial))=FALSE,(0.1*($C127/1000))*VLOOKUP("H/F (22mm)",SheetsData,7,FALSE),"Carcass - tower - new material")))),IF(WardrobeHandleFinish="Match door",IF(ISERROR(FIND("Walnut",WardrobeDoorMaterial))=FALSE,(0.035*0.075*($B127/1000))*VLOOKUP("Walnut (solid m3)",SolidData,4,FALSE),IF(ISERROR(FIND("Oak",WardrobeDoorMaterial))=FALSE,(0.035*0.075*($B127/1000))*VLOOKUP("Oak (solid m3)",SolidData,4,FALSE),IF(ISERROR(FIND("ply",WardrobeDoorMaterial))=FALSE,(0.1*($B127/1000))*VLOOKUP("Birch ply (24mm)",SheetData,7,FALSE),IF(ISERROR(FIND("H/F",WardrobeCarcassMaterial))=FALSE,(0.1*($C127/1000))*VLOOKUP("H/F (22mm)",SheetsData,7,FALSE),"Door - tower - new material")))),"Channel - tower - handle set to other")))),"")</f>
        <v/>
      </c>
    </row>
    <row r="128">
      <c r="A128" s="150"/>
      <c r="B128" s="160" t="str">
        <f t="shared" si="1"/>
        <v/>
      </c>
      <c r="C128" s="160" t="str">
        <f>IFERROR(__xludf.DUMMYFUNCTION("IF(A128="""","""",IF(ISERROR(FIND(""arcass"",A128))=FALSE,MID(A128,FIND(""*"",A128)+1,FIND(""*"",A128,FIND(""*"",A128)+1)-FIND(""*"",A128)-1),IF(ISERROR(FIND(""End panel"",A128))=FALSE,RIGHT(A128,3),IF(OR(ISERROR(FIND(""drawer"",A128))=FALSE,ISERROR(FIND("&amp;"""door"",A128))=FALSE,ISERROR(FIND(""shelf"",A128))=FALSE,ISERROR(FIND(""panel"",A128))=FALSE,ISERROR(FIND(""Plinth"",A128))=FALSE,ISERROR(FIND(""Cornice"",A128))=FALSE,ISERROR(FIND(""Fillers"",A128))=FALSE,ISERROR(FIND(""Pelmet"",A128))=FALSE,ISERROR(FIN"&amp;"D(""Fireplace up to 1600"",A128))=FALSE),RIGHT(A128,LEN(A128)-LEN(regexextract(A128,"".* ""))),IF(ISERROR(FIND(""table"",A128))=FALSE,""560"",IF(ISERROR(FIND(""Office pod"",A128))=FALSE,""1600"",IF(ISERROR(FIND(""Fireplace over 1600"",A128))=FALSE,""2400"&amp;""",IF(ISERROR(FIND(""Worktop"",A128))=FALSE,""650"",""Whoops""))))))))"),"")</f>
        <v/>
      </c>
      <c r="D128" s="161" t="str">
        <f t="shared" si="2"/>
        <v/>
      </c>
      <c r="E128" s="152" t="str">
        <f>IF(OR(A128="",AND(ISERROR(FIND("drawer",A128))=FALSE,WardrobeDrawerType="")),"",IF(ISERROR(FIND("door",A128))=FALSE,IF(WardrobeDoorStyle="Flat",((B128/1000)*(C128/1000))*VLOOKUP(WardrobeDoorMaterial,SheetsData,8,0),IF(LEFT(WardrobeDoorStyle,5)="Panel",(((((B128/1000)*2)*0.08)+((((C128/1000)-0.16)*2)*0.08))*VLOOKUP("H/F (22mm)",SheetsData,8,0))+(((B128/1000)-0.14)*((C128/1000)-0.14)*VLOOKUP("H/F (9mm)",SheetsData,8,0)),IF(WardrobeDoorStyle="In-frame flat",((((((B128/1000)*0.019)*0.038)+((((C128-38)/1000)*0.038)*0.038))*2)*VLOOKUP("Tulip (solid m3)",SolidData,4,0))+(((B128-76)/1000)*((C128-38)/1000))*VLOOKUP("H/F (22mm)",SheetsData,8,0),IF(LEFT(WardrobeDoorStyle,14)="In-frame panel",(((((((B128/1000)*0.019)*0.038)+((((C128-38)/1000)*0.038)*0.038))*2)*VLOOKUP("Tulip (solid m3)",SolidData,4,0))+(((((((B128-76)/1000)*2)*0.08)+(((((C128-198)/1000)*2)*0.08)))*VLOOKUP("H/F (22mm)",SheetsData,8,0))+(((B128-216)/1000)*((C128-178)/1000)*VLOOKUP("H/F (9mm)",SheetsData,8,0)))))))),IF(AND(ISERROR(FIND("arcass",A128))=FALSE,ISERROR(FIND("ost corner",A128))=TRUE),IF(AND(VALUE(B128)&lt;1211,VALUE(C128)&lt;1211,VALUE(D128)&lt;606),1*VLOOKUP(WardrobeCarcassMaterial,SheetsData,5,FALSE),IF(AND(VALUE(B128)&lt;2421,VALUE(C128)&lt;2421,VALUE(D128)&lt;606),2*VLOOKUP(WardrobeCarcassMaterial,SheetsData,5,FALSE),IF(AND(VALUE(B128)&lt;2421,VALUE(C128)&lt;1211,VALUE(D128)&lt;1211),3*VLOOKUP(WardrobeCarcassMaterial,SheetsData,5,FALSE),IF(AND(VALUE(B128)&lt;2421,VALUE(C128)&lt;2421,VALUE(D128)&lt;1211),4*VLOOKUP(WardrobeCarcassMaterial,SheetsData,5,FALSE))))),IF(AND(ISERROR(FIND("arcass",A128))=FALSE,ISERROR(FIND("ost corner",A128))=FALSE),IF(AND(VALUE(B128)&lt;1211,VALUE(C128)&lt;1211,VALUE(D128)&lt;606),(1*VLOOKUP(WardrobeCarcassMaterial,SheetsData,5,FALSE))+(VLOOKUP("H/F (22mm)",SheetsData,7,FALSE)*1.44),IF(AND(VALUE(B128)&lt;2421,VALUE(C128)&lt;2421,VALUE(D128)&lt;606),(2*VLOOKUP(WardrobeCarcassMaterial,SheetsData,5,FALSE))+(VLOOKUP("H/F (22mm)",SheetsData,7,FALSE)*1.44),IF(AND(VALUE(B128)&lt;2421,VALUE(C128)&lt;1211,VALUE(D128)&lt;1211),(3*VLOOKUP(WardrobeCarcassMaterial,SheetsData,5,FALSE))+(VLOOKUP("H/F (22mm)",SheetsData,7,FALSE)*1.44),IF(AND(VALUE(B128)&lt;2421,VALUE(C128)&lt;2421,VALUE(D128)&lt;1211),(4*VLOOKUP(WardrobeCarcassMaterial,SheetsData,5,FALSE))+(VLOOKUP("H/F (22mm)",SheetsData,7,FALSE)*1.44))))),IF(ISERROR(FIND("drawer front",A128))=FALSE,((B128/1000)*(C128/1000))*VLOOKUP(WardrobeDoorMaterial,SheetsData,8,0),IF(AND(WardrobeDrawerType="Match carcass",ISERROR(FIND("drawer box",A128))=FALSE),(((((B128/1000)*(C128/1000))+((B128/1000)*(D128/1000)))*2)*VLOOKUP(WardrobeCarcassMaterial,SheetsData,8,0))+(((C128/1000)*(D128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box",A128))=FALSE),(((((B128/1000)*(C128/1000))+((B128/1000)*(D128/1000)))*2)*(16/1000)*VLOOKUP(LEFT(WardrobeCarcassMaterial,FIND(" ",WardrobeCarcassMaterial))&amp;"(solid m3)",SolidData,4,0))+(((C128/1000)*(D128/1000))*VLOOKUP(LEFT(WardrobeCarcassMaterial,FIND("(",WardrobeCarcassMaterial)-1)&amp;IF(OR(ISERROR(FIND("ply",WardrobeCarcassMaterial))=FALSE,ISERROR(FIND("H/F",WardrobeCarcassMaterial))=FALSE),"(9mm)","(10mm)"),SheetsData,8,0)),IF(ISERROR(FIND("shelf",A128))=FALSE,((C128/1000)*(D128/1000))*VLOOKUP(WardrobeCarcassMaterial,SheetsData,7,FALSE),IF(ISERROR(FIND("Office pod",A128))=FALSE,3*VLOOKUP(WardrobeCarcassMaterial,SheetsData,5,0),IF(ISERROR(FIND(" panel",A128))=FALSE,((B128/1000)*(C128/1000))*VLOOKUP(WardrobeDoorMaterial,SheetsData,8,0),IF(ISERROR(FIND("Fillers",A128))=FALSE,(((0.06*(C128/1000))*2)*VLOOKUP("H/F (18mm)",SheetsData,8,0))+(((0.06*(C128/1000))*2)*VLOOKUP("H/F (9mm)",SheetsData,8,0)),IF(ISERROR(FIND("Cornice (stacked)",A128))=FALSE,((0.08*(C128/1000))*2)*VLOOKUP("H/F (22mm)",SheetsData,8,0),IF(OR(ISERROR(FIND("Plinth",A128))=FALSE,ISERROR(FIND("Cornice (flat)",A128))=FALSE),((B128/1000)*(C128/1000))*VLOOKUP("H/F (18mm)",SheetsData,8,0),IF(ISERROR(FIND("Pelmet",A128))=FALSE,((((B128/1000)*(C128/1000))*2)*VLOOKUP("H/F (18mm)",SheetsData,8,0)),IF(ISERROR(FIND("Fireplace",A128))=FALSE,IF(ISERROR(FIND("over 1600",A128))=FALSE,2*VLOOKUP(WardrobeCarcassMaterial,SheetsData,5,FALSE),VLOOKUP(WardrobeCarcassMaterial,SheetsData,5,FALSE)),IF(ISERROR(FIND("table",A128))=FALSE,((B128/1000)*0.6)*VLOOKUP("Birch ply (24mm)",SheetsData,7,FALSE),IF(ISERROR(FIND("Worktop",A128))=FALSE,((B128/1000)*(C128/1000))*VLOOKUP(WardrobeDoorMaterial,SheetsData,7,FALSE),"Check formula")))))))))))))))))</f>
        <v/>
      </c>
      <c r="F128" s="152" t="str">
        <f>IFERROR(__xludf.DUMMYFUNCTION("IF(OR(A128="""",AND(ISERROR(FIND(""drawer box"",A128))=FALSE,WardrobeDrawerType=""Solid dovetail"")),"""",IF(ISERROR(FIND(""bins"",A128))=FALSE,VLOOKUP(""Base carcass 600"",Wardrobes_etcData,6,0),IF(OR(ISERROR(FIND(""larder"",A128))=FALSE,ISERROR(FIND(""u"&amp;"nit"",A128))=FALSE),VLOOKUP(LEFT(A128,FIND("" "",A128))&amp;""carcass ""&amp;RIGHT(A128,LEN(A128)-len(regexextract(A128,"".* ""))),Wardrobes_etcData,6,0),IF(ISERROR(FIND(""drawer front"",A128))=FALSE,IF(ISERROR(FIND(""veneer"",WardrobeCarcassMaterial))=TRUE,0,((("&amp;"B128+C128)/1000)*2)*VLOOKUP(""Edge banding (per M)"",SheetsData,5,0)),IF(ISERROR(FIND(""drawer box"",A128))=FALSE,IF(ISERROR(FIND(""veneer"",WardrobeCarcassMaterial))=TRUE,0,(((C128+D128)/1000)*2)*VLOOKUP(""Edge banding (per M)"",SheetsData,5,0)),IF(ISERR"&amp;"OR(FIND(""shelf"",A128))=FALSE,IF(ISERROR(FIND(""veneer"",WardrobeCarcassMaterial))=TRUE,0,(C128/1000)*VLOOKUP(""Edge banding (per M)"",SheetsData,5,0)),IF(AND(OR(ISERROR(FIND(""arcass"",A128))=FALSE,ISERROR(FIND(""Fireplace"",A128))=FALSE),ISERROR(FIND("&amp;"""shelf"",A128))=TRUE),IF(ISERROR(FIND(""veneer"",WardrobeCarcassMaterial))=TRUE,0,((2*(B128+C128))/1000)*VLOOKUP(""Edge banding (per M)"",SheetsData,5,0)),IF(ISERROR(FIND(""door"",A128))=TRUE,"""",IF(ISERROR(FIND(""veneer"",WardrobeDoorMaterial))=TRUE,"""&amp;""",((2*(B128+C128))/1000)*VLOOKUP(""Edge banding (per M)"",SheetsData,5,0))))))))))"),"")</f>
        <v/>
      </c>
      <c r="G128" s="153" t="str">
        <f>IF(A128="","",IF(AND(ISERROR(FIND("arcass",A128))=TRUE,ISERROR(FIND("Fireplace",A128))=TRUE),"",IF(VALUE(C128)&lt;606,4*VLOOKUP("Plinth foot (2 Parts 80mm)",FurnitureData,5,FALSE),IF(VALUE(C128)&lt;1211,6*VLOOKUP("Plinth foot (2 Parts 80mm)",FurnitureData,5,FALSE),8*VLOOKUP("Plinth foot (2 Parts 80mm)",FurnitureData,5,FALSE)))))</f>
        <v/>
      </c>
      <c r="H128" s="115" t="str">
        <f>IF(OR(A128="",ISERROR(FIND("door",A128))=TRUE),"",VLOOKUP("Hinges &amp; plates (Hettich thick door)",FurnitureData,5,0)*5)</f>
        <v/>
      </c>
      <c r="I128" s="115" t="str">
        <f>IF(ISERROR(FIND("shelf",A128))=FALSE,(VLOOKUP("Shelf pegs",FurnitureData,5,0)/100)*4,"")</f>
        <v/>
      </c>
      <c r="J128" s="152" t="str">
        <f>IF(OR(ISERROR(FIND("fridge/freezer",A128))=FALSE,ISERROR(FIND("sink",A128))=FALSE,ISERROR(FIND("larder",A128))=FALSE),VLOOKUP("Deep shelf "&amp;C128,Wardrobes_etcData,18,0),IF(OR(ISERROR(FIND("single oven",A128))=FALSE,ISERROR(FIND("Base carcass",A128))=FALSE),2*VLOOKUP("Deep shelf "&amp;C128,Wardrobes_etcData,18,0),IF(AND(ISERROR(FIND("wall carcass",A128))=FALSE,ISERROR(FIND("Boiler",A128))=TRUE),2*VLOOKUP("Shallow shelf "&amp;C128,Wardrobes_etcData,18,0),IF(ISERROR(FIND("double oven",A128))=FALSE,3*VLOOKUP("Deep shelf "&amp;C128,Wardrobes_etcData,18,0),IF(ISERROR(FIND("Tower carcass",A128))=FALSE,6*VLOOKUP("Deep shelf "&amp;C128,Wardrobes_etcData,18,0),"")))))</f>
        <v/>
      </c>
      <c r="K128" s="152" t="str">
        <f>IF(ISERROR(FIND("sink",A128))=FALSE,VLOOKUP("Sink liner - Aluminium "&amp;RIGHT(A128,LEN(A128)-22)&amp;"mm",ExceptionalData,5,0),IF(ISERROR(FIND("bins",A128))=FALSE,VLOOKUP("Drawer runners and clip set for bin unit (500) Dynapro",FurnitureData,5,0)+(2*VLOOKUP("Bin (42L Anthracite)",FurnitureData,5,0)),IF(ISERROR(FIND("larder",A128))=FALSE,VLOOKUP("Pull out larder unit 600mm",FurnitureData,5,0),IF(AND(ISERROR(FIND("drawer box",A128))=FALSE,ISERROR(FIND("internal",A128))=TRUE),VLOOKUP("Drawer runners and clip set (550) Dynapro",FurnitureData,5,0),IF(ISERROR(FIND("internal drawer box",A128))=FALSE,VLOOKUP("Drawer runners and clip set (450) Dynapro",FurnitureData,5,0),IF(ISERROR(FIND("table",A128))=FALSE,VLOOKUP("Hairpin Leg (12mm Black "&amp;MID(A128,FIND("(",A128)+1,LEN(A128)-(FIND("(",A128))-1)&amp;"mm)",ExceptionalData,4,FALSE),""))))))</f>
        <v/>
      </c>
      <c r="L128" s="152" t="str">
        <f t="shared" si="3"/>
        <v/>
      </c>
      <c r="M128" s="154" t="str">
        <f>IF(A128="","",IF(AND(ISERROR(FIND("drawer front",A128))=FALSE,WardrobeDoorStyle="Flat"),(((B128/1000)*(C128/1000))*2)+((((B128+C128)/1000)*2)*0.022),IF(AND(ISERROR(FIND("drawer front",A128))=FALSE,LEFT(WardrobeDoorStyle,5)="Panel"),(((B128/1000)*(C128/1000))*2)+((((B128+C128)/1000)*2)*0.022)+((((C128/1000)-0.16)*0.013)*2)+((((D128/1000)-0.16)*0.013)*2),IF(AND(ISERROR(FIND("drawer front",A128))=FALSE,WardrobeDoorStyle="In-frame flat"),((((B128-76)/1000)*((C128-38)/1000))*2)+(MID(WardrobeDoorMaterial,FIND("(",WardrobeDoorMaterial)+1,2)/1000)*((((B128-76)+(C128-38))/1000)*2)+(((B128/1000)*0.032)*2)+((((B128-76)/1000)*0.032)*2)+(((B128/1000)*0.019)*4)+(((C128/1000)*0.032)*2)+((((C128-38)/1000)*0.032)*2)+(((C128/1000)*0.038)*4),IF(AND(ISERROR(FIND("drawer front",A128))=FALSE,LEFT(WardrobeDoorStyle,14)="In-frame panel"),((((B128-76)/1000)*((C128-38)/1000))*2)+((MID(WardrobeDoorMaterial,FIND("(",WardrobeDoorMaterial)+1,2)/1000)*((((B128-76)+(C128-38))/1000)*2))+((((B128-236)/1000)+((C128-198)/1000)*2)*0.013)+(((B128/1000)*0.032)*2)+((((B128-76)/1000)*0.032)*2)+(((B128/1000)*0.019)*4)+(((C128/1000)*0.032)*2)+((((C128-38)/1000)*0.032)*2)+(((C128/1000)*0.038)*4),IF(ISERROR(FIND("drawer box",A128))=FALSE,((((B128/1000)*(D128/1000))+((B128/1000)*(C128/1000)))*4)+((((D128/1000)+(C128/1000))*0.016)*4)+(((C128/1000)*(D128/1000))*2),IF(OR(ISERROR(FIND("shelf",A128))=FALSE,ISERROR(FIND("Filler panel",A128))=FALSE),(((C128/1000)*(D128/1000))*2)+((((C128+D128)*2)/1000)*0.022),IF(ISERROR(FIND("Fireplace",A128))=FALSE,((B128/1000)*(C128/1000)),IF(ISERROR(FIND("Worktop",A128))=FALSE,(B128/1000)*(C128/1000),IF(ISERROR(FIND("table",A128))=FALSE,(B128/1000)*0.6,IF(ISERROR(FIND("arcass",A128))=FALSE,(((C128/1000)*(D128/1000))*2)+(((B128/1000)*(D128/1000))*2)+((B128/1000)*(C128/1000))+((((B128/1000)*0.025)+((C128/1000)*0.025))*2),IF(AND(ISERROR(FIND("door",A128))=FALSE,WardrobeDoorStyle="Flat"),(((B128/1000)*(C128/1000))*2)+(MID(WardrobeDoorMaterial,FIND("(",WardrobeDoorMaterial)+1,2)/1000)*(((B128+C128)/1000)*2),IF(AND(ISERROR(FIND("door",A128))=FALSE,LEFT(WardrobeDoorStyle,5)="Panel"),(((B128/1000)*(C128/1000))*2)+((MID(WardrobeDoorMaterial,FIND("(",WardrobeDoorMaterial)+1,2)/1000)*(((B128+C128)/1000)*2))+(((((B128-160)+(C128-160))*2)/1000)*(0.013)),IF(AND(ISERROR(FIND("door",A128))=FALSE,WardrobeDoorStyle="In-frame flat"),((((B128-76)/1000)*((C128-38)/1000))*2)+(MID(WardrobeDoorMaterial,FIND("(",WardrobeDoorMaterial)+1,2)/1000)*((((B128-76)+(C128-38))/1000)*2)+(((B128/1000)*0.032)*2)+((((B128-76)/1000)*0.032)*2)+(((B128/1000)*0.019)*4)+(((C128/1000)*0.032)*2)+((((C128-38)/1000)*0.032)*2)+(((C128/1000)*0.038)*4),IF(AND(ISERROR(FIND("door",A128))=FALSE,LEFT(WardrobeDoorStyle,14)="In-frame panel"),((((B128-76)/1000)*((C128-38)/1000))*2)+((MID(WardrobeDoorMaterial,FIND("(",WardrobeDoorMaterial)+1,2)/1000)*((((B128-76)+(C128-38))/1000)*2))+((((B128-236)/1000)+((C128-198)/1000)*2)*0.013)+(((B128/1000)*0.032)*2)+((((B128-76)/1000)*0.032)*2)+(((B128/1000)*0.019)*4)+(((C128/1000)*0.032)*2)+((((C128-38)/1000)*0.032)*2)+(((C128/1000)*0.038)*4),IF(ISERROR(FIND("Plinth",A128))=FALSE,((B128/1000)*(C128/1000))+(((C128/1000)*0.018)*2)+(((B128/1000)*0.018)*2),IF(ISERROR(FIND("Cornice",A128))=FALSE,(((C128/1000)*0.1)*2)+(((C128/1000)*0.044)*2)+(((B128/1000)*0.08)*2),IF(ISERROR(FIND("Office pod",A128))=FALSE,((2400/1000)*(1200/1000))*6,IF(ISERROR(FIND("panel",A128))=FALSE,((B128/1000)*(C128/1000))+(0.022*((B128/1000)+((C128/1000)*2)))+((B128/1000)*0.05),IF(ISERROR(FIND("Fillers",A128))=FALSE,((C128/1000)*0.06)+((C128/1000)*0.069)+((0.06*0.018)*2)+((0.06*0.009)*2)+((C128/1000)*0.009)+((C128/1000)*0.018),IF(ISERROR(FIND("Pelmet",A128))=FALSE,((C128/1000)*0.05)+((C128/1000)*0.068)+((0.05*0.018)*4)+(((C128/1000)*0.018))*2)))))))))))))))))))))</f>
        <v/>
      </c>
      <c r="N128" s="152" t="str">
        <f>IF(M128="","",IF(AND(ISERROR(FIND("carcass",A128))=TRUE,ISERROR(FIND("unit",A128))=TRUE,ISERROR(FIND("insert",A128))=TRUE,ISERROR(FIND("rack",A128))=TRUE,ISERROR(FIND("box",A128))=TRUE,ISERROR(FIND("shelf",A128))=TRUE),VLOOKUP(WardrobeDoorFinish,Finishing!$A$2:$K$10,9,0)*M128,IF(ISERROR(FIND("table",A128))=FALSE,VLOOKUP("Sayerlack AF0072 Interior Clear Self-Sealer",FinishingData,9,FALSE)*M128,VLOOKUP(WardrobeCarcassFinish,Finishing!$A$2:$K$40,9,0)*M128)))</f>
        <v/>
      </c>
      <c r="O128" s="159"/>
      <c r="P128" s="159"/>
      <c r="Q128" s="152" t="str">
        <f>IF(OR(O128="",P128=""),"",((O128*X128)*(VLOOKUP("Workshop",Labour!$A$3:$E$20,4,0)/8))+((P128*AE128)*(VLOOKUP("Finishing",Labour!$A$3:$E$20,4,0)/8)))</f>
        <v/>
      </c>
      <c r="R128" s="152" t="str">
        <f t="shared" si="4"/>
        <v/>
      </c>
      <c r="S128" s="156" t="str">
        <f>IF(OR(O128="",P128=""),"",IF(OR(ISERROR(FIND("carcass",$A128))=FALSE,ISERROR(FIND("unit",$A128))=FALSE),VLOOKUP(WardrobeCarcassMaterial,FixedListsCarcassMaterial,2,0),0))</f>
        <v/>
      </c>
      <c r="T128" s="156" t="str">
        <f>IF(OR(O128="",P128=""),"",IF(ISERROR(FIND("door",$A128))=FALSE,VLOOKUP(WardrobeDoorStyle,FixedListsDoorStyle,2,0),0))</f>
        <v/>
      </c>
      <c r="U128" s="156" t="str">
        <f>IF(OR(O128="",P128=""),"",IF(ISERROR(FIND("door",$A128))=FALSE,VLOOKUP(WardrobeDoorMaterial,FixedListsDoorMaterial,2,0),0))</f>
        <v/>
      </c>
      <c r="V128" s="156" t="str">
        <f>IF(OR(O128="",P128=""),"",IF(ISERROR(FIND("drawer",$A128))=FALSE,VLOOKUP(WardrobeDrawerType,FixedListsDrawerType,2,0),0))</f>
        <v/>
      </c>
      <c r="W128" s="156" t="str">
        <f>IF(OR(O128="",P128=""),"",IF(S128&gt;0,VLOOKUP(WardrobeHandleType,FixedListsHandleType,2,FALSE),0))</f>
        <v/>
      </c>
      <c r="X128" s="156" t="str">
        <f t="shared" si="5"/>
        <v/>
      </c>
      <c r="Y128" s="156" t="str">
        <f>IF(OR(O128="",P128=""),"",IF(OR(ISERROR(FIND("carcass",$A128))=FALSE,ISERROR(FIND("unit",$A128))=FALSE),VLOOKUP(WardrobeCarcassMaterial,FixedListsCarcassMaterial,3,0),0))</f>
        <v/>
      </c>
      <c r="Z128" s="156" t="str">
        <f>IF(OR(O128="",P128=""),"",IF(ISERROR(FIND("door",$A128))=FALSE,VLOOKUP(WardrobeDoorStyle,FixedListsDoorStyle,3,0),0))</f>
        <v/>
      </c>
      <c r="AA128" s="156" t="str">
        <f>IF(OR(O128="",P128=""),"",IF(ISERROR(FIND("door",$A128))=FALSE,VLOOKUP(WardrobeDoorMaterial,FixedListsDoorMaterial,3,0),0))</f>
        <v/>
      </c>
      <c r="AB128" s="156" t="str">
        <f>IF(OR(O128="",P128=""),"",IF(ISERROR(FIND("drawer",$A128))=FALSE,VLOOKUP(WardrobeDrawerType,FixedListsDrawerType,3,0),0))</f>
        <v/>
      </c>
      <c r="AC128" s="156" t="str">
        <f>IF(OR(O128="",P128=""),"",IF(S128&gt;0,VLOOKUP(WardrobeHandleType,FixedListsHandleType,3,FALSE),0))</f>
        <v/>
      </c>
      <c r="AD128" s="156" t="str">
        <f>IF(OR(O128="",P128=""),"",IF(OR(ISERROR(FIND("carcass",$A128))=FALSE,ISERROR(FIND("unit",$A128))=FALSE),VLOOKUP(WardrobeCarcassFinish,FixedListsFinishes,3,0),IF(OR(ISERROR(FIND("door",$A128))=FALSE,ISERROR(FIND("Plinth",$A128))=FALSE,ISERROR(FIND("Cornice",$A128))=FALSE,ISERROR(FIND("Fillers",$A128))=FALSE,ISERROR(FIND("Pelmet",$A128))=FALSE,ISERROR(FIND("panel",$A128))=FALSE,ISERROR(FIND("post",$A128))=FALSE),VLOOKUP(WardrobeDoorFinish,FixedListsFinishes,3,0),IF(OR(ISERROR(FIND("drawer",$A128))=FALSE,ISERROR(FIND("insert",$A128))=FALSE,ISERROR(FIND("rck",$A128))=FALSE),VLOOKUP(WardrobeCarcassFinish,FixedListsFinishes,3,0),0))))</f>
        <v/>
      </c>
      <c r="AE128" s="156" t="str">
        <f t="shared" si="6"/>
        <v/>
      </c>
      <c r="AF128" s="157" t="str">
        <f>IF(AND(WardrobeHandleType="Channel",OR(ISERROR(FIND("arcass",$A128))=FALSE,ISERROR(FIND("unit",$A128))=FALSE)),IF(ISERROR(FIND("Tower",$A128))=TRUE,IF(WardrobeHandleFinish="Match carcass",IF(ISERROR(FIND("Walnut",WardrobeCarcassMaterial))=FALSE,(0.035*0.075*($C128/1000))*VLOOKUP("Walnut (solid m3)",SolidData,4,FALSE),IF(ISERROR(FIND("Oak",WardrobeCarcassMaterial))=FALSE,(0.035*0.075*($C128/1000))*VLOOKUP("Oak (solid m3)",SolidData,4,FALSE),IF(ISERROR(FIND("ply",WardrobeCarcassMaterial))=FALSE,(0.1*($C128/1000))*VLOOKUP("Birch ply (24mm)",SheetsData,7,FALSE),IF(ISERROR(FIND("H/F",WardrobeCarcassMaterial))=FALSE,(0.1*($C128/1000))*VLOOKUP("H/F (22mm)",SheetsData,7,FALSE),"Carcass - not tower - new material")))),IF(WardrobeHandleFinish="Match door",IF(ISERROR(FIND("Walnut",WardrobeDoorMaterial))=FALSE,(0.035*0.075*($C128/1000))*VLOOKUP("Walnut (solid m3)",SolidData,4,FALSE),IF(ISERROR(FIND("Oak",WardrobeDoorMaterial))=FALSE,(0.035*0.075*($C128/1000))*VLOOKUP("Oak (solid m3)",SolidData,4,FALSE),IF(ISERROR(FIND("ply",WardrobeDoorMaterial))=FALSE,(0.1*($C128/1000))*VLOOKUP("Birch ply (24mm)",SheetsData,7,FALSE),IF(ISERROR(FIND("H/F",WardrobeCarcassMaterial))=FALSE,(0.1*($C128/1000))*VLOOKUP("H/F (22mm)",SheetsData,7,FALSE),"Door - not tower - new material")))),"Channel - not tower - handle set to other")),IF(ISERROR(FIND("Tower",$A128))=FALSE,IF(WardrobeHandleFinish="Match carcass",IF(ISERROR(FIND("Walnut",WardrobeCarcassMaterial))=FALSE,(0.035*0.075*($B128/1000))*VLOOKUP("Walnut (solid m3)",SolidData,4,FALSE),IF(ISERROR(FIND("Oak",WardrobeCarcassMaterial))=FALSE,(0.035*0.075*($B128/1000))*VLOOKUP("Oak (solid m3)",SolidData,4,FALSE),IF(ISERROR(FIND("ply",WardrobeCarcassMaterial))=FALSE,(0.1*($B128/1000))*VLOOKUP("Birch ply (24mm)",SheetsData,7,FALSE),IF(ISERROR(FIND("H/F",WardrobeCarcassMaterial))=FALSE,(0.1*($C128/1000))*VLOOKUP("H/F (22mm)",SheetsData,7,FALSE),"Carcass - tower - new material")))),IF(WardrobeHandleFinish="Match door",IF(ISERROR(FIND("Walnut",WardrobeDoorMaterial))=FALSE,(0.035*0.075*($B128/1000))*VLOOKUP("Walnut (solid m3)",SolidData,4,FALSE),IF(ISERROR(FIND("Oak",WardrobeDoorMaterial))=FALSE,(0.035*0.075*($B128/1000))*VLOOKUP("Oak (solid m3)",SolidData,4,FALSE),IF(ISERROR(FIND("ply",WardrobeDoorMaterial))=FALSE,(0.1*($B128/1000))*VLOOKUP("Birch ply (24mm)",SheetData,7,FALSE),IF(ISERROR(FIND("H/F",WardrobeCarcassMaterial))=FALSE,(0.1*($C128/1000))*VLOOKUP("H/F (22mm)",SheetsData,7,FALSE),"Door - tower - new material")))),"Channel - tower - handle set to other")))),"")</f>
        <v/>
      </c>
    </row>
    <row r="129">
      <c r="A129" s="150"/>
      <c r="B129" s="160" t="str">
        <f t="shared" si="1"/>
        <v/>
      </c>
      <c r="C129" s="160" t="str">
        <f>IFERROR(__xludf.DUMMYFUNCTION("IF(A129="""","""",IF(ISERROR(FIND(""arcass"",A129))=FALSE,MID(A129,FIND(""*"",A129)+1,FIND(""*"",A129,FIND(""*"",A129)+1)-FIND(""*"",A129)-1),IF(ISERROR(FIND(""End panel"",A129))=FALSE,RIGHT(A129,3),IF(OR(ISERROR(FIND(""drawer"",A129))=FALSE,ISERROR(FIND("&amp;"""door"",A129))=FALSE,ISERROR(FIND(""shelf"",A129))=FALSE,ISERROR(FIND(""panel"",A129))=FALSE,ISERROR(FIND(""Plinth"",A129))=FALSE,ISERROR(FIND(""Cornice"",A129))=FALSE,ISERROR(FIND(""Fillers"",A129))=FALSE,ISERROR(FIND(""Pelmet"",A129))=FALSE,ISERROR(FIN"&amp;"D(""Fireplace up to 1600"",A129))=FALSE),RIGHT(A129,LEN(A129)-LEN(regexextract(A129,"".* ""))),IF(ISERROR(FIND(""table"",A129))=FALSE,""560"",IF(ISERROR(FIND(""Office pod"",A129))=FALSE,""1600"",IF(ISERROR(FIND(""Fireplace over 1600"",A129))=FALSE,""2400"&amp;""",IF(ISERROR(FIND(""Worktop"",A129))=FALSE,""650"",""Whoops""))))))))"),"")</f>
        <v/>
      </c>
      <c r="D129" s="161" t="str">
        <f t="shared" si="2"/>
        <v/>
      </c>
      <c r="E129" s="152" t="str">
        <f>IF(OR(A129="",AND(ISERROR(FIND("drawer",A129))=FALSE,WardrobeDrawerType="")),"",IF(ISERROR(FIND("door",A129))=FALSE,IF(WardrobeDoorStyle="Flat",((B129/1000)*(C129/1000))*VLOOKUP(WardrobeDoorMaterial,SheetsData,8,0),IF(LEFT(WardrobeDoorStyle,5)="Panel",(((((B129/1000)*2)*0.08)+((((C129/1000)-0.16)*2)*0.08))*VLOOKUP("H/F (22mm)",SheetsData,8,0))+(((B129/1000)-0.14)*((C129/1000)-0.14)*VLOOKUP("H/F (9mm)",SheetsData,8,0)),IF(WardrobeDoorStyle="In-frame flat",((((((B129/1000)*0.019)*0.038)+((((C129-38)/1000)*0.038)*0.038))*2)*VLOOKUP("Tulip (solid m3)",SolidData,4,0))+(((B129-76)/1000)*((C129-38)/1000))*VLOOKUP("H/F (22mm)",SheetsData,8,0),IF(LEFT(WardrobeDoorStyle,14)="In-frame panel",(((((((B129/1000)*0.019)*0.038)+((((C129-38)/1000)*0.038)*0.038))*2)*VLOOKUP("Tulip (solid m3)",SolidData,4,0))+(((((((B129-76)/1000)*2)*0.08)+(((((C129-198)/1000)*2)*0.08)))*VLOOKUP("H/F (22mm)",SheetsData,8,0))+(((B129-216)/1000)*((C129-178)/1000)*VLOOKUP("H/F (9mm)",SheetsData,8,0)))))))),IF(AND(ISERROR(FIND("arcass",A129))=FALSE,ISERROR(FIND("ost corner",A129))=TRUE),IF(AND(VALUE(B129)&lt;1211,VALUE(C129)&lt;1211,VALUE(D129)&lt;606),1*VLOOKUP(WardrobeCarcassMaterial,SheetsData,5,FALSE),IF(AND(VALUE(B129)&lt;2421,VALUE(C129)&lt;2421,VALUE(D129)&lt;606),2*VLOOKUP(WardrobeCarcassMaterial,SheetsData,5,FALSE),IF(AND(VALUE(B129)&lt;2421,VALUE(C129)&lt;1211,VALUE(D129)&lt;1211),3*VLOOKUP(WardrobeCarcassMaterial,SheetsData,5,FALSE),IF(AND(VALUE(B129)&lt;2421,VALUE(C129)&lt;2421,VALUE(D129)&lt;1211),4*VLOOKUP(WardrobeCarcassMaterial,SheetsData,5,FALSE))))),IF(AND(ISERROR(FIND("arcass",A129))=FALSE,ISERROR(FIND("ost corner",A129))=FALSE),IF(AND(VALUE(B129)&lt;1211,VALUE(C129)&lt;1211,VALUE(D129)&lt;606),(1*VLOOKUP(WardrobeCarcassMaterial,SheetsData,5,FALSE))+(VLOOKUP("H/F (22mm)",SheetsData,7,FALSE)*1.44),IF(AND(VALUE(B129)&lt;2421,VALUE(C129)&lt;2421,VALUE(D129)&lt;606),(2*VLOOKUP(WardrobeCarcassMaterial,SheetsData,5,FALSE))+(VLOOKUP("H/F (22mm)",SheetsData,7,FALSE)*1.44),IF(AND(VALUE(B129)&lt;2421,VALUE(C129)&lt;1211,VALUE(D129)&lt;1211),(3*VLOOKUP(WardrobeCarcassMaterial,SheetsData,5,FALSE))+(VLOOKUP("H/F (22mm)",SheetsData,7,FALSE)*1.44),IF(AND(VALUE(B129)&lt;2421,VALUE(C129)&lt;2421,VALUE(D129)&lt;1211),(4*VLOOKUP(WardrobeCarcassMaterial,SheetsData,5,FALSE))+(VLOOKUP("H/F (22mm)",SheetsData,7,FALSE)*1.44))))),IF(ISERROR(FIND("drawer front",A129))=FALSE,((B129/1000)*(C129/1000))*VLOOKUP(WardrobeDoorMaterial,SheetsData,8,0),IF(AND(WardrobeDrawerType="Match carcass",ISERROR(FIND("drawer box",A129))=FALSE),(((((B129/1000)*(C129/1000))+((B129/1000)*(D129/1000)))*2)*VLOOKUP(WardrobeCarcassMaterial,SheetsData,8,0))+(((C129/1000)*(D129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box",A129))=FALSE),(((((B129/1000)*(C129/1000))+((B129/1000)*(D129/1000)))*2)*(16/1000)*VLOOKUP(LEFT(WardrobeCarcassMaterial,FIND(" ",WardrobeCarcassMaterial))&amp;"(solid m3)",SolidData,4,0))+(((C129/1000)*(D129/1000))*VLOOKUP(LEFT(WardrobeCarcassMaterial,FIND("(",WardrobeCarcassMaterial)-1)&amp;IF(OR(ISERROR(FIND("ply",WardrobeCarcassMaterial))=FALSE,ISERROR(FIND("H/F",WardrobeCarcassMaterial))=FALSE),"(9mm)","(10mm)"),SheetsData,8,0)),IF(ISERROR(FIND("shelf",A129))=FALSE,((C129/1000)*(D129/1000))*VLOOKUP(WardrobeCarcassMaterial,SheetsData,7,FALSE),IF(ISERROR(FIND("Office pod",A129))=FALSE,3*VLOOKUP(WardrobeCarcassMaterial,SheetsData,5,0),IF(ISERROR(FIND(" panel",A129))=FALSE,((B129/1000)*(C129/1000))*VLOOKUP(WardrobeDoorMaterial,SheetsData,8,0),IF(ISERROR(FIND("Fillers",A129))=FALSE,(((0.06*(C129/1000))*2)*VLOOKUP("H/F (18mm)",SheetsData,8,0))+(((0.06*(C129/1000))*2)*VLOOKUP("H/F (9mm)",SheetsData,8,0)),IF(ISERROR(FIND("Cornice (stacked)",A129))=FALSE,((0.08*(C129/1000))*2)*VLOOKUP("H/F (22mm)",SheetsData,8,0),IF(OR(ISERROR(FIND("Plinth",A129))=FALSE,ISERROR(FIND("Cornice (flat)",A129))=FALSE),((B129/1000)*(C129/1000))*VLOOKUP("H/F (18mm)",SheetsData,8,0),IF(ISERROR(FIND("Pelmet",A129))=FALSE,((((B129/1000)*(C129/1000))*2)*VLOOKUP("H/F (18mm)",SheetsData,8,0)),IF(ISERROR(FIND("Fireplace",A129))=FALSE,IF(ISERROR(FIND("over 1600",A129))=FALSE,2*VLOOKUP(WardrobeCarcassMaterial,SheetsData,5,FALSE),VLOOKUP(WardrobeCarcassMaterial,SheetsData,5,FALSE)),IF(ISERROR(FIND("table",A129))=FALSE,((B129/1000)*0.6)*VLOOKUP("Birch ply (24mm)",SheetsData,7,FALSE),IF(ISERROR(FIND("Worktop",A129))=FALSE,((B129/1000)*(C129/1000))*VLOOKUP(WardrobeDoorMaterial,SheetsData,7,FALSE),"Check formula")))))))))))))))))</f>
        <v/>
      </c>
      <c r="F129" s="152" t="str">
        <f>IFERROR(__xludf.DUMMYFUNCTION("IF(OR(A129="""",AND(ISERROR(FIND(""drawer box"",A129))=FALSE,WardrobeDrawerType=""Solid dovetail"")),"""",IF(ISERROR(FIND(""bins"",A129))=FALSE,VLOOKUP(""Base carcass 600"",Wardrobes_etcData,6,0),IF(OR(ISERROR(FIND(""larder"",A129))=FALSE,ISERROR(FIND(""u"&amp;"nit"",A129))=FALSE),VLOOKUP(LEFT(A129,FIND("" "",A129))&amp;""carcass ""&amp;RIGHT(A129,LEN(A129)-len(regexextract(A129,"".* ""))),Wardrobes_etcData,6,0),IF(ISERROR(FIND(""drawer front"",A129))=FALSE,IF(ISERROR(FIND(""veneer"",WardrobeCarcassMaterial))=TRUE,0,((("&amp;"B129+C129)/1000)*2)*VLOOKUP(""Edge banding (per M)"",SheetsData,5,0)),IF(ISERROR(FIND(""drawer box"",A129))=FALSE,IF(ISERROR(FIND(""veneer"",WardrobeCarcassMaterial))=TRUE,0,(((C129+D129)/1000)*2)*VLOOKUP(""Edge banding (per M)"",SheetsData,5,0)),IF(ISERR"&amp;"OR(FIND(""shelf"",A129))=FALSE,IF(ISERROR(FIND(""veneer"",WardrobeCarcassMaterial))=TRUE,0,(C129/1000)*VLOOKUP(""Edge banding (per M)"",SheetsData,5,0)),IF(AND(OR(ISERROR(FIND(""arcass"",A129))=FALSE,ISERROR(FIND(""Fireplace"",A129))=FALSE),ISERROR(FIND("&amp;"""shelf"",A129))=TRUE),IF(ISERROR(FIND(""veneer"",WardrobeCarcassMaterial))=TRUE,0,((2*(B129+C129))/1000)*VLOOKUP(""Edge banding (per M)"",SheetsData,5,0)),IF(ISERROR(FIND(""door"",A129))=TRUE,"""",IF(ISERROR(FIND(""veneer"",WardrobeDoorMaterial))=TRUE,"""&amp;""",((2*(B129+C129))/1000)*VLOOKUP(""Edge banding (per M)"",SheetsData,5,0))))))))))"),"")</f>
        <v/>
      </c>
      <c r="G129" s="153" t="str">
        <f>IF(A129="","",IF(AND(ISERROR(FIND("arcass",A129))=TRUE,ISERROR(FIND("Fireplace",A129))=TRUE),"",IF(VALUE(C129)&lt;606,4*VLOOKUP("Plinth foot (2 Parts 80mm)",FurnitureData,5,FALSE),IF(VALUE(C129)&lt;1211,6*VLOOKUP("Plinth foot (2 Parts 80mm)",FurnitureData,5,FALSE),8*VLOOKUP("Plinth foot (2 Parts 80mm)",FurnitureData,5,FALSE)))))</f>
        <v/>
      </c>
      <c r="H129" s="115" t="str">
        <f>IF(OR(A129="",ISERROR(FIND("door",A129))=TRUE),"",VLOOKUP("Hinges &amp; plates (Hettich thick door)",FurnitureData,5,0)*5)</f>
        <v/>
      </c>
      <c r="I129" s="115" t="str">
        <f>IF(ISERROR(FIND("shelf",A129))=FALSE,(VLOOKUP("Shelf pegs",FurnitureData,5,0)/100)*4,"")</f>
        <v/>
      </c>
      <c r="J129" s="152" t="str">
        <f>IF(OR(ISERROR(FIND("fridge/freezer",A129))=FALSE,ISERROR(FIND("sink",A129))=FALSE,ISERROR(FIND("larder",A129))=FALSE),VLOOKUP("Deep shelf "&amp;C129,Wardrobes_etcData,18,0),IF(OR(ISERROR(FIND("single oven",A129))=FALSE,ISERROR(FIND("Base carcass",A129))=FALSE),2*VLOOKUP("Deep shelf "&amp;C129,Wardrobes_etcData,18,0),IF(AND(ISERROR(FIND("wall carcass",A129))=FALSE,ISERROR(FIND("Boiler",A129))=TRUE),2*VLOOKUP("Shallow shelf "&amp;C129,Wardrobes_etcData,18,0),IF(ISERROR(FIND("double oven",A129))=FALSE,3*VLOOKUP("Deep shelf "&amp;C129,Wardrobes_etcData,18,0),IF(ISERROR(FIND("Tower carcass",A129))=FALSE,6*VLOOKUP("Deep shelf "&amp;C129,Wardrobes_etcData,18,0),"")))))</f>
        <v/>
      </c>
      <c r="K129" s="152" t="str">
        <f>IF(ISERROR(FIND("sink",A129))=FALSE,VLOOKUP("Sink liner - Aluminium "&amp;RIGHT(A129,LEN(A129)-22)&amp;"mm",ExceptionalData,5,0),IF(ISERROR(FIND("bins",A129))=FALSE,VLOOKUP("Drawer runners and clip set for bin unit (500) Dynapro",FurnitureData,5,0)+(2*VLOOKUP("Bin (42L Anthracite)",FurnitureData,5,0)),IF(ISERROR(FIND("larder",A129))=FALSE,VLOOKUP("Pull out larder unit 600mm",FurnitureData,5,0),IF(AND(ISERROR(FIND("drawer box",A129))=FALSE,ISERROR(FIND("internal",A129))=TRUE),VLOOKUP("Drawer runners and clip set (550) Dynapro",FurnitureData,5,0),IF(ISERROR(FIND("internal drawer box",A129))=FALSE,VLOOKUP("Drawer runners and clip set (450) Dynapro",FurnitureData,5,0),IF(ISERROR(FIND("table",A129))=FALSE,VLOOKUP("Hairpin Leg (12mm Black "&amp;MID(A129,FIND("(",A129)+1,LEN(A129)-(FIND("(",A129))-1)&amp;"mm)",ExceptionalData,4,FALSE),""))))))</f>
        <v/>
      </c>
      <c r="L129" s="152" t="str">
        <f t="shared" si="3"/>
        <v/>
      </c>
      <c r="M129" s="154" t="str">
        <f>IF(A129="","",IF(AND(ISERROR(FIND("drawer front",A129))=FALSE,WardrobeDoorStyle="Flat"),(((B129/1000)*(C129/1000))*2)+((((B129+C129)/1000)*2)*0.022),IF(AND(ISERROR(FIND("drawer front",A129))=FALSE,LEFT(WardrobeDoorStyle,5)="Panel"),(((B129/1000)*(C129/1000))*2)+((((B129+C129)/1000)*2)*0.022)+((((C129/1000)-0.16)*0.013)*2)+((((D129/1000)-0.16)*0.013)*2),IF(AND(ISERROR(FIND("drawer front",A129))=FALSE,WardrobeDoorStyle="In-frame flat"),((((B129-76)/1000)*((C129-38)/1000))*2)+(MID(WardrobeDoorMaterial,FIND("(",WardrobeDoorMaterial)+1,2)/1000)*((((B129-76)+(C129-38))/1000)*2)+(((B129/1000)*0.032)*2)+((((B129-76)/1000)*0.032)*2)+(((B129/1000)*0.019)*4)+(((C129/1000)*0.032)*2)+((((C129-38)/1000)*0.032)*2)+(((C129/1000)*0.038)*4),IF(AND(ISERROR(FIND("drawer front",A129))=FALSE,LEFT(WardrobeDoorStyle,14)="In-frame panel"),((((B129-76)/1000)*((C129-38)/1000))*2)+((MID(WardrobeDoorMaterial,FIND("(",WardrobeDoorMaterial)+1,2)/1000)*((((B129-76)+(C129-38))/1000)*2))+((((B129-236)/1000)+((C129-198)/1000)*2)*0.013)+(((B129/1000)*0.032)*2)+((((B129-76)/1000)*0.032)*2)+(((B129/1000)*0.019)*4)+(((C129/1000)*0.032)*2)+((((C129-38)/1000)*0.032)*2)+(((C129/1000)*0.038)*4),IF(ISERROR(FIND("drawer box",A129))=FALSE,((((B129/1000)*(D129/1000))+((B129/1000)*(C129/1000)))*4)+((((D129/1000)+(C129/1000))*0.016)*4)+(((C129/1000)*(D129/1000))*2),IF(OR(ISERROR(FIND("shelf",A129))=FALSE,ISERROR(FIND("Filler panel",A129))=FALSE),(((C129/1000)*(D129/1000))*2)+((((C129+D129)*2)/1000)*0.022),IF(ISERROR(FIND("Fireplace",A129))=FALSE,((B129/1000)*(C129/1000)),IF(ISERROR(FIND("Worktop",A129))=FALSE,(B129/1000)*(C129/1000),IF(ISERROR(FIND("table",A129))=FALSE,(B129/1000)*0.6,IF(ISERROR(FIND("arcass",A129))=FALSE,(((C129/1000)*(D129/1000))*2)+(((B129/1000)*(D129/1000))*2)+((B129/1000)*(C129/1000))+((((B129/1000)*0.025)+((C129/1000)*0.025))*2),IF(AND(ISERROR(FIND("door",A129))=FALSE,WardrobeDoorStyle="Flat"),(((B129/1000)*(C129/1000))*2)+(MID(WardrobeDoorMaterial,FIND("(",WardrobeDoorMaterial)+1,2)/1000)*(((B129+C129)/1000)*2),IF(AND(ISERROR(FIND("door",A129))=FALSE,LEFT(WardrobeDoorStyle,5)="Panel"),(((B129/1000)*(C129/1000))*2)+((MID(WardrobeDoorMaterial,FIND("(",WardrobeDoorMaterial)+1,2)/1000)*(((B129+C129)/1000)*2))+(((((B129-160)+(C129-160))*2)/1000)*(0.013)),IF(AND(ISERROR(FIND("door",A129))=FALSE,WardrobeDoorStyle="In-frame flat"),((((B129-76)/1000)*((C129-38)/1000))*2)+(MID(WardrobeDoorMaterial,FIND("(",WardrobeDoorMaterial)+1,2)/1000)*((((B129-76)+(C129-38))/1000)*2)+(((B129/1000)*0.032)*2)+((((B129-76)/1000)*0.032)*2)+(((B129/1000)*0.019)*4)+(((C129/1000)*0.032)*2)+((((C129-38)/1000)*0.032)*2)+(((C129/1000)*0.038)*4),IF(AND(ISERROR(FIND("door",A129))=FALSE,LEFT(WardrobeDoorStyle,14)="In-frame panel"),((((B129-76)/1000)*((C129-38)/1000))*2)+((MID(WardrobeDoorMaterial,FIND("(",WardrobeDoorMaterial)+1,2)/1000)*((((B129-76)+(C129-38))/1000)*2))+((((B129-236)/1000)+((C129-198)/1000)*2)*0.013)+(((B129/1000)*0.032)*2)+((((B129-76)/1000)*0.032)*2)+(((B129/1000)*0.019)*4)+(((C129/1000)*0.032)*2)+((((C129-38)/1000)*0.032)*2)+(((C129/1000)*0.038)*4),IF(ISERROR(FIND("Plinth",A129))=FALSE,((B129/1000)*(C129/1000))+(((C129/1000)*0.018)*2)+(((B129/1000)*0.018)*2),IF(ISERROR(FIND("Cornice",A129))=FALSE,(((C129/1000)*0.1)*2)+(((C129/1000)*0.044)*2)+(((B129/1000)*0.08)*2),IF(ISERROR(FIND("Office pod",A129))=FALSE,((2400/1000)*(1200/1000))*6,IF(ISERROR(FIND("panel",A129))=FALSE,((B129/1000)*(C129/1000))+(0.022*((B129/1000)+((C129/1000)*2)))+((B129/1000)*0.05),IF(ISERROR(FIND("Fillers",A129))=FALSE,((C129/1000)*0.06)+((C129/1000)*0.069)+((0.06*0.018)*2)+((0.06*0.009)*2)+((C129/1000)*0.009)+((C129/1000)*0.018),IF(ISERROR(FIND("Pelmet",A129))=FALSE,((C129/1000)*0.05)+((C129/1000)*0.068)+((0.05*0.018)*4)+(((C129/1000)*0.018))*2)))))))))))))))))))))</f>
        <v/>
      </c>
      <c r="N129" s="152" t="str">
        <f>IF(M129="","",IF(AND(ISERROR(FIND("carcass",A129))=TRUE,ISERROR(FIND("unit",A129))=TRUE,ISERROR(FIND("insert",A129))=TRUE,ISERROR(FIND("rack",A129))=TRUE,ISERROR(FIND("box",A129))=TRUE,ISERROR(FIND("shelf",A129))=TRUE),VLOOKUP(WardrobeDoorFinish,Finishing!$A$2:$K$10,9,0)*M129,IF(ISERROR(FIND("table",A129))=FALSE,VLOOKUP("Sayerlack AF0072 Interior Clear Self-Sealer",FinishingData,9,FALSE)*M129,VLOOKUP(WardrobeCarcassFinish,Finishing!$A$2:$K$40,9,0)*M129)))</f>
        <v/>
      </c>
      <c r="O129" s="159"/>
      <c r="P129" s="159"/>
      <c r="Q129" s="152" t="str">
        <f>IF(OR(O129="",P129=""),"",((O129*X129)*(VLOOKUP("Workshop",Labour!$A$3:$E$20,4,0)/8))+((P129*AE129)*(VLOOKUP("Finishing",Labour!$A$3:$E$20,4,0)/8)))</f>
        <v/>
      </c>
      <c r="R129" s="152" t="str">
        <f t="shared" si="4"/>
        <v/>
      </c>
      <c r="S129" s="156" t="str">
        <f>IF(OR(O129="",P129=""),"",IF(OR(ISERROR(FIND("carcass",$A129))=FALSE,ISERROR(FIND("unit",$A129))=FALSE),VLOOKUP(WardrobeCarcassMaterial,FixedListsCarcassMaterial,2,0),0))</f>
        <v/>
      </c>
      <c r="T129" s="156" t="str">
        <f>IF(OR(O129="",P129=""),"",IF(ISERROR(FIND("door",$A129))=FALSE,VLOOKUP(WardrobeDoorStyle,FixedListsDoorStyle,2,0),0))</f>
        <v/>
      </c>
      <c r="U129" s="156" t="str">
        <f>IF(OR(O129="",P129=""),"",IF(ISERROR(FIND("door",$A129))=FALSE,VLOOKUP(WardrobeDoorMaterial,FixedListsDoorMaterial,2,0),0))</f>
        <v/>
      </c>
      <c r="V129" s="156" t="str">
        <f>IF(OR(O129="",P129=""),"",IF(ISERROR(FIND("drawer",$A129))=FALSE,VLOOKUP(WardrobeDrawerType,FixedListsDrawerType,2,0),0))</f>
        <v/>
      </c>
      <c r="W129" s="156" t="str">
        <f>IF(OR(O129="",P129=""),"",IF(S129&gt;0,VLOOKUP(WardrobeHandleType,FixedListsHandleType,2,FALSE),0))</f>
        <v/>
      </c>
      <c r="X129" s="156" t="str">
        <f t="shared" si="5"/>
        <v/>
      </c>
      <c r="Y129" s="156" t="str">
        <f>IF(OR(O129="",P129=""),"",IF(OR(ISERROR(FIND("carcass",$A129))=FALSE,ISERROR(FIND("unit",$A129))=FALSE),VLOOKUP(WardrobeCarcassMaterial,FixedListsCarcassMaterial,3,0),0))</f>
        <v/>
      </c>
      <c r="Z129" s="156" t="str">
        <f>IF(OR(O129="",P129=""),"",IF(ISERROR(FIND("door",$A129))=FALSE,VLOOKUP(WardrobeDoorStyle,FixedListsDoorStyle,3,0),0))</f>
        <v/>
      </c>
      <c r="AA129" s="156" t="str">
        <f>IF(OR(O129="",P129=""),"",IF(ISERROR(FIND("door",$A129))=FALSE,VLOOKUP(WardrobeDoorMaterial,FixedListsDoorMaterial,3,0),0))</f>
        <v/>
      </c>
      <c r="AB129" s="156" t="str">
        <f>IF(OR(O129="",P129=""),"",IF(ISERROR(FIND("drawer",$A129))=FALSE,VLOOKUP(WardrobeDrawerType,FixedListsDrawerType,3,0),0))</f>
        <v/>
      </c>
      <c r="AC129" s="156" t="str">
        <f>IF(OR(O129="",P129=""),"",IF(S129&gt;0,VLOOKUP(WardrobeHandleType,FixedListsHandleType,3,FALSE),0))</f>
        <v/>
      </c>
      <c r="AD129" s="156" t="str">
        <f>IF(OR(O129="",P129=""),"",IF(OR(ISERROR(FIND("carcass",$A129))=FALSE,ISERROR(FIND("unit",$A129))=FALSE),VLOOKUP(WardrobeCarcassFinish,FixedListsFinishes,3,0),IF(OR(ISERROR(FIND("door",$A129))=FALSE,ISERROR(FIND("Plinth",$A129))=FALSE,ISERROR(FIND("Cornice",$A129))=FALSE,ISERROR(FIND("Fillers",$A129))=FALSE,ISERROR(FIND("Pelmet",$A129))=FALSE,ISERROR(FIND("panel",$A129))=FALSE,ISERROR(FIND("post",$A129))=FALSE),VLOOKUP(WardrobeDoorFinish,FixedListsFinishes,3,0),IF(OR(ISERROR(FIND("drawer",$A129))=FALSE,ISERROR(FIND("insert",$A129))=FALSE,ISERROR(FIND("rck",$A129))=FALSE),VLOOKUP(WardrobeCarcassFinish,FixedListsFinishes,3,0),0))))</f>
        <v/>
      </c>
      <c r="AE129" s="156" t="str">
        <f t="shared" si="6"/>
        <v/>
      </c>
      <c r="AF129" s="157" t="str">
        <f>IF(AND(WardrobeHandleType="Channel",OR(ISERROR(FIND("arcass",$A129))=FALSE,ISERROR(FIND("unit",$A129))=FALSE)),IF(ISERROR(FIND("Tower",$A129))=TRUE,IF(WardrobeHandleFinish="Match carcass",IF(ISERROR(FIND("Walnut",WardrobeCarcassMaterial))=FALSE,(0.035*0.075*($C129/1000))*VLOOKUP("Walnut (solid m3)",SolidData,4,FALSE),IF(ISERROR(FIND("Oak",WardrobeCarcassMaterial))=FALSE,(0.035*0.075*($C129/1000))*VLOOKUP("Oak (solid m3)",SolidData,4,FALSE),IF(ISERROR(FIND("ply",WardrobeCarcassMaterial))=FALSE,(0.1*($C129/1000))*VLOOKUP("Birch ply (24mm)",SheetsData,7,FALSE),IF(ISERROR(FIND("H/F",WardrobeCarcassMaterial))=FALSE,(0.1*($C129/1000))*VLOOKUP("H/F (22mm)",SheetsData,7,FALSE),"Carcass - not tower - new material")))),IF(WardrobeHandleFinish="Match door",IF(ISERROR(FIND("Walnut",WardrobeDoorMaterial))=FALSE,(0.035*0.075*($C129/1000))*VLOOKUP("Walnut (solid m3)",SolidData,4,FALSE),IF(ISERROR(FIND("Oak",WardrobeDoorMaterial))=FALSE,(0.035*0.075*($C129/1000))*VLOOKUP("Oak (solid m3)",SolidData,4,FALSE),IF(ISERROR(FIND("ply",WardrobeDoorMaterial))=FALSE,(0.1*($C129/1000))*VLOOKUP("Birch ply (24mm)",SheetsData,7,FALSE),IF(ISERROR(FIND("H/F",WardrobeCarcassMaterial))=FALSE,(0.1*($C129/1000))*VLOOKUP("H/F (22mm)",SheetsData,7,FALSE),"Door - not tower - new material")))),"Channel - not tower - handle set to other")),IF(ISERROR(FIND("Tower",$A129))=FALSE,IF(WardrobeHandleFinish="Match carcass",IF(ISERROR(FIND("Walnut",WardrobeCarcassMaterial))=FALSE,(0.035*0.075*($B129/1000))*VLOOKUP("Walnut (solid m3)",SolidData,4,FALSE),IF(ISERROR(FIND("Oak",WardrobeCarcassMaterial))=FALSE,(0.035*0.075*($B129/1000))*VLOOKUP("Oak (solid m3)",SolidData,4,FALSE),IF(ISERROR(FIND("ply",WardrobeCarcassMaterial))=FALSE,(0.1*($B129/1000))*VLOOKUP("Birch ply (24mm)",SheetsData,7,FALSE),IF(ISERROR(FIND("H/F",WardrobeCarcassMaterial))=FALSE,(0.1*($C129/1000))*VLOOKUP("H/F (22mm)",SheetsData,7,FALSE),"Carcass - tower - new material")))),IF(WardrobeHandleFinish="Match door",IF(ISERROR(FIND("Walnut",WardrobeDoorMaterial))=FALSE,(0.035*0.075*($B129/1000))*VLOOKUP("Walnut (solid m3)",SolidData,4,FALSE),IF(ISERROR(FIND("Oak",WardrobeDoorMaterial))=FALSE,(0.035*0.075*($B129/1000))*VLOOKUP("Oak (solid m3)",SolidData,4,FALSE),IF(ISERROR(FIND("ply",WardrobeDoorMaterial))=FALSE,(0.1*($B129/1000))*VLOOKUP("Birch ply (24mm)",SheetData,7,FALSE),IF(ISERROR(FIND("H/F",WardrobeCarcassMaterial))=FALSE,(0.1*($C129/1000))*VLOOKUP("H/F (22mm)",SheetsData,7,FALSE),"Door - tower - new material")))),"Channel - tower - handle set to other")))),"")</f>
        <v/>
      </c>
    </row>
    <row r="130">
      <c r="A130" s="150"/>
      <c r="B130" s="160" t="str">
        <f t="shared" si="1"/>
        <v/>
      </c>
      <c r="C130" s="160" t="str">
        <f>IFERROR(__xludf.DUMMYFUNCTION("IF(A130="""","""",IF(ISERROR(FIND(""arcass"",A130))=FALSE,MID(A130,FIND(""*"",A130)+1,FIND(""*"",A130,FIND(""*"",A130)+1)-FIND(""*"",A130)-1),IF(ISERROR(FIND(""End panel"",A130))=FALSE,RIGHT(A130,3),IF(OR(ISERROR(FIND(""drawer"",A130))=FALSE,ISERROR(FIND("&amp;"""door"",A130))=FALSE,ISERROR(FIND(""shelf"",A130))=FALSE,ISERROR(FIND(""panel"",A130))=FALSE,ISERROR(FIND(""Plinth"",A130))=FALSE,ISERROR(FIND(""Cornice"",A130))=FALSE,ISERROR(FIND(""Fillers"",A130))=FALSE,ISERROR(FIND(""Pelmet"",A130))=FALSE,ISERROR(FIN"&amp;"D(""Fireplace up to 1600"",A130))=FALSE),RIGHT(A130,LEN(A130)-LEN(regexextract(A130,"".* ""))),IF(ISERROR(FIND(""table"",A130))=FALSE,""560"",IF(ISERROR(FIND(""Office pod"",A130))=FALSE,""1600"",IF(ISERROR(FIND(""Fireplace over 1600"",A130))=FALSE,""2400"&amp;""",IF(ISERROR(FIND(""Worktop"",A130))=FALSE,""650"",""Whoops""))))))))"),"")</f>
        <v/>
      </c>
      <c r="D130" s="161" t="str">
        <f t="shared" si="2"/>
        <v/>
      </c>
      <c r="E130" s="152" t="str">
        <f>IF(OR(A130="",AND(ISERROR(FIND("drawer",A130))=FALSE,WardrobeDrawerType="")),"",IF(ISERROR(FIND("door",A130))=FALSE,IF(WardrobeDoorStyle="Flat",((B130/1000)*(C130/1000))*VLOOKUP(WardrobeDoorMaterial,SheetsData,8,0),IF(LEFT(WardrobeDoorStyle,5)="Panel",(((((B130/1000)*2)*0.08)+((((C130/1000)-0.16)*2)*0.08))*VLOOKUP("H/F (22mm)",SheetsData,8,0))+(((B130/1000)-0.14)*((C130/1000)-0.14)*VLOOKUP("H/F (9mm)",SheetsData,8,0)),IF(WardrobeDoorStyle="In-frame flat",((((((B130/1000)*0.019)*0.038)+((((C130-38)/1000)*0.038)*0.038))*2)*VLOOKUP("Tulip (solid m3)",SolidData,4,0))+(((B130-76)/1000)*((C130-38)/1000))*VLOOKUP("H/F (22mm)",SheetsData,8,0),IF(LEFT(WardrobeDoorStyle,14)="In-frame panel",(((((((B130/1000)*0.019)*0.038)+((((C130-38)/1000)*0.038)*0.038))*2)*VLOOKUP("Tulip (solid m3)",SolidData,4,0))+(((((((B130-76)/1000)*2)*0.08)+(((((C130-198)/1000)*2)*0.08)))*VLOOKUP("H/F (22mm)",SheetsData,8,0))+(((B130-216)/1000)*((C130-178)/1000)*VLOOKUP("H/F (9mm)",SheetsData,8,0)))))))),IF(AND(ISERROR(FIND("arcass",A130))=FALSE,ISERROR(FIND("ost corner",A130))=TRUE),IF(AND(VALUE(B130)&lt;1211,VALUE(C130)&lt;1211,VALUE(D130)&lt;606),1*VLOOKUP(WardrobeCarcassMaterial,SheetsData,5,FALSE),IF(AND(VALUE(B130)&lt;2421,VALUE(C130)&lt;2421,VALUE(D130)&lt;606),2*VLOOKUP(WardrobeCarcassMaterial,SheetsData,5,FALSE),IF(AND(VALUE(B130)&lt;2421,VALUE(C130)&lt;1211,VALUE(D130)&lt;1211),3*VLOOKUP(WardrobeCarcassMaterial,SheetsData,5,FALSE),IF(AND(VALUE(B130)&lt;2421,VALUE(C130)&lt;2421,VALUE(D130)&lt;1211),4*VLOOKUP(WardrobeCarcassMaterial,SheetsData,5,FALSE))))),IF(AND(ISERROR(FIND("arcass",A130))=FALSE,ISERROR(FIND("ost corner",A130))=FALSE),IF(AND(VALUE(B130)&lt;1211,VALUE(C130)&lt;1211,VALUE(D130)&lt;606),(1*VLOOKUP(WardrobeCarcassMaterial,SheetsData,5,FALSE))+(VLOOKUP("H/F (22mm)",SheetsData,7,FALSE)*1.44),IF(AND(VALUE(B130)&lt;2421,VALUE(C130)&lt;2421,VALUE(D130)&lt;606),(2*VLOOKUP(WardrobeCarcassMaterial,SheetsData,5,FALSE))+(VLOOKUP("H/F (22mm)",SheetsData,7,FALSE)*1.44),IF(AND(VALUE(B130)&lt;2421,VALUE(C130)&lt;1211,VALUE(D130)&lt;1211),(3*VLOOKUP(WardrobeCarcassMaterial,SheetsData,5,FALSE))+(VLOOKUP("H/F (22mm)",SheetsData,7,FALSE)*1.44),IF(AND(VALUE(B130)&lt;2421,VALUE(C130)&lt;2421,VALUE(D130)&lt;1211),(4*VLOOKUP(WardrobeCarcassMaterial,SheetsData,5,FALSE))+(VLOOKUP("H/F (22mm)",SheetsData,7,FALSE)*1.44))))),IF(ISERROR(FIND("drawer front",A130))=FALSE,((B130/1000)*(C130/1000))*VLOOKUP(WardrobeDoorMaterial,SheetsData,8,0),IF(AND(WardrobeDrawerType="Match carcass",ISERROR(FIND("drawer box",A130))=FALSE),(((((B130/1000)*(C130/1000))+((B130/1000)*(D130/1000)))*2)*VLOOKUP(WardrobeCarcassMaterial,SheetsData,8,0))+(((C130/1000)*(D130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box",A130))=FALSE),(((((B130/1000)*(C130/1000))+((B130/1000)*(D130/1000)))*2)*(16/1000)*VLOOKUP(LEFT(WardrobeCarcassMaterial,FIND(" ",WardrobeCarcassMaterial))&amp;"(solid m3)",SolidData,4,0))+(((C130/1000)*(D130/1000))*VLOOKUP(LEFT(WardrobeCarcassMaterial,FIND("(",WardrobeCarcassMaterial)-1)&amp;IF(OR(ISERROR(FIND("ply",WardrobeCarcassMaterial))=FALSE,ISERROR(FIND("H/F",WardrobeCarcassMaterial))=FALSE),"(9mm)","(10mm)"),SheetsData,8,0)),IF(ISERROR(FIND("shelf",A130))=FALSE,((C130/1000)*(D130/1000))*VLOOKUP(WardrobeCarcassMaterial,SheetsData,7,FALSE),IF(ISERROR(FIND("Office pod",A130))=FALSE,3*VLOOKUP(WardrobeCarcassMaterial,SheetsData,5,0),IF(ISERROR(FIND(" panel",A130))=FALSE,((B130/1000)*(C130/1000))*VLOOKUP(WardrobeDoorMaterial,SheetsData,8,0),IF(ISERROR(FIND("Fillers",A130))=FALSE,(((0.06*(C130/1000))*2)*VLOOKUP("H/F (18mm)",SheetsData,8,0))+(((0.06*(C130/1000))*2)*VLOOKUP("H/F (9mm)",SheetsData,8,0)),IF(ISERROR(FIND("Cornice (stacked)",A130))=FALSE,((0.08*(C130/1000))*2)*VLOOKUP("H/F (22mm)",SheetsData,8,0),IF(OR(ISERROR(FIND("Plinth",A130))=FALSE,ISERROR(FIND("Cornice (flat)",A130))=FALSE),((B130/1000)*(C130/1000))*VLOOKUP("H/F (18mm)",SheetsData,8,0),IF(ISERROR(FIND("Pelmet",A130))=FALSE,((((B130/1000)*(C130/1000))*2)*VLOOKUP("H/F (18mm)",SheetsData,8,0)),IF(ISERROR(FIND("Fireplace",A130))=FALSE,IF(ISERROR(FIND("over 1600",A130))=FALSE,2*VLOOKUP(WardrobeCarcassMaterial,SheetsData,5,FALSE),VLOOKUP(WardrobeCarcassMaterial,SheetsData,5,FALSE)),IF(ISERROR(FIND("table",A130))=FALSE,((B130/1000)*0.6)*VLOOKUP("Birch ply (24mm)",SheetsData,7,FALSE),IF(ISERROR(FIND("Worktop",A130))=FALSE,((B130/1000)*(C130/1000))*VLOOKUP(WardrobeDoorMaterial,SheetsData,7,FALSE),"Check formula")))))))))))))))))</f>
        <v/>
      </c>
      <c r="F130" s="152" t="str">
        <f>IFERROR(__xludf.DUMMYFUNCTION("IF(OR(A130="""",AND(ISERROR(FIND(""drawer box"",A130))=FALSE,WardrobeDrawerType=""Solid dovetail"")),"""",IF(ISERROR(FIND(""bins"",A130))=FALSE,VLOOKUP(""Base carcass 600"",Wardrobes_etcData,6,0),IF(OR(ISERROR(FIND(""larder"",A130))=FALSE,ISERROR(FIND(""u"&amp;"nit"",A130))=FALSE),VLOOKUP(LEFT(A130,FIND("" "",A130))&amp;""carcass ""&amp;RIGHT(A130,LEN(A130)-len(regexextract(A130,"".* ""))),Wardrobes_etcData,6,0),IF(ISERROR(FIND(""drawer front"",A130))=FALSE,IF(ISERROR(FIND(""veneer"",WardrobeCarcassMaterial))=TRUE,0,((("&amp;"B130+C130)/1000)*2)*VLOOKUP(""Edge banding (per M)"",SheetsData,5,0)),IF(ISERROR(FIND(""drawer box"",A130))=FALSE,IF(ISERROR(FIND(""veneer"",WardrobeCarcassMaterial))=TRUE,0,(((C130+D130)/1000)*2)*VLOOKUP(""Edge banding (per M)"",SheetsData,5,0)),IF(ISERR"&amp;"OR(FIND(""shelf"",A130))=FALSE,IF(ISERROR(FIND(""veneer"",WardrobeCarcassMaterial))=TRUE,0,(C130/1000)*VLOOKUP(""Edge banding (per M)"",SheetsData,5,0)),IF(AND(OR(ISERROR(FIND(""arcass"",A130))=FALSE,ISERROR(FIND(""Fireplace"",A130))=FALSE),ISERROR(FIND("&amp;"""shelf"",A130))=TRUE),IF(ISERROR(FIND(""veneer"",WardrobeCarcassMaterial))=TRUE,0,((2*(B130+C130))/1000)*VLOOKUP(""Edge banding (per M)"",SheetsData,5,0)),IF(ISERROR(FIND(""door"",A130))=TRUE,"""",IF(ISERROR(FIND(""veneer"",WardrobeDoorMaterial))=TRUE,"""&amp;""",((2*(B130+C130))/1000)*VLOOKUP(""Edge banding (per M)"",SheetsData,5,0))))))))))"),"")</f>
        <v/>
      </c>
      <c r="G130" s="153" t="str">
        <f>IF(A130="","",IF(AND(ISERROR(FIND("arcass",A130))=TRUE,ISERROR(FIND("Fireplace",A130))=TRUE),"",IF(VALUE(C130)&lt;606,4*VLOOKUP("Plinth foot (2 Parts 80mm)",FurnitureData,5,FALSE),IF(VALUE(C130)&lt;1211,6*VLOOKUP("Plinth foot (2 Parts 80mm)",FurnitureData,5,FALSE),8*VLOOKUP("Plinth foot (2 Parts 80mm)",FurnitureData,5,FALSE)))))</f>
        <v/>
      </c>
      <c r="H130" s="115" t="str">
        <f>IF(OR(A130="",ISERROR(FIND("door",A130))=TRUE),"",VLOOKUP("Hinges &amp; plates (Hettich thick door)",FurnitureData,5,0)*5)</f>
        <v/>
      </c>
      <c r="I130" s="115" t="str">
        <f>IF(ISERROR(FIND("shelf",A130))=FALSE,(VLOOKUP("Shelf pegs",FurnitureData,5,0)/100)*4,"")</f>
        <v/>
      </c>
      <c r="J130" s="152" t="str">
        <f>IF(OR(ISERROR(FIND("fridge/freezer",A130))=FALSE,ISERROR(FIND("sink",A130))=FALSE,ISERROR(FIND("larder",A130))=FALSE),VLOOKUP("Deep shelf "&amp;C130,Wardrobes_etcData,18,0),IF(OR(ISERROR(FIND("single oven",A130))=FALSE,ISERROR(FIND("Base carcass",A130))=FALSE),2*VLOOKUP("Deep shelf "&amp;C130,Wardrobes_etcData,18,0),IF(AND(ISERROR(FIND("wall carcass",A130))=FALSE,ISERROR(FIND("Boiler",A130))=TRUE),2*VLOOKUP("Shallow shelf "&amp;C130,Wardrobes_etcData,18,0),IF(ISERROR(FIND("double oven",A130))=FALSE,3*VLOOKUP("Deep shelf "&amp;C130,Wardrobes_etcData,18,0),IF(ISERROR(FIND("Tower carcass",A130))=FALSE,6*VLOOKUP("Deep shelf "&amp;C130,Wardrobes_etcData,18,0),"")))))</f>
        <v/>
      </c>
      <c r="K130" s="152" t="str">
        <f>IF(ISERROR(FIND("sink",A130))=FALSE,VLOOKUP("Sink liner - Aluminium "&amp;RIGHT(A130,LEN(A130)-22)&amp;"mm",ExceptionalData,5,0),IF(ISERROR(FIND("bins",A130))=FALSE,VLOOKUP("Drawer runners and clip set for bin unit (500) Dynapro",FurnitureData,5,0)+(2*VLOOKUP("Bin (42L Anthracite)",FurnitureData,5,0)),IF(ISERROR(FIND("larder",A130))=FALSE,VLOOKUP("Pull out larder unit 600mm",FurnitureData,5,0),IF(AND(ISERROR(FIND("drawer box",A130))=FALSE,ISERROR(FIND("internal",A130))=TRUE),VLOOKUP("Drawer runners and clip set (550) Dynapro",FurnitureData,5,0),IF(ISERROR(FIND("internal drawer box",A130))=FALSE,VLOOKUP("Drawer runners and clip set (450) Dynapro",FurnitureData,5,0),IF(ISERROR(FIND("table",A130))=FALSE,VLOOKUP("Hairpin Leg (12mm Black "&amp;MID(A130,FIND("(",A130)+1,LEN(A130)-(FIND("(",A130))-1)&amp;"mm)",ExceptionalData,4,FALSE),""))))))</f>
        <v/>
      </c>
      <c r="L130" s="152" t="str">
        <f t="shared" si="3"/>
        <v/>
      </c>
      <c r="M130" s="154" t="str">
        <f>IF(A130="","",IF(AND(ISERROR(FIND("drawer front",A130))=FALSE,WardrobeDoorStyle="Flat"),(((B130/1000)*(C130/1000))*2)+((((B130+C130)/1000)*2)*0.022),IF(AND(ISERROR(FIND("drawer front",A130))=FALSE,LEFT(WardrobeDoorStyle,5)="Panel"),(((B130/1000)*(C130/1000))*2)+((((B130+C130)/1000)*2)*0.022)+((((C130/1000)-0.16)*0.013)*2)+((((D130/1000)-0.16)*0.013)*2),IF(AND(ISERROR(FIND("drawer front",A130))=FALSE,WardrobeDoorStyle="In-frame flat"),((((B130-76)/1000)*((C130-38)/1000))*2)+(MID(WardrobeDoorMaterial,FIND("(",WardrobeDoorMaterial)+1,2)/1000)*((((B130-76)+(C130-38))/1000)*2)+(((B130/1000)*0.032)*2)+((((B130-76)/1000)*0.032)*2)+(((B130/1000)*0.019)*4)+(((C130/1000)*0.032)*2)+((((C130-38)/1000)*0.032)*2)+(((C130/1000)*0.038)*4),IF(AND(ISERROR(FIND("drawer front",A130))=FALSE,LEFT(WardrobeDoorStyle,14)="In-frame panel"),((((B130-76)/1000)*((C130-38)/1000))*2)+((MID(WardrobeDoorMaterial,FIND("(",WardrobeDoorMaterial)+1,2)/1000)*((((B130-76)+(C130-38))/1000)*2))+((((B130-236)/1000)+((C130-198)/1000)*2)*0.013)+(((B130/1000)*0.032)*2)+((((B130-76)/1000)*0.032)*2)+(((B130/1000)*0.019)*4)+(((C130/1000)*0.032)*2)+((((C130-38)/1000)*0.032)*2)+(((C130/1000)*0.038)*4),IF(ISERROR(FIND("drawer box",A130))=FALSE,((((B130/1000)*(D130/1000))+((B130/1000)*(C130/1000)))*4)+((((D130/1000)+(C130/1000))*0.016)*4)+(((C130/1000)*(D130/1000))*2),IF(OR(ISERROR(FIND("shelf",A130))=FALSE,ISERROR(FIND("Filler panel",A130))=FALSE),(((C130/1000)*(D130/1000))*2)+((((C130+D130)*2)/1000)*0.022),IF(ISERROR(FIND("Fireplace",A130))=FALSE,((B130/1000)*(C130/1000)),IF(ISERROR(FIND("Worktop",A130))=FALSE,(B130/1000)*(C130/1000),IF(ISERROR(FIND("table",A130))=FALSE,(B130/1000)*0.6,IF(ISERROR(FIND("arcass",A130))=FALSE,(((C130/1000)*(D130/1000))*2)+(((B130/1000)*(D130/1000))*2)+((B130/1000)*(C130/1000))+((((B130/1000)*0.025)+((C130/1000)*0.025))*2),IF(AND(ISERROR(FIND("door",A130))=FALSE,WardrobeDoorStyle="Flat"),(((B130/1000)*(C130/1000))*2)+(MID(WardrobeDoorMaterial,FIND("(",WardrobeDoorMaterial)+1,2)/1000)*(((B130+C130)/1000)*2),IF(AND(ISERROR(FIND("door",A130))=FALSE,LEFT(WardrobeDoorStyle,5)="Panel"),(((B130/1000)*(C130/1000))*2)+((MID(WardrobeDoorMaterial,FIND("(",WardrobeDoorMaterial)+1,2)/1000)*(((B130+C130)/1000)*2))+(((((B130-160)+(C130-160))*2)/1000)*(0.013)),IF(AND(ISERROR(FIND("door",A130))=FALSE,WardrobeDoorStyle="In-frame flat"),((((B130-76)/1000)*((C130-38)/1000))*2)+(MID(WardrobeDoorMaterial,FIND("(",WardrobeDoorMaterial)+1,2)/1000)*((((B130-76)+(C130-38))/1000)*2)+(((B130/1000)*0.032)*2)+((((B130-76)/1000)*0.032)*2)+(((B130/1000)*0.019)*4)+(((C130/1000)*0.032)*2)+((((C130-38)/1000)*0.032)*2)+(((C130/1000)*0.038)*4),IF(AND(ISERROR(FIND("door",A130))=FALSE,LEFT(WardrobeDoorStyle,14)="In-frame panel"),((((B130-76)/1000)*((C130-38)/1000))*2)+((MID(WardrobeDoorMaterial,FIND("(",WardrobeDoorMaterial)+1,2)/1000)*((((B130-76)+(C130-38))/1000)*2))+((((B130-236)/1000)+((C130-198)/1000)*2)*0.013)+(((B130/1000)*0.032)*2)+((((B130-76)/1000)*0.032)*2)+(((B130/1000)*0.019)*4)+(((C130/1000)*0.032)*2)+((((C130-38)/1000)*0.032)*2)+(((C130/1000)*0.038)*4),IF(ISERROR(FIND("Plinth",A130))=FALSE,((B130/1000)*(C130/1000))+(((C130/1000)*0.018)*2)+(((B130/1000)*0.018)*2),IF(ISERROR(FIND("Cornice",A130))=FALSE,(((C130/1000)*0.1)*2)+(((C130/1000)*0.044)*2)+(((B130/1000)*0.08)*2),IF(ISERROR(FIND("Office pod",A130))=FALSE,((2400/1000)*(1200/1000))*6,IF(ISERROR(FIND("panel",A130))=FALSE,((B130/1000)*(C130/1000))+(0.022*((B130/1000)+((C130/1000)*2)))+((B130/1000)*0.05),IF(ISERROR(FIND("Fillers",A130))=FALSE,((C130/1000)*0.06)+((C130/1000)*0.069)+((0.06*0.018)*2)+((0.06*0.009)*2)+((C130/1000)*0.009)+((C130/1000)*0.018),IF(ISERROR(FIND("Pelmet",A130))=FALSE,((C130/1000)*0.05)+((C130/1000)*0.068)+((0.05*0.018)*4)+(((C130/1000)*0.018))*2)))))))))))))))))))))</f>
        <v/>
      </c>
      <c r="N130" s="152" t="str">
        <f>IF(M130="","",IF(AND(ISERROR(FIND("carcass",A130))=TRUE,ISERROR(FIND("unit",A130))=TRUE,ISERROR(FIND("insert",A130))=TRUE,ISERROR(FIND("rack",A130))=TRUE,ISERROR(FIND("box",A130))=TRUE,ISERROR(FIND("shelf",A130))=TRUE),VLOOKUP(WardrobeDoorFinish,Finishing!$A$2:$K$10,9,0)*M130,IF(ISERROR(FIND("table",A130))=FALSE,VLOOKUP("Sayerlack AF0072 Interior Clear Self-Sealer",FinishingData,9,FALSE)*M130,VLOOKUP(WardrobeCarcassFinish,Finishing!$A$2:$K$40,9,0)*M130)))</f>
        <v/>
      </c>
      <c r="O130" s="159"/>
      <c r="P130" s="159"/>
      <c r="Q130" s="152" t="str">
        <f>IF(OR(O130="",P130=""),"",((O130*X130)*(VLOOKUP("Workshop",Labour!$A$3:$E$20,4,0)/8))+((P130*AE130)*(VLOOKUP("Finishing",Labour!$A$3:$E$20,4,0)/8)))</f>
        <v/>
      </c>
      <c r="R130" s="152" t="str">
        <f t="shared" si="4"/>
        <v/>
      </c>
      <c r="S130" s="156" t="str">
        <f>IF(OR(O130="",P130=""),"",IF(OR(ISERROR(FIND("carcass",$A130))=FALSE,ISERROR(FIND("unit",$A130))=FALSE),VLOOKUP(WardrobeCarcassMaterial,FixedListsCarcassMaterial,2,0),0))</f>
        <v/>
      </c>
      <c r="T130" s="156" t="str">
        <f>IF(OR(O130="",P130=""),"",IF(ISERROR(FIND("door",$A130))=FALSE,VLOOKUP(WardrobeDoorStyle,FixedListsDoorStyle,2,0),0))</f>
        <v/>
      </c>
      <c r="U130" s="156" t="str">
        <f>IF(OR(O130="",P130=""),"",IF(ISERROR(FIND("door",$A130))=FALSE,VLOOKUP(WardrobeDoorMaterial,FixedListsDoorMaterial,2,0),0))</f>
        <v/>
      </c>
      <c r="V130" s="156" t="str">
        <f>IF(OR(O130="",P130=""),"",IF(ISERROR(FIND("drawer",$A130))=FALSE,VLOOKUP(WardrobeDrawerType,FixedListsDrawerType,2,0),0))</f>
        <v/>
      </c>
      <c r="W130" s="156" t="str">
        <f>IF(OR(O130="",P130=""),"",IF(S130&gt;0,VLOOKUP(WardrobeHandleType,FixedListsHandleType,2,FALSE),0))</f>
        <v/>
      </c>
      <c r="X130" s="156" t="str">
        <f t="shared" si="5"/>
        <v/>
      </c>
      <c r="Y130" s="156" t="str">
        <f>IF(OR(O130="",P130=""),"",IF(OR(ISERROR(FIND("carcass",$A130))=FALSE,ISERROR(FIND("unit",$A130))=FALSE),VLOOKUP(WardrobeCarcassMaterial,FixedListsCarcassMaterial,3,0),0))</f>
        <v/>
      </c>
      <c r="Z130" s="156" t="str">
        <f>IF(OR(O130="",P130=""),"",IF(ISERROR(FIND("door",$A130))=FALSE,VLOOKUP(WardrobeDoorStyle,FixedListsDoorStyle,3,0),0))</f>
        <v/>
      </c>
      <c r="AA130" s="156" t="str">
        <f>IF(OR(O130="",P130=""),"",IF(ISERROR(FIND("door",$A130))=FALSE,VLOOKUP(WardrobeDoorMaterial,FixedListsDoorMaterial,3,0),0))</f>
        <v/>
      </c>
      <c r="AB130" s="156" t="str">
        <f>IF(OR(O130="",P130=""),"",IF(ISERROR(FIND("drawer",$A130))=FALSE,VLOOKUP(WardrobeDrawerType,FixedListsDrawerType,3,0),0))</f>
        <v/>
      </c>
      <c r="AC130" s="156" t="str">
        <f>IF(OR(O130="",P130=""),"",IF(S130&gt;0,VLOOKUP(WardrobeHandleType,FixedListsHandleType,3,FALSE),0))</f>
        <v/>
      </c>
      <c r="AD130" s="156" t="str">
        <f>IF(OR(O130="",P130=""),"",IF(OR(ISERROR(FIND("carcass",$A130))=FALSE,ISERROR(FIND("unit",$A130))=FALSE),VLOOKUP(WardrobeCarcassFinish,FixedListsFinishes,3,0),IF(OR(ISERROR(FIND("door",$A130))=FALSE,ISERROR(FIND("Plinth",$A130))=FALSE,ISERROR(FIND("Cornice",$A130))=FALSE,ISERROR(FIND("Fillers",$A130))=FALSE,ISERROR(FIND("Pelmet",$A130))=FALSE,ISERROR(FIND("panel",$A130))=FALSE,ISERROR(FIND("post",$A130))=FALSE),VLOOKUP(WardrobeDoorFinish,FixedListsFinishes,3,0),IF(OR(ISERROR(FIND("drawer",$A130))=FALSE,ISERROR(FIND("insert",$A130))=FALSE,ISERROR(FIND("rck",$A130))=FALSE),VLOOKUP(WardrobeCarcassFinish,FixedListsFinishes,3,0),0))))</f>
        <v/>
      </c>
      <c r="AE130" s="156" t="str">
        <f t="shared" si="6"/>
        <v/>
      </c>
      <c r="AF130" s="157" t="str">
        <f>IF(AND(WardrobeHandleType="Channel",OR(ISERROR(FIND("arcass",$A130))=FALSE,ISERROR(FIND("unit",$A130))=FALSE)),IF(ISERROR(FIND("Tower",$A130))=TRUE,IF(WardrobeHandleFinish="Match carcass",IF(ISERROR(FIND("Walnut",WardrobeCarcassMaterial))=FALSE,(0.035*0.075*($C130/1000))*VLOOKUP("Walnut (solid m3)",SolidData,4,FALSE),IF(ISERROR(FIND("Oak",WardrobeCarcassMaterial))=FALSE,(0.035*0.075*($C130/1000))*VLOOKUP("Oak (solid m3)",SolidData,4,FALSE),IF(ISERROR(FIND("ply",WardrobeCarcassMaterial))=FALSE,(0.1*($C130/1000))*VLOOKUP("Birch ply (24mm)",SheetsData,7,FALSE),IF(ISERROR(FIND("H/F",WardrobeCarcassMaterial))=FALSE,(0.1*($C130/1000))*VLOOKUP("H/F (22mm)",SheetsData,7,FALSE),"Carcass - not tower - new material")))),IF(WardrobeHandleFinish="Match door",IF(ISERROR(FIND("Walnut",WardrobeDoorMaterial))=FALSE,(0.035*0.075*($C130/1000))*VLOOKUP("Walnut (solid m3)",SolidData,4,FALSE),IF(ISERROR(FIND("Oak",WardrobeDoorMaterial))=FALSE,(0.035*0.075*($C130/1000))*VLOOKUP("Oak (solid m3)",SolidData,4,FALSE),IF(ISERROR(FIND("ply",WardrobeDoorMaterial))=FALSE,(0.1*($C130/1000))*VLOOKUP("Birch ply (24mm)",SheetsData,7,FALSE),IF(ISERROR(FIND("H/F",WardrobeCarcassMaterial))=FALSE,(0.1*($C130/1000))*VLOOKUP("H/F (22mm)",SheetsData,7,FALSE),"Door - not tower - new material")))),"Channel - not tower - handle set to other")),IF(ISERROR(FIND("Tower",$A130))=FALSE,IF(WardrobeHandleFinish="Match carcass",IF(ISERROR(FIND("Walnut",WardrobeCarcassMaterial))=FALSE,(0.035*0.075*($B130/1000))*VLOOKUP("Walnut (solid m3)",SolidData,4,FALSE),IF(ISERROR(FIND("Oak",WardrobeCarcassMaterial))=FALSE,(0.035*0.075*($B130/1000))*VLOOKUP("Oak (solid m3)",SolidData,4,FALSE),IF(ISERROR(FIND("ply",WardrobeCarcassMaterial))=FALSE,(0.1*($B130/1000))*VLOOKUP("Birch ply (24mm)",SheetsData,7,FALSE),IF(ISERROR(FIND("H/F",WardrobeCarcassMaterial))=FALSE,(0.1*($C130/1000))*VLOOKUP("H/F (22mm)",SheetsData,7,FALSE),"Carcass - tower - new material")))),IF(WardrobeHandleFinish="Match door",IF(ISERROR(FIND("Walnut",WardrobeDoorMaterial))=FALSE,(0.035*0.075*($B130/1000))*VLOOKUP("Walnut (solid m3)",SolidData,4,FALSE),IF(ISERROR(FIND("Oak",WardrobeDoorMaterial))=FALSE,(0.035*0.075*($B130/1000))*VLOOKUP("Oak (solid m3)",SolidData,4,FALSE),IF(ISERROR(FIND("ply",WardrobeDoorMaterial))=FALSE,(0.1*($B130/1000))*VLOOKUP("Birch ply (24mm)",SheetData,7,FALSE),IF(ISERROR(FIND("H/F",WardrobeCarcassMaterial))=FALSE,(0.1*($C130/1000))*VLOOKUP("H/F (22mm)",SheetsData,7,FALSE),"Door - tower - new material")))),"Channel - tower - handle set to other")))),"")</f>
        <v/>
      </c>
    </row>
    <row r="131">
      <c r="A131" s="150"/>
      <c r="B131" s="160" t="str">
        <f t="shared" si="1"/>
        <v/>
      </c>
      <c r="C131" s="160" t="str">
        <f>IFERROR(__xludf.DUMMYFUNCTION("IF(A131="""","""",IF(ISERROR(FIND(""arcass"",A131))=FALSE,MID(A131,FIND(""*"",A131)+1,FIND(""*"",A131,FIND(""*"",A131)+1)-FIND(""*"",A131)-1),IF(ISERROR(FIND(""End panel"",A131))=FALSE,RIGHT(A131,3),IF(OR(ISERROR(FIND(""drawer"",A131))=FALSE,ISERROR(FIND("&amp;"""door"",A131))=FALSE,ISERROR(FIND(""shelf"",A131))=FALSE,ISERROR(FIND(""panel"",A131))=FALSE,ISERROR(FIND(""Plinth"",A131))=FALSE,ISERROR(FIND(""Cornice"",A131))=FALSE,ISERROR(FIND(""Fillers"",A131))=FALSE,ISERROR(FIND(""Pelmet"",A131))=FALSE,ISERROR(FIN"&amp;"D(""Fireplace up to 1600"",A131))=FALSE),RIGHT(A131,LEN(A131)-LEN(regexextract(A131,"".* ""))),IF(ISERROR(FIND(""table"",A131))=FALSE,""560"",IF(ISERROR(FIND(""Office pod"",A131))=FALSE,""1600"",IF(ISERROR(FIND(""Fireplace over 1600"",A131))=FALSE,""2400"&amp;""",IF(ISERROR(FIND(""Worktop"",A131))=FALSE,""650"",""Whoops""))))))))"),"")</f>
        <v/>
      </c>
      <c r="D131" s="161" t="str">
        <f t="shared" si="2"/>
        <v/>
      </c>
      <c r="E131" s="152" t="str">
        <f>IF(OR(A131="",AND(ISERROR(FIND("drawer",A131))=FALSE,WardrobeDrawerType="")),"",IF(ISERROR(FIND("door",A131))=FALSE,IF(WardrobeDoorStyle="Flat",((B131/1000)*(C131/1000))*VLOOKUP(WardrobeDoorMaterial,SheetsData,8,0),IF(LEFT(WardrobeDoorStyle,5)="Panel",(((((B131/1000)*2)*0.08)+((((C131/1000)-0.16)*2)*0.08))*VLOOKUP("H/F (22mm)",SheetsData,8,0))+(((B131/1000)-0.14)*((C131/1000)-0.14)*VLOOKUP("H/F (9mm)",SheetsData,8,0)),IF(WardrobeDoorStyle="In-frame flat",((((((B131/1000)*0.019)*0.038)+((((C131-38)/1000)*0.038)*0.038))*2)*VLOOKUP("Tulip (solid m3)",SolidData,4,0))+(((B131-76)/1000)*((C131-38)/1000))*VLOOKUP("H/F (22mm)",SheetsData,8,0),IF(LEFT(WardrobeDoorStyle,14)="In-frame panel",(((((((B131/1000)*0.019)*0.038)+((((C131-38)/1000)*0.038)*0.038))*2)*VLOOKUP("Tulip (solid m3)",SolidData,4,0))+(((((((B131-76)/1000)*2)*0.08)+(((((C131-198)/1000)*2)*0.08)))*VLOOKUP("H/F (22mm)",SheetsData,8,0))+(((B131-216)/1000)*((C131-178)/1000)*VLOOKUP("H/F (9mm)",SheetsData,8,0)))))))),IF(AND(ISERROR(FIND("arcass",A131))=FALSE,ISERROR(FIND("ost corner",A131))=TRUE),IF(AND(VALUE(B131)&lt;1211,VALUE(C131)&lt;1211,VALUE(D131)&lt;606),1*VLOOKUP(WardrobeCarcassMaterial,SheetsData,5,FALSE),IF(AND(VALUE(B131)&lt;2421,VALUE(C131)&lt;2421,VALUE(D131)&lt;606),2*VLOOKUP(WardrobeCarcassMaterial,SheetsData,5,FALSE),IF(AND(VALUE(B131)&lt;2421,VALUE(C131)&lt;1211,VALUE(D131)&lt;1211),3*VLOOKUP(WardrobeCarcassMaterial,SheetsData,5,FALSE),IF(AND(VALUE(B131)&lt;2421,VALUE(C131)&lt;2421,VALUE(D131)&lt;1211),4*VLOOKUP(WardrobeCarcassMaterial,SheetsData,5,FALSE))))),IF(AND(ISERROR(FIND("arcass",A131))=FALSE,ISERROR(FIND("ost corner",A131))=FALSE),IF(AND(VALUE(B131)&lt;1211,VALUE(C131)&lt;1211,VALUE(D131)&lt;606),(1*VLOOKUP(WardrobeCarcassMaterial,SheetsData,5,FALSE))+(VLOOKUP("H/F (22mm)",SheetsData,7,FALSE)*1.44),IF(AND(VALUE(B131)&lt;2421,VALUE(C131)&lt;2421,VALUE(D131)&lt;606),(2*VLOOKUP(WardrobeCarcassMaterial,SheetsData,5,FALSE))+(VLOOKUP("H/F (22mm)",SheetsData,7,FALSE)*1.44),IF(AND(VALUE(B131)&lt;2421,VALUE(C131)&lt;1211,VALUE(D131)&lt;1211),(3*VLOOKUP(WardrobeCarcassMaterial,SheetsData,5,FALSE))+(VLOOKUP("H/F (22mm)",SheetsData,7,FALSE)*1.44),IF(AND(VALUE(B131)&lt;2421,VALUE(C131)&lt;2421,VALUE(D131)&lt;1211),(4*VLOOKUP(WardrobeCarcassMaterial,SheetsData,5,FALSE))+(VLOOKUP("H/F (22mm)",SheetsData,7,FALSE)*1.44))))),IF(ISERROR(FIND("drawer front",A131))=FALSE,((B131/1000)*(C131/1000))*VLOOKUP(WardrobeDoorMaterial,SheetsData,8,0),IF(AND(WardrobeDrawerType="Match carcass",ISERROR(FIND("drawer box",A131))=FALSE),(((((B131/1000)*(C131/1000))+((B131/1000)*(D131/1000)))*2)*VLOOKUP(WardrobeCarcassMaterial,SheetsData,8,0))+(((C131/1000)*(D131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box",A131))=FALSE),(((((B131/1000)*(C131/1000))+((B131/1000)*(D131/1000)))*2)*(16/1000)*VLOOKUP(LEFT(WardrobeCarcassMaterial,FIND(" ",WardrobeCarcassMaterial))&amp;"(solid m3)",SolidData,4,0))+(((C131/1000)*(D131/1000))*VLOOKUP(LEFT(WardrobeCarcassMaterial,FIND("(",WardrobeCarcassMaterial)-1)&amp;IF(OR(ISERROR(FIND("ply",WardrobeCarcassMaterial))=FALSE,ISERROR(FIND("H/F",WardrobeCarcassMaterial))=FALSE),"(9mm)","(10mm)"),SheetsData,8,0)),IF(ISERROR(FIND("shelf",A131))=FALSE,((C131/1000)*(D131/1000))*VLOOKUP(WardrobeCarcassMaterial,SheetsData,7,FALSE),IF(ISERROR(FIND("Office pod",A131))=FALSE,3*VLOOKUP(WardrobeCarcassMaterial,SheetsData,5,0),IF(ISERROR(FIND(" panel",A131))=FALSE,((B131/1000)*(C131/1000))*VLOOKUP(WardrobeDoorMaterial,SheetsData,8,0),IF(ISERROR(FIND("Fillers",A131))=FALSE,(((0.06*(C131/1000))*2)*VLOOKUP("H/F (18mm)",SheetsData,8,0))+(((0.06*(C131/1000))*2)*VLOOKUP("H/F (9mm)",SheetsData,8,0)),IF(ISERROR(FIND("Cornice (stacked)",A131))=FALSE,((0.08*(C131/1000))*2)*VLOOKUP("H/F (22mm)",SheetsData,8,0),IF(OR(ISERROR(FIND("Plinth",A131))=FALSE,ISERROR(FIND("Cornice (flat)",A131))=FALSE),((B131/1000)*(C131/1000))*VLOOKUP("H/F (18mm)",SheetsData,8,0),IF(ISERROR(FIND("Pelmet",A131))=FALSE,((((B131/1000)*(C131/1000))*2)*VLOOKUP("H/F (18mm)",SheetsData,8,0)),IF(ISERROR(FIND("Fireplace",A131))=FALSE,IF(ISERROR(FIND("over 1600",A131))=FALSE,2*VLOOKUP(WardrobeCarcassMaterial,SheetsData,5,FALSE),VLOOKUP(WardrobeCarcassMaterial,SheetsData,5,FALSE)),IF(ISERROR(FIND("table",A131))=FALSE,((B131/1000)*0.6)*VLOOKUP("Birch ply (24mm)",SheetsData,7,FALSE),IF(ISERROR(FIND("Worktop",A131))=FALSE,((B131/1000)*(C131/1000))*VLOOKUP(WardrobeDoorMaterial,SheetsData,7,FALSE),"Check formula")))))))))))))))))</f>
        <v/>
      </c>
      <c r="F131" s="152" t="str">
        <f>IFERROR(__xludf.DUMMYFUNCTION("IF(OR(A131="""",AND(ISERROR(FIND(""drawer box"",A131))=FALSE,WardrobeDrawerType=""Solid dovetail"")),"""",IF(ISERROR(FIND(""bins"",A131))=FALSE,VLOOKUP(""Base carcass 600"",Wardrobes_etcData,6,0),IF(OR(ISERROR(FIND(""larder"",A131))=FALSE,ISERROR(FIND(""u"&amp;"nit"",A131))=FALSE),VLOOKUP(LEFT(A131,FIND("" "",A131))&amp;""carcass ""&amp;RIGHT(A131,LEN(A131)-len(regexextract(A131,"".* ""))),Wardrobes_etcData,6,0),IF(ISERROR(FIND(""drawer front"",A131))=FALSE,IF(ISERROR(FIND(""veneer"",WardrobeCarcassMaterial))=TRUE,0,((("&amp;"B131+C131)/1000)*2)*VLOOKUP(""Edge banding (per M)"",SheetsData,5,0)),IF(ISERROR(FIND(""drawer box"",A131))=FALSE,IF(ISERROR(FIND(""veneer"",WardrobeCarcassMaterial))=TRUE,0,(((C131+D131)/1000)*2)*VLOOKUP(""Edge banding (per M)"",SheetsData,5,0)),IF(ISERR"&amp;"OR(FIND(""shelf"",A131))=FALSE,IF(ISERROR(FIND(""veneer"",WardrobeCarcassMaterial))=TRUE,0,(C131/1000)*VLOOKUP(""Edge banding (per M)"",SheetsData,5,0)),IF(AND(OR(ISERROR(FIND(""arcass"",A131))=FALSE,ISERROR(FIND(""Fireplace"",A131))=FALSE),ISERROR(FIND("&amp;"""shelf"",A131))=TRUE),IF(ISERROR(FIND(""veneer"",WardrobeCarcassMaterial))=TRUE,0,((2*(B131+C131))/1000)*VLOOKUP(""Edge banding (per M)"",SheetsData,5,0)),IF(ISERROR(FIND(""door"",A131))=TRUE,"""",IF(ISERROR(FIND(""veneer"",WardrobeDoorMaterial))=TRUE,"""&amp;""",((2*(B131+C131))/1000)*VLOOKUP(""Edge banding (per M)"",SheetsData,5,0))))))))))"),"")</f>
        <v/>
      </c>
      <c r="G131" s="153" t="str">
        <f>IF(A131="","",IF(AND(ISERROR(FIND("arcass",A131))=TRUE,ISERROR(FIND("Fireplace",A131))=TRUE),"",IF(VALUE(C131)&lt;606,4*VLOOKUP("Plinth foot (2 Parts 80mm)",FurnitureData,5,FALSE),IF(VALUE(C131)&lt;1211,6*VLOOKUP("Plinth foot (2 Parts 80mm)",FurnitureData,5,FALSE),8*VLOOKUP("Plinth foot (2 Parts 80mm)",FurnitureData,5,FALSE)))))</f>
        <v/>
      </c>
      <c r="H131" s="115" t="str">
        <f>IF(OR(A131="",ISERROR(FIND("door",A131))=TRUE),"",VLOOKUP("Hinges &amp; plates (Hettich thick door)",FurnitureData,5,0)*5)</f>
        <v/>
      </c>
      <c r="I131" s="115" t="str">
        <f>IF(ISERROR(FIND("shelf",A131))=FALSE,(VLOOKUP("Shelf pegs",FurnitureData,5,0)/100)*4,"")</f>
        <v/>
      </c>
      <c r="J131" s="152" t="str">
        <f>IF(OR(ISERROR(FIND("fridge/freezer",A131))=FALSE,ISERROR(FIND("sink",A131))=FALSE,ISERROR(FIND("larder",A131))=FALSE),VLOOKUP("Deep shelf "&amp;C131,Wardrobes_etcData,18,0),IF(OR(ISERROR(FIND("single oven",A131))=FALSE,ISERROR(FIND("Base carcass",A131))=FALSE),2*VLOOKUP("Deep shelf "&amp;C131,Wardrobes_etcData,18,0),IF(AND(ISERROR(FIND("wall carcass",A131))=FALSE,ISERROR(FIND("Boiler",A131))=TRUE),2*VLOOKUP("Shallow shelf "&amp;C131,Wardrobes_etcData,18,0),IF(ISERROR(FIND("double oven",A131))=FALSE,3*VLOOKUP("Deep shelf "&amp;C131,Wardrobes_etcData,18,0),IF(ISERROR(FIND("Tower carcass",A131))=FALSE,6*VLOOKUP("Deep shelf "&amp;C131,Wardrobes_etcData,18,0),"")))))</f>
        <v/>
      </c>
      <c r="K131" s="152" t="str">
        <f>IF(ISERROR(FIND("sink",A131))=FALSE,VLOOKUP("Sink liner - Aluminium "&amp;RIGHT(A131,LEN(A131)-22)&amp;"mm",ExceptionalData,5,0),IF(ISERROR(FIND("bins",A131))=FALSE,VLOOKUP("Drawer runners and clip set for bin unit (500) Dynapro",FurnitureData,5,0)+(2*VLOOKUP("Bin (42L Anthracite)",FurnitureData,5,0)),IF(ISERROR(FIND("larder",A131))=FALSE,VLOOKUP("Pull out larder unit 600mm",FurnitureData,5,0),IF(AND(ISERROR(FIND("drawer box",A131))=FALSE,ISERROR(FIND("internal",A131))=TRUE),VLOOKUP("Drawer runners and clip set (550) Dynapro",FurnitureData,5,0),IF(ISERROR(FIND("internal drawer box",A131))=FALSE,VLOOKUP("Drawer runners and clip set (450) Dynapro",FurnitureData,5,0),IF(ISERROR(FIND("table",A131))=FALSE,VLOOKUP("Hairpin Leg (12mm Black "&amp;MID(A131,FIND("(",A131)+1,LEN(A131)-(FIND("(",A131))-1)&amp;"mm)",ExceptionalData,4,FALSE),""))))))</f>
        <v/>
      </c>
      <c r="L131" s="152" t="str">
        <f t="shared" si="3"/>
        <v/>
      </c>
      <c r="M131" s="154" t="str">
        <f>IF(A131="","",IF(AND(ISERROR(FIND("drawer front",A131))=FALSE,WardrobeDoorStyle="Flat"),(((B131/1000)*(C131/1000))*2)+((((B131+C131)/1000)*2)*0.022),IF(AND(ISERROR(FIND("drawer front",A131))=FALSE,LEFT(WardrobeDoorStyle,5)="Panel"),(((B131/1000)*(C131/1000))*2)+((((B131+C131)/1000)*2)*0.022)+((((C131/1000)-0.16)*0.013)*2)+((((D131/1000)-0.16)*0.013)*2),IF(AND(ISERROR(FIND("drawer front",A131))=FALSE,WardrobeDoorStyle="In-frame flat"),((((B131-76)/1000)*((C131-38)/1000))*2)+(MID(WardrobeDoorMaterial,FIND("(",WardrobeDoorMaterial)+1,2)/1000)*((((B131-76)+(C131-38))/1000)*2)+(((B131/1000)*0.032)*2)+((((B131-76)/1000)*0.032)*2)+(((B131/1000)*0.019)*4)+(((C131/1000)*0.032)*2)+((((C131-38)/1000)*0.032)*2)+(((C131/1000)*0.038)*4),IF(AND(ISERROR(FIND("drawer front",A131))=FALSE,LEFT(WardrobeDoorStyle,14)="In-frame panel"),((((B131-76)/1000)*((C131-38)/1000))*2)+((MID(WardrobeDoorMaterial,FIND("(",WardrobeDoorMaterial)+1,2)/1000)*((((B131-76)+(C131-38))/1000)*2))+((((B131-236)/1000)+((C131-198)/1000)*2)*0.013)+(((B131/1000)*0.032)*2)+((((B131-76)/1000)*0.032)*2)+(((B131/1000)*0.019)*4)+(((C131/1000)*0.032)*2)+((((C131-38)/1000)*0.032)*2)+(((C131/1000)*0.038)*4),IF(ISERROR(FIND("drawer box",A131))=FALSE,((((B131/1000)*(D131/1000))+((B131/1000)*(C131/1000)))*4)+((((D131/1000)+(C131/1000))*0.016)*4)+(((C131/1000)*(D131/1000))*2),IF(OR(ISERROR(FIND("shelf",A131))=FALSE,ISERROR(FIND("Filler panel",A131))=FALSE),(((C131/1000)*(D131/1000))*2)+((((C131+D131)*2)/1000)*0.022),IF(ISERROR(FIND("Fireplace",A131))=FALSE,((B131/1000)*(C131/1000)),IF(ISERROR(FIND("Worktop",A131))=FALSE,(B131/1000)*(C131/1000),IF(ISERROR(FIND("table",A131))=FALSE,(B131/1000)*0.6,IF(ISERROR(FIND("arcass",A131))=FALSE,(((C131/1000)*(D131/1000))*2)+(((B131/1000)*(D131/1000))*2)+((B131/1000)*(C131/1000))+((((B131/1000)*0.025)+((C131/1000)*0.025))*2),IF(AND(ISERROR(FIND("door",A131))=FALSE,WardrobeDoorStyle="Flat"),(((B131/1000)*(C131/1000))*2)+(MID(WardrobeDoorMaterial,FIND("(",WardrobeDoorMaterial)+1,2)/1000)*(((B131+C131)/1000)*2),IF(AND(ISERROR(FIND("door",A131))=FALSE,LEFT(WardrobeDoorStyle,5)="Panel"),(((B131/1000)*(C131/1000))*2)+((MID(WardrobeDoorMaterial,FIND("(",WardrobeDoorMaterial)+1,2)/1000)*(((B131+C131)/1000)*2))+(((((B131-160)+(C131-160))*2)/1000)*(0.013)),IF(AND(ISERROR(FIND("door",A131))=FALSE,WardrobeDoorStyle="In-frame flat"),((((B131-76)/1000)*((C131-38)/1000))*2)+(MID(WardrobeDoorMaterial,FIND("(",WardrobeDoorMaterial)+1,2)/1000)*((((B131-76)+(C131-38))/1000)*2)+(((B131/1000)*0.032)*2)+((((B131-76)/1000)*0.032)*2)+(((B131/1000)*0.019)*4)+(((C131/1000)*0.032)*2)+((((C131-38)/1000)*0.032)*2)+(((C131/1000)*0.038)*4),IF(AND(ISERROR(FIND("door",A131))=FALSE,LEFT(WardrobeDoorStyle,14)="In-frame panel"),((((B131-76)/1000)*((C131-38)/1000))*2)+((MID(WardrobeDoorMaterial,FIND("(",WardrobeDoorMaterial)+1,2)/1000)*((((B131-76)+(C131-38))/1000)*2))+((((B131-236)/1000)+((C131-198)/1000)*2)*0.013)+(((B131/1000)*0.032)*2)+((((B131-76)/1000)*0.032)*2)+(((B131/1000)*0.019)*4)+(((C131/1000)*0.032)*2)+((((C131-38)/1000)*0.032)*2)+(((C131/1000)*0.038)*4),IF(ISERROR(FIND("Plinth",A131))=FALSE,((B131/1000)*(C131/1000))+(((C131/1000)*0.018)*2)+(((B131/1000)*0.018)*2),IF(ISERROR(FIND("Cornice",A131))=FALSE,(((C131/1000)*0.1)*2)+(((C131/1000)*0.044)*2)+(((B131/1000)*0.08)*2),IF(ISERROR(FIND("Office pod",A131))=FALSE,((2400/1000)*(1200/1000))*6,IF(ISERROR(FIND("panel",A131))=FALSE,((B131/1000)*(C131/1000))+(0.022*((B131/1000)+((C131/1000)*2)))+((B131/1000)*0.05),IF(ISERROR(FIND("Fillers",A131))=FALSE,((C131/1000)*0.06)+((C131/1000)*0.069)+((0.06*0.018)*2)+((0.06*0.009)*2)+((C131/1000)*0.009)+((C131/1000)*0.018),IF(ISERROR(FIND("Pelmet",A131))=FALSE,((C131/1000)*0.05)+((C131/1000)*0.068)+((0.05*0.018)*4)+(((C131/1000)*0.018))*2)))))))))))))))))))))</f>
        <v/>
      </c>
      <c r="N131" s="152" t="str">
        <f>IF(M131="","",IF(AND(ISERROR(FIND("carcass",A131))=TRUE,ISERROR(FIND("unit",A131))=TRUE,ISERROR(FIND("insert",A131))=TRUE,ISERROR(FIND("rack",A131))=TRUE,ISERROR(FIND("box",A131))=TRUE,ISERROR(FIND("shelf",A131))=TRUE),VLOOKUP(WardrobeDoorFinish,Finishing!$A$2:$K$10,9,0)*M131,IF(ISERROR(FIND("table",A131))=FALSE,VLOOKUP("Sayerlack AF0072 Interior Clear Self-Sealer",FinishingData,9,FALSE)*M131,VLOOKUP(WardrobeCarcassFinish,Finishing!$A$2:$K$40,9,0)*M131)))</f>
        <v/>
      </c>
      <c r="O131" s="159"/>
      <c r="P131" s="159"/>
      <c r="Q131" s="152" t="str">
        <f>IF(OR(O131="",P131=""),"",((O131*X131)*(VLOOKUP("Workshop",Labour!$A$3:$E$20,4,0)/8))+((P131*AE131)*(VLOOKUP("Finishing",Labour!$A$3:$E$20,4,0)/8)))</f>
        <v/>
      </c>
      <c r="R131" s="152" t="str">
        <f t="shared" si="4"/>
        <v/>
      </c>
      <c r="S131" s="156" t="str">
        <f>IF(OR(O131="",P131=""),"",IF(OR(ISERROR(FIND("carcass",$A131))=FALSE,ISERROR(FIND("unit",$A131))=FALSE),VLOOKUP(WardrobeCarcassMaterial,FixedListsCarcassMaterial,2,0),0))</f>
        <v/>
      </c>
      <c r="T131" s="156" t="str">
        <f>IF(OR(O131="",P131=""),"",IF(ISERROR(FIND("door",$A131))=FALSE,VLOOKUP(WardrobeDoorStyle,FixedListsDoorStyle,2,0),0))</f>
        <v/>
      </c>
      <c r="U131" s="156" t="str">
        <f>IF(OR(O131="",P131=""),"",IF(ISERROR(FIND("door",$A131))=FALSE,VLOOKUP(WardrobeDoorMaterial,FixedListsDoorMaterial,2,0),0))</f>
        <v/>
      </c>
      <c r="V131" s="156" t="str">
        <f>IF(OR(O131="",P131=""),"",IF(ISERROR(FIND("drawer",$A131))=FALSE,VLOOKUP(WardrobeDrawerType,FixedListsDrawerType,2,0),0))</f>
        <v/>
      </c>
      <c r="W131" s="156" t="str">
        <f>IF(OR(O131="",P131=""),"",IF(S131&gt;0,VLOOKUP(WardrobeHandleType,FixedListsHandleType,2,FALSE),0))</f>
        <v/>
      </c>
      <c r="X131" s="156" t="str">
        <f t="shared" si="5"/>
        <v/>
      </c>
      <c r="Y131" s="156" t="str">
        <f>IF(OR(O131="",P131=""),"",IF(OR(ISERROR(FIND("carcass",$A131))=FALSE,ISERROR(FIND("unit",$A131))=FALSE),VLOOKUP(WardrobeCarcassMaterial,FixedListsCarcassMaterial,3,0),0))</f>
        <v/>
      </c>
      <c r="Z131" s="156" t="str">
        <f>IF(OR(O131="",P131=""),"",IF(ISERROR(FIND("door",$A131))=FALSE,VLOOKUP(WardrobeDoorStyle,FixedListsDoorStyle,3,0),0))</f>
        <v/>
      </c>
      <c r="AA131" s="156" t="str">
        <f>IF(OR(O131="",P131=""),"",IF(ISERROR(FIND("door",$A131))=FALSE,VLOOKUP(WardrobeDoorMaterial,FixedListsDoorMaterial,3,0),0))</f>
        <v/>
      </c>
      <c r="AB131" s="156" t="str">
        <f>IF(OR(O131="",P131=""),"",IF(ISERROR(FIND("drawer",$A131))=FALSE,VLOOKUP(WardrobeDrawerType,FixedListsDrawerType,3,0),0))</f>
        <v/>
      </c>
      <c r="AC131" s="156" t="str">
        <f>IF(OR(O131="",P131=""),"",IF(S131&gt;0,VLOOKUP(WardrobeHandleType,FixedListsHandleType,3,FALSE),0))</f>
        <v/>
      </c>
      <c r="AD131" s="156" t="str">
        <f>IF(OR(O131="",P131=""),"",IF(OR(ISERROR(FIND("carcass",$A131))=FALSE,ISERROR(FIND("unit",$A131))=FALSE),VLOOKUP(WardrobeCarcassFinish,FixedListsFinishes,3,0),IF(OR(ISERROR(FIND("door",$A131))=FALSE,ISERROR(FIND("Plinth",$A131))=FALSE,ISERROR(FIND("Cornice",$A131))=FALSE,ISERROR(FIND("Fillers",$A131))=FALSE,ISERROR(FIND("Pelmet",$A131))=FALSE,ISERROR(FIND("panel",$A131))=FALSE,ISERROR(FIND("post",$A131))=FALSE),VLOOKUP(WardrobeDoorFinish,FixedListsFinishes,3,0),IF(OR(ISERROR(FIND("drawer",$A131))=FALSE,ISERROR(FIND("insert",$A131))=FALSE,ISERROR(FIND("rck",$A131))=FALSE),VLOOKUP(WardrobeCarcassFinish,FixedListsFinishes,3,0),0))))</f>
        <v/>
      </c>
      <c r="AE131" s="156" t="str">
        <f t="shared" si="6"/>
        <v/>
      </c>
      <c r="AF131" s="157" t="str">
        <f>IF(AND(WardrobeHandleType="Channel",OR(ISERROR(FIND("arcass",$A131))=FALSE,ISERROR(FIND("unit",$A131))=FALSE)),IF(ISERROR(FIND("Tower",$A131))=TRUE,IF(WardrobeHandleFinish="Match carcass",IF(ISERROR(FIND("Walnut",WardrobeCarcassMaterial))=FALSE,(0.035*0.075*($C131/1000))*VLOOKUP("Walnut (solid m3)",SolidData,4,FALSE),IF(ISERROR(FIND("Oak",WardrobeCarcassMaterial))=FALSE,(0.035*0.075*($C131/1000))*VLOOKUP("Oak (solid m3)",SolidData,4,FALSE),IF(ISERROR(FIND("ply",WardrobeCarcassMaterial))=FALSE,(0.1*($C131/1000))*VLOOKUP("Birch ply (24mm)",SheetsData,7,FALSE),IF(ISERROR(FIND("H/F",WardrobeCarcassMaterial))=FALSE,(0.1*($C131/1000))*VLOOKUP("H/F (22mm)",SheetsData,7,FALSE),"Carcass - not tower - new material")))),IF(WardrobeHandleFinish="Match door",IF(ISERROR(FIND("Walnut",WardrobeDoorMaterial))=FALSE,(0.035*0.075*($C131/1000))*VLOOKUP("Walnut (solid m3)",SolidData,4,FALSE),IF(ISERROR(FIND("Oak",WardrobeDoorMaterial))=FALSE,(0.035*0.075*($C131/1000))*VLOOKUP("Oak (solid m3)",SolidData,4,FALSE),IF(ISERROR(FIND("ply",WardrobeDoorMaterial))=FALSE,(0.1*($C131/1000))*VLOOKUP("Birch ply (24mm)",SheetsData,7,FALSE),IF(ISERROR(FIND("H/F",WardrobeCarcassMaterial))=FALSE,(0.1*($C131/1000))*VLOOKUP("H/F (22mm)",SheetsData,7,FALSE),"Door - not tower - new material")))),"Channel - not tower - handle set to other")),IF(ISERROR(FIND("Tower",$A131))=FALSE,IF(WardrobeHandleFinish="Match carcass",IF(ISERROR(FIND("Walnut",WardrobeCarcassMaterial))=FALSE,(0.035*0.075*($B131/1000))*VLOOKUP("Walnut (solid m3)",SolidData,4,FALSE),IF(ISERROR(FIND("Oak",WardrobeCarcassMaterial))=FALSE,(0.035*0.075*($B131/1000))*VLOOKUP("Oak (solid m3)",SolidData,4,FALSE),IF(ISERROR(FIND("ply",WardrobeCarcassMaterial))=FALSE,(0.1*($B131/1000))*VLOOKUP("Birch ply (24mm)",SheetsData,7,FALSE),IF(ISERROR(FIND("H/F",WardrobeCarcassMaterial))=FALSE,(0.1*($C131/1000))*VLOOKUP("H/F (22mm)",SheetsData,7,FALSE),"Carcass - tower - new material")))),IF(WardrobeHandleFinish="Match door",IF(ISERROR(FIND("Walnut",WardrobeDoorMaterial))=FALSE,(0.035*0.075*($B131/1000))*VLOOKUP("Walnut (solid m3)",SolidData,4,FALSE),IF(ISERROR(FIND("Oak",WardrobeDoorMaterial))=FALSE,(0.035*0.075*($B131/1000))*VLOOKUP("Oak (solid m3)",SolidData,4,FALSE),IF(ISERROR(FIND("ply",WardrobeDoorMaterial))=FALSE,(0.1*($B131/1000))*VLOOKUP("Birch ply (24mm)",SheetData,7,FALSE),IF(ISERROR(FIND("H/F",WardrobeCarcassMaterial))=FALSE,(0.1*($C131/1000))*VLOOKUP("H/F (22mm)",SheetsData,7,FALSE),"Door - tower - new material")))),"Channel - tower - handle set to other")))),"")</f>
        <v/>
      </c>
    </row>
    <row r="132">
      <c r="A132" s="150"/>
      <c r="B132" s="160" t="str">
        <f t="shared" si="1"/>
        <v/>
      </c>
      <c r="C132" s="160" t="str">
        <f>IFERROR(__xludf.DUMMYFUNCTION("IF(A132="""","""",IF(ISERROR(FIND(""arcass"",A132))=FALSE,MID(A132,FIND(""*"",A132)+1,FIND(""*"",A132,FIND(""*"",A132)+1)-FIND(""*"",A132)-1),IF(ISERROR(FIND(""End panel"",A132))=FALSE,RIGHT(A132,3),IF(OR(ISERROR(FIND(""drawer"",A132))=FALSE,ISERROR(FIND("&amp;"""door"",A132))=FALSE,ISERROR(FIND(""shelf"",A132))=FALSE,ISERROR(FIND(""panel"",A132))=FALSE,ISERROR(FIND(""Plinth"",A132))=FALSE,ISERROR(FIND(""Cornice"",A132))=FALSE,ISERROR(FIND(""Fillers"",A132))=FALSE,ISERROR(FIND(""Pelmet"",A132))=FALSE,ISERROR(FIN"&amp;"D(""Fireplace up to 1600"",A132))=FALSE),RIGHT(A132,LEN(A132)-LEN(regexextract(A132,"".* ""))),IF(ISERROR(FIND(""table"",A132))=FALSE,""560"",IF(ISERROR(FIND(""Office pod"",A132))=FALSE,""1600"",IF(ISERROR(FIND(""Fireplace over 1600"",A132))=FALSE,""2400"&amp;""",IF(ISERROR(FIND(""Worktop"",A132))=FALSE,""650"",""Whoops""))))))))"),"")</f>
        <v/>
      </c>
      <c r="D132" s="161" t="str">
        <f t="shared" si="2"/>
        <v/>
      </c>
      <c r="E132" s="152" t="str">
        <f>IF(OR(A132="",AND(ISERROR(FIND("drawer",A132))=FALSE,WardrobeDrawerType="")),"",IF(ISERROR(FIND("door",A132))=FALSE,IF(WardrobeDoorStyle="Flat",((B132/1000)*(C132/1000))*VLOOKUP(WardrobeDoorMaterial,SheetsData,8,0),IF(LEFT(WardrobeDoorStyle,5)="Panel",(((((B132/1000)*2)*0.08)+((((C132/1000)-0.16)*2)*0.08))*VLOOKUP("H/F (22mm)",SheetsData,8,0))+(((B132/1000)-0.14)*((C132/1000)-0.14)*VLOOKUP("H/F (9mm)",SheetsData,8,0)),IF(WardrobeDoorStyle="In-frame flat",((((((B132/1000)*0.019)*0.038)+((((C132-38)/1000)*0.038)*0.038))*2)*VLOOKUP("Tulip (solid m3)",SolidData,4,0))+(((B132-76)/1000)*((C132-38)/1000))*VLOOKUP("H/F (22mm)",SheetsData,8,0),IF(LEFT(WardrobeDoorStyle,14)="In-frame panel",(((((((B132/1000)*0.019)*0.038)+((((C132-38)/1000)*0.038)*0.038))*2)*VLOOKUP("Tulip (solid m3)",SolidData,4,0))+(((((((B132-76)/1000)*2)*0.08)+(((((C132-198)/1000)*2)*0.08)))*VLOOKUP("H/F (22mm)",SheetsData,8,0))+(((B132-216)/1000)*((C132-178)/1000)*VLOOKUP("H/F (9mm)",SheetsData,8,0)))))))),IF(AND(ISERROR(FIND("arcass",A132))=FALSE,ISERROR(FIND("ost corner",A132))=TRUE),IF(AND(VALUE(B132)&lt;1211,VALUE(C132)&lt;1211,VALUE(D132)&lt;606),1*VLOOKUP(WardrobeCarcassMaterial,SheetsData,5,FALSE),IF(AND(VALUE(B132)&lt;2421,VALUE(C132)&lt;2421,VALUE(D132)&lt;606),2*VLOOKUP(WardrobeCarcassMaterial,SheetsData,5,FALSE),IF(AND(VALUE(B132)&lt;2421,VALUE(C132)&lt;1211,VALUE(D132)&lt;1211),3*VLOOKUP(WardrobeCarcassMaterial,SheetsData,5,FALSE),IF(AND(VALUE(B132)&lt;2421,VALUE(C132)&lt;2421,VALUE(D132)&lt;1211),4*VLOOKUP(WardrobeCarcassMaterial,SheetsData,5,FALSE))))),IF(AND(ISERROR(FIND("arcass",A132))=FALSE,ISERROR(FIND("ost corner",A132))=FALSE),IF(AND(VALUE(B132)&lt;1211,VALUE(C132)&lt;1211,VALUE(D132)&lt;606),(1*VLOOKUP(WardrobeCarcassMaterial,SheetsData,5,FALSE))+(VLOOKUP("H/F (22mm)",SheetsData,7,FALSE)*1.44),IF(AND(VALUE(B132)&lt;2421,VALUE(C132)&lt;2421,VALUE(D132)&lt;606),(2*VLOOKUP(WardrobeCarcassMaterial,SheetsData,5,FALSE))+(VLOOKUP("H/F (22mm)",SheetsData,7,FALSE)*1.44),IF(AND(VALUE(B132)&lt;2421,VALUE(C132)&lt;1211,VALUE(D132)&lt;1211),(3*VLOOKUP(WardrobeCarcassMaterial,SheetsData,5,FALSE))+(VLOOKUP("H/F (22mm)",SheetsData,7,FALSE)*1.44),IF(AND(VALUE(B132)&lt;2421,VALUE(C132)&lt;2421,VALUE(D132)&lt;1211),(4*VLOOKUP(WardrobeCarcassMaterial,SheetsData,5,FALSE))+(VLOOKUP("H/F (22mm)",SheetsData,7,FALSE)*1.44))))),IF(ISERROR(FIND("drawer front",A132))=FALSE,((B132/1000)*(C132/1000))*VLOOKUP(WardrobeDoorMaterial,SheetsData,8,0),IF(AND(WardrobeDrawerType="Match carcass",ISERROR(FIND("drawer box",A132))=FALSE),(((((B132/1000)*(C132/1000))+((B132/1000)*(D132/1000)))*2)*VLOOKUP(WardrobeCarcassMaterial,SheetsData,8,0))+(((C132/1000)*(D132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box",A132))=FALSE),(((((B132/1000)*(C132/1000))+((B132/1000)*(D132/1000)))*2)*(16/1000)*VLOOKUP(LEFT(WardrobeCarcassMaterial,FIND(" ",WardrobeCarcassMaterial))&amp;"(solid m3)",SolidData,4,0))+(((C132/1000)*(D132/1000))*VLOOKUP(LEFT(WardrobeCarcassMaterial,FIND("(",WardrobeCarcassMaterial)-1)&amp;IF(OR(ISERROR(FIND("ply",WardrobeCarcassMaterial))=FALSE,ISERROR(FIND("H/F",WardrobeCarcassMaterial))=FALSE),"(9mm)","(10mm)"),SheetsData,8,0)),IF(ISERROR(FIND("shelf",A132))=FALSE,((C132/1000)*(D132/1000))*VLOOKUP(WardrobeCarcassMaterial,SheetsData,7,FALSE),IF(ISERROR(FIND("Office pod",A132))=FALSE,3*VLOOKUP(WardrobeCarcassMaterial,SheetsData,5,0),IF(ISERROR(FIND(" panel",A132))=FALSE,((B132/1000)*(C132/1000))*VLOOKUP(WardrobeDoorMaterial,SheetsData,8,0),IF(ISERROR(FIND("Fillers",A132))=FALSE,(((0.06*(C132/1000))*2)*VLOOKUP("H/F (18mm)",SheetsData,8,0))+(((0.06*(C132/1000))*2)*VLOOKUP("H/F (9mm)",SheetsData,8,0)),IF(ISERROR(FIND("Cornice (stacked)",A132))=FALSE,((0.08*(C132/1000))*2)*VLOOKUP("H/F (22mm)",SheetsData,8,0),IF(OR(ISERROR(FIND("Plinth",A132))=FALSE,ISERROR(FIND("Cornice (flat)",A132))=FALSE),((B132/1000)*(C132/1000))*VLOOKUP("H/F (18mm)",SheetsData,8,0),IF(ISERROR(FIND("Pelmet",A132))=FALSE,((((B132/1000)*(C132/1000))*2)*VLOOKUP("H/F (18mm)",SheetsData,8,0)),IF(ISERROR(FIND("Fireplace",A132))=FALSE,IF(ISERROR(FIND("over 1600",A132))=FALSE,2*VLOOKUP(WardrobeCarcassMaterial,SheetsData,5,FALSE),VLOOKUP(WardrobeCarcassMaterial,SheetsData,5,FALSE)),IF(ISERROR(FIND("table",A132))=FALSE,((B132/1000)*0.6)*VLOOKUP("Birch ply (24mm)",SheetsData,7,FALSE),IF(ISERROR(FIND("Worktop",A132))=FALSE,((B132/1000)*(C132/1000))*VLOOKUP(WardrobeDoorMaterial,SheetsData,7,FALSE),"Check formula")))))))))))))))))</f>
        <v/>
      </c>
      <c r="F132" s="152" t="str">
        <f>IFERROR(__xludf.DUMMYFUNCTION("IF(OR(A132="""",AND(ISERROR(FIND(""drawer box"",A132))=FALSE,WardrobeDrawerType=""Solid dovetail"")),"""",IF(ISERROR(FIND(""bins"",A132))=FALSE,VLOOKUP(""Base carcass 600"",Wardrobes_etcData,6,0),IF(OR(ISERROR(FIND(""larder"",A132))=FALSE,ISERROR(FIND(""u"&amp;"nit"",A132))=FALSE),VLOOKUP(LEFT(A132,FIND("" "",A132))&amp;""carcass ""&amp;RIGHT(A132,LEN(A132)-len(regexextract(A132,"".* ""))),Wardrobes_etcData,6,0),IF(ISERROR(FIND(""drawer front"",A132))=FALSE,IF(ISERROR(FIND(""veneer"",WardrobeCarcassMaterial))=TRUE,0,((("&amp;"B132+C132)/1000)*2)*VLOOKUP(""Edge banding (per M)"",SheetsData,5,0)),IF(ISERROR(FIND(""drawer box"",A132))=FALSE,IF(ISERROR(FIND(""veneer"",WardrobeCarcassMaterial))=TRUE,0,(((C132+D132)/1000)*2)*VLOOKUP(""Edge banding (per M)"",SheetsData,5,0)),IF(ISERR"&amp;"OR(FIND(""shelf"",A132))=FALSE,IF(ISERROR(FIND(""veneer"",WardrobeCarcassMaterial))=TRUE,0,(C132/1000)*VLOOKUP(""Edge banding (per M)"",SheetsData,5,0)),IF(AND(OR(ISERROR(FIND(""arcass"",A132))=FALSE,ISERROR(FIND(""Fireplace"",A132))=FALSE),ISERROR(FIND("&amp;"""shelf"",A132))=TRUE),IF(ISERROR(FIND(""veneer"",WardrobeCarcassMaterial))=TRUE,0,((2*(B132+C132))/1000)*VLOOKUP(""Edge banding (per M)"",SheetsData,5,0)),IF(ISERROR(FIND(""door"",A132))=TRUE,"""",IF(ISERROR(FIND(""veneer"",WardrobeDoorMaterial))=TRUE,"""&amp;""",((2*(B132+C132))/1000)*VLOOKUP(""Edge banding (per M)"",SheetsData,5,0))))))))))"),"")</f>
        <v/>
      </c>
      <c r="G132" s="153" t="str">
        <f>IF(A132="","",IF(AND(ISERROR(FIND("arcass",A132))=TRUE,ISERROR(FIND("Fireplace",A132))=TRUE),"",IF(VALUE(C132)&lt;606,4*VLOOKUP("Plinth foot (2 Parts 80mm)",FurnitureData,5,FALSE),IF(VALUE(C132)&lt;1211,6*VLOOKUP("Plinth foot (2 Parts 80mm)",FurnitureData,5,FALSE),8*VLOOKUP("Plinth foot (2 Parts 80mm)",FurnitureData,5,FALSE)))))</f>
        <v/>
      </c>
      <c r="H132" s="115" t="str">
        <f>IF(OR(A132="",ISERROR(FIND("door",A132))=TRUE),"",VLOOKUP("Hinges &amp; plates (Hettich thick door)",FurnitureData,5,0)*5)</f>
        <v/>
      </c>
      <c r="I132" s="115" t="str">
        <f>IF(ISERROR(FIND("shelf",A132))=FALSE,(VLOOKUP("Shelf pegs",FurnitureData,5,0)/100)*4,"")</f>
        <v/>
      </c>
      <c r="J132" s="152" t="str">
        <f>IF(OR(ISERROR(FIND("fridge/freezer",A132))=FALSE,ISERROR(FIND("sink",A132))=FALSE,ISERROR(FIND("larder",A132))=FALSE),VLOOKUP("Deep shelf "&amp;C132,Wardrobes_etcData,18,0),IF(OR(ISERROR(FIND("single oven",A132))=FALSE,ISERROR(FIND("Base carcass",A132))=FALSE),2*VLOOKUP("Deep shelf "&amp;C132,Wardrobes_etcData,18,0),IF(AND(ISERROR(FIND("wall carcass",A132))=FALSE,ISERROR(FIND("Boiler",A132))=TRUE),2*VLOOKUP("Shallow shelf "&amp;C132,Wardrobes_etcData,18,0),IF(ISERROR(FIND("double oven",A132))=FALSE,3*VLOOKUP("Deep shelf "&amp;C132,Wardrobes_etcData,18,0),IF(ISERROR(FIND("Tower carcass",A132))=FALSE,6*VLOOKUP("Deep shelf "&amp;C132,Wardrobes_etcData,18,0),"")))))</f>
        <v/>
      </c>
      <c r="K132" s="152" t="str">
        <f>IF(ISERROR(FIND("sink",A132))=FALSE,VLOOKUP("Sink liner - Aluminium "&amp;RIGHT(A132,LEN(A132)-22)&amp;"mm",ExceptionalData,5,0),IF(ISERROR(FIND("bins",A132))=FALSE,VLOOKUP("Drawer runners and clip set for bin unit (500) Dynapro",FurnitureData,5,0)+(2*VLOOKUP("Bin (42L Anthracite)",FurnitureData,5,0)),IF(ISERROR(FIND("larder",A132))=FALSE,VLOOKUP("Pull out larder unit 600mm",FurnitureData,5,0),IF(AND(ISERROR(FIND("drawer box",A132))=FALSE,ISERROR(FIND("internal",A132))=TRUE),VLOOKUP("Drawer runners and clip set (550) Dynapro",FurnitureData,5,0),IF(ISERROR(FIND("internal drawer box",A132))=FALSE,VLOOKUP("Drawer runners and clip set (450) Dynapro",FurnitureData,5,0),IF(ISERROR(FIND("table",A132))=FALSE,VLOOKUP("Hairpin Leg (12mm Black "&amp;MID(A132,FIND("(",A132)+1,LEN(A132)-(FIND("(",A132))-1)&amp;"mm)",ExceptionalData,4,FALSE),""))))))</f>
        <v/>
      </c>
      <c r="L132" s="152" t="str">
        <f t="shared" si="3"/>
        <v/>
      </c>
      <c r="M132" s="154" t="str">
        <f>IF(A132="","",IF(AND(ISERROR(FIND("drawer front",A132))=FALSE,WardrobeDoorStyle="Flat"),(((B132/1000)*(C132/1000))*2)+((((B132+C132)/1000)*2)*0.022),IF(AND(ISERROR(FIND("drawer front",A132))=FALSE,LEFT(WardrobeDoorStyle,5)="Panel"),(((B132/1000)*(C132/1000))*2)+((((B132+C132)/1000)*2)*0.022)+((((C132/1000)-0.16)*0.013)*2)+((((D132/1000)-0.16)*0.013)*2),IF(AND(ISERROR(FIND("drawer front",A132))=FALSE,WardrobeDoorStyle="In-frame flat"),((((B132-76)/1000)*((C132-38)/1000))*2)+(MID(WardrobeDoorMaterial,FIND("(",WardrobeDoorMaterial)+1,2)/1000)*((((B132-76)+(C132-38))/1000)*2)+(((B132/1000)*0.032)*2)+((((B132-76)/1000)*0.032)*2)+(((B132/1000)*0.019)*4)+(((C132/1000)*0.032)*2)+((((C132-38)/1000)*0.032)*2)+(((C132/1000)*0.038)*4),IF(AND(ISERROR(FIND("drawer front",A132))=FALSE,LEFT(WardrobeDoorStyle,14)="In-frame panel"),((((B132-76)/1000)*((C132-38)/1000))*2)+((MID(WardrobeDoorMaterial,FIND("(",WardrobeDoorMaterial)+1,2)/1000)*((((B132-76)+(C132-38))/1000)*2))+((((B132-236)/1000)+((C132-198)/1000)*2)*0.013)+(((B132/1000)*0.032)*2)+((((B132-76)/1000)*0.032)*2)+(((B132/1000)*0.019)*4)+(((C132/1000)*0.032)*2)+((((C132-38)/1000)*0.032)*2)+(((C132/1000)*0.038)*4),IF(ISERROR(FIND("drawer box",A132))=FALSE,((((B132/1000)*(D132/1000))+((B132/1000)*(C132/1000)))*4)+((((D132/1000)+(C132/1000))*0.016)*4)+(((C132/1000)*(D132/1000))*2),IF(OR(ISERROR(FIND("shelf",A132))=FALSE,ISERROR(FIND("Filler panel",A132))=FALSE),(((C132/1000)*(D132/1000))*2)+((((C132+D132)*2)/1000)*0.022),IF(ISERROR(FIND("Fireplace",A132))=FALSE,((B132/1000)*(C132/1000)),IF(ISERROR(FIND("Worktop",A132))=FALSE,(B132/1000)*(C132/1000),IF(ISERROR(FIND("table",A132))=FALSE,(B132/1000)*0.6,IF(ISERROR(FIND("arcass",A132))=FALSE,(((C132/1000)*(D132/1000))*2)+(((B132/1000)*(D132/1000))*2)+((B132/1000)*(C132/1000))+((((B132/1000)*0.025)+((C132/1000)*0.025))*2),IF(AND(ISERROR(FIND("door",A132))=FALSE,WardrobeDoorStyle="Flat"),(((B132/1000)*(C132/1000))*2)+(MID(WardrobeDoorMaterial,FIND("(",WardrobeDoorMaterial)+1,2)/1000)*(((B132+C132)/1000)*2),IF(AND(ISERROR(FIND("door",A132))=FALSE,LEFT(WardrobeDoorStyle,5)="Panel"),(((B132/1000)*(C132/1000))*2)+((MID(WardrobeDoorMaterial,FIND("(",WardrobeDoorMaterial)+1,2)/1000)*(((B132+C132)/1000)*2))+(((((B132-160)+(C132-160))*2)/1000)*(0.013)),IF(AND(ISERROR(FIND("door",A132))=FALSE,WardrobeDoorStyle="In-frame flat"),((((B132-76)/1000)*((C132-38)/1000))*2)+(MID(WardrobeDoorMaterial,FIND("(",WardrobeDoorMaterial)+1,2)/1000)*((((B132-76)+(C132-38))/1000)*2)+(((B132/1000)*0.032)*2)+((((B132-76)/1000)*0.032)*2)+(((B132/1000)*0.019)*4)+(((C132/1000)*0.032)*2)+((((C132-38)/1000)*0.032)*2)+(((C132/1000)*0.038)*4),IF(AND(ISERROR(FIND("door",A132))=FALSE,LEFT(WardrobeDoorStyle,14)="In-frame panel"),((((B132-76)/1000)*((C132-38)/1000))*2)+((MID(WardrobeDoorMaterial,FIND("(",WardrobeDoorMaterial)+1,2)/1000)*((((B132-76)+(C132-38))/1000)*2))+((((B132-236)/1000)+((C132-198)/1000)*2)*0.013)+(((B132/1000)*0.032)*2)+((((B132-76)/1000)*0.032)*2)+(((B132/1000)*0.019)*4)+(((C132/1000)*0.032)*2)+((((C132-38)/1000)*0.032)*2)+(((C132/1000)*0.038)*4),IF(ISERROR(FIND("Plinth",A132))=FALSE,((B132/1000)*(C132/1000))+(((C132/1000)*0.018)*2)+(((B132/1000)*0.018)*2),IF(ISERROR(FIND("Cornice",A132))=FALSE,(((C132/1000)*0.1)*2)+(((C132/1000)*0.044)*2)+(((B132/1000)*0.08)*2),IF(ISERROR(FIND("Office pod",A132))=FALSE,((2400/1000)*(1200/1000))*6,IF(ISERROR(FIND("panel",A132))=FALSE,((B132/1000)*(C132/1000))+(0.022*((B132/1000)+((C132/1000)*2)))+((B132/1000)*0.05),IF(ISERROR(FIND("Fillers",A132))=FALSE,((C132/1000)*0.06)+((C132/1000)*0.069)+((0.06*0.018)*2)+((0.06*0.009)*2)+((C132/1000)*0.009)+((C132/1000)*0.018),IF(ISERROR(FIND("Pelmet",A132))=FALSE,((C132/1000)*0.05)+((C132/1000)*0.068)+((0.05*0.018)*4)+(((C132/1000)*0.018))*2)))))))))))))))))))))</f>
        <v/>
      </c>
      <c r="N132" s="152" t="str">
        <f>IF(M132="","",IF(AND(ISERROR(FIND("carcass",A132))=TRUE,ISERROR(FIND("unit",A132))=TRUE,ISERROR(FIND("insert",A132))=TRUE,ISERROR(FIND("rack",A132))=TRUE,ISERROR(FIND("box",A132))=TRUE,ISERROR(FIND("shelf",A132))=TRUE),VLOOKUP(WardrobeDoorFinish,Finishing!$A$2:$K$10,9,0)*M132,IF(ISERROR(FIND("table",A132))=FALSE,VLOOKUP("Sayerlack AF0072 Interior Clear Self-Sealer",FinishingData,9,FALSE)*M132,VLOOKUP(WardrobeCarcassFinish,Finishing!$A$2:$K$40,9,0)*M132)))</f>
        <v/>
      </c>
      <c r="O132" s="159"/>
      <c r="P132" s="159"/>
      <c r="Q132" s="152" t="str">
        <f>IF(OR(O132="",P132=""),"",((O132*X132)*(VLOOKUP("Workshop",Labour!$A$3:$E$20,4,0)/8))+((P132*AE132)*(VLOOKUP("Finishing",Labour!$A$3:$E$20,4,0)/8)))</f>
        <v/>
      </c>
      <c r="R132" s="152" t="str">
        <f t="shared" si="4"/>
        <v/>
      </c>
      <c r="S132" s="156" t="str">
        <f>IF(OR(O132="",P132=""),"",IF(OR(ISERROR(FIND("carcass",$A132))=FALSE,ISERROR(FIND("unit",$A132))=FALSE),VLOOKUP(WardrobeCarcassMaterial,FixedListsCarcassMaterial,2,0),0))</f>
        <v/>
      </c>
      <c r="T132" s="156" t="str">
        <f>IF(OR(O132="",P132=""),"",IF(ISERROR(FIND("door",$A132))=FALSE,VLOOKUP(WardrobeDoorStyle,FixedListsDoorStyle,2,0),0))</f>
        <v/>
      </c>
      <c r="U132" s="156" t="str">
        <f>IF(OR(O132="",P132=""),"",IF(ISERROR(FIND("door",$A132))=FALSE,VLOOKUP(WardrobeDoorMaterial,FixedListsDoorMaterial,2,0),0))</f>
        <v/>
      </c>
      <c r="V132" s="156" t="str">
        <f>IF(OR(O132="",P132=""),"",IF(ISERROR(FIND("drawer",$A132))=FALSE,VLOOKUP(WardrobeDrawerType,FixedListsDrawerType,2,0),0))</f>
        <v/>
      </c>
      <c r="W132" s="156" t="str">
        <f>IF(OR(O132="",P132=""),"",IF(S132&gt;0,VLOOKUP(WardrobeHandleType,FixedListsHandleType,2,FALSE),0))</f>
        <v/>
      </c>
      <c r="X132" s="156" t="str">
        <f t="shared" si="5"/>
        <v/>
      </c>
      <c r="Y132" s="156" t="str">
        <f>IF(OR(O132="",P132=""),"",IF(OR(ISERROR(FIND("carcass",$A132))=FALSE,ISERROR(FIND("unit",$A132))=FALSE),VLOOKUP(WardrobeCarcassMaterial,FixedListsCarcassMaterial,3,0),0))</f>
        <v/>
      </c>
      <c r="Z132" s="156" t="str">
        <f>IF(OR(O132="",P132=""),"",IF(ISERROR(FIND("door",$A132))=FALSE,VLOOKUP(WardrobeDoorStyle,FixedListsDoorStyle,3,0),0))</f>
        <v/>
      </c>
      <c r="AA132" s="156" t="str">
        <f>IF(OR(O132="",P132=""),"",IF(ISERROR(FIND("door",$A132))=FALSE,VLOOKUP(WardrobeDoorMaterial,FixedListsDoorMaterial,3,0),0))</f>
        <v/>
      </c>
      <c r="AB132" s="156" t="str">
        <f>IF(OR(O132="",P132=""),"",IF(ISERROR(FIND("drawer",$A132))=FALSE,VLOOKUP(WardrobeDrawerType,FixedListsDrawerType,3,0),0))</f>
        <v/>
      </c>
      <c r="AC132" s="156" t="str">
        <f>IF(OR(O132="",P132=""),"",IF(S132&gt;0,VLOOKUP(WardrobeHandleType,FixedListsHandleType,3,FALSE),0))</f>
        <v/>
      </c>
      <c r="AD132" s="156" t="str">
        <f>IF(OR(O132="",P132=""),"",IF(OR(ISERROR(FIND("carcass",$A132))=FALSE,ISERROR(FIND("unit",$A132))=FALSE),VLOOKUP(WardrobeCarcassFinish,FixedListsFinishes,3,0),IF(OR(ISERROR(FIND("door",$A132))=FALSE,ISERROR(FIND("Plinth",$A132))=FALSE,ISERROR(FIND("Cornice",$A132))=FALSE,ISERROR(FIND("Fillers",$A132))=FALSE,ISERROR(FIND("Pelmet",$A132))=FALSE,ISERROR(FIND("panel",$A132))=FALSE,ISERROR(FIND("post",$A132))=FALSE),VLOOKUP(WardrobeDoorFinish,FixedListsFinishes,3,0),IF(OR(ISERROR(FIND("drawer",$A132))=FALSE,ISERROR(FIND("insert",$A132))=FALSE,ISERROR(FIND("rck",$A132))=FALSE),VLOOKUP(WardrobeCarcassFinish,FixedListsFinishes,3,0),0))))</f>
        <v/>
      </c>
      <c r="AE132" s="156" t="str">
        <f t="shared" si="6"/>
        <v/>
      </c>
      <c r="AF132" s="157" t="str">
        <f>IF(AND(WardrobeHandleType="Channel",OR(ISERROR(FIND("arcass",$A132))=FALSE,ISERROR(FIND("unit",$A132))=FALSE)),IF(ISERROR(FIND("Tower",$A132))=TRUE,IF(WardrobeHandleFinish="Match carcass",IF(ISERROR(FIND("Walnut",WardrobeCarcassMaterial))=FALSE,(0.035*0.075*($C132/1000))*VLOOKUP("Walnut (solid m3)",SolidData,4,FALSE),IF(ISERROR(FIND("Oak",WardrobeCarcassMaterial))=FALSE,(0.035*0.075*($C132/1000))*VLOOKUP("Oak (solid m3)",SolidData,4,FALSE),IF(ISERROR(FIND("ply",WardrobeCarcassMaterial))=FALSE,(0.1*($C132/1000))*VLOOKUP("Birch ply (24mm)",SheetsData,7,FALSE),IF(ISERROR(FIND("H/F",WardrobeCarcassMaterial))=FALSE,(0.1*($C132/1000))*VLOOKUP("H/F (22mm)",SheetsData,7,FALSE),"Carcass - not tower - new material")))),IF(WardrobeHandleFinish="Match door",IF(ISERROR(FIND("Walnut",WardrobeDoorMaterial))=FALSE,(0.035*0.075*($C132/1000))*VLOOKUP("Walnut (solid m3)",SolidData,4,FALSE),IF(ISERROR(FIND("Oak",WardrobeDoorMaterial))=FALSE,(0.035*0.075*($C132/1000))*VLOOKUP("Oak (solid m3)",SolidData,4,FALSE),IF(ISERROR(FIND("ply",WardrobeDoorMaterial))=FALSE,(0.1*($C132/1000))*VLOOKUP("Birch ply (24mm)",SheetsData,7,FALSE),IF(ISERROR(FIND("H/F",WardrobeCarcassMaterial))=FALSE,(0.1*($C132/1000))*VLOOKUP("H/F (22mm)",SheetsData,7,FALSE),"Door - not tower - new material")))),"Channel - not tower - handle set to other")),IF(ISERROR(FIND("Tower",$A132))=FALSE,IF(WardrobeHandleFinish="Match carcass",IF(ISERROR(FIND("Walnut",WardrobeCarcassMaterial))=FALSE,(0.035*0.075*($B132/1000))*VLOOKUP("Walnut (solid m3)",SolidData,4,FALSE),IF(ISERROR(FIND("Oak",WardrobeCarcassMaterial))=FALSE,(0.035*0.075*($B132/1000))*VLOOKUP("Oak (solid m3)",SolidData,4,FALSE),IF(ISERROR(FIND("ply",WardrobeCarcassMaterial))=FALSE,(0.1*($B132/1000))*VLOOKUP("Birch ply (24mm)",SheetsData,7,FALSE),IF(ISERROR(FIND("H/F",WardrobeCarcassMaterial))=FALSE,(0.1*($C132/1000))*VLOOKUP("H/F (22mm)",SheetsData,7,FALSE),"Carcass - tower - new material")))),IF(WardrobeHandleFinish="Match door",IF(ISERROR(FIND("Walnut",WardrobeDoorMaterial))=FALSE,(0.035*0.075*($B132/1000))*VLOOKUP("Walnut (solid m3)",SolidData,4,FALSE),IF(ISERROR(FIND("Oak",WardrobeDoorMaterial))=FALSE,(0.035*0.075*($B132/1000))*VLOOKUP("Oak (solid m3)",SolidData,4,FALSE),IF(ISERROR(FIND("ply",WardrobeDoorMaterial))=FALSE,(0.1*($B132/1000))*VLOOKUP("Birch ply (24mm)",SheetData,7,FALSE),IF(ISERROR(FIND("H/F",WardrobeCarcassMaterial))=FALSE,(0.1*($C132/1000))*VLOOKUP("H/F (22mm)",SheetsData,7,FALSE),"Door - tower - new material")))),"Channel - tower - handle set to other")))),"")</f>
        <v/>
      </c>
    </row>
    <row r="133">
      <c r="A133" s="150"/>
      <c r="B133" s="160" t="str">
        <f t="shared" si="1"/>
        <v/>
      </c>
      <c r="C133" s="160" t="str">
        <f>IFERROR(__xludf.DUMMYFUNCTION("IF(A133="""","""",IF(ISERROR(FIND(""arcass"",A133))=FALSE,MID(A133,FIND(""*"",A133)+1,FIND(""*"",A133,FIND(""*"",A133)+1)-FIND(""*"",A133)-1),IF(ISERROR(FIND(""End panel"",A133))=FALSE,RIGHT(A133,3),IF(OR(ISERROR(FIND(""drawer"",A133))=FALSE,ISERROR(FIND("&amp;"""door"",A133))=FALSE,ISERROR(FIND(""shelf"",A133))=FALSE,ISERROR(FIND(""panel"",A133))=FALSE,ISERROR(FIND(""Plinth"",A133))=FALSE,ISERROR(FIND(""Cornice"",A133))=FALSE,ISERROR(FIND(""Fillers"",A133))=FALSE,ISERROR(FIND(""Pelmet"",A133))=FALSE,ISERROR(FIN"&amp;"D(""Fireplace up to 1600"",A133))=FALSE),RIGHT(A133,LEN(A133)-LEN(regexextract(A133,"".* ""))),IF(ISERROR(FIND(""table"",A133))=FALSE,""560"",IF(ISERROR(FIND(""Office pod"",A133))=FALSE,""1600"",IF(ISERROR(FIND(""Fireplace over 1600"",A133))=FALSE,""2400"&amp;""",IF(ISERROR(FIND(""Worktop"",A133))=FALSE,""650"",""Whoops""))))))))"),"")</f>
        <v/>
      </c>
      <c r="D133" s="161" t="str">
        <f t="shared" si="2"/>
        <v/>
      </c>
      <c r="E133" s="152" t="str">
        <f>IF(OR(A133="",AND(ISERROR(FIND("drawer",A133))=FALSE,WardrobeDrawerType="")),"",IF(ISERROR(FIND("door",A133))=FALSE,IF(WardrobeDoorStyle="Flat",((B133/1000)*(C133/1000))*VLOOKUP(WardrobeDoorMaterial,SheetsData,8,0),IF(LEFT(WardrobeDoorStyle,5)="Panel",(((((B133/1000)*2)*0.08)+((((C133/1000)-0.16)*2)*0.08))*VLOOKUP("H/F (22mm)",SheetsData,8,0))+(((B133/1000)-0.14)*((C133/1000)-0.14)*VLOOKUP("H/F (9mm)",SheetsData,8,0)),IF(WardrobeDoorStyle="In-frame flat",((((((B133/1000)*0.019)*0.038)+((((C133-38)/1000)*0.038)*0.038))*2)*VLOOKUP("Tulip (solid m3)",SolidData,4,0))+(((B133-76)/1000)*((C133-38)/1000))*VLOOKUP("H/F (22mm)",SheetsData,8,0),IF(LEFT(WardrobeDoorStyle,14)="In-frame panel",(((((((B133/1000)*0.019)*0.038)+((((C133-38)/1000)*0.038)*0.038))*2)*VLOOKUP("Tulip (solid m3)",SolidData,4,0))+(((((((B133-76)/1000)*2)*0.08)+(((((C133-198)/1000)*2)*0.08)))*VLOOKUP("H/F (22mm)",SheetsData,8,0))+(((B133-216)/1000)*((C133-178)/1000)*VLOOKUP("H/F (9mm)",SheetsData,8,0)))))))),IF(AND(ISERROR(FIND("arcass",A133))=FALSE,ISERROR(FIND("ost corner",A133))=TRUE),IF(AND(VALUE(B133)&lt;1211,VALUE(C133)&lt;1211,VALUE(D133)&lt;606),1*VLOOKUP(WardrobeCarcassMaterial,SheetsData,5,FALSE),IF(AND(VALUE(B133)&lt;2421,VALUE(C133)&lt;2421,VALUE(D133)&lt;606),2*VLOOKUP(WardrobeCarcassMaterial,SheetsData,5,FALSE),IF(AND(VALUE(B133)&lt;2421,VALUE(C133)&lt;1211,VALUE(D133)&lt;1211),3*VLOOKUP(WardrobeCarcassMaterial,SheetsData,5,FALSE),IF(AND(VALUE(B133)&lt;2421,VALUE(C133)&lt;2421,VALUE(D133)&lt;1211),4*VLOOKUP(WardrobeCarcassMaterial,SheetsData,5,FALSE))))),IF(AND(ISERROR(FIND("arcass",A133))=FALSE,ISERROR(FIND("ost corner",A133))=FALSE),IF(AND(VALUE(B133)&lt;1211,VALUE(C133)&lt;1211,VALUE(D133)&lt;606),(1*VLOOKUP(WardrobeCarcassMaterial,SheetsData,5,FALSE))+(VLOOKUP("H/F (22mm)",SheetsData,7,FALSE)*1.44),IF(AND(VALUE(B133)&lt;2421,VALUE(C133)&lt;2421,VALUE(D133)&lt;606),(2*VLOOKUP(WardrobeCarcassMaterial,SheetsData,5,FALSE))+(VLOOKUP("H/F (22mm)",SheetsData,7,FALSE)*1.44),IF(AND(VALUE(B133)&lt;2421,VALUE(C133)&lt;1211,VALUE(D133)&lt;1211),(3*VLOOKUP(WardrobeCarcassMaterial,SheetsData,5,FALSE))+(VLOOKUP("H/F (22mm)",SheetsData,7,FALSE)*1.44),IF(AND(VALUE(B133)&lt;2421,VALUE(C133)&lt;2421,VALUE(D133)&lt;1211),(4*VLOOKUP(WardrobeCarcassMaterial,SheetsData,5,FALSE))+(VLOOKUP("H/F (22mm)",SheetsData,7,FALSE)*1.44))))),IF(ISERROR(FIND("drawer front",A133))=FALSE,((B133/1000)*(C133/1000))*VLOOKUP(WardrobeDoorMaterial,SheetsData,8,0),IF(AND(WardrobeDrawerType="Match carcass",ISERROR(FIND("drawer box",A133))=FALSE),(((((B133/1000)*(C133/1000))+((B133/1000)*(D133/1000)))*2)*VLOOKUP(WardrobeCarcassMaterial,SheetsData,8,0))+(((C133/1000)*(D133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box",A133))=FALSE),(((((B133/1000)*(C133/1000))+((B133/1000)*(D133/1000)))*2)*(16/1000)*VLOOKUP(LEFT(WardrobeCarcassMaterial,FIND(" ",WardrobeCarcassMaterial))&amp;"(solid m3)",SolidData,4,0))+(((C133/1000)*(D133/1000))*VLOOKUP(LEFT(WardrobeCarcassMaterial,FIND("(",WardrobeCarcassMaterial)-1)&amp;IF(OR(ISERROR(FIND("ply",WardrobeCarcassMaterial))=FALSE,ISERROR(FIND("H/F",WardrobeCarcassMaterial))=FALSE),"(9mm)","(10mm)"),SheetsData,8,0)),IF(ISERROR(FIND("shelf",A133))=FALSE,((C133/1000)*(D133/1000))*VLOOKUP(WardrobeCarcassMaterial,SheetsData,7,FALSE),IF(ISERROR(FIND("Office pod",A133))=FALSE,3*VLOOKUP(WardrobeCarcassMaterial,SheetsData,5,0),IF(ISERROR(FIND(" panel",A133))=FALSE,((B133/1000)*(C133/1000))*VLOOKUP(WardrobeDoorMaterial,SheetsData,8,0),IF(ISERROR(FIND("Fillers",A133))=FALSE,(((0.06*(C133/1000))*2)*VLOOKUP("H/F (18mm)",SheetsData,8,0))+(((0.06*(C133/1000))*2)*VLOOKUP("H/F (9mm)",SheetsData,8,0)),IF(ISERROR(FIND("Cornice (stacked)",A133))=FALSE,((0.08*(C133/1000))*2)*VLOOKUP("H/F (22mm)",SheetsData,8,0),IF(OR(ISERROR(FIND("Plinth",A133))=FALSE,ISERROR(FIND("Cornice (flat)",A133))=FALSE),((B133/1000)*(C133/1000))*VLOOKUP("H/F (18mm)",SheetsData,8,0),IF(ISERROR(FIND("Pelmet",A133))=FALSE,((((B133/1000)*(C133/1000))*2)*VLOOKUP("H/F (18mm)",SheetsData,8,0)),IF(ISERROR(FIND("Fireplace",A133))=FALSE,IF(ISERROR(FIND("over 1600",A133))=FALSE,2*VLOOKUP(WardrobeCarcassMaterial,SheetsData,5,FALSE),VLOOKUP(WardrobeCarcassMaterial,SheetsData,5,FALSE)),IF(ISERROR(FIND("table",A133))=FALSE,((B133/1000)*0.6)*VLOOKUP("Birch ply (24mm)",SheetsData,7,FALSE),IF(ISERROR(FIND("Worktop",A133))=FALSE,((B133/1000)*(C133/1000))*VLOOKUP(WardrobeDoorMaterial,SheetsData,7,FALSE),"Check formula")))))))))))))))))</f>
        <v/>
      </c>
      <c r="F133" s="152" t="str">
        <f>IFERROR(__xludf.DUMMYFUNCTION("IF(OR(A133="""",AND(ISERROR(FIND(""drawer box"",A133))=FALSE,WardrobeDrawerType=""Solid dovetail"")),"""",IF(ISERROR(FIND(""bins"",A133))=FALSE,VLOOKUP(""Base carcass 600"",Wardrobes_etcData,6,0),IF(OR(ISERROR(FIND(""larder"",A133))=FALSE,ISERROR(FIND(""u"&amp;"nit"",A133))=FALSE),VLOOKUP(LEFT(A133,FIND("" "",A133))&amp;""carcass ""&amp;RIGHT(A133,LEN(A133)-len(regexextract(A133,"".* ""))),Wardrobes_etcData,6,0),IF(ISERROR(FIND(""drawer front"",A133))=FALSE,IF(ISERROR(FIND(""veneer"",WardrobeCarcassMaterial))=TRUE,0,((("&amp;"B133+C133)/1000)*2)*VLOOKUP(""Edge banding (per M)"",SheetsData,5,0)),IF(ISERROR(FIND(""drawer box"",A133))=FALSE,IF(ISERROR(FIND(""veneer"",WardrobeCarcassMaterial))=TRUE,0,(((C133+D133)/1000)*2)*VLOOKUP(""Edge banding (per M)"",SheetsData,5,0)),IF(ISERR"&amp;"OR(FIND(""shelf"",A133))=FALSE,IF(ISERROR(FIND(""veneer"",WardrobeCarcassMaterial))=TRUE,0,(C133/1000)*VLOOKUP(""Edge banding (per M)"",SheetsData,5,0)),IF(AND(OR(ISERROR(FIND(""arcass"",A133))=FALSE,ISERROR(FIND(""Fireplace"",A133))=FALSE),ISERROR(FIND("&amp;"""shelf"",A133))=TRUE),IF(ISERROR(FIND(""veneer"",WardrobeCarcassMaterial))=TRUE,0,((2*(B133+C133))/1000)*VLOOKUP(""Edge banding (per M)"",SheetsData,5,0)),IF(ISERROR(FIND(""door"",A133))=TRUE,"""",IF(ISERROR(FIND(""veneer"",WardrobeDoorMaterial))=TRUE,"""&amp;""",((2*(B133+C133))/1000)*VLOOKUP(""Edge banding (per M)"",SheetsData,5,0))))))))))"),"")</f>
        <v/>
      </c>
      <c r="G133" s="153" t="str">
        <f>IF(A133="","",IF(AND(ISERROR(FIND("arcass",A133))=TRUE,ISERROR(FIND("Fireplace",A133))=TRUE),"",IF(VALUE(C133)&lt;606,4*VLOOKUP("Plinth foot (2 Parts 80mm)",FurnitureData,5,FALSE),IF(VALUE(C133)&lt;1211,6*VLOOKUP("Plinth foot (2 Parts 80mm)",FurnitureData,5,FALSE),8*VLOOKUP("Plinth foot (2 Parts 80mm)",FurnitureData,5,FALSE)))))</f>
        <v/>
      </c>
      <c r="H133" s="115" t="str">
        <f>IF(OR(A133="",ISERROR(FIND("door",A133))=TRUE),"",VLOOKUP("Hinges &amp; plates (Hettich thick door)",FurnitureData,5,0)*5)</f>
        <v/>
      </c>
      <c r="I133" s="115" t="str">
        <f>IF(ISERROR(FIND("shelf",A133))=FALSE,(VLOOKUP("Shelf pegs",FurnitureData,5,0)/100)*4,"")</f>
        <v/>
      </c>
      <c r="J133" s="152" t="str">
        <f>IF(OR(ISERROR(FIND("fridge/freezer",A133))=FALSE,ISERROR(FIND("sink",A133))=FALSE,ISERROR(FIND("larder",A133))=FALSE),VLOOKUP("Deep shelf "&amp;C133,Wardrobes_etcData,18,0),IF(OR(ISERROR(FIND("single oven",A133))=FALSE,ISERROR(FIND("Base carcass",A133))=FALSE),2*VLOOKUP("Deep shelf "&amp;C133,Wardrobes_etcData,18,0),IF(AND(ISERROR(FIND("wall carcass",A133))=FALSE,ISERROR(FIND("Boiler",A133))=TRUE),2*VLOOKUP("Shallow shelf "&amp;C133,Wardrobes_etcData,18,0),IF(ISERROR(FIND("double oven",A133))=FALSE,3*VLOOKUP("Deep shelf "&amp;C133,Wardrobes_etcData,18,0),IF(ISERROR(FIND("Tower carcass",A133))=FALSE,6*VLOOKUP("Deep shelf "&amp;C133,Wardrobes_etcData,18,0),"")))))</f>
        <v/>
      </c>
      <c r="K133" s="152" t="str">
        <f>IF(ISERROR(FIND("sink",A133))=FALSE,VLOOKUP("Sink liner - Aluminium "&amp;RIGHT(A133,LEN(A133)-22)&amp;"mm",ExceptionalData,5,0),IF(ISERROR(FIND("bins",A133))=FALSE,VLOOKUP("Drawer runners and clip set for bin unit (500) Dynapro",FurnitureData,5,0)+(2*VLOOKUP("Bin (42L Anthracite)",FurnitureData,5,0)),IF(ISERROR(FIND("larder",A133))=FALSE,VLOOKUP("Pull out larder unit 600mm",FurnitureData,5,0),IF(AND(ISERROR(FIND("drawer box",A133))=FALSE,ISERROR(FIND("internal",A133))=TRUE),VLOOKUP("Drawer runners and clip set (550) Dynapro",FurnitureData,5,0),IF(ISERROR(FIND("internal drawer box",A133))=FALSE,VLOOKUP("Drawer runners and clip set (450) Dynapro",FurnitureData,5,0),IF(ISERROR(FIND("table",A133))=FALSE,VLOOKUP("Hairpin Leg (12mm Black "&amp;MID(A133,FIND("(",A133)+1,LEN(A133)-(FIND("(",A133))-1)&amp;"mm)",ExceptionalData,4,FALSE),""))))))</f>
        <v/>
      </c>
      <c r="L133" s="152" t="str">
        <f t="shared" si="3"/>
        <v/>
      </c>
      <c r="M133" s="154" t="str">
        <f>IF(A133="","",IF(AND(ISERROR(FIND("drawer front",A133))=FALSE,WardrobeDoorStyle="Flat"),(((B133/1000)*(C133/1000))*2)+((((B133+C133)/1000)*2)*0.022),IF(AND(ISERROR(FIND("drawer front",A133))=FALSE,LEFT(WardrobeDoorStyle,5)="Panel"),(((B133/1000)*(C133/1000))*2)+((((B133+C133)/1000)*2)*0.022)+((((C133/1000)-0.16)*0.013)*2)+((((D133/1000)-0.16)*0.013)*2),IF(AND(ISERROR(FIND("drawer front",A133))=FALSE,WardrobeDoorStyle="In-frame flat"),((((B133-76)/1000)*((C133-38)/1000))*2)+(MID(WardrobeDoorMaterial,FIND("(",WardrobeDoorMaterial)+1,2)/1000)*((((B133-76)+(C133-38))/1000)*2)+(((B133/1000)*0.032)*2)+((((B133-76)/1000)*0.032)*2)+(((B133/1000)*0.019)*4)+(((C133/1000)*0.032)*2)+((((C133-38)/1000)*0.032)*2)+(((C133/1000)*0.038)*4),IF(AND(ISERROR(FIND("drawer front",A133))=FALSE,LEFT(WardrobeDoorStyle,14)="In-frame panel"),((((B133-76)/1000)*((C133-38)/1000))*2)+((MID(WardrobeDoorMaterial,FIND("(",WardrobeDoorMaterial)+1,2)/1000)*((((B133-76)+(C133-38))/1000)*2))+((((B133-236)/1000)+((C133-198)/1000)*2)*0.013)+(((B133/1000)*0.032)*2)+((((B133-76)/1000)*0.032)*2)+(((B133/1000)*0.019)*4)+(((C133/1000)*0.032)*2)+((((C133-38)/1000)*0.032)*2)+(((C133/1000)*0.038)*4),IF(ISERROR(FIND("drawer box",A133))=FALSE,((((B133/1000)*(D133/1000))+((B133/1000)*(C133/1000)))*4)+((((D133/1000)+(C133/1000))*0.016)*4)+(((C133/1000)*(D133/1000))*2),IF(OR(ISERROR(FIND("shelf",A133))=FALSE,ISERROR(FIND("Filler panel",A133))=FALSE),(((C133/1000)*(D133/1000))*2)+((((C133+D133)*2)/1000)*0.022),IF(ISERROR(FIND("Fireplace",A133))=FALSE,((B133/1000)*(C133/1000)),IF(ISERROR(FIND("Worktop",A133))=FALSE,(B133/1000)*(C133/1000),IF(ISERROR(FIND("table",A133))=FALSE,(B133/1000)*0.6,IF(ISERROR(FIND("arcass",A133))=FALSE,(((C133/1000)*(D133/1000))*2)+(((B133/1000)*(D133/1000))*2)+((B133/1000)*(C133/1000))+((((B133/1000)*0.025)+((C133/1000)*0.025))*2),IF(AND(ISERROR(FIND("door",A133))=FALSE,WardrobeDoorStyle="Flat"),(((B133/1000)*(C133/1000))*2)+(MID(WardrobeDoorMaterial,FIND("(",WardrobeDoorMaterial)+1,2)/1000)*(((B133+C133)/1000)*2),IF(AND(ISERROR(FIND("door",A133))=FALSE,LEFT(WardrobeDoorStyle,5)="Panel"),(((B133/1000)*(C133/1000))*2)+((MID(WardrobeDoorMaterial,FIND("(",WardrobeDoorMaterial)+1,2)/1000)*(((B133+C133)/1000)*2))+(((((B133-160)+(C133-160))*2)/1000)*(0.013)),IF(AND(ISERROR(FIND("door",A133))=FALSE,WardrobeDoorStyle="In-frame flat"),((((B133-76)/1000)*((C133-38)/1000))*2)+(MID(WardrobeDoorMaterial,FIND("(",WardrobeDoorMaterial)+1,2)/1000)*((((B133-76)+(C133-38))/1000)*2)+(((B133/1000)*0.032)*2)+((((B133-76)/1000)*0.032)*2)+(((B133/1000)*0.019)*4)+(((C133/1000)*0.032)*2)+((((C133-38)/1000)*0.032)*2)+(((C133/1000)*0.038)*4),IF(AND(ISERROR(FIND("door",A133))=FALSE,LEFT(WardrobeDoorStyle,14)="In-frame panel"),((((B133-76)/1000)*((C133-38)/1000))*2)+((MID(WardrobeDoorMaterial,FIND("(",WardrobeDoorMaterial)+1,2)/1000)*((((B133-76)+(C133-38))/1000)*2))+((((B133-236)/1000)+((C133-198)/1000)*2)*0.013)+(((B133/1000)*0.032)*2)+((((B133-76)/1000)*0.032)*2)+(((B133/1000)*0.019)*4)+(((C133/1000)*0.032)*2)+((((C133-38)/1000)*0.032)*2)+(((C133/1000)*0.038)*4),IF(ISERROR(FIND("Plinth",A133))=FALSE,((B133/1000)*(C133/1000))+(((C133/1000)*0.018)*2)+(((B133/1000)*0.018)*2),IF(ISERROR(FIND("Cornice",A133))=FALSE,(((C133/1000)*0.1)*2)+(((C133/1000)*0.044)*2)+(((B133/1000)*0.08)*2),IF(ISERROR(FIND("Office pod",A133))=FALSE,((2400/1000)*(1200/1000))*6,IF(ISERROR(FIND("panel",A133))=FALSE,((B133/1000)*(C133/1000))+(0.022*((B133/1000)+((C133/1000)*2)))+((B133/1000)*0.05),IF(ISERROR(FIND("Fillers",A133))=FALSE,((C133/1000)*0.06)+((C133/1000)*0.069)+((0.06*0.018)*2)+((0.06*0.009)*2)+((C133/1000)*0.009)+((C133/1000)*0.018),IF(ISERROR(FIND("Pelmet",A133))=FALSE,((C133/1000)*0.05)+((C133/1000)*0.068)+((0.05*0.018)*4)+(((C133/1000)*0.018))*2)))))))))))))))))))))</f>
        <v/>
      </c>
      <c r="N133" s="152" t="str">
        <f>IF(M133="","",IF(AND(ISERROR(FIND("carcass",A133))=TRUE,ISERROR(FIND("unit",A133))=TRUE,ISERROR(FIND("insert",A133))=TRUE,ISERROR(FIND("rack",A133))=TRUE,ISERROR(FIND("box",A133))=TRUE,ISERROR(FIND("shelf",A133))=TRUE),VLOOKUP(WardrobeDoorFinish,Finishing!$A$2:$K$10,9,0)*M133,IF(ISERROR(FIND("table",A133))=FALSE,VLOOKUP("Sayerlack AF0072 Interior Clear Self-Sealer",FinishingData,9,FALSE)*M133,VLOOKUP(WardrobeCarcassFinish,Finishing!$A$2:$K$40,9,0)*M133)))</f>
        <v/>
      </c>
      <c r="O133" s="159"/>
      <c r="P133" s="159"/>
      <c r="Q133" s="152" t="str">
        <f>IF(OR(O133="",P133=""),"",((O133*X133)*(VLOOKUP("Workshop",Labour!$A$3:$E$20,4,0)/8))+((P133*AE133)*(VLOOKUP("Finishing",Labour!$A$3:$E$20,4,0)/8)))</f>
        <v/>
      </c>
      <c r="R133" s="152" t="str">
        <f t="shared" si="4"/>
        <v/>
      </c>
      <c r="S133" s="156" t="str">
        <f>IF(OR(O133="",P133=""),"",IF(OR(ISERROR(FIND("carcass",$A133))=FALSE,ISERROR(FIND("unit",$A133))=FALSE),VLOOKUP(WardrobeCarcassMaterial,FixedListsCarcassMaterial,2,0),0))</f>
        <v/>
      </c>
      <c r="T133" s="156" t="str">
        <f>IF(OR(O133="",P133=""),"",IF(ISERROR(FIND("door",$A133))=FALSE,VLOOKUP(WardrobeDoorStyle,FixedListsDoorStyle,2,0),0))</f>
        <v/>
      </c>
      <c r="U133" s="156" t="str">
        <f>IF(OR(O133="",P133=""),"",IF(ISERROR(FIND("door",$A133))=FALSE,VLOOKUP(WardrobeDoorMaterial,FixedListsDoorMaterial,2,0),0))</f>
        <v/>
      </c>
      <c r="V133" s="156" t="str">
        <f>IF(OR(O133="",P133=""),"",IF(ISERROR(FIND("drawer",$A133))=FALSE,VLOOKUP(WardrobeDrawerType,FixedListsDrawerType,2,0),0))</f>
        <v/>
      </c>
      <c r="W133" s="156" t="str">
        <f>IF(OR(O133="",P133=""),"",IF(S133&gt;0,VLOOKUP(WardrobeHandleType,FixedListsHandleType,2,FALSE),0))</f>
        <v/>
      </c>
      <c r="X133" s="156" t="str">
        <f t="shared" si="5"/>
        <v/>
      </c>
      <c r="Y133" s="156" t="str">
        <f>IF(OR(O133="",P133=""),"",IF(OR(ISERROR(FIND("carcass",$A133))=FALSE,ISERROR(FIND("unit",$A133))=FALSE),VLOOKUP(WardrobeCarcassMaterial,FixedListsCarcassMaterial,3,0),0))</f>
        <v/>
      </c>
      <c r="Z133" s="156" t="str">
        <f>IF(OR(O133="",P133=""),"",IF(ISERROR(FIND("door",$A133))=FALSE,VLOOKUP(WardrobeDoorStyle,FixedListsDoorStyle,3,0),0))</f>
        <v/>
      </c>
      <c r="AA133" s="156" t="str">
        <f>IF(OR(O133="",P133=""),"",IF(ISERROR(FIND("door",$A133))=FALSE,VLOOKUP(WardrobeDoorMaterial,FixedListsDoorMaterial,3,0),0))</f>
        <v/>
      </c>
      <c r="AB133" s="156" t="str">
        <f>IF(OR(O133="",P133=""),"",IF(ISERROR(FIND("drawer",$A133))=FALSE,VLOOKUP(WardrobeDrawerType,FixedListsDrawerType,3,0),0))</f>
        <v/>
      </c>
      <c r="AC133" s="156" t="str">
        <f>IF(OR(O133="",P133=""),"",IF(S133&gt;0,VLOOKUP(WardrobeHandleType,FixedListsHandleType,3,FALSE),0))</f>
        <v/>
      </c>
      <c r="AD133" s="156" t="str">
        <f>IF(OR(O133="",P133=""),"",IF(OR(ISERROR(FIND("carcass",$A133))=FALSE,ISERROR(FIND("unit",$A133))=FALSE),VLOOKUP(WardrobeCarcassFinish,FixedListsFinishes,3,0),IF(OR(ISERROR(FIND("door",$A133))=FALSE,ISERROR(FIND("Plinth",$A133))=FALSE,ISERROR(FIND("Cornice",$A133))=FALSE,ISERROR(FIND("Fillers",$A133))=FALSE,ISERROR(FIND("Pelmet",$A133))=FALSE,ISERROR(FIND("panel",$A133))=FALSE,ISERROR(FIND("post",$A133))=FALSE),VLOOKUP(WardrobeDoorFinish,FixedListsFinishes,3,0),IF(OR(ISERROR(FIND("drawer",$A133))=FALSE,ISERROR(FIND("insert",$A133))=FALSE,ISERROR(FIND("rck",$A133))=FALSE),VLOOKUP(WardrobeCarcassFinish,FixedListsFinishes,3,0),0))))</f>
        <v/>
      </c>
      <c r="AE133" s="156" t="str">
        <f t="shared" si="6"/>
        <v/>
      </c>
      <c r="AF133" s="157" t="str">
        <f>IF(AND(WardrobeHandleType="Channel",OR(ISERROR(FIND("arcass",$A133))=FALSE,ISERROR(FIND("unit",$A133))=FALSE)),IF(ISERROR(FIND("Tower",$A133))=TRUE,IF(WardrobeHandleFinish="Match carcass",IF(ISERROR(FIND("Walnut",WardrobeCarcassMaterial))=FALSE,(0.035*0.075*($C133/1000))*VLOOKUP("Walnut (solid m3)",SolidData,4,FALSE),IF(ISERROR(FIND("Oak",WardrobeCarcassMaterial))=FALSE,(0.035*0.075*($C133/1000))*VLOOKUP("Oak (solid m3)",SolidData,4,FALSE),IF(ISERROR(FIND("ply",WardrobeCarcassMaterial))=FALSE,(0.1*($C133/1000))*VLOOKUP("Birch ply (24mm)",SheetsData,7,FALSE),IF(ISERROR(FIND("H/F",WardrobeCarcassMaterial))=FALSE,(0.1*($C133/1000))*VLOOKUP("H/F (22mm)",SheetsData,7,FALSE),"Carcass - not tower - new material")))),IF(WardrobeHandleFinish="Match door",IF(ISERROR(FIND("Walnut",WardrobeDoorMaterial))=FALSE,(0.035*0.075*($C133/1000))*VLOOKUP("Walnut (solid m3)",SolidData,4,FALSE),IF(ISERROR(FIND("Oak",WardrobeDoorMaterial))=FALSE,(0.035*0.075*($C133/1000))*VLOOKUP("Oak (solid m3)",SolidData,4,FALSE),IF(ISERROR(FIND("ply",WardrobeDoorMaterial))=FALSE,(0.1*($C133/1000))*VLOOKUP("Birch ply (24mm)",SheetsData,7,FALSE),IF(ISERROR(FIND("H/F",WardrobeCarcassMaterial))=FALSE,(0.1*($C133/1000))*VLOOKUP("H/F (22mm)",SheetsData,7,FALSE),"Door - not tower - new material")))),"Channel - not tower - handle set to other")),IF(ISERROR(FIND("Tower",$A133))=FALSE,IF(WardrobeHandleFinish="Match carcass",IF(ISERROR(FIND("Walnut",WardrobeCarcassMaterial))=FALSE,(0.035*0.075*($B133/1000))*VLOOKUP("Walnut (solid m3)",SolidData,4,FALSE),IF(ISERROR(FIND("Oak",WardrobeCarcassMaterial))=FALSE,(0.035*0.075*($B133/1000))*VLOOKUP("Oak (solid m3)",SolidData,4,FALSE),IF(ISERROR(FIND("ply",WardrobeCarcassMaterial))=FALSE,(0.1*($B133/1000))*VLOOKUP("Birch ply (24mm)",SheetsData,7,FALSE),IF(ISERROR(FIND("H/F",WardrobeCarcassMaterial))=FALSE,(0.1*($C133/1000))*VLOOKUP("H/F (22mm)",SheetsData,7,FALSE),"Carcass - tower - new material")))),IF(WardrobeHandleFinish="Match door",IF(ISERROR(FIND("Walnut",WardrobeDoorMaterial))=FALSE,(0.035*0.075*($B133/1000))*VLOOKUP("Walnut (solid m3)",SolidData,4,FALSE),IF(ISERROR(FIND("Oak",WardrobeDoorMaterial))=FALSE,(0.035*0.075*($B133/1000))*VLOOKUP("Oak (solid m3)",SolidData,4,FALSE),IF(ISERROR(FIND("ply",WardrobeDoorMaterial))=FALSE,(0.1*($B133/1000))*VLOOKUP("Birch ply (24mm)",SheetData,7,FALSE),IF(ISERROR(FIND("H/F",WardrobeCarcassMaterial))=FALSE,(0.1*($C133/1000))*VLOOKUP("H/F (22mm)",SheetsData,7,FALSE),"Door - tower - new material")))),"Channel - tower - handle set to other")))),"")</f>
        <v/>
      </c>
    </row>
    <row r="134">
      <c r="A134" s="150"/>
      <c r="B134" s="160" t="str">
        <f t="shared" si="1"/>
        <v/>
      </c>
      <c r="C134" s="160" t="str">
        <f>IFERROR(__xludf.DUMMYFUNCTION("IF(A134="""","""",IF(ISERROR(FIND(""arcass"",A134))=FALSE,MID(A134,FIND(""*"",A134)+1,FIND(""*"",A134,FIND(""*"",A134)+1)-FIND(""*"",A134)-1),IF(ISERROR(FIND(""End panel"",A134))=FALSE,RIGHT(A134,3),IF(OR(ISERROR(FIND(""drawer"",A134))=FALSE,ISERROR(FIND("&amp;"""door"",A134))=FALSE,ISERROR(FIND(""shelf"",A134))=FALSE,ISERROR(FIND(""panel"",A134))=FALSE,ISERROR(FIND(""Plinth"",A134))=FALSE,ISERROR(FIND(""Cornice"",A134))=FALSE,ISERROR(FIND(""Fillers"",A134))=FALSE,ISERROR(FIND(""Pelmet"",A134))=FALSE,ISERROR(FIN"&amp;"D(""Fireplace up to 1600"",A134))=FALSE),RIGHT(A134,LEN(A134)-LEN(regexextract(A134,"".* ""))),IF(ISERROR(FIND(""table"",A134))=FALSE,""560"",IF(ISERROR(FIND(""Office pod"",A134))=FALSE,""1600"",IF(ISERROR(FIND(""Fireplace over 1600"",A134))=FALSE,""2400"&amp;""",IF(ISERROR(FIND(""Worktop"",A134))=FALSE,""650"",""Whoops""))))))))"),"")</f>
        <v/>
      </c>
      <c r="D134" s="161" t="str">
        <f t="shared" si="2"/>
        <v/>
      </c>
      <c r="E134" s="152" t="str">
        <f>IF(OR(A134="",AND(ISERROR(FIND("drawer",A134))=FALSE,WardrobeDrawerType="")),"",IF(ISERROR(FIND("door",A134))=FALSE,IF(WardrobeDoorStyle="Flat",((B134/1000)*(C134/1000))*VLOOKUP(WardrobeDoorMaterial,SheetsData,8,0),IF(LEFT(WardrobeDoorStyle,5)="Panel",(((((B134/1000)*2)*0.08)+((((C134/1000)-0.16)*2)*0.08))*VLOOKUP("H/F (22mm)",SheetsData,8,0))+(((B134/1000)-0.14)*((C134/1000)-0.14)*VLOOKUP("H/F (9mm)",SheetsData,8,0)),IF(WardrobeDoorStyle="In-frame flat",((((((B134/1000)*0.019)*0.038)+((((C134-38)/1000)*0.038)*0.038))*2)*VLOOKUP("Tulip (solid m3)",SolidData,4,0))+(((B134-76)/1000)*((C134-38)/1000))*VLOOKUP("H/F (22mm)",SheetsData,8,0),IF(LEFT(WardrobeDoorStyle,14)="In-frame panel",(((((((B134/1000)*0.019)*0.038)+((((C134-38)/1000)*0.038)*0.038))*2)*VLOOKUP("Tulip (solid m3)",SolidData,4,0))+(((((((B134-76)/1000)*2)*0.08)+(((((C134-198)/1000)*2)*0.08)))*VLOOKUP("H/F (22mm)",SheetsData,8,0))+(((B134-216)/1000)*((C134-178)/1000)*VLOOKUP("H/F (9mm)",SheetsData,8,0)))))))),IF(AND(ISERROR(FIND("arcass",A134))=FALSE,ISERROR(FIND("ost corner",A134))=TRUE),IF(AND(VALUE(B134)&lt;1211,VALUE(C134)&lt;1211,VALUE(D134)&lt;606),1*VLOOKUP(WardrobeCarcassMaterial,SheetsData,5,FALSE),IF(AND(VALUE(B134)&lt;2421,VALUE(C134)&lt;2421,VALUE(D134)&lt;606),2*VLOOKUP(WardrobeCarcassMaterial,SheetsData,5,FALSE),IF(AND(VALUE(B134)&lt;2421,VALUE(C134)&lt;1211,VALUE(D134)&lt;1211),3*VLOOKUP(WardrobeCarcassMaterial,SheetsData,5,FALSE),IF(AND(VALUE(B134)&lt;2421,VALUE(C134)&lt;2421,VALUE(D134)&lt;1211),4*VLOOKUP(WardrobeCarcassMaterial,SheetsData,5,FALSE))))),IF(AND(ISERROR(FIND("arcass",A134))=FALSE,ISERROR(FIND("ost corner",A134))=FALSE),IF(AND(VALUE(B134)&lt;1211,VALUE(C134)&lt;1211,VALUE(D134)&lt;606),(1*VLOOKUP(WardrobeCarcassMaterial,SheetsData,5,FALSE))+(VLOOKUP("H/F (22mm)",SheetsData,7,FALSE)*1.44),IF(AND(VALUE(B134)&lt;2421,VALUE(C134)&lt;2421,VALUE(D134)&lt;606),(2*VLOOKUP(WardrobeCarcassMaterial,SheetsData,5,FALSE))+(VLOOKUP("H/F (22mm)",SheetsData,7,FALSE)*1.44),IF(AND(VALUE(B134)&lt;2421,VALUE(C134)&lt;1211,VALUE(D134)&lt;1211),(3*VLOOKUP(WardrobeCarcassMaterial,SheetsData,5,FALSE))+(VLOOKUP("H/F (22mm)",SheetsData,7,FALSE)*1.44),IF(AND(VALUE(B134)&lt;2421,VALUE(C134)&lt;2421,VALUE(D134)&lt;1211),(4*VLOOKUP(WardrobeCarcassMaterial,SheetsData,5,FALSE))+(VLOOKUP("H/F (22mm)",SheetsData,7,FALSE)*1.44))))),IF(ISERROR(FIND("drawer front",A134))=FALSE,((B134/1000)*(C134/1000))*VLOOKUP(WardrobeDoorMaterial,SheetsData,8,0),IF(AND(WardrobeDrawerType="Match carcass",ISERROR(FIND("drawer box",A134))=FALSE),(((((B134/1000)*(C134/1000))+((B134/1000)*(D134/1000)))*2)*VLOOKUP(WardrobeCarcassMaterial,SheetsData,8,0))+(((C134/1000)*(D134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box",A134))=FALSE),(((((B134/1000)*(C134/1000))+((B134/1000)*(D134/1000)))*2)*(16/1000)*VLOOKUP(LEFT(WardrobeCarcassMaterial,FIND(" ",WardrobeCarcassMaterial))&amp;"(solid m3)",SolidData,4,0))+(((C134/1000)*(D134/1000))*VLOOKUP(LEFT(WardrobeCarcassMaterial,FIND("(",WardrobeCarcassMaterial)-1)&amp;IF(OR(ISERROR(FIND("ply",WardrobeCarcassMaterial))=FALSE,ISERROR(FIND("H/F",WardrobeCarcassMaterial))=FALSE),"(9mm)","(10mm)"),SheetsData,8,0)),IF(ISERROR(FIND("shelf",A134))=FALSE,((C134/1000)*(D134/1000))*VLOOKUP(WardrobeCarcassMaterial,SheetsData,7,FALSE),IF(ISERROR(FIND("Office pod",A134))=FALSE,3*VLOOKUP(WardrobeCarcassMaterial,SheetsData,5,0),IF(ISERROR(FIND(" panel",A134))=FALSE,((B134/1000)*(C134/1000))*VLOOKUP(WardrobeDoorMaterial,SheetsData,8,0),IF(ISERROR(FIND("Fillers",A134))=FALSE,(((0.06*(C134/1000))*2)*VLOOKUP("H/F (18mm)",SheetsData,8,0))+(((0.06*(C134/1000))*2)*VLOOKUP("H/F (9mm)",SheetsData,8,0)),IF(ISERROR(FIND("Cornice (stacked)",A134))=FALSE,((0.08*(C134/1000))*2)*VLOOKUP("H/F (22mm)",SheetsData,8,0),IF(OR(ISERROR(FIND("Plinth",A134))=FALSE,ISERROR(FIND("Cornice (flat)",A134))=FALSE),((B134/1000)*(C134/1000))*VLOOKUP("H/F (18mm)",SheetsData,8,0),IF(ISERROR(FIND("Pelmet",A134))=FALSE,((((B134/1000)*(C134/1000))*2)*VLOOKUP("H/F (18mm)",SheetsData,8,0)),IF(ISERROR(FIND("Fireplace",A134))=FALSE,IF(ISERROR(FIND("over 1600",A134))=FALSE,2*VLOOKUP(WardrobeCarcassMaterial,SheetsData,5,FALSE),VLOOKUP(WardrobeCarcassMaterial,SheetsData,5,FALSE)),IF(ISERROR(FIND("table",A134))=FALSE,((B134/1000)*0.6)*VLOOKUP("Birch ply (24mm)",SheetsData,7,FALSE),IF(ISERROR(FIND("Worktop",A134))=FALSE,((B134/1000)*(C134/1000))*VLOOKUP(WardrobeDoorMaterial,SheetsData,7,FALSE),"Check formula")))))))))))))))))</f>
        <v/>
      </c>
      <c r="F134" s="152" t="str">
        <f>IFERROR(__xludf.DUMMYFUNCTION("IF(OR(A134="""",AND(ISERROR(FIND(""drawer box"",A134))=FALSE,WardrobeDrawerType=""Solid dovetail"")),"""",IF(ISERROR(FIND(""bins"",A134))=FALSE,VLOOKUP(""Base carcass 600"",Wardrobes_etcData,6,0),IF(OR(ISERROR(FIND(""larder"",A134))=FALSE,ISERROR(FIND(""u"&amp;"nit"",A134))=FALSE),VLOOKUP(LEFT(A134,FIND("" "",A134))&amp;""carcass ""&amp;RIGHT(A134,LEN(A134)-len(regexextract(A134,"".* ""))),Wardrobes_etcData,6,0),IF(ISERROR(FIND(""drawer front"",A134))=FALSE,IF(ISERROR(FIND(""veneer"",WardrobeCarcassMaterial))=TRUE,0,((("&amp;"B134+C134)/1000)*2)*VLOOKUP(""Edge banding (per M)"",SheetsData,5,0)),IF(ISERROR(FIND(""drawer box"",A134))=FALSE,IF(ISERROR(FIND(""veneer"",WardrobeCarcassMaterial))=TRUE,0,(((C134+D134)/1000)*2)*VLOOKUP(""Edge banding (per M)"",SheetsData,5,0)),IF(ISERR"&amp;"OR(FIND(""shelf"",A134))=FALSE,IF(ISERROR(FIND(""veneer"",WardrobeCarcassMaterial))=TRUE,0,(C134/1000)*VLOOKUP(""Edge banding (per M)"",SheetsData,5,0)),IF(AND(OR(ISERROR(FIND(""arcass"",A134))=FALSE,ISERROR(FIND(""Fireplace"",A134))=FALSE),ISERROR(FIND("&amp;"""shelf"",A134))=TRUE),IF(ISERROR(FIND(""veneer"",WardrobeCarcassMaterial))=TRUE,0,((2*(B134+C134))/1000)*VLOOKUP(""Edge banding (per M)"",SheetsData,5,0)),IF(ISERROR(FIND(""door"",A134))=TRUE,"""",IF(ISERROR(FIND(""veneer"",WardrobeDoorMaterial))=TRUE,"""&amp;""",((2*(B134+C134))/1000)*VLOOKUP(""Edge banding (per M)"",SheetsData,5,0))))))))))"),"")</f>
        <v/>
      </c>
      <c r="G134" s="153" t="str">
        <f>IF(A134="","",IF(AND(ISERROR(FIND("arcass",A134))=TRUE,ISERROR(FIND("Fireplace",A134))=TRUE),"",IF(VALUE(C134)&lt;606,4*VLOOKUP("Plinth foot (2 Parts 80mm)",FurnitureData,5,FALSE),IF(VALUE(C134)&lt;1211,6*VLOOKUP("Plinth foot (2 Parts 80mm)",FurnitureData,5,FALSE),8*VLOOKUP("Plinth foot (2 Parts 80mm)",FurnitureData,5,FALSE)))))</f>
        <v/>
      </c>
      <c r="H134" s="115" t="str">
        <f>IF(OR(A134="",ISERROR(FIND("door",A134))=TRUE),"",VLOOKUP("Hinges &amp; plates (Hettich thick door)",FurnitureData,5,0)*5)</f>
        <v/>
      </c>
      <c r="I134" s="115" t="str">
        <f>IF(ISERROR(FIND("shelf",A134))=FALSE,(VLOOKUP("Shelf pegs",FurnitureData,5,0)/100)*4,"")</f>
        <v/>
      </c>
      <c r="J134" s="152" t="str">
        <f>IF(OR(ISERROR(FIND("fridge/freezer",A134))=FALSE,ISERROR(FIND("sink",A134))=FALSE,ISERROR(FIND("larder",A134))=FALSE),VLOOKUP("Deep shelf "&amp;C134,Wardrobes_etcData,18,0),IF(OR(ISERROR(FIND("single oven",A134))=FALSE,ISERROR(FIND("Base carcass",A134))=FALSE),2*VLOOKUP("Deep shelf "&amp;C134,Wardrobes_etcData,18,0),IF(AND(ISERROR(FIND("wall carcass",A134))=FALSE,ISERROR(FIND("Boiler",A134))=TRUE),2*VLOOKUP("Shallow shelf "&amp;C134,Wardrobes_etcData,18,0),IF(ISERROR(FIND("double oven",A134))=FALSE,3*VLOOKUP("Deep shelf "&amp;C134,Wardrobes_etcData,18,0),IF(ISERROR(FIND("Tower carcass",A134))=FALSE,6*VLOOKUP("Deep shelf "&amp;C134,Wardrobes_etcData,18,0),"")))))</f>
        <v/>
      </c>
      <c r="K134" s="152" t="str">
        <f>IF(ISERROR(FIND("sink",A134))=FALSE,VLOOKUP("Sink liner - Aluminium "&amp;RIGHT(A134,LEN(A134)-22)&amp;"mm",ExceptionalData,5,0),IF(ISERROR(FIND("bins",A134))=FALSE,VLOOKUP("Drawer runners and clip set for bin unit (500) Dynapro",FurnitureData,5,0)+(2*VLOOKUP("Bin (42L Anthracite)",FurnitureData,5,0)),IF(ISERROR(FIND("larder",A134))=FALSE,VLOOKUP("Pull out larder unit 600mm",FurnitureData,5,0),IF(AND(ISERROR(FIND("drawer box",A134))=FALSE,ISERROR(FIND("internal",A134))=TRUE),VLOOKUP("Drawer runners and clip set (550) Dynapro",FurnitureData,5,0),IF(ISERROR(FIND("internal drawer box",A134))=FALSE,VLOOKUP("Drawer runners and clip set (450) Dynapro",FurnitureData,5,0),IF(ISERROR(FIND("table",A134))=FALSE,VLOOKUP("Hairpin Leg (12mm Black "&amp;MID(A134,FIND("(",A134)+1,LEN(A134)-(FIND("(",A134))-1)&amp;"mm)",ExceptionalData,4,FALSE),""))))))</f>
        <v/>
      </c>
      <c r="L134" s="152" t="str">
        <f t="shared" si="3"/>
        <v/>
      </c>
      <c r="M134" s="154" t="str">
        <f>IF(A134="","",IF(AND(ISERROR(FIND("drawer front",A134))=FALSE,WardrobeDoorStyle="Flat"),(((B134/1000)*(C134/1000))*2)+((((B134+C134)/1000)*2)*0.022),IF(AND(ISERROR(FIND("drawer front",A134))=FALSE,LEFT(WardrobeDoorStyle,5)="Panel"),(((B134/1000)*(C134/1000))*2)+((((B134+C134)/1000)*2)*0.022)+((((C134/1000)-0.16)*0.013)*2)+((((D134/1000)-0.16)*0.013)*2),IF(AND(ISERROR(FIND("drawer front",A134))=FALSE,WardrobeDoorStyle="In-frame flat"),((((B134-76)/1000)*((C134-38)/1000))*2)+(MID(WardrobeDoorMaterial,FIND("(",WardrobeDoorMaterial)+1,2)/1000)*((((B134-76)+(C134-38))/1000)*2)+(((B134/1000)*0.032)*2)+((((B134-76)/1000)*0.032)*2)+(((B134/1000)*0.019)*4)+(((C134/1000)*0.032)*2)+((((C134-38)/1000)*0.032)*2)+(((C134/1000)*0.038)*4),IF(AND(ISERROR(FIND("drawer front",A134))=FALSE,LEFT(WardrobeDoorStyle,14)="In-frame panel"),((((B134-76)/1000)*((C134-38)/1000))*2)+((MID(WardrobeDoorMaterial,FIND("(",WardrobeDoorMaterial)+1,2)/1000)*((((B134-76)+(C134-38))/1000)*2))+((((B134-236)/1000)+((C134-198)/1000)*2)*0.013)+(((B134/1000)*0.032)*2)+((((B134-76)/1000)*0.032)*2)+(((B134/1000)*0.019)*4)+(((C134/1000)*0.032)*2)+((((C134-38)/1000)*0.032)*2)+(((C134/1000)*0.038)*4),IF(ISERROR(FIND("drawer box",A134))=FALSE,((((B134/1000)*(D134/1000))+((B134/1000)*(C134/1000)))*4)+((((D134/1000)+(C134/1000))*0.016)*4)+(((C134/1000)*(D134/1000))*2),IF(OR(ISERROR(FIND("shelf",A134))=FALSE,ISERROR(FIND("Filler panel",A134))=FALSE),(((C134/1000)*(D134/1000))*2)+((((C134+D134)*2)/1000)*0.022),IF(ISERROR(FIND("Fireplace",A134))=FALSE,((B134/1000)*(C134/1000)),IF(ISERROR(FIND("Worktop",A134))=FALSE,(B134/1000)*(C134/1000),IF(ISERROR(FIND("table",A134))=FALSE,(B134/1000)*0.6,IF(ISERROR(FIND("arcass",A134))=FALSE,(((C134/1000)*(D134/1000))*2)+(((B134/1000)*(D134/1000))*2)+((B134/1000)*(C134/1000))+((((B134/1000)*0.025)+((C134/1000)*0.025))*2),IF(AND(ISERROR(FIND("door",A134))=FALSE,WardrobeDoorStyle="Flat"),(((B134/1000)*(C134/1000))*2)+(MID(WardrobeDoorMaterial,FIND("(",WardrobeDoorMaterial)+1,2)/1000)*(((B134+C134)/1000)*2),IF(AND(ISERROR(FIND("door",A134))=FALSE,LEFT(WardrobeDoorStyle,5)="Panel"),(((B134/1000)*(C134/1000))*2)+((MID(WardrobeDoorMaterial,FIND("(",WardrobeDoorMaterial)+1,2)/1000)*(((B134+C134)/1000)*2))+(((((B134-160)+(C134-160))*2)/1000)*(0.013)),IF(AND(ISERROR(FIND("door",A134))=FALSE,WardrobeDoorStyle="In-frame flat"),((((B134-76)/1000)*((C134-38)/1000))*2)+(MID(WardrobeDoorMaterial,FIND("(",WardrobeDoorMaterial)+1,2)/1000)*((((B134-76)+(C134-38))/1000)*2)+(((B134/1000)*0.032)*2)+((((B134-76)/1000)*0.032)*2)+(((B134/1000)*0.019)*4)+(((C134/1000)*0.032)*2)+((((C134-38)/1000)*0.032)*2)+(((C134/1000)*0.038)*4),IF(AND(ISERROR(FIND("door",A134))=FALSE,LEFT(WardrobeDoorStyle,14)="In-frame panel"),((((B134-76)/1000)*((C134-38)/1000))*2)+((MID(WardrobeDoorMaterial,FIND("(",WardrobeDoorMaterial)+1,2)/1000)*((((B134-76)+(C134-38))/1000)*2))+((((B134-236)/1000)+((C134-198)/1000)*2)*0.013)+(((B134/1000)*0.032)*2)+((((B134-76)/1000)*0.032)*2)+(((B134/1000)*0.019)*4)+(((C134/1000)*0.032)*2)+((((C134-38)/1000)*0.032)*2)+(((C134/1000)*0.038)*4),IF(ISERROR(FIND("Plinth",A134))=FALSE,((B134/1000)*(C134/1000))+(((C134/1000)*0.018)*2)+(((B134/1000)*0.018)*2),IF(ISERROR(FIND("Cornice",A134))=FALSE,(((C134/1000)*0.1)*2)+(((C134/1000)*0.044)*2)+(((B134/1000)*0.08)*2),IF(ISERROR(FIND("Office pod",A134))=FALSE,((2400/1000)*(1200/1000))*6,IF(ISERROR(FIND("panel",A134))=FALSE,((B134/1000)*(C134/1000))+(0.022*((B134/1000)+((C134/1000)*2)))+((B134/1000)*0.05),IF(ISERROR(FIND("Fillers",A134))=FALSE,((C134/1000)*0.06)+((C134/1000)*0.069)+((0.06*0.018)*2)+((0.06*0.009)*2)+((C134/1000)*0.009)+((C134/1000)*0.018),IF(ISERROR(FIND("Pelmet",A134))=FALSE,((C134/1000)*0.05)+((C134/1000)*0.068)+((0.05*0.018)*4)+(((C134/1000)*0.018))*2)))))))))))))))))))))</f>
        <v/>
      </c>
      <c r="N134" s="152" t="str">
        <f>IF(M134="","",IF(AND(ISERROR(FIND("carcass",A134))=TRUE,ISERROR(FIND("unit",A134))=TRUE,ISERROR(FIND("insert",A134))=TRUE,ISERROR(FIND("rack",A134))=TRUE,ISERROR(FIND("box",A134))=TRUE,ISERROR(FIND("shelf",A134))=TRUE),VLOOKUP(WardrobeDoorFinish,Finishing!$A$2:$K$10,9,0)*M134,IF(ISERROR(FIND("table",A134))=FALSE,VLOOKUP("Sayerlack AF0072 Interior Clear Self-Sealer",FinishingData,9,FALSE)*M134,VLOOKUP(WardrobeCarcassFinish,Finishing!$A$2:$K$40,9,0)*M134)))</f>
        <v/>
      </c>
      <c r="O134" s="159"/>
      <c r="P134" s="159"/>
      <c r="Q134" s="152" t="str">
        <f>IF(OR(O134="",P134=""),"",((O134*X134)*(VLOOKUP("Workshop",Labour!$A$3:$E$20,4,0)/8))+((P134*AE134)*(VLOOKUP("Finishing",Labour!$A$3:$E$20,4,0)/8)))</f>
        <v/>
      </c>
      <c r="R134" s="152" t="str">
        <f t="shared" si="4"/>
        <v/>
      </c>
      <c r="S134" s="156" t="str">
        <f>IF(OR(O134="",P134=""),"",IF(OR(ISERROR(FIND("carcass",$A134))=FALSE,ISERROR(FIND("unit",$A134))=FALSE),VLOOKUP(WardrobeCarcassMaterial,FixedListsCarcassMaterial,2,0),0))</f>
        <v/>
      </c>
      <c r="T134" s="156" t="str">
        <f>IF(OR(O134="",P134=""),"",IF(ISERROR(FIND("door",$A134))=FALSE,VLOOKUP(WardrobeDoorStyle,FixedListsDoorStyle,2,0),0))</f>
        <v/>
      </c>
      <c r="U134" s="156" t="str">
        <f>IF(OR(O134="",P134=""),"",IF(ISERROR(FIND("door",$A134))=FALSE,VLOOKUP(WardrobeDoorMaterial,FixedListsDoorMaterial,2,0),0))</f>
        <v/>
      </c>
      <c r="V134" s="156" t="str">
        <f>IF(OR(O134="",P134=""),"",IF(ISERROR(FIND("drawer",$A134))=FALSE,VLOOKUP(WardrobeDrawerType,FixedListsDrawerType,2,0),0))</f>
        <v/>
      </c>
      <c r="W134" s="156" t="str">
        <f>IF(OR(O134="",P134=""),"",IF(S134&gt;0,VLOOKUP(WardrobeHandleType,FixedListsHandleType,2,FALSE),0))</f>
        <v/>
      </c>
      <c r="X134" s="156" t="str">
        <f t="shared" si="5"/>
        <v/>
      </c>
      <c r="Y134" s="156" t="str">
        <f>IF(OR(O134="",P134=""),"",IF(OR(ISERROR(FIND("carcass",$A134))=FALSE,ISERROR(FIND("unit",$A134))=FALSE),VLOOKUP(WardrobeCarcassMaterial,FixedListsCarcassMaterial,3,0),0))</f>
        <v/>
      </c>
      <c r="Z134" s="156" t="str">
        <f>IF(OR(O134="",P134=""),"",IF(ISERROR(FIND("door",$A134))=FALSE,VLOOKUP(WardrobeDoorStyle,FixedListsDoorStyle,3,0),0))</f>
        <v/>
      </c>
      <c r="AA134" s="156" t="str">
        <f>IF(OR(O134="",P134=""),"",IF(ISERROR(FIND("door",$A134))=FALSE,VLOOKUP(WardrobeDoorMaterial,FixedListsDoorMaterial,3,0),0))</f>
        <v/>
      </c>
      <c r="AB134" s="156" t="str">
        <f>IF(OR(O134="",P134=""),"",IF(ISERROR(FIND("drawer",$A134))=FALSE,VLOOKUP(WardrobeDrawerType,FixedListsDrawerType,3,0),0))</f>
        <v/>
      </c>
      <c r="AC134" s="156" t="str">
        <f>IF(OR(O134="",P134=""),"",IF(S134&gt;0,VLOOKUP(WardrobeHandleType,FixedListsHandleType,3,FALSE),0))</f>
        <v/>
      </c>
      <c r="AD134" s="156" t="str">
        <f>IF(OR(O134="",P134=""),"",IF(OR(ISERROR(FIND("carcass",$A134))=FALSE,ISERROR(FIND("unit",$A134))=FALSE),VLOOKUP(WardrobeCarcassFinish,FixedListsFinishes,3,0),IF(OR(ISERROR(FIND("door",$A134))=FALSE,ISERROR(FIND("Plinth",$A134))=FALSE,ISERROR(FIND("Cornice",$A134))=FALSE,ISERROR(FIND("Fillers",$A134))=FALSE,ISERROR(FIND("Pelmet",$A134))=FALSE,ISERROR(FIND("panel",$A134))=FALSE,ISERROR(FIND("post",$A134))=FALSE),VLOOKUP(WardrobeDoorFinish,FixedListsFinishes,3,0),IF(OR(ISERROR(FIND("drawer",$A134))=FALSE,ISERROR(FIND("insert",$A134))=FALSE,ISERROR(FIND("rck",$A134))=FALSE),VLOOKUP(WardrobeCarcassFinish,FixedListsFinishes,3,0),0))))</f>
        <v/>
      </c>
      <c r="AE134" s="156" t="str">
        <f t="shared" si="6"/>
        <v/>
      </c>
      <c r="AF134" s="157" t="str">
        <f>IF(AND(WardrobeHandleType="Channel",OR(ISERROR(FIND("arcass",$A134))=FALSE,ISERROR(FIND("unit",$A134))=FALSE)),IF(ISERROR(FIND("Tower",$A134))=TRUE,IF(WardrobeHandleFinish="Match carcass",IF(ISERROR(FIND("Walnut",WardrobeCarcassMaterial))=FALSE,(0.035*0.075*($C134/1000))*VLOOKUP("Walnut (solid m3)",SolidData,4,FALSE),IF(ISERROR(FIND("Oak",WardrobeCarcassMaterial))=FALSE,(0.035*0.075*($C134/1000))*VLOOKUP("Oak (solid m3)",SolidData,4,FALSE),IF(ISERROR(FIND("ply",WardrobeCarcassMaterial))=FALSE,(0.1*($C134/1000))*VLOOKUP("Birch ply (24mm)",SheetsData,7,FALSE),IF(ISERROR(FIND("H/F",WardrobeCarcassMaterial))=FALSE,(0.1*($C134/1000))*VLOOKUP("H/F (22mm)",SheetsData,7,FALSE),"Carcass - not tower - new material")))),IF(WardrobeHandleFinish="Match door",IF(ISERROR(FIND("Walnut",WardrobeDoorMaterial))=FALSE,(0.035*0.075*($C134/1000))*VLOOKUP("Walnut (solid m3)",SolidData,4,FALSE),IF(ISERROR(FIND("Oak",WardrobeDoorMaterial))=FALSE,(0.035*0.075*($C134/1000))*VLOOKUP("Oak (solid m3)",SolidData,4,FALSE),IF(ISERROR(FIND("ply",WardrobeDoorMaterial))=FALSE,(0.1*($C134/1000))*VLOOKUP("Birch ply (24mm)",SheetsData,7,FALSE),IF(ISERROR(FIND("H/F",WardrobeCarcassMaterial))=FALSE,(0.1*($C134/1000))*VLOOKUP("H/F (22mm)",SheetsData,7,FALSE),"Door - not tower - new material")))),"Channel - not tower - handle set to other")),IF(ISERROR(FIND("Tower",$A134))=FALSE,IF(WardrobeHandleFinish="Match carcass",IF(ISERROR(FIND("Walnut",WardrobeCarcassMaterial))=FALSE,(0.035*0.075*($B134/1000))*VLOOKUP("Walnut (solid m3)",SolidData,4,FALSE),IF(ISERROR(FIND("Oak",WardrobeCarcassMaterial))=FALSE,(0.035*0.075*($B134/1000))*VLOOKUP("Oak (solid m3)",SolidData,4,FALSE),IF(ISERROR(FIND("ply",WardrobeCarcassMaterial))=FALSE,(0.1*($B134/1000))*VLOOKUP("Birch ply (24mm)",SheetsData,7,FALSE),IF(ISERROR(FIND("H/F",WardrobeCarcassMaterial))=FALSE,(0.1*($C134/1000))*VLOOKUP("H/F (22mm)",SheetsData,7,FALSE),"Carcass - tower - new material")))),IF(WardrobeHandleFinish="Match door",IF(ISERROR(FIND("Walnut",WardrobeDoorMaterial))=FALSE,(0.035*0.075*($B134/1000))*VLOOKUP("Walnut (solid m3)",SolidData,4,FALSE),IF(ISERROR(FIND("Oak",WardrobeDoorMaterial))=FALSE,(0.035*0.075*($B134/1000))*VLOOKUP("Oak (solid m3)",SolidData,4,FALSE),IF(ISERROR(FIND("ply",WardrobeDoorMaterial))=FALSE,(0.1*($B134/1000))*VLOOKUP("Birch ply (24mm)",SheetData,7,FALSE),IF(ISERROR(FIND("H/F",WardrobeCarcassMaterial))=FALSE,(0.1*($C134/1000))*VLOOKUP("H/F (22mm)",SheetsData,7,FALSE),"Door - tower - new material")))),"Channel - tower - handle set to other")))),"")</f>
        <v/>
      </c>
    </row>
    <row r="135">
      <c r="A135" s="150"/>
      <c r="B135" s="160" t="str">
        <f t="shared" si="1"/>
        <v/>
      </c>
      <c r="C135" s="160" t="str">
        <f>IFERROR(__xludf.DUMMYFUNCTION("IF(A135="""","""",IF(ISERROR(FIND(""arcass"",A135))=FALSE,MID(A135,FIND(""*"",A135)+1,FIND(""*"",A135,FIND(""*"",A135)+1)-FIND(""*"",A135)-1),IF(ISERROR(FIND(""End panel"",A135))=FALSE,RIGHT(A135,3),IF(OR(ISERROR(FIND(""drawer"",A135))=FALSE,ISERROR(FIND("&amp;"""door"",A135))=FALSE,ISERROR(FIND(""shelf"",A135))=FALSE,ISERROR(FIND(""panel"",A135))=FALSE,ISERROR(FIND(""Plinth"",A135))=FALSE,ISERROR(FIND(""Cornice"",A135))=FALSE,ISERROR(FIND(""Fillers"",A135))=FALSE,ISERROR(FIND(""Pelmet"",A135))=FALSE,ISERROR(FIN"&amp;"D(""Fireplace up to 1600"",A135))=FALSE),RIGHT(A135,LEN(A135)-LEN(regexextract(A135,"".* ""))),IF(ISERROR(FIND(""table"",A135))=FALSE,""560"",IF(ISERROR(FIND(""Office pod"",A135))=FALSE,""1600"",IF(ISERROR(FIND(""Fireplace over 1600"",A135))=FALSE,""2400"&amp;""",IF(ISERROR(FIND(""Worktop"",A135))=FALSE,""650"",""Whoops""))))))))"),"")</f>
        <v/>
      </c>
      <c r="D135" s="161" t="str">
        <f t="shared" si="2"/>
        <v/>
      </c>
      <c r="E135" s="152" t="str">
        <f>IF(OR(A135="",AND(ISERROR(FIND("drawer",A135))=FALSE,WardrobeDrawerType="")),"",IF(ISERROR(FIND("door",A135))=FALSE,IF(WardrobeDoorStyle="Flat",((B135/1000)*(C135/1000))*VLOOKUP(WardrobeDoorMaterial,SheetsData,8,0),IF(LEFT(WardrobeDoorStyle,5)="Panel",(((((B135/1000)*2)*0.08)+((((C135/1000)-0.16)*2)*0.08))*VLOOKUP("H/F (22mm)",SheetsData,8,0))+(((B135/1000)-0.14)*((C135/1000)-0.14)*VLOOKUP("H/F (9mm)",SheetsData,8,0)),IF(WardrobeDoorStyle="In-frame flat",((((((B135/1000)*0.019)*0.038)+((((C135-38)/1000)*0.038)*0.038))*2)*VLOOKUP("Tulip (solid m3)",SolidData,4,0))+(((B135-76)/1000)*((C135-38)/1000))*VLOOKUP("H/F (22mm)",SheetsData,8,0),IF(LEFT(WardrobeDoorStyle,14)="In-frame panel",(((((((B135/1000)*0.019)*0.038)+((((C135-38)/1000)*0.038)*0.038))*2)*VLOOKUP("Tulip (solid m3)",SolidData,4,0))+(((((((B135-76)/1000)*2)*0.08)+(((((C135-198)/1000)*2)*0.08)))*VLOOKUP("H/F (22mm)",SheetsData,8,0))+(((B135-216)/1000)*((C135-178)/1000)*VLOOKUP("H/F (9mm)",SheetsData,8,0)))))))),IF(AND(ISERROR(FIND("arcass",A135))=FALSE,ISERROR(FIND("ost corner",A135))=TRUE),IF(AND(VALUE(B135)&lt;1211,VALUE(C135)&lt;1211,VALUE(D135)&lt;606),1*VLOOKUP(WardrobeCarcassMaterial,SheetsData,5,FALSE),IF(AND(VALUE(B135)&lt;2421,VALUE(C135)&lt;2421,VALUE(D135)&lt;606),2*VLOOKUP(WardrobeCarcassMaterial,SheetsData,5,FALSE),IF(AND(VALUE(B135)&lt;2421,VALUE(C135)&lt;1211,VALUE(D135)&lt;1211),3*VLOOKUP(WardrobeCarcassMaterial,SheetsData,5,FALSE),IF(AND(VALUE(B135)&lt;2421,VALUE(C135)&lt;2421,VALUE(D135)&lt;1211),4*VLOOKUP(WardrobeCarcassMaterial,SheetsData,5,FALSE))))),IF(AND(ISERROR(FIND("arcass",A135))=FALSE,ISERROR(FIND("ost corner",A135))=FALSE),IF(AND(VALUE(B135)&lt;1211,VALUE(C135)&lt;1211,VALUE(D135)&lt;606),(1*VLOOKUP(WardrobeCarcassMaterial,SheetsData,5,FALSE))+(VLOOKUP("H/F (22mm)",SheetsData,7,FALSE)*1.44),IF(AND(VALUE(B135)&lt;2421,VALUE(C135)&lt;2421,VALUE(D135)&lt;606),(2*VLOOKUP(WardrobeCarcassMaterial,SheetsData,5,FALSE))+(VLOOKUP("H/F (22mm)",SheetsData,7,FALSE)*1.44),IF(AND(VALUE(B135)&lt;2421,VALUE(C135)&lt;1211,VALUE(D135)&lt;1211),(3*VLOOKUP(WardrobeCarcassMaterial,SheetsData,5,FALSE))+(VLOOKUP("H/F (22mm)",SheetsData,7,FALSE)*1.44),IF(AND(VALUE(B135)&lt;2421,VALUE(C135)&lt;2421,VALUE(D135)&lt;1211),(4*VLOOKUP(WardrobeCarcassMaterial,SheetsData,5,FALSE))+(VLOOKUP("H/F (22mm)",SheetsData,7,FALSE)*1.44))))),IF(ISERROR(FIND("drawer front",A135))=FALSE,((B135/1000)*(C135/1000))*VLOOKUP(WardrobeDoorMaterial,SheetsData,8,0),IF(AND(WardrobeDrawerType="Match carcass",ISERROR(FIND("drawer box",A135))=FALSE),(((((B135/1000)*(C135/1000))+((B135/1000)*(D135/1000)))*2)*VLOOKUP(WardrobeCarcassMaterial,SheetsData,8,0))+(((C135/1000)*(D135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box",A135))=FALSE),(((((B135/1000)*(C135/1000))+((B135/1000)*(D135/1000)))*2)*(16/1000)*VLOOKUP(LEFT(WardrobeCarcassMaterial,FIND(" ",WardrobeCarcassMaterial))&amp;"(solid m3)",SolidData,4,0))+(((C135/1000)*(D135/1000))*VLOOKUP(LEFT(WardrobeCarcassMaterial,FIND("(",WardrobeCarcassMaterial)-1)&amp;IF(OR(ISERROR(FIND("ply",WardrobeCarcassMaterial))=FALSE,ISERROR(FIND("H/F",WardrobeCarcassMaterial))=FALSE),"(9mm)","(10mm)"),SheetsData,8,0)),IF(ISERROR(FIND("shelf",A135))=FALSE,((C135/1000)*(D135/1000))*VLOOKUP(WardrobeCarcassMaterial,SheetsData,7,FALSE),IF(ISERROR(FIND("Office pod",A135))=FALSE,3*VLOOKUP(WardrobeCarcassMaterial,SheetsData,5,0),IF(ISERROR(FIND(" panel",A135))=FALSE,((B135/1000)*(C135/1000))*VLOOKUP(WardrobeDoorMaterial,SheetsData,8,0),IF(ISERROR(FIND("Fillers",A135))=FALSE,(((0.06*(C135/1000))*2)*VLOOKUP("H/F (18mm)",SheetsData,8,0))+(((0.06*(C135/1000))*2)*VLOOKUP("H/F (9mm)",SheetsData,8,0)),IF(ISERROR(FIND("Cornice (stacked)",A135))=FALSE,((0.08*(C135/1000))*2)*VLOOKUP("H/F (22mm)",SheetsData,8,0),IF(OR(ISERROR(FIND("Plinth",A135))=FALSE,ISERROR(FIND("Cornice (flat)",A135))=FALSE),((B135/1000)*(C135/1000))*VLOOKUP("H/F (18mm)",SheetsData,8,0),IF(ISERROR(FIND("Pelmet",A135))=FALSE,((((B135/1000)*(C135/1000))*2)*VLOOKUP("H/F (18mm)",SheetsData,8,0)),IF(ISERROR(FIND("Fireplace",A135))=FALSE,IF(ISERROR(FIND("over 1600",A135))=FALSE,2*VLOOKUP(WardrobeCarcassMaterial,SheetsData,5,FALSE),VLOOKUP(WardrobeCarcassMaterial,SheetsData,5,FALSE)),IF(ISERROR(FIND("table",A135))=FALSE,((B135/1000)*0.6)*VLOOKUP("Birch ply (24mm)",SheetsData,7,FALSE),IF(ISERROR(FIND("Worktop",A135))=FALSE,((B135/1000)*(C135/1000))*VLOOKUP(WardrobeDoorMaterial,SheetsData,7,FALSE),"Check formula")))))))))))))))))</f>
        <v/>
      </c>
      <c r="F135" s="152" t="str">
        <f>IFERROR(__xludf.DUMMYFUNCTION("IF(OR(A135="""",AND(ISERROR(FIND(""drawer box"",A135))=FALSE,WardrobeDrawerType=""Solid dovetail"")),"""",IF(ISERROR(FIND(""bins"",A135))=FALSE,VLOOKUP(""Base carcass 600"",Wardrobes_etcData,6,0),IF(OR(ISERROR(FIND(""larder"",A135))=FALSE,ISERROR(FIND(""u"&amp;"nit"",A135))=FALSE),VLOOKUP(LEFT(A135,FIND("" "",A135))&amp;""carcass ""&amp;RIGHT(A135,LEN(A135)-len(regexextract(A135,"".* ""))),Wardrobes_etcData,6,0),IF(ISERROR(FIND(""drawer front"",A135))=FALSE,IF(ISERROR(FIND(""veneer"",WardrobeCarcassMaterial))=TRUE,0,((("&amp;"B135+C135)/1000)*2)*VLOOKUP(""Edge banding (per M)"",SheetsData,5,0)),IF(ISERROR(FIND(""drawer box"",A135))=FALSE,IF(ISERROR(FIND(""veneer"",WardrobeCarcassMaterial))=TRUE,0,(((C135+D135)/1000)*2)*VLOOKUP(""Edge banding (per M)"",SheetsData,5,0)),IF(ISERR"&amp;"OR(FIND(""shelf"",A135))=FALSE,IF(ISERROR(FIND(""veneer"",WardrobeCarcassMaterial))=TRUE,0,(C135/1000)*VLOOKUP(""Edge banding (per M)"",SheetsData,5,0)),IF(AND(OR(ISERROR(FIND(""arcass"",A135))=FALSE,ISERROR(FIND(""Fireplace"",A135))=FALSE),ISERROR(FIND("&amp;"""shelf"",A135))=TRUE),IF(ISERROR(FIND(""veneer"",WardrobeCarcassMaterial))=TRUE,0,((2*(B135+C135))/1000)*VLOOKUP(""Edge banding (per M)"",SheetsData,5,0)),IF(ISERROR(FIND(""door"",A135))=TRUE,"""",IF(ISERROR(FIND(""veneer"",WardrobeDoorMaterial))=TRUE,"""&amp;""",((2*(B135+C135))/1000)*VLOOKUP(""Edge banding (per M)"",SheetsData,5,0))))))))))"),"")</f>
        <v/>
      </c>
      <c r="G135" s="153" t="str">
        <f>IF(A135="","",IF(AND(ISERROR(FIND("arcass",A135))=TRUE,ISERROR(FIND("Fireplace",A135))=TRUE),"",IF(VALUE(C135)&lt;606,4*VLOOKUP("Plinth foot (2 Parts 80mm)",FurnitureData,5,FALSE),IF(VALUE(C135)&lt;1211,6*VLOOKUP("Plinth foot (2 Parts 80mm)",FurnitureData,5,FALSE),8*VLOOKUP("Plinth foot (2 Parts 80mm)",FurnitureData,5,FALSE)))))</f>
        <v/>
      </c>
      <c r="H135" s="115" t="str">
        <f>IF(OR(A135="",ISERROR(FIND("door",A135))=TRUE),"",VLOOKUP("Hinges &amp; plates (Hettich thick door)",FurnitureData,5,0)*5)</f>
        <v/>
      </c>
      <c r="I135" s="115" t="str">
        <f>IF(ISERROR(FIND("shelf",A135))=FALSE,(VLOOKUP("Shelf pegs",FurnitureData,5,0)/100)*4,"")</f>
        <v/>
      </c>
      <c r="J135" s="152" t="str">
        <f>IF(OR(ISERROR(FIND("fridge/freezer",A135))=FALSE,ISERROR(FIND("sink",A135))=FALSE,ISERROR(FIND("larder",A135))=FALSE),VLOOKUP("Deep shelf "&amp;C135,Wardrobes_etcData,18,0),IF(OR(ISERROR(FIND("single oven",A135))=FALSE,ISERROR(FIND("Base carcass",A135))=FALSE),2*VLOOKUP("Deep shelf "&amp;C135,Wardrobes_etcData,18,0),IF(AND(ISERROR(FIND("wall carcass",A135))=FALSE,ISERROR(FIND("Boiler",A135))=TRUE),2*VLOOKUP("Shallow shelf "&amp;C135,Wardrobes_etcData,18,0),IF(ISERROR(FIND("double oven",A135))=FALSE,3*VLOOKUP("Deep shelf "&amp;C135,Wardrobes_etcData,18,0),IF(ISERROR(FIND("Tower carcass",A135))=FALSE,6*VLOOKUP("Deep shelf "&amp;C135,Wardrobes_etcData,18,0),"")))))</f>
        <v/>
      </c>
      <c r="K135" s="152" t="str">
        <f>IF(ISERROR(FIND("sink",A135))=FALSE,VLOOKUP("Sink liner - Aluminium "&amp;RIGHT(A135,LEN(A135)-22)&amp;"mm",ExceptionalData,5,0),IF(ISERROR(FIND("bins",A135))=FALSE,VLOOKUP("Drawer runners and clip set for bin unit (500) Dynapro",FurnitureData,5,0)+(2*VLOOKUP("Bin (42L Anthracite)",FurnitureData,5,0)),IF(ISERROR(FIND("larder",A135))=FALSE,VLOOKUP("Pull out larder unit 600mm",FurnitureData,5,0),IF(AND(ISERROR(FIND("drawer box",A135))=FALSE,ISERROR(FIND("internal",A135))=TRUE),VLOOKUP("Drawer runners and clip set (550) Dynapro",FurnitureData,5,0),IF(ISERROR(FIND("internal drawer box",A135))=FALSE,VLOOKUP("Drawer runners and clip set (450) Dynapro",FurnitureData,5,0),IF(ISERROR(FIND("table",A135))=FALSE,VLOOKUP("Hairpin Leg (12mm Black "&amp;MID(A135,FIND("(",A135)+1,LEN(A135)-(FIND("(",A135))-1)&amp;"mm)",ExceptionalData,4,FALSE),""))))))</f>
        <v/>
      </c>
      <c r="L135" s="152" t="str">
        <f t="shared" si="3"/>
        <v/>
      </c>
      <c r="M135" s="154" t="str">
        <f>IF(A135="","",IF(AND(ISERROR(FIND("drawer front",A135))=FALSE,WardrobeDoorStyle="Flat"),(((B135/1000)*(C135/1000))*2)+((((B135+C135)/1000)*2)*0.022),IF(AND(ISERROR(FIND("drawer front",A135))=FALSE,LEFT(WardrobeDoorStyle,5)="Panel"),(((B135/1000)*(C135/1000))*2)+((((B135+C135)/1000)*2)*0.022)+((((C135/1000)-0.16)*0.013)*2)+((((D135/1000)-0.16)*0.013)*2),IF(AND(ISERROR(FIND("drawer front",A135))=FALSE,WardrobeDoorStyle="In-frame flat"),((((B135-76)/1000)*((C135-38)/1000))*2)+(MID(WardrobeDoorMaterial,FIND("(",WardrobeDoorMaterial)+1,2)/1000)*((((B135-76)+(C135-38))/1000)*2)+(((B135/1000)*0.032)*2)+((((B135-76)/1000)*0.032)*2)+(((B135/1000)*0.019)*4)+(((C135/1000)*0.032)*2)+((((C135-38)/1000)*0.032)*2)+(((C135/1000)*0.038)*4),IF(AND(ISERROR(FIND("drawer front",A135))=FALSE,LEFT(WardrobeDoorStyle,14)="In-frame panel"),((((B135-76)/1000)*((C135-38)/1000))*2)+((MID(WardrobeDoorMaterial,FIND("(",WardrobeDoorMaterial)+1,2)/1000)*((((B135-76)+(C135-38))/1000)*2))+((((B135-236)/1000)+((C135-198)/1000)*2)*0.013)+(((B135/1000)*0.032)*2)+((((B135-76)/1000)*0.032)*2)+(((B135/1000)*0.019)*4)+(((C135/1000)*0.032)*2)+((((C135-38)/1000)*0.032)*2)+(((C135/1000)*0.038)*4),IF(ISERROR(FIND("drawer box",A135))=FALSE,((((B135/1000)*(D135/1000))+((B135/1000)*(C135/1000)))*4)+((((D135/1000)+(C135/1000))*0.016)*4)+(((C135/1000)*(D135/1000))*2),IF(OR(ISERROR(FIND("shelf",A135))=FALSE,ISERROR(FIND("Filler panel",A135))=FALSE),(((C135/1000)*(D135/1000))*2)+((((C135+D135)*2)/1000)*0.022),IF(ISERROR(FIND("Fireplace",A135))=FALSE,((B135/1000)*(C135/1000)),IF(ISERROR(FIND("Worktop",A135))=FALSE,(B135/1000)*(C135/1000),IF(ISERROR(FIND("table",A135))=FALSE,(B135/1000)*0.6,IF(ISERROR(FIND("arcass",A135))=FALSE,(((C135/1000)*(D135/1000))*2)+(((B135/1000)*(D135/1000))*2)+((B135/1000)*(C135/1000))+((((B135/1000)*0.025)+((C135/1000)*0.025))*2),IF(AND(ISERROR(FIND("door",A135))=FALSE,WardrobeDoorStyle="Flat"),(((B135/1000)*(C135/1000))*2)+(MID(WardrobeDoorMaterial,FIND("(",WardrobeDoorMaterial)+1,2)/1000)*(((B135+C135)/1000)*2),IF(AND(ISERROR(FIND("door",A135))=FALSE,LEFT(WardrobeDoorStyle,5)="Panel"),(((B135/1000)*(C135/1000))*2)+((MID(WardrobeDoorMaterial,FIND("(",WardrobeDoorMaterial)+1,2)/1000)*(((B135+C135)/1000)*2))+(((((B135-160)+(C135-160))*2)/1000)*(0.013)),IF(AND(ISERROR(FIND("door",A135))=FALSE,WardrobeDoorStyle="In-frame flat"),((((B135-76)/1000)*((C135-38)/1000))*2)+(MID(WardrobeDoorMaterial,FIND("(",WardrobeDoorMaterial)+1,2)/1000)*((((B135-76)+(C135-38))/1000)*2)+(((B135/1000)*0.032)*2)+((((B135-76)/1000)*0.032)*2)+(((B135/1000)*0.019)*4)+(((C135/1000)*0.032)*2)+((((C135-38)/1000)*0.032)*2)+(((C135/1000)*0.038)*4),IF(AND(ISERROR(FIND("door",A135))=FALSE,LEFT(WardrobeDoorStyle,14)="In-frame panel"),((((B135-76)/1000)*((C135-38)/1000))*2)+((MID(WardrobeDoorMaterial,FIND("(",WardrobeDoorMaterial)+1,2)/1000)*((((B135-76)+(C135-38))/1000)*2))+((((B135-236)/1000)+((C135-198)/1000)*2)*0.013)+(((B135/1000)*0.032)*2)+((((B135-76)/1000)*0.032)*2)+(((B135/1000)*0.019)*4)+(((C135/1000)*0.032)*2)+((((C135-38)/1000)*0.032)*2)+(((C135/1000)*0.038)*4),IF(ISERROR(FIND("Plinth",A135))=FALSE,((B135/1000)*(C135/1000))+(((C135/1000)*0.018)*2)+(((B135/1000)*0.018)*2),IF(ISERROR(FIND("Cornice",A135))=FALSE,(((C135/1000)*0.1)*2)+(((C135/1000)*0.044)*2)+(((B135/1000)*0.08)*2),IF(ISERROR(FIND("Office pod",A135))=FALSE,((2400/1000)*(1200/1000))*6,IF(ISERROR(FIND("panel",A135))=FALSE,((B135/1000)*(C135/1000))+(0.022*((B135/1000)+((C135/1000)*2)))+((B135/1000)*0.05),IF(ISERROR(FIND("Fillers",A135))=FALSE,((C135/1000)*0.06)+((C135/1000)*0.069)+((0.06*0.018)*2)+((0.06*0.009)*2)+((C135/1000)*0.009)+((C135/1000)*0.018),IF(ISERROR(FIND("Pelmet",A135))=FALSE,((C135/1000)*0.05)+((C135/1000)*0.068)+((0.05*0.018)*4)+(((C135/1000)*0.018))*2)))))))))))))))))))))</f>
        <v/>
      </c>
      <c r="N135" s="152" t="str">
        <f>IF(M135="","",IF(AND(ISERROR(FIND("carcass",A135))=TRUE,ISERROR(FIND("unit",A135))=TRUE,ISERROR(FIND("insert",A135))=TRUE,ISERROR(FIND("rack",A135))=TRUE,ISERROR(FIND("box",A135))=TRUE,ISERROR(FIND("shelf",A135))=TRUE),VLOOKUP(WardrobeDoorFinish,Finishing!$A$2:$K$10,9,0)*M135,IF(ISERROR(FIND("table",A135))=FALSE,VLOOKUP("Sayerlack AF0072 Interior Clear Self-Sealer",FinishingData,9,FALSE)*M135,VLOOKUP(WardrobeCarcassFinish,Finishing!$A$2:$K$40,9,0)*M135)))</f>
        <v/>
      </c>
      <c r="O135" s="159"/>
      <c r="P135" s="159"/>
      <c r="Q135" s="152" t="str">
        <f>IF(OR(O135="",P135=""),"",((O135*X135)*(VLOOKUP("Workshop",Labour!$A$3:$E$20,4,0)/8))+((P135*AE135)*(VLOOKUP("Finishing",Labour!$A$3:$E$20,4,0)/8)))</f>
        <v/>
      </c>
      <c r="R135" s="152" t="str">
        <f t="shared" si="4"/>
        <v/>
      </c>
      <c r="S135" s="156" t="str">
        <f>IF(OR(O135="",P135=""),"",IF(OR(ISERROR(FIND("carcass",$A135))=FALSE,ISERROR(FIND("unit",$A135))=FALSE),VLOOKUP(WardrobeCarcassMaterial,FixedListsCarcassMaterial,2,0),0))</f>
        <v/>
      </c>
      <c r="T135" s="156" t="str">
        <f>IF(OR(O135="",P135=""),"",IF(ISERROR(FIND("door",$A135))=FALSE,VLOOKUP(WardrobeDoorStyle,FixedListsDoorStyle,2,0),0))</f>
        <v/>
      </c>
      <c r="U135" s="156" t="str">
        <f>IF(OR(O135="",P135=""),"",IF(ISERROR(FIND("door",$A135))=FALSE,VLOOKUP(WardrobeDoorMaterial,FixedListsDoorMaterial,2,0),0))</f>
        <v/>
      </c>
      <c r="V135" s="156" t="str">
        <f>IF(OR(O135="",P135=""),"",IF(ISERROR(FIND("drawer",$A135))=FALSE,VLOOKUP(WardrobeDrawerType,FixedListsDrawerType,2,0),0))</f>
        <v/>
      </c>
      <c r="W135" s="156" t="str">
        <f>IF(OR(O135="",P135=""),"",IF(S135&gt;0,VLOOKUP(WardrobeHandleType,FixedListsHandleType,2,FALSE),0))</f>
        <v/>
      </c>
      <c r="X135" s="156" t="str">
        <f t="shared" si="5"/>
        <v/>
      </c>
      <c r="Y135" s="156" t="str">
        <f>IF(OR(O135="",P135=""),"",IF(OR(ISERROR(FIND("carcass",$A135))=FALSE,ISERROR(FIND("unit",$A135))=FALSE),VLOOKUP(WardrobeCarcassMaterial,FixedListsCarcassMaterial,3,0),0))</f>
        <v/>
      </c>
      <c r="Z135" s="156" t="str">
        <f>IF(OR(O135="",P135=""),"",IF(ISERROR(FIND("door",$A135))=FALSE,VLOOKUP(WardrobeDoorStyle,FixedListsDoorStyle,3,0),0))</f>
        <v/>
      </c>
      <c r="AA135" s="156" t="str">
        <f>IF(OR(O135="",P135=""),"",IF(ISERROR(FIND("door",$A135))=FALSE,VLOOKUP(WardrobeDoorMaterial,FixedListsDoorMaterial,3,0),0))</f>
        <v/>
      </c>
      <c r="AB135" s="156" t="str">
        <f>IF(OR(O135="",P135=""),"",IF(ISERROR(FIND("drawer",$A135))=FALSE,VLOOKUP(WardrobeDrawerType,FixedListsDrawerType,3,0),0))</f>
        <v/>
      </c>
      <c r="AC135" s="156" t="str">
        <f>IF(OR(O135="",P135=""),"",IF(S135&gt;0,VLOOKUP(WardrobeHandleType,FixedListsHandleType,3,FALSE),0))</f>
        <v/>
      </c>
      <c r="AD135" s="156" t="str">
        <f>IF(OR(O135="",P135=""),"",IF(OR(ISERROR(FIND("carcass",$A135))=FALSE,ISERROR(FIND("unit",$A135))=FALSE),VLOOKUP(WardrobeCarcassFinish,FixedListsFinishes,3,0),IF(OR(ISERROR(FIND("door",$A135))=FALSE,ISERROR(FIND("Plinth",$A135))=FALSE,ISERROR(FIND("Cornice",$A135))=FALSE,ISERROR(FIND("Fillers",$A135))=FALSE,ISERROR(FIND("Pelmet",$A135))=FALSE,ISERROR(FIND("panel",$A135))=FALSE,ISERROR(FIND("post",$A135))=FALSE),VLOOKUP(WardrobeDoorFinish,FixedListsFinishes,3,0),IF(OR(ISERROR(FIND("drawer",$A135))=FALSE,ISERROR(FIND("insert",$A135))=FALSE,ISERROR(FIND("rck",$A135))=FALSE),VLOOKUP(WardrobeCarcassFinish,FixedListsFinishes,3,0),0))))</f>
        <v/>
      </c>
      <c r="AE135" s="156" t="str">
        <f t="shared" si="6"/>
        <v/>
      </c>
      <c r="AF135" s="157" t="str">
        <f>IF(AND(WardrobeHandleType="Channel",OR(ISERROR(FIND("arcass",$A135))=FALSE,ISERROR(FIND("unit",$A135))=FALSE)),IF(ISERROR(FIND("Tower",$A135))=TRUE,IF(WardrobeHandleFinish="Match carcass",IF(ISERROR(FIND("Walnut",WardrobeCarcassMaterial))=FALSE,(0.035*0.075*($C135/1000))*VLOOKUP("Walnut (solid m3)",SolidData,4,FALSE),IF(ISERROR(FIND("Oak",WardrobeCarcassMaterial))=FALSE,(0.035*0.075*($C135/1000))*VLOOKUP("Oak (solid m3)",SolidData,4,FALSE),IF(ISERROR(FIND("ply",WardrobeCarcassMaterial))=FALSE,(0.1*($C135/1000))*VLOOKUP("Birch ply (24mm)",SheetsData,7,FALSE),IF(ISERROR(FIND("H/F",WardrobeCarcassMaterial))=FALSE,(0.1*($C135/1000))*VLOOKUP("H/F (22mm)",SheetsData,7,FALSE),"Carcass - not tower - new material")))),IF(WardrobeHandleFinish="Match door",IF(ISERROR(FIND("Walnut",WardrobeDoorMaterial))=FALSE,(0.035*0.075*($C135/1000))*VLOOKUP("Walnut (solid m3)",SolidData,4,FALSE),IF(ISERROR(FIND("Oak",WardrobeDoorMaterial))=FALSE,(0.035*0.075*($C135/1000))*VLOOKUP("Oak (solid m3)",SolidData,4,FALSE),IF(ISERROR(FIND("ply",WardrobeDoorMaterial))=FALSE,(0.1*($C135/1000))*VLOOKUP("Birch ply (24mm)",SheetsData,7,FALSE),IF(ISERROR(FIND("H/F",WardrobeCarcassMaterial))=FALSE,(0.1*($C135/1000))*VLOOKUP("H/F (22mm)",SheetsData,7,FALSE),"Door - not tower - new material")))),"Channel - not tower - handle set to other")),IF(ISERROR(FIND("Tower",$A135))=FALSE,IF(WardrobeHandleFinish="Match carcass",IF(ISERROR(FIND("Walnut",WardrobeCarcassMaterial))=FALSE,(0.035*0.075*($B135/1000))*VLOOKUP("Walnut (solid m3)",SolidData,4,FALSE),IF(ISERROR(FIND("Oak",WardrobeCarcassMaterial))=FALSE,(0.035*0.075*($B135/1000))*VLOOKUP("Oak (solid m3)",SolidData,4,FALSE),IF(ISERROR(FIND("ply",WardrobeCarcassMaterial))=FALSE,(0.1*($B135/1000))*VLOOKUP("Birch ply (24mm)",SheetsData,7,FALSE),IF(ISERROR(FIND("H/F",WardrobeCarcassMaterial))=FALSE,(0.1*($C135/1000))*VLOOKUP("H/F (22mm)",SheetsData,7,FALSE),"Carcass - tower - new material")))),IF(WardrobeHandleFinish="Match door",IF(ISERROR(FIND("Walnut",WardrobeDoorMaterial))=FALSE,(0.035*0.075*($B135/1000))*VLOOKUP("Walnut (solid m3)",SolidData,4,FALSE),IF(ISERROR(FIND("Oak",WardrobeDoorMaterial))=FALSE,(0.035*0.075*($B135/1000))*VLOOKUP("Oak (solid m3)",SolidData,4,FALSE),IF(ISERROR(FIND("ply",WardrobeDoorMaterial))=FALSE,(0.1*($B135/1000))*VLOOKUP("Birch ply (24mm)",SheetData,7,FALSE),IF(ISERROR(FIND("H/F",WardrobeCarcassMaterial))=FALSE,(0.1*($C135/1000))*VLOOKUP("H/F (22mm)",SheetsData,7,FALSE),"Door - tower - new material")))),"Channel - tower - handle set to other")))),"")</f>
        <v/>
      </c>
    </row>
    <row r="136">
      <c r="A136" s="150"/>
      <c r="B136" s="160" t="str">
        <f t="shared" si="1"/>
        <v/>
      </c>
      <c r="C136" s="160" t="str">
        <f>IFERROR(__xludf.DUMMYFUNCTION("IF(A136="""","""",IF(ISERROR(FIND(""arcass"",A136))=FALSE,MID(A136,FIND(""*"",A136)+1,FIND(""*"",A136,FIND(""*"",A136)+1)-FIND(""*"",A136)-1),IF(ISERROR(FIND(""End panel"",A136))=FALSE,RIGHT(A136,3),IF(OR(ISERROR(FIND(""drawer"",A136))=FALSE,ISERROR(FIND("&amp;"""door"",A136))=FALSE,ISERROR(FIND(""shelf"",A136))=FALSE,ISERROR(FIND(""panel"",A136))=FALSE,ISERROR(FIND(""Plinth"",A136))=FALSE,ISERROR(FIND(""Cornice"",A136))=FALSE,ISERROR(FIND(""Fillers"",A136))=FALSE,ISERROR(FIND(""Pelmet"",A136))=FALSE,ISERROR(FIN"&amp;"D(""Fireplace up to 1600"",A136))=FALSE),RIGHT(A136,LEN(A136)-LEN(regexextract(A136,"".* ""))),IF(ISERROR(FIND(""table"",A136))=FALSE,""560"",IF(ISERROR(FIND(""Office pod"",A136))=FALSE,""1600"",IF(ISERROR(FIND(""Fireplace over 1600"",A136))=FALSE,""2400"&amp;""",IF(ISERROR(FIND(""Worktop"",A136))=FALSE,""650"",""Whoops""))))))))"),"")</f>
        <v/>
      </c>
      <c r="D136" s="161" t="str">
        <f t="shared" si="2"/>
        <v/>
      </c>
      <c r="E136" s="152" t="str">
        <f>IF(OR(A136="",AND(ISERROR(FIND("drawer",A136))=FALSE,WardrobeDrawerType="")),"",IF(ISERROR(FIND("door",A136))=FALSE,IF(WardrobeDoorStyle="Flat",((B136/1000)*(C136/1000))*VLOOKUP(WardrobeDoorMaterial,SheetsData,8,0),IF(LEFT(WardrobeDoorStyle,5)="Panel",(((((B136/1000)*2)*0.08)+((((C136/1000)-0.16)*2)*0.08))*VLOOKUP("H/F (22mm)",SheetsData,8,0))+(((B136/1000)-0.14)*((C136/1000)-0.14)*VLOOKUP("H/F (9mm)",SheetsData,8,0)),IF(WardrobeDoorStyle="In-frame flat",((((((B136/1000)*0.019)*0.038)+((((C136-38)/1000)*0.038)*0.038))*2)*VLOOKUP("Tulip (solid m3)",SolidData,4,0))+(((B136-76)/1000)*((C136-38)/1000))*VLOOKUP("H/F (22mm)",SheetsData,8,0),IF(LEFT(WardrobeDoorStyle,14)="In-frame panel",(((((((B136/1000)*0.019)*0.038)+((((C136-38)/1000)*0.038)*0.038))*2)*VLOOKUP("Tulip (solid m3)",SolidData,4,0))+(((((((B136-76)/1000)*2)*0.08)+(((((C136-198)/1000)*2)*0.08)))*VLOOKUP("H/F (22mm)",SheetsData,8,0))+(((B136-216)/1000)*((C136-178)/1000)*VLOOKUP("H/F (9mm)",SheetsData,8,0)))))))),IF(AND(ISERROR(FIND("arcass",A136))=FALSE,ISERROR(FIND("ost corner",A136))=TRUE),IF(AND(VALUE(B136)&lt;1211,VALUE(C136)&lt;1211,VALUE(D136)&lt;606),1*VLOOKUP(WardrobeCarcassMaterial,SheetsData,5,FALSE),IF(AND(VALUE(B136)&lt;2421,VALUE(C136)&lt;2421,VALUE(D136)&lt;606),2*VLOOKUP(WardrobeCarcassMaterial,SheetsData,5,FALSE),IF(AND(VALUE(B136)&lt;2421,VALUE(C136)&lt;1211,VALUE(D136)&lt;1211),3*VLOOKUP(WardrobeCarcassMaterial,SheetsData,5,FALSE),IF(AND(VALUE(B136)&lt;2421,VALUE(C136)&lt;2421,VALUE(D136)&lt;1211),4*VLOOKUP(WardrobeCarcassMaterial,SheetsData,5,FALSE))))),IF(AND(ISERROR(FIND("arcass",A136))=FALSE,ISERROR(FIND("ost corner",A136))=FALSE),IF(AND(VALUE(B136)&lt;1211,VALUE(C136)&lt;1211,VALUE(D136)&lt;606),(1*VLOOKUP(WardrobeCarcassMaterial,SheetsData,5,FALSE))+(VLOOKUP("H/F (22mm)",SheetsData,7,FALSE)*1.44),IF(AND(VALUE(B136)&lt;2421,VALUE(C136)&lt;2421,VALUE(D136)&lt;606),(2*VLOOKUP(WardrobeCarcassMaterial,SheetsData,5,FALSE))+(VLOOKUP("H/F (22mm)",SheetsData,7,FALSE)*1.44),IF(AND(VALUE(B136)&lt;2421,VALUE(C136)&lt;1211,VALUE(D136)&lt;1211),(3*VLOOKUP(WardrobeCarcassMaterial,SheetsData,5,FALSE))+(VLOOKUP("H/F (22mm)",SheetsData,7,FALSE)*1.44),IF(AND(VALUE(B136)&lt;2421,VALUE(C136)&lt;2421,VALUE(D136)&lt;1211),(4*VLOOKUP(WardrobeCarcassMaterial,SheetsData,5,FALSE))+(VLOOKUP("H/F (22mm)",SheetsData,7,FALSE)*1.44))))),IF(ISERROR(FIND("drawer front",A136))=FALSE,((B136/1000)*(C136/1000))*VLOOKUP(WardrobeDoorMaterial,SheetsData,8,0),IF(AND(WardrobeDrawerType="Match carcass",ISERROR(FIND("drawer box",A136))=FALSE),(((((B136/1000)*(C136/1000))+((B136/1000)*(D136/1000)))*2)*VLOOKUP(WardrobeCarcassMaterial,SheetsData,8,0))+(((C136/1000)*(D136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box",A136))=FALSE),(((((B136/1000)*(C136/1000))+((B136/1000)*(D136/1000)))*2)*(16/1000)*VLOOKUP(LEFT(WardrobeCarcassMaterial,FIND(" ",WardrobeCarcassMaterial))&amp;"(solid m3)",SolidData,4,0))+(((C136/1000)*(D136/1000))*VLOOKUP(LEFT(WardrobeCarcassMaterial,FIND("(",WardrobeCarcassMaterial)-1)&amp;IF(OR(ISERROR(FIND("ply",WardrobeCarcassMaterial))=FALSE,ISERROR(FIND("H/F",WardrobeCarcassMaterial))=FALSE),"(9mm)","(10mm)"),SheetsData,8,0)),IF(ISERROR(FIND("shelf",A136))=FALSE,((C136/1000)*(D136/1000))*VLOOKUP(WardrobeCarcassMaterial,SheetsData,7,FALSE),IF(ISERROR(FIND("Office pod",A136))=FALSE,3*VLOOKUP(WardrobeCarcassMaterial,SheetsData,5,0),IF(ISERROR(FIND(" panel",A136))=FALSE,((B136/1000)*(C136/1000))*VLOOKUP(WardrobeDoorMaterial,SheetsData,8,0),IF(ISERROR(FIND("Fillers",A136))=FALSE,(((0.06*(C136/1000))*2)*VLOOKUP("H/F (18mm)",SheetsData,8,0))+(((0.06*(C136/1000))*2)*VLOOKUP("H/F (9mm)",SheetsData,8,0)),IF(ISERROR(FIND("Cornice (stacked)",A136))=FALSE,((0.08*(C136/1000))*2)*VLOOKUP("H/F (22mm)",SheetsData,8,0),IF(OR(ISERROR(FIND("Plinth",A136))=FALSE,ISERROR(FIND("Cornice (flat)",A136))=FALSE),((B136/1000)*(C136/1000))*VLOOKUP("H/F (18mm)",SheetsData,8,0),IF(ISERROR(FIND("Pelmet",A136))=FALSE,((((B136/1000)*(C136/1000))*2)*VLOOKUP("H/F (18mm)",SheetsData,8,0)),IF(ISERROR(FIND("Fireplace",A136))=FALSE,IF(ISERROR(FIND("over 1600",A136))=FALSE,2*VLOOKUP(WardrobeCarcassMaterial,SheetsData,5,FALSE),VLOOKUP(WardrobeCarcassMaterial,SheetsData,5,FALSE)),IF(ISERROR(FIND("table",A136))=FALSE,((B136/1000)*0.6)*VLOOKUP("Birch ply (24mm)",SheetsData,7,FALSE),IF(ISERROR(FIND("Worktop",A136))=FALSE,((B136/1000)*(C136/1000))*VLOOKUP(WardrobeDoorMaterial,SheetsData,7,FALSE),"Check formula")))))))))))))))))</f>
        <v/>
      </c>
      <c r="F136" s="152" t="str">
        <f>IFERROR(__xludf.DUMMYFUNCTION("IF(OR(A136="""",AND(ISERROR(FIND(""drawer box"",A136))=FALSE,WardrobeDrawerType=""Solid dovetail"")),"""",IF(ISERROR(FIND(""bins"",A136))=FALSE,VLOOKUP(""Base carcass 600"",Wardrobes_etcData,6,0),IF(OR(ISERROR(FIND(""larder"",A136))=FALSE,ISERROR(FIND(""u"&amp;"nit"",A136))=FALSE),VLOOKUP(LEFT(A136,FIND("" "",A136))&amp;""carcass ""&amp;RIGHT(A136,LEN(A136)-len(regexextract(A136,"".* ""))),Wardrobes_etcData,6,0),IF(ISERROR(FIND(""drawer front"",A136))=FALSE,IF(ISERROR(FIND(""veneer"",WardrobeCarcassMaterial))=TRUE,0,((("&amp;"B136+C136)/1000)*2)*VLOOKUP(""Edge banding (per M)"",SheetsData,5,0)),IF(ISERROR(FIND(""drawer box"",A136))=FALSE,IF(ISERROR(FIND(""veneer"",WardrobeCarcassMaterial))=TRUE,0,(((C136+D136)/1000)*2)*VLOOKUP(""Edge banding (per M)"",SheetsData,5,0)),IF(ISERR"&amp;"OR(FIND(""shelf"",A136))=FALSE,IF(ISERROR(FIND(""veneer"",WardrobeCarcassMaterial))=TRUE,0,(C136/1000)*VLOOKUP(""Edge banding (per M)"",SheetsData,5,0)),IF(AND(OR(ISERROR(FIND(""arcass"",A136))=FALSE,ISERROR(FIND(""Fireplace"",A136))=FALSE),ISERROR(FIND("&amp;"""shelf"",A136))=TRUE),IF(ISERROR(FIND(""veneer"",WardrobeCarcassMaterial))=TRUE,0,((2*(B136+C136))/1000)*VLOOKUP(""Edge banding (per M)"",SheetsData,5,0)),IF(ISERROR(FIND(""door"",A136))=TRUE,"""",IF(ISERROR(FIND(""veneer"",WardrobeDoorMaterial))=TRUE,"""&amp;""",((2*(B136+C136))/1000)*VLOOKUP(""Edge banding (per M)"",SheetsData,5,0))))))))))"),"")</f>
        <v/>
      </c>
      <c r="G136" s="153" t="str">
        <f>IF(A136="","",IF(AND(ISERROR(FIND("arcass",A136))=TRUE,ISERROR(FIND("Fireplace",A136))=TRUE),"",IF(VALUE(C136)&lt;606,4*VLOOKUP("Plinth foot (2 Parts 80mm)",FurnitureData,5,FALSE),IF(VALUE(C136)&lt;1211,6*VLOOKUP("Plinth foot (2 Parts 80mm)",FurnitureData,5,FALSE),8*VLOOKUP("Plinth foot (2 Parts 80mm)",FurnitureData,5,FALSE)))))</f>
        <v/>
      </c>
      <c r="H136" s="115" t="str">
        <f>IF(OR(A136="",ISERROR(FIND("door",A136))=TRUE),"",VLOOKUP("Hinges &amp; plates (Hettich thick door)",FurnitureData,5,0)*5)</f>
        <v/>
      </c>
      <c r="I136" s="115" t="str">
        <f>IF(ISERROR(FIND("shelf",A136))=FALSE,(VLOOKUP("Shelf pegs",FurnitureData,5,0)/100)*4,"")</f>
        <v/>
      </c>
      <c r="J136" s="152" t="str">
        <f>IF(OR(ISERROR(FIND("fridge/freezer",A136))=FALSE,ISERROR(FIND("sink",A136))=FALSE,ISERROR(FIND("larder",A136))=FALSE),VLOOKUP("Deep shelf "&amp;C136,Wardrobes_etcData,18,0),IF(OR(ISERROR(FIND("single oven",A136))=FALSE,ISERROR(FIND("Base carcass",A136))=FALSE),2*VLOOKUP("Deep shelf "&amp;C136,Wardrobes_etcData,18,0),IF(AND(ISERROR(FIND("wall carcass",A136))=FALSE,ISERROR(FIND("Boiler",A136))=TRUE),2*VLOOKUP("Shallow shelf "&amp;C136,Wardrobes_etcData,18,0),IF(ISERROR(FIND("double oven",A136))=FALSE,3*VLOOKUP("Deep shelf "&amp;C136,Wardrobes_etcData,18,0),IF(ISERROR(FIND("Tower carcass",A136))=FALSE,6*VLOOKUP("Deep shelf "&amp;C136,Wardrobes_etcData,18,0),"")))))</f>
        <v/>
      </c>
      <c r="K136" s="152" t="str">
        <f>IF(ISERROR(FIND("sink",A136))=FALSE,VLOOKUP("Sink liner - Aluminium "&amp;RIGHT(A136,LEN(A136)-22)&amp;"mm",ExceptionalData,5,0),IF(ISERROR(FIND("bins",A136))=FALSE,VLOOKUP("Drawer runners and clip set for bin unit (500) Dynapro",FurnitureData,5,0)+(2*VLOOKUP("Bin (42L Anthracite)",FurnitureData,5,0)),IF(ISERROR(FIND("larder",A136))=FALSE,VLOOKUP("Pull out larder unit 600mm",FurnitureData,5,0),IF(AND(ISERROR(FIND("drawer box",A136))=FALSE,ISERROR(FIND("internal",A136))=TRUE),VLOOKUP("Drawer runners and clip set (550) Dynapro",FurnitureData,5,0),IF(ISERROR(FIND("internal drawer box",A136))=FALSE,VLOOKUP("Drawer runners and clip set (450) Dynapro",FurnitureData,5,0),IF(ISERROR(FIND("table",A136))=FALSE,VLOOKUP("Hairpin Leg (12mm Black "&amp;MID(A136,FIND("(",A136)+1,LEN(A136)-(FIND("(",A136))-1)&amp;"mm)",ExceptionalData,4,FALSE),""))))))</f>
        <v/>
      </c>
      <c r="L136" s="152" t="str">
        <f t="shared" si="3"/>
        <v/>
      </c>
      <c r="M136" s="154" t="str">
        <f>IF(A136="","",IF(AND(ISERROR(FIND("drawer front",A136))=FALSE,WardrobeDoorStyle="Flat"),(((B136/1000)*(C136/1000))*2)+((((B136+C136)/1000)*2)*0.022),IF(AND(ISERROR(FIND("drawer front",A136))=FALSE,LEFT(WardrobeDoorStyle,5)="Panel"),(((B136/1000)*(C136/1000))*2)+((((B136+C136)/1000)*2)*0.022)+((((C136/1000)-0.16)*0.013)*2)+((((D136/1000)-0.16)*0.013)*2),IF(AND(ISERROR(FIND("drawer front",A136))=FALSE,WardrobeDoorStyle="In-frame flat"),((((B136-76)/1000)*((C136-38)/1000))*2)+(MID(WardrobeDoorMaterial,FIND("(",WardrobeDoorMaterial)+1,2)/1000)*((((B136-76)+(C136-38))/1000)*2)+(((B136/1000)*0.032)*2)+((((B136-76)/1000)*0.032)*2)+(((B136/1000)*0.019)*4)+(((C136/1000)*0.032)*2)+((((C136-38)/1000)*0.032)*2)+(((C136/1000)*0.038)*4),IF(AND(ISERROR(FIND("drawer front",A136))=FALSE,LEFT(WardrobeDoorStyle,14)="In-frame panel"),((((B136-76)/1000)*((C136-38)/1000))*2)+((MID(WardrobeDoorMaterial,FIND("(",WardrobeDoorMaterial)+1,2)/1000)*((((B136-76)+(C136-38))/1000)*2))+((((B136-236)/1000)+((C136-198)/1000)*2)*0.013)+(((B136/1000)*0.032)*2)+((((B136-76)/1000)*0.032)*2)+(((B136/1000)*0.019)*4)+(((C136/1000)*0.032)*2)+((((C136-38)/1000)*0.032)*2)+(((C136/1000)*0.038)*4),IF(ISERROR(FIND("drawer box",A136))=FALSE,((((B136/1000)*(D136/1000))+((B136/1000)*(C136/1000)))*4)+((((D136/1000)+(C136/1000))*0.016)*4)+(((C136/1000)*(D136/1000))*2),IF(OR(ISERROR(FIND("shelf",A136))=FALSE,ISERROR(FIND("Filler panel",A136))=FALSE),(((C136/1000)*(D136/1000))*2)+((((C136+D136)*2)/1000)*0.022),IF(ISERROR(FIND("Fireplace",A136))=FALSE,((B136/1000)*(C136/1000)),IF(ISERROR(FIND("Worktop",A136))=FALSE,(B136/1000)*(C136/1000),IF(ISERROR(FIND("table",A136))=FALSE,(B136/1000)*0.6,IF(ISERROR(FIND("arcass",A136))=FALSE,(((C136/1000)*(D136/1000))*2)+(((B136/1000)*(D136/1000))*2)+((B136/1000)*(C136/1000))+((((B136/1000)*0.025)+((C136/1000)*0.025))*2),IF(AND(ISERROR(FIND("door",A136))=FALSE,WardrobeDoorStyle="Flat"),(((B136/1000)*(C136/1000))*2)+(MID(WardrobeDoorMaterial,FIND("(",WardrobeDoorMaterial)+1,2)/1000)*(((B136+C136)/1000)*2),IF(AND(ISERROR(FIND("door",A136))=FALSE,LEFT(WardrobeDoorStyle,5)="Panel"),(((B136/1000)*(C136/1000))*2)+((MID(WardrobeDoorMaterial,FIND("(",WardrobeDoorMaterial)+1,2)/1000)*(((B136+C136)/1000)*2))+(((((B136-160)+(C136-160))*2)/1000)*(0.013)),IF(AND(ISERROR(FIND("door",A136))=FALSE,WardrobeDoorStyle="In-frame flat"),((((B136-76)/1000)*((C136-38)/1000))*2)+(MID(WardrobeDoorMaterial,FIND("(",WardrobeDoorMaterial)+1,2)/1000)*((((B136-76)+(C136-38))/1000)*2)+(((B136/1000)*0.032)*2)+((((B136-76)/1000)*0.032)*2)+(((B136/1000)*0.019)*4)+(((C136/1000)*0.032)*2)+((((C136-38)/1000)*0.032)*2)+(((C136/1000)*0.038)*4),IF(AND(ISERROR(FIND("door",A136))=FALSE,LEFT(WardrobeDoorStyle,14)="In-frame panel"),((((B136-76)/1000)*((C136-38)/1000))*2)+((MID(WardrobeDoorMaterial,FIND("(",WardrobeDoorMaterial)+1,2)/1000)*((((B136-76)+(C136-38))/1000)*2))+((((B136-236)/1000)+((C136-198)/1000)*2)*0.013)+(((B136/1000)*0.032)*2)+((((B136-76)/1000)*0.032)*2)+(((B136/1000)*0.019)*4)+(((C136/1000)*0.032)*2)+((((C136-38)/1000)*0.032)*2)+(((C136/1000)*0.038)*4),IF(ISERROR(FIND("Plinth",A136))=FALSE,((B136/1000)*(C136/1000))+(((C136/1000)*0.018)*2)+(((B136/1000)*0.018)*2),IF(ISERROR(FIND("Cornice",A136))=FALSE,(((C136/1000)*0.1)*2)+(((C136/1000)*0.044)*2)+(((B136/1000)*0.08)*2),IF(ISERROR(FIND("Office pod",A136))=FALSE,((2400/1000)*(1200/1000))*6,IF(ISERROR(FIND("panel",A136))=FALSE,((B136/1000)*(C136/1000))+(0.022*((B136/1000)+((C136/1000)*2)))+((B136/1000)*0.05),IF(ISERROR(FIND("Fillers",A136))=FALSE,((C136/1000)*0.06)+((C136/1000)*0.069)+((0.06*0.018)*2)+((0.06*0.009)*2)+((C136/1000)*0.009)+((C136/1000)*0.018),IF(ISERROR(FIND("Pelmet",A136))=FALSE,((C136/1000)*0.05)+((C136/1000)*0.068)+((0.05*0.018)*4)+(((C136/1000)*0.018))*2)))))))))))))))))))))</f>
        <v/>
      </c>
      <c r="N136" s="152" t="str">
        <f>IF(M136="","",IF(AND(ISERROR(FIND("carcass",A136))=TRUE,ISERROR(FIND("unit",A136))=TRUE,ISERROR(FIND("insert",A136))=TRUE,ISERROR(FIND("rack",A136))=TRUE,ISERROR(FIND("box",A136))=TRUE,ISERROR(FIND("shelf",A136))=TRUE),VLOOKUP(WardrobeDoorFinish,Finishing!$A$2:$K$10,9,0)*M136,IF(ISERROR(FIND("table",A136))=FALSE,VLOOKUP("Sayerlack AF0072 Interior Clear Self-Sealer",FinishingData,9,FALSE)*M136,VLOOKUP(WardrobeCarcassFinish,Finishing!$A$2:$K$40,9,0)*M136)))</f>
        <v/>
      </c>
      <c r="O136" s="159"/>
      <c r="P136" s="159"/>
      <c r="Q136" s="152" t="str">
        <f>IF(OR(O136="",P136=""),"",((O136*X136)*(VLOOKUP("Workshop",Labour!$A$3:$E$20,4,0)/8))+((P136*AE136)*(VLOOKUP("Finishing",Labour!$A$3:$E$20,4,0)/8)))</f>
        <v/>
      </c>
      <c r="R136" s="152" t="str">
        <f t="shared" si="4"/>
        <v/>
      </c>
      <c r="S136" s="156" t="str">
        <f>IF(OR(O136="",P136=""),"",IF(OR(ISERROR(FIND("carcass",$A136))=FALSE,ISERROR(FIND("unit",$A136))=FALSE),VLOOKUP(WardrobeCarcassMaterial,FixedListsCarcassMaterial,2,0),0))</f>
        <v/>
      </c>
      <c r="T136" s="156" t="str">
        <f>IF(OR(O136="",P136=""),"",IF(ISERROR(FIND("door",$A136))=FALSE,VLOOKUP(WardrobeDoorStyle,FixedListsDoorStyle,2,0),0))</f>
        <v/>
      </c>
      <c r="U136" s="156" t="str">
        <f>IF(OR(O136="",P136=""),"",IF(ISERROR(FIND("door",$A136))=FALSE,VLOOKUP(WardrobeDoorMaterial,FixedListsDoorMaterial,2,0),0))</f>
        <v/>
      </c>
      <c r="V136" s="156" t="str">
        <f>IF(OR(O136="",P136=""),"",IF(ISERROR(FIND("drawer",$A136))=FALSE,VLOOKUP(WardrobeDrawerType,FixedListsDrawerType,2,0),0))</f>
        <v/>
      </c>
      <c r="W136" s="156" t="str">
        <f>IF(OR(O136="",P136=""),"",IF(S136&gt;0,VLOOKUP(WardrobeHandleType,FixedListsHandleType,2,FALSE),0))</f>
        <v/>
      </c>
      <c r="X136" s="156" t="str">
        <f t="shared" si="5"/>
        <v/>
      </c>
      <c r="Y136" s="156" t="str">
        <f>IF(OR(O136="",P136=""),"",IF(OR(ISERROR(FIND("carcass",$A136))=FALSE,ISERROR(FIND("unit",$A136))=FALSE),VLOOKUP(WardrobeCarcassMaterial,FixedListsCarcassMaterial,3,0),0))</f>
        <v/>
      </c>
      <c r="Z136" s="156" t="str">
        <f>IF(OR(O136="",P136=""),"",IF(ISERROR(FIND("door",$A136))=FALSE,VLOOKUP(WardrobeDoorStyle,FixedListsDoorStyle,3,0),0))</f>
        <v/>
      </c>
      <c r="AA136" s="156" t="str">
        <f>IF(OR(O136="",P136=""),"",IF(ISERROR(FIND("door",$A136))=FALSE,VLOOKUP(WardrobeDoorMaterial,FixedListsDoorMaterial,3,0),0))</f>
        <v/>
      </c>
      <c r="AB136" s="156" t="str">
        <f>IF(OR(O136="",P136=""),"",IF(ISERROR(FIND("drawer",$A136))=FALSE,VLOOKUP(WardrobeDrawerType,FixedListsDrawerType,3,0),0))</f>
        <v/>
      </c>
      <c r="AC136" s="156" t="str">
        <f>IF(OR(O136="",P136=""),"",IF(S136&gt;0,VLOOKUP(WardrobeHandleType,FixedListsHandleType,3,FALSE),0))</f>
        <v/>
      </c>
      <c r="AD136" s="156" t="str">
        <f>IF(OR(O136="",P136=""),"",IF(OR(ISERROR(FIND("carcass",$A136))=FALSE,ISERROR(FIND("unit",$A136))=FALSE),VLOOKUP(WardrobeCarcassFinish,FixedListsFinishes,3,0),IF(OR(ISERROR(FIND("door",$A136))=FALSE,ISERROR(FIND("Plinth",$A136))=FALSE,ISERROR(FIND("Cornice",$A136))=FALSE,ISERROR(FIND("Fillers",$A136))=FALSE,ISERROR(FIND("Pelmet",$A136))=FALSE,ISERROR(FIND("panel",$A136))=FALSE,ISERROR(FIND("post",$A136))=FALSE),VLOOKUP(WardrobeDoorFinish,FixedListsFinishes,3,0),IF(OR(ISERROR(FIND("drawer",$A136))=FALSE,ISERROR(FIND("insert",$A136))=FALSE,ISERROR(FIND("rck",$A136))=FALSE),VLOOKUP(WardrobeCarcassFinish,FixedListsFinishes,3,0),0))))</f>
        <v/>
      </c>
      <c r="AE136" s="156" t="str">
        <f t="shared" si="6"/>
        <v/>
      </c>
      <c r="AF136" s="157" t="str">
        <f>IF(AND(WardrobeHandleType="Channel",OR(ISERROR(FIND("arcass",$A136))=FALSE,ISERROR(FIND("unit",$A136))=FALSE)),IF(ISERROR(FIND("Tower",$A136))=TRUE,IF(WardrobeHandleFinish="Match carcass",IF(ISERROR(FIND("Walnut",WardrobeCarcassMaterial))=FALSE,(0.035*0.075*($C136/1000))*VLOOKUP("Walnut (solid m3)",SolidData,4,FALSE),IF(ISERROR(FIND("Oak",WardrobeCarcassMaterial))=FALSE,(0.035*0.075*($C136/1000))*VLOOKUP("Oak (solid m3)",SolidData,4,FALSE),IF(ISERROR(FIND("ply",WardrobeCarcassMaterial))=FALSE,(0.1*($C136/1000))*VLOOKUP("Birch ply (24mm)",SheetsData,7,FALSE),IF(ISERROR(FIND("H/F",WardrobeCarcassMaterial))=FALSE,(0.1*($C136/1000))*VLOOKUP("H/F (22mm)",SheetsData,7,FALSE),"Carcass - not tower - new material")))),IF(WardrobeHandleFinish="Match door",IF(ISERROR(FIND("Walnut",WardrobeDoorMaterial))=FALSE,(0.035*0.075*($C136/1000))*VLOOKUP("Walnut (solid m3)",SolidData,4,FALSE),IF(ISERROR(FIND("Oak",WardrobeDoorMaterial))=FALSE,(0.035*0.075*($C136/1000))*VLOOKUP("Oak (solid m3)",SolidData,4,FALSE),IF(ISERROR(FIND("ply",WardrobeDoorMaterial))=FALSE,(0.1*($C136/1000))*VLOOKUP("Birch ply (24mm)",SheetsData,7,FALSE),IF(ISERROR(FIND("H/F",WardrobeCarcassMaterial))=FALSE,(0.1*($C136/1000))*VLOOKUP("H/F (22mm)",SheetsData,7,FALSE),"Door - not tower - new material")))),"Channel - not tower - handle set to other")),IF(ISERROR(FIND("Tower",$A136))=FALSE,IF(WardrobeHandleFinish="Match carcass",IF(ISERROR(FIND("Walnut",WardrobeCarcassMaterial))=FALSE,(0.035*0.075*($B136/1000))*VLOOKUP("Walnut (solid m3)",SolidData,4,FALSE),IF(ISERROR(FIND("Oak",WardrobeCarcassMaterial))=FALSE,(0.035*0.075*($B136/1000))*VLOOKUP("Oak (solid m3)",SolidData,4,FALSE),IF(ISERROR(FIND("ply",WardrobeCarcassMaterial))=FALSE,(0.1*($B136/1000))*VLOOKUP("Birch ply (24mm)",SheetsData,7,FALSE),IF(ISERROR(FIND("H/F",WardrobeCarcassMaterial))=FALSE,(0.1*($C136/1000))*VLOOKUP("H/F (22mm)",SheetsData,7,FALSE),"Carcass - tower - new material")))),IF(WardrobeHandleFinish="Match door",IF(ISERROR(FIND("Walnut",WardrobeDoorMaterial))=FALSE,(0.035*0.075*($B136/1000))*VLOOKUP("Walnut (solid m3)",SolidData,4,FALSE),IF(ISERROR(FIND("Oak",WardrobeDoorMaterial))=FALSE,(0.035*0.075*($B136/1000))*VLOOKUP("Oak (solid m3)",SolidData,4,FALSE),IF(ISERROR(FIND("ply",WardrobeDoorMaterial))=FALSE,(0.1*($B136/1000))*VLOOKUP("Birch ply (24mm)",SheetData,7,FALSE),IF(ISERROR(FIND("H/F",WardrobeCarcassMaterial))=FALSE,(0.1*($C136/1000))*VLOOKUP("H/F (22mm)",SheetsData,7,FALSE),"Door - tower - new material")))),"Channel - tower - handle set to other")))),"")</f>
        <v/>
      </c>
    </row>
    <row r="137">
      <c r="A137" s="150"/>
      <c r="B137" s="160" t="str">
        <f t="shared" si="1"/>
        <v/>
      </c>
      <c r="C137" s="160" t="str">
        <f>IFERROR(__xludf.DUMMYFUNCTION("IF(A137="""","""",IF(ISERROR(FIND(""arcass"",A137))=FALSE,MID(A137,FIND(""*"",A137)+1,FIND(""*"",A137,FIND(""*"",A137)+1)-FIND(""*"",A137)-1),IF(ISERROR(FIND(""End panel"",A137))=FALSE,RIGHT(A137,3),IF(OR(ISERROR(FIND(""drawer"",A137))=FALSE,ISERROR(FIND("&amp;"""door"",A137))=FALSE,ISERROR(FIND(""shelf"",A137))=FALSE,ISERROR(FIND(""panel"",A137))=FALSE,ISERROR(FIND(""Plinth"",A137))=FALSE,ISERROR(FIND(""Cornice"",A137))=FALSE,ISERROR(FIND(""Fillers"",A137))=FALSE,ISERROR(FIND(""Pelmet"",A137))=FALSE,ISERROR(FIN"&amp;"D(""Fireplace up to 1600"",A137))=FALSE),RIGHT(A137,LEN(A137)-LEN(regexextract(A137,"".* ""))),IF(ISERROR(FIND(""table"",A137))=FALSE,""560"",IF(ISERROR(FIND(""Office pod"",A137))=FALSE,""1600"",IF(ISERROR(FIND(""Fireplace over 1600"",A137))=FALSE,""2400"&amp;""",IF(ISERROR(FIND(""Worktop"",A137))=FALSE,""650"",""Whoops""))))))))"),"")</f>
        <v/>
      </c>
      <c r="D137" s="161" t="str">
        <f t="shared" si="2"/>
        <v/>
      </c>
      <c r="E137" s="152" t="str">
        <f>IF(OR(A137="",AND(ISERROR(FIND("drawer",A137))=FALSE,WardrobeDrawerType="")),"",IF(ISERROR(FIND("door",A137))=FALSE,IF(WardrobeDoorStyle="Flat",((B137/1000)*(C137/1000))*VLOOKUP(WardrobeDoorMaterial,SheetsData,8,0),IF(LEFT(WardrobeDoorStyle,5)="Panel",(((((B137/1000)*2)*0.08)+((((C137/1000)-0.16)*2)*0.08))*VLOOKUP("H/F (22mm)",SheetsData,8,0))+(((B137/1000)-0.14)*((C137/1000)-0.14)*VLOOKUP("H/F (9mm)",SheetsData,8,0)),IF(WardrobeDoorStyle="In-frame flat",((((((B137/1000)*0.019)*0.038)+((((C137-38)/1000)*0.038)*0.038))*2)*VLOOKUP("Tulip (solid m3)",SolidData,4,0))+(((B137-76)/1000)*((C137-38)/1000))*VLOOKUP("H/F (22mm)",SheetsData,8,0),IF(LEFT(WardrobeDoorStyle,14)="In-frame panel",(((((((B137/1000)*0.019)*0.038)+((((C137-38)/1000)*0.038)*0.038))*2)*VLOOKUP("Tulip (solid m3)",SolidData,4,0))+(((((((B137-76)/1000)*2)*0.08)+(((((C137-198)/1000)*2)*0.08)))*VLOOKUP("H/F (22mm)",SheetsData,8,0))+(((B137-216)/1000)*((C137-178)/1000)*VLOOKUP("H/F (9mm)",SheetsData,8,0)))))))),IF(AND(ISERROR(FIND("arcass",A137))=FALSE,ISERROR(FIND("ost corner",A137))=TRUE),IF(AND(VALUE(B137)&lt;1211,VALUE(C137)&lt;1211,VALUE(D137)&lt;606),1*VLOOKUP(WardrobeCarcassMaterial,SheetsData,5,FALSE),IF(AND(VALUE(B137)&lt;2421,VALUE(C137)&lt;2421,VALUE(D137)&lt;606),2*VLOOKUP(WardrobeCarcassMaterial,SheetsData,5,FALSE),IF(AND(VALUE(B137)&lt;2421,VALUE(C137)&lt;1211,VALUE(D137)&lt;1211),3*VLOOKUP(WardrobeCarcassMaterial,SheetsData,5,FALSE),IF(AND(VALUE(B137)&lt;2421,VALUE(C137)&lt;2421,VALUE(D137)&lt;1211),4*VLOOKUP(WardrobeCarcassMaterial,SheetsData,5,FALSE))))),IF(AND(ISERROR(FIND("arcass",A137))=FALSE,ISERROR(FIND("ost corner",A137))=FALSE),IF(AND(VALUE(B137)&lt;1211,VALUE(C137)&lt;1211,VALUE(D137)&lt;606),(1*VLOOKUP(WardrobeCarcassMaterial,SheetsData,5,FALSE))+(VLOOKUP("H/F (22mm)",SheetsData,7,FALSE)*1.44),IF(AND(VALUE(B137)&lt;2421,VALUE(C137)&lt;2421,VALUE(D137)&lt;606),(2*VLOOKUP(WardrobeCarcassMaterial,SheetsData,5,FALSE))+(VLOOKUP("H/F (22mm)",SheetsData,7,FALSE)*1.44),IF(AND(VALUE(B137)&lt;2421,VALUE(C137)&lt;1211,VALUE(D137)&lt;1211),(3*VLOOKUP(WardrobeCarcassMaterial,SheetsData,5,FALSE))+(VLOOKUP("H/F (22mm)",SheetsData,7,FALSE)*1.44),IF(AND(VALUE(B137)&lt;2421,VALUE(C137)&lt;2421,VALUE(D137)&lt;1211),(4*VLOOKUP(WardrobeCarcassMaterial,SheetsData,5,FALSE))+(VLOOKUP("H/F (22mm)",SheetsData,7,FALSE)*1.44))))),IF(ISERROR(FIND("drawer front",A137))=FALSE,((B137/1000)*(C137/1000))*VLOOKUP(WardrobeDoorMaterial,SheetsData,8,0),IF(AND(WardrobeDrawerType="Match carcass",ISERROR(FIND("drawer box",A137))=FALSE),(((((B137/1000)*(C137/1000))+((B137/1000)*(D137/1000)))*2)*VLOOKUP(WardrobeCarcassMaterial,SheetsData,8,0))+(((C137/1000)*(D137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box",A137))=FALSE),(((((B137/1000)*(C137/1000))+((B137/1000)*(D137/1000)))*2)*(16/1000)*VLOOKUP(LEFT(WardrobeCarcassMaterial,FIND(" ",WardrobeCarcassMaterial))&amp;"(solid m3)",SolidData,4,0))+(((C137/1000)*(D137/1000))*VLOOKUP(LEFT(WardrobeCarcassMaterial,FIND("(",WardrobeCarcassMaterial)-1)&amp;IF(OR(ISERROR(FIND("ply",WardrobeCarcassMaterial))=FALSE,ISERROR(FIND("H/F",WardrobeCarcassMaterial))=FALSE),"(9mm)","(10mm)"),SheetsData,8,0)),IF(ISERROR(FIND("shelf",A137))=FALSE,((C137/1000)*(D137/1000))*VLOOKUP(WardrobeCarcassMaterial,SheetsData,7,FALSE),IF(ISERROR(FIND("Office pod",A137))=FALSE,3*VLOOKUP(WardrobeCarcassMaterial,SheetsData,5,0),IF(ISERROR(FIND(" panel",A137))=FALSE,((B137/1000)*(C137/1000))*VLOOKUP(WardrobeDoorMaterial,SheetsData,8,0),IF(ISERROR(FIND("Fillers",A137))=FALSE,(((0.06*(C137/1000))*2)*VLOOKUP("H/F (18mm)",SheetsData,8,0))+(((0.06*(C137/1000))*2)*VLOOKUP("H/F (9mm)",SheetsData,8,0)),IF(ISERROR(FIND("Cornice (stacked)",A137))=FALSE,((0.08*(C137/1000))*2)*VLOOKUP("H/F (22mm)",SheetsData,8,0),IF(OR(ISERROR(FIND("Plinth",A137))=FALSE,ISERROR(FIND("Cornice (flat)",A137))=FALSE),((B137/1000)*(C137/1000))*VLOOKUP("H/F (18mm)",SheetsData,8,0),IF(ISERROR(FIND("Pelmet",A137))=FALSE,((((B137/1000)*(C137/1000))*2)*VLOOKUP("H/F (18mm)",SheetsData,8,0)),IF(ISERROR(FIND("Fireplace",A137))=FALSE,IF(ISERROR(FIND("over 1600",A137))=FALSE,2*VLOOKUP(WardrobeCarcassMaterial,SheetsData,5,FALSE),VLOOKUP(WardrobeCarcassMaterial,SheetsData,5,FALSE)),IF(ISERROR(FIND("table",A137))=FALSE,((B137/1000)*0.6)*VLOOKUP("Birch ply (24mm)",SheetsData,7,FALSE),IF(ISERROR(FIND("Worktop",A137))=FALSE,((B137/1000)*(C137/1000))*VLOOKUP(WardrobeDoorMaterial,SheetsData,7,FALSE),"Check formula")))))))))))))))))</f>
        <v/>
      </c>
      <c r="F137" s="152" t="str">
        <f>IFERROR(__xludf.DUMMYFUNCTION("IF(OR(A137="""",AND(ISERROR(FIND(""drawer box"",A137))=FALSE,WardrobeDrawerType=""Solid dovetail"")),"""",IF(ISERROR(FIND(""bins"",A137))=FALSE,VLOOKUP(""Base carcass 600"",Wardrobes_etcData,6,0),IF(OR(ISERROR(FIND(""larder"",A137))=FALSE,ISERROR(FIND(""u"&amp;"nit"",A137))=FALSE),VLOOKUP(LEFT(A137,FIND("" "",A137))&amp;""carcass ""&amp;RIGHT(A137,LEN(A137)-len(regexextract(A137,"".* ""))),Wardrobes_etcData,6,0),IF(ISERROR(FIND(""drawer front"",A137))=FALSE,IF(ISERROR(FIND(""veneer"",WardrobeCarcassMaterial))=TRUE,0,((("&amp;"B137+C137)/1000)*2)*VLOOKUP(""Edge banding (per M)"",SheetsData,5,0)),IF(ISERROR(FIND(""drawer box"",A137))=FALSE,IF(ISERROR(FIND(""veneer"",WardrobeCarcassMaterial))=TRUE,0,(((C137+D137)/1000)*2)*VLOOKUP(""Edge banding (per M)"",SheetsData,5,0)),IF(ISERR"&amp;"OR(FIND(""shelf"",A137))=FALSE,IF(ISERROR(FIND(""veneer"",WardrobeCarcassMaterial))=TRUE,0,(C137/1000)*VLOOKUP(""Edge banding (per M)"",SheetsData,5,0)),IF(AND(OR(ISERROR(FIND(""arcass"",A137))=FALSE,ISERROR(FIND(""Fireplace"",A137))=FALSE),ISERROR(FIND("&amp;"""shelf"",A137))=TRUE),IF(ISERROR(FIND(""veneer"",WardrobeCarcassMaterial))=TRUE,0,((2*(B137+C137))/1000)*VLOOKUP(""Edge banding (per M)"",SheetsData,5,0)),IF(ISERROR(FIND(""door"",A137))=TRUE,"""",IF(ISERROR(FIND(""veneer"",WardrobeDoorMaterial))=TRUE,"""&amp;""",((2*(B137+C137))/1000)*VLOOKUP(""Edge banding (per M)"",SheetsData,5,0))))))))))"),"")</f>
        <v/>
      </c>
      <c r="G137" s="153" t="str">
        <f>IF(A137="","",IF(AND(ISERROR(FIND("arcass",A137))=TRUE,ISERROR(FIND("Fireplace",A137))=TRUE),"",IF(VALUE(C137)&lt;606,4*VLOOKUP("Plinth foot (2 Parts 80mm)",FurnitureData,5,FALSE),IF(VALUE(C137)&lt;1211,6*VLOOKUP("Plinth foot (2 Parts 80mm)",FurnitureData,5,FALSE),8*VLOOKUP("Plinth foot (2 Parts 80mm)",FurnitureData,5,FALSE)))))</f>
        <v/>
      </c>
      <c r="H137" s="115" t="str">
        <f>IF(OR(A137="",ISERROR(FIND("door",A137))=TRUE),"",VLOOKUP("Hinges &amp; plates (Hettich thick door)",FurnitureData,5,0)*5)</f>
        <v/>
      </c>
      <c r="I137" s="115" t="str">
        <f>IF(ISERROR(FIND("shelf",A137))=FALSE,(VLOOKUP("Shelf pegs",FurnitureData,5,0)/100)*4,"")</f>
        <v/>
      </c>
      <c r="J137" s="152" t="str">
        <f>IF(OR(ISERROR(FIND("fridge/freezer",A137))=FALSE,ISERROR(FIND("sink",A137))=FALSE,ISERROR(FIND("larder",A137))=FALSE),VLOOKUP("Deep shelf "&amp;C137,Wardrobes_etcData,18,0),IF(OR(ISERROR(FIND("single oven",A137))=FALSE,ISERROR(FIND("Base carcass",A137))=FALSE),2*VLOOKUP("Deep shelf "&amp;C137,Wardrobes_etcData,18,0),IF(AND(ISERROR(FIND("wall carcass",A137))=FALSE,ISERROR(FIND("Boiler",A137))=TRUE),2*VLOOKUP("Shallow shelf "&amp;C137,Wardrobes_etcData,18,0),IF(ISERROR(FIND("double oven",A137))=FALSE,3*VLOOKUP("Deep shelf "&amp;C137,Wardrobes_etcData,18,0),IF(ISERROR(FIND("Tower carcass",A137))=FALSE,6*VLOOKUP("Deep shelf "&amp;C137,Wardrobes_etcData,18,0),"")))))</f>
        <v/>
      </c>
      <c r="K137" s="152" t="str">
        <f>IF(ISERROR(FIND("sink",A137))=FALSE,VLOOKUP("Sink liner - Aluminium "&amp;RIGHT(A137,LEN(A137)-22)&amp;"mm",ExceptionalData,5,0),IF(ISERROR(FIND("bins",A137))=FALSE,VLOOKUP("Drawer runners and clip set for bin unit (500) Dynapro",FurnitureData,5,0)+(2*VLOOKUP("Bin (42L Anthracite)",FurnitureData,5,0)),IF(ISERROR(FIND("larder",A137))=FALSE,VLOOKUP("Pull out larder unit 600mm",FurnitureData,5,0),IF(AND(ISERROR(FIND("drawer box",A137))=FALSE,ISERROR(FIND("internal",A137))=TRUE),VLOOKUP("Drawer runners and clip set (550) Dynapro",FurnitureData,5,0),IF(ISERROR(FIND("internal drawer box",A137))=FALSE,VLOOKUP("Drawer runners and clip set (450) Dynapro",FurnitureData,5,0),IF(ISERROR(FIND("table",A137))=FALSE,VLOOKUP("Hairpin Leg (12mm Black "&amp;MID(A137,FIND("(",A137)+1,LEN(A137)-(FIND("(",A137))-1)&amp;"mm)",ExceptionalData,4,FALSE),""))))))</f>
        <v/>
      </c>
      <c r="L137" s="152" t="str">
        <f t="shared" si="3"/>
        <v/>
      </c>
      <c r="M137" s="154" t="str">
        <f>IF(A137="","",IF(AND(ISERROR(FIND("drawer front",A137))=FALSE,WardrobeDoorStyle="Flat"),(((B137/1000)*(C137/1000))*2)+((((B137+C137)/1000)*2)*0.022),IF(AND(ISERROR(FIND("drawer front",A137))=FALSE,LEFT(WardrobeDoorStyle,5)="Panel"),(((B137/1000)*(C137/1000))*2)+((((B137+C137)/1000)*2)*0.022)+((((C137/1000)-0.16)*0.013)*2)+((((D137/1000)-0.16)*0.013)*2),IF(AND(ISERROR(FIND("drawer front",A137))=FALSE,WardrobeDoorStyle="In-frame flat"),((((B137-76)/1000)*((C137-38)/1000))*2)+(MID(WardrobeDoorMaterial,FIND("(",WardrobeDoorMaterial)+1,2)/1000)*((((B137-76)+(C137-38))/1000)*2)+(((B137/1000)*0.032)*2)+((((B137-76)/1000)*0.032)*2)+(((B137/1000)*0.019)*4)+(((C137/1000)*0.032)*2)+((((C137-38)/1000)*0.032)*2)+(((C137/1000)*0.038)*4),IF(AND(ISERROR(FIND("drawer front",A137))=FALSE,LEFT(WardrobeDoorStyle,14)="In-frame panel"),((((B137-76)/1000)*((C137-38)/1000))*2)+((MID(WardrobeDoorMaterial,FIND("(",WardrobeDoorMaterial)+1,2)/1000)*((((B137-76)+(C137-38))/1000)*2))+((((B137-236)/1000)+((C137-198)/1000)*2)*0.013)+(((B137/1000)*0.032)*2)+((((B137-76)/1000)*0.032)*2)+(((B137/1000)*0.019)*4)+(((C137/1000)*0.032)*2)+((((C137-38)/1000)*0.032)*2)+(((C137/1000)*0.038)*4),IF(ISERROR(FIND("drawer box",A137))=FALSE,((((B137/1000)*(D137/1000))+((B137/1000)*(C137/1000)))*4)+((((D137/1000)+(C137/1000))*0.016)*4)+(((C137/1000)*(D137/1000))*2),IF(OR(ISERROR(FIND("shelf",A137))=FALSE,ISERROR(FIND("Filler panel",A137))=FALSE),(((C137/1000)*(D137/1000))*2)+((((C137+D137)*2)/1000)*0.022),IF(ISERROR(FIND("Fireplace",A137))=FALSE,((B137/1000)*(C137/1000)),IF(ISERROR(FIND("Worktop",A137))=FALSE,(B137/1000)*(C137/1000),IF(ISERROR(FIND("table",A137))=FALSE,(B137/1000)*0.6,IF(ISERROR(FIND("arcass",A137))=FALSE,(((C137/1000)*(D137/1000))*2)+(((B137/1000)*(D137/1000))*2)+((B137/1000)*(C137/1000))+((((B137/1000)*0.025)+((C137/1000)*0.025))*2),IF(AND(ISERROR(FIND("door",A137))=FALSE,WardrobeDoorStyle="Flat"),(((B137/1000)*(C137/1000))*2)+(MID(WardrobeDoorMaterial,FIND("(",WardrobeDoorMaterial)+1,2)/1000)*(((B137+C137)/1000)*2),IF(AND(ISERROR(FIND("door",A137))=FALSE,LEFT(WardrobeDoorStyle,5)="Panel"),(((B137/1000)*(C137/1000))*2)+((MID(WardrobeDoorMaterial,FIND("(",WardrobeDoorMaterial)+1,2)/1000)*(((B137+C137)/1000)*2))+(((((B137-160)+(C137-160))*2)/1000)*(0.013)),IF(AND(ISERROR(FIND("door",A137))=FALSE,WardrobeDoorStyle="In-frame flat"),((((B137-76)/1000)*((C137-38)/1000))*2)+(MID(WardrobeDoorMaterial,FIND("(",WardrobeDoorMaterial)+1,2)/1000)*((((B137-76)+(C137-38))/1000)*2)+(((B137/1000)*0.032)*2)+((((B137-76)/1000)*0.032)*2)+(((B137/1000)*0.019)*4)+(((C137/1000)*0.032)*2)+((((C137-38)/1000)*0.032)*2)+(((C137/1000)*0.038)*4),IF(AND(ISERROR(FIND("door",A137))=FALSE,LEFT(WardrobeDoorStyle,14)="In-frame panel"),((((B137-76)/1000)*((C137-38)/1000))*2)+((MID(WardrobeDoorMaterial,FIND("(",WardrobeDoorMaterial)+1,2)/1000)*((((B137-76)+(C137-38))/1000)*2))+((((B137-236)/1000)+((C137-198)/1000)*2)*0.013)+(((B137/1000)*0.032)*2)+((((B137-76)/1000)*0.032)*2)+(((B137/1000)*0.019)*4)+(((C137/1000)*0.032)*2)+((((C137-38)/1000)*0.032)*2)+(((C137/1000)*0.038)*4),IF(ISERROR(FIND("Plinth",A137))=FALSE,((B137/1000)*(C137/1000))+(((C137/1000)*0.018)*2)+(((B137/1000)*0.018)*2),IF(ISERROR(FIND("Cornice",A137))=FALSE,(((C137/1000)*0.1)*2)+(((C137/1000)*0.044)*2)+(((B137/1000)*0.08)*2),IF(ISERROR(FIND("Office pod",A137))=FALSE,((2400/1000)*(1200/1000))*6,IF(ISERROR(FIND("panel",A137))=FALSE,((B137/1000)*(C137/1000))+(0.022*((B137/1000)+((C137/1000)*2)))+((B137/1000)*0.05),IF(ISERROR(FIND("Fillers",A137))=FALSE,((C137/1000)*0.06)+((C137/1000)*0.069)+((0.06*0.018)*2)+((0.06*0.009)*2)+((C137/1000)*0.009)+((C137/1000)*0.018),IF(ISERROR(FIND("Pelmet",A137))=FALSE,((C137/1000)*0.05)+((C137/1000)*0.068)+((0.05*0.018)*4)+(((C137/1000)*0.018))*2)))))))))))))))))))))</f>
        <v/>
      </c>
      <c r="N137" s="152" t="str">
        <f>IF(M137="","",IF(AND(ISERROR(FIND("carcass",A137))=TRUE,ISERROR(FIND("unit",A137))=TRUE,ISERROR(FIND("insert",A137))=TRUE,ISERROR(FIND("rack",A137))=TRUE,ISERROR(FIND("box",A137))=TRUE,ISERROR(FIND("shelf",A137))=TRUE),VLOOKUP(WardrobeDoorFinish,Finishing!$A$2:$K$10,9,0)*M137,IF(ISERROR(FIND("table",A137))=FALSE,VLOOKUP("Sayerlack AF0072 Interior Clear Self-Sealer",FinishingData,9,FALSE)*M137,VLOOKUP(WardrobeCarcassFinish,Finishing!$A$2:$K$40,9,0)*M137)))</f>
        <v/>
      </c>
      <c r="O137" s="159"/>
      <c r="P137" s="159"/>
      <c r="Q137" s="152" t="str">
        <f>IF(OR(O137="",P137=""),"",((O137*X137)*(VLOOKUP("Workshop",Labour!$A$3:$E$20,4,0)/8))+((P137*AE137)*(VLOOKUP("Finishing",Labour!$A$3:$E$20,4,0)/8)))</f>
        <v/>
      </c>
      <c r="R137" s="152" t="str">
        <f t="shared" si="4"/>
        <v/>
      </c>
      <c r="S137" s="156" t="str">
        <f>IF(OR(O137="",P137=""),"",IF(OR(ISERROR(FIND("carcass",$A137))=FALSE,ISERROR(FIND("unit",$A137))=FALSE),VLOOKUP(WardrobeCarcassMaterial,FixedListsCarcassMaterial,2,0),0))</f>
        <v/>
      </c>
      <c r="T137" s="156" t="str">
        <f>IF(OR(O137="",P137=""),"",IF(ISERROR(FIND("door",$A137))=FALSE,VLOOKUP(WardrobeDoorStyle,FixedListsDoorStyle,2,0),0))</f>
        <v/>
      </c>
      <c r="U137" s="156" t="str">
        <f>IF(OR(O137="",P137=""),"",IF(ISERROR(FIND("door",$A137))=FALSE,VLOOKUP(WardrobeDoorMaterial,FixedListsDoorMaterial,2,0),0))</f>
        <v/>
      </c>
      <c r="V137" s="156" t="str">
        <f>IF(OR(O137="",P137=""),"",IF(ISERROR(FIND("drawer",$A137))=FALSE,VLOOKUP(WardrobeDrawerType,FixedListsDrawerType,2,0),0))</f>
        <v/>
      </c>
      <c r="W137" s="156" t="str">
        <f>IF(OR(O137="",P137=""),"",IF(S137&gt;0,VLOOKUP(WardrobeHandleType,FixedListsHandleType,2,FALSE),0))</f>
        <v/>
      </c>
      <c r="X137" s="156" t="str">
        <f t="shared" si="5"/>
        <v/>
      </c>
      <c r="Y137" s="156" t="str">
        <f>IF(OR(O137="",P137=""),"",IF(OR(ISERROR(FIND("carcass",$A137))=FALSE,ISERROR(FIND("unit",$A137))=FALSE),VLOOKUP(WardrobeCarcassMaterial,FixedListsCarcassMaterial,3,0),0))</f>
        <v/>
      </c>
      <c r="Z137" s="156" t="str">
        <f>IF(OR(O137="",P137=""),"",IF(ISERROR(FIND("door",$A137))=FALSE,VLOOKUP(WardrobeDoorStyle,FixedListsDoorStyle,3,0),0))</f>
        <v/>
      </c>
      <c r="AA137" s="156" t="str">
        <f>IF(OR(O137="",P137=""),"",IF(ISERROR(FIND("door",$A137))=FALSE,VLOOKUP(WardrobeDoorMaterial,FixedListsDoorMaterial,3,0),0))</f>
        <v/>
      </c>
      <c r="AB137" s="156" t="str">
        <f>IF(OR(O137="",P137=""),"",IF(ISERROR(FIND("drawer",$A137))=FALSE,VLOOKUP(WardrobeDrawerType,FixedListsDrawerType,3,0),0))</f>
        <v/>
      </c>
      <c r="AC137" s="156" t="str">
        <f>IF(OR(O137="",P137=""),"",IF(S137&gt;0,VLOOKUP(WardrobeHandleType,FixedListsHandleType,3,FALSE),0))</f>
        <v/>
      </c>
      <c r="AD137" s="156" t="str">
        <f>IF(OR(O137="",P137=""),"",IF(OR(ISERROR(FIND("carcass",$A137))=FALSE,ISERROR(FIND("unit",$A137))=FALSE),VLOOKUP(WardrobeCarcassFinish,FixedListsFinishes,3,0),IF(OR(ISERROR(FIND("door",$A137))=FALSE,ISERROR(FIND("Plinth",$A137))=FALSE,ISERROR(FIND("Cornice",$A137))=FALSE,ISERROR(FIND("Fillers",$A137))=FALSE,ISERROR(FIND("Pelmet",$A137))=FALSE,ISERROR(FIND("panel",$A137))=FALSE,ISERROR(FIND("post",$A137))=FALSE),VLOOKUP(WardrobeDoorFinish,FixedListsFinishes,3,0),IF(OR(ISERROR(FIND("drawer",$A137))=FALSE,ISERROR(FIND("insert",$A137))=FALSE,ISERROR(FIND("rck",$A137))=FALSE),VLOOKUP(WardrobeCarcassFinish,FixedListsFinishes,3,0),0))))</f>
        <v/>
      </c>
      <c r="AE137" s="156" t="str">
        <f t="shared" si="6"/>
        <v/>
      </c>
      <c r="AF137" s="157" t="str">
        <f>IF(AND(WardrobeHandleType="Channel",OR(ISERROR(FIND("arcass",$A137))=FALSE,ISERROR(FIND("unit",$A137))=FALSE)),IF(ISERROR(FIND("Tower",$A137))=TRUE,IF(WardrobeHandleFinish="Match carcass",IF(ISERROR(FIND("Walnut",WardrobeCarcassMaterial))=FALSE,(0.035*0.075*($C137/1000))*VLOOKUP("Walnut (solid m3)",SolidData,4,FALSE),IF(ISERROR(FIND("Oak",WardrobeCarcassMaterial))=FALSE,(0.035*0.075*($C137/1000))*VLOOKUP("Oak (solid m3)",SolidData,4,FALSE),IF(ISERROR(FIND("ply",WardrobeCarcassMaterial))=FALSE,(0.1*($C137/1000))*VLOOKUP("Birch ply (24mm)",SheetsData,7,FALSE),IF(ISERROR(FIND("H/F",WardrobeCarcassMaterial))=FALSE,(0.1*($C137/1000))*VLOOKUP("H/F (22mm)",SheetsData,7,FALSE),"Carcass - not tower - new material")))),IF(WardrobeHandleFinish="Match door",IF(ISERROR(FIND("Walnut",WardrobeDoorMaterial))=FALSE,(0.035*0.075*($C137/1000))*VLOOKUP("Walnut (solid m3)",SolidData,4,FALSE),IF(ISERROR(FIND("Oak",WardrobeDoorMaterial))=FALSE,(0.035*0.075*($C137/1000))*VLOOKUP("Oak (solid m3)",SolidData,4,FALSE),IF(ISERROR(FIND("ply",WardrobeDoorMaterial))=FALSE,(0.1*($C137/1000))*VLOOKUP("Birch ply (24mm)",SheetsData,7,FALSE),IF(ISERROR(FIND("H/F",WardrobeCarcassMaterial))=FALSE,(0.1*($C137/1000))*VLOOKUP("H/F (22mm)",SheetsData,7,FALSE),"Door - not tower - new material")))),"Channel - not tower - handle set to other")),IF(ISERROR(FIND("Tower",$A137))=FALSE,IF(WardrobeHandleFinish="Match carcass",IF(ISERROR(FIND("Walnut",WardrobeCarcassMaterial))=FALSE,(0.035*0.075*($B137/1000))*VLOOKUP("Walnut (solid m3)",SolidData,4,FALSE),IF(ISERROR(FIND("Oak",WardrobeCarcassMaterial))=FALSE,(0.035*0.075*($B137/1000))*VLOOKUP("Oak (solid m3)",SolidData,4,FALSE),IF(ISERROR(FIND("ply",WardrobeCarcassMaterial))=FALSE,(0.1*($B137/1000))*VLOOKUP("Birch ply (24mm)",SheetsData,7,FALSE),IF(ISERROR(FIND("H/F",WardrobeCarcassMaterial))=FALSE,(0.1*($C137/1000))*VLOOKUP("H/F (22mm)",SheetsData,7,FALSE),"Carcass - tower - new material")))),IF(WardrobeHandleFinish="Match door",IF(ISERROR(FIND("Walnut",WardrobeDoorMaterial))=FALSE,(0.035*0.075*($B137/1000))*VLOOKUP("Walnut (solid m3)",SolidData,4,FALSE),IF(ISERROR(FIND("Oak",WardrobeDoorMaterial))=FALSE,(0.035*0.075*($B137/1000))*VLOOKUP("Oak (solid m3)",SolidData,4,FALSE),IF(ISERROR(FIND("ply",WardrobeDoorMaterial))=FALSE,(0.1*($B137/1000))*VLOOKUP("Birch ply (24mm)",SheetData,7,FALSE),IF(ISERROR(FIND("H/F",WardrobeCarcassMaterial))=FALSE,(0.1*($C137/1000))*VLOOKUP("H/F (22mm)",SheetsData,7,FALSE),"Door - tower - new material")))),"Channel - tower - handle set to other")))),"")</f>
        <v/>
      </c>
    </row>
    <row r="138">
      <c r="A138" s="150"/>
      <c r="B138" s="160" t="str">
        <f t="shared" si="1"/>
        <v/>
      </c>
      <c r="C138" s="160" t="str">
        <f>IFERROR(__xludf.DUMMYFUNCTION("IF(A138="""","""",IF(ISERROR(FIND(""arcass"",A138))=FALSE,MID(A138,FIND(""*"",A138)+1,FIND(""*"",A138,FIND(""*"",A138)+1)-FIND(""*"",A138)-1),IF(ISERROR(FIND(""End panel"",A138))=FALSE,RIGHT(A138,3),IF(OR(ISERROR(FIND(""drawer"",A138))=FALSE,ISERROR(FIND("&amp;"""door"",A138))=FALSE,ISERROR(FIND(""shelf"",A138))=FALSE,ISERROR(FIND(""panel"",A138))=FALSE,ISERROR(FIND(""Plinth"",A138))=FALSE,ISERROR(FIND(""Cornice"",A138))=FALSE,ISERROR(FIND(""Fillers"",A138))=FALSE,ISERROR(FIND(""Pelmet"",A138))=FALSE,ISERROR(FIN"&amp;"D(""Fireplace up to 1600"",A138))=FALSE),RIGHT(A138,LEN(A138)-LEN(regexextract(A138,"".* ""))),IF(ISERROR(FIND(""table"",A138))=FALSE,""560"",IF(ISERROR(FIND(""Office pod"",A138))=FALSE,""1600"",IF(ISERROR(FIND(""Fireplace over 1600"",A138))=FALSE,""2400"&amp;""",IF(ISERROR(FIND(""Worktop"",A138))=FALSE,""650"",""Whoops""))))))))"),"")</f>
        <v/>
      </c>
      <c r="D138" s="161" t="str">
        <f t="shared" si="2"/>
        <v/>
      </c>
      <c r="E138" s="152" t="str">
        <f>IF(OR(A138="",AND(ISERROR(FIND("drawer",A138))=FALSE,WardrobeDrawerType="")),"",IF(ISERROR(FIND("door",A138))=FALSE,IF(WardrobeDoorStyle="Flat",((B138/1000)*(C138/1000))*VLOOKUP(WardrobeDoorMaterial,SheetsData,8,0),IF(LEFT(WardrobeDoorStyle,5)="Panel",(((((B138/1000)*2)*0.08)+((((C138/1000)-0.16)*2)*0.08))*VLOOKUP("H/F (22mm)",SheetsData,8,0))+(((B138/1000)-0.14)*((C138/1000)-0.14)*VLOOKUP("H/F (9mm)",SheetsData,8,0)),IF(WardrobeDoorStyle="In-frame flat",((((((B138/1000)*0.019)*0.038)+((((C138-38)/1000)*0.038)*0.038))*2)*VLOOKUP("Tulip (solid m3)",SolidData,4,0))+(((B138-76)/1000)*((C138-38)/1000))*VLOOKUP("H/F (22mm)",SheetsData,8,0),IF(LEFT(WardrobeDoorStyle,14)="In-frame panel",(((((((B138/1000)*0.019)*0.038)+((((C138-38)/1000)*0.038)*0.038))*2)*VLOOKUP("Tulip (solid m3)",SolidData,4,0))+(((((((B138-76)/1000)*2)*0.08)+(((((C138-198)/1000)*2)*0.08)))*VLOOKUP("H/F (22mm)",SheetsData,8,0))+(((B138-216)/1000)*((C138-178)/1000)*VLOOKUP("H/F (9mm)",SheetsData,8,0)))))))),IF(AND(ISERROR(FIND("arcass",A138))=FALSE,ISERROR(FIND("ost corner",A138))=TRUE),IF(AND(VALUE(B138)&lt;1211,VALUE(C138)&lt;1211,VALUE(D138)&lt;606),1*VLOOKUP(WardrobeCarcassMaterial,SheetsData,5,FALSE),IF(AND(VALUE(B138)&lt;2421,VALUE(C138)&lt;2421,VALUE(D138)&lt;606),2*VLOOKUP(WardrobeCarcassMaterial,SheetsData,5,FALSE),IF(AND(VALUE(B138)&lt;2421,VALUE(C138)&lt;1211,VALUE(D138)&lt;1211),3*VLOOKUP(WardrobeCarcassMaterial,SheetsData,5,FALSE),IF(AND(VALUE(B138)&lt;2421,VALUE(C138)&lt;2421,VALUE(D138)&lt;1211),4*VLOOKUP(WardrobeCarcassMaterial,SheetsData,5,FALSE))))),IF(AND(ISERROR(FIND("arcass",A138))=FALSE,ISERROR(FIND("ost corner",A138))=FALSE),IF(AND(VALUE(B138)&lt;1211,VALUE(C138)&lt;1211,VALUE(D138)&lt;606),(1*VLOOKUP(WardrobeCarcassMaterial,SheetsData,5,FALSE))+(VLOOKUP("H/F (22mm)",SheetsData,7,FALSE)*1.44),IF(AND(VALUE(B138)&lt;2421,VALUE(C138)&lt;2421,VALUE(D138)&lt;606),(2*VLOOKUP(WardrobeCarcassMaterial,SheetsData,5,FALSE))+(VLOOKUP("H/F (22mm)",SheetsData,7,FALSE)*1.44),IF(AND(VALUE(B138)&lt;2421,VALUE(C138)&lt;1211,VALUE(D138)&lt;1211),(3*VLOOKUP(WardrobeCarcassMaterial,SheetsData,5,FALSE))+(VLOOKUP("H/F (22mm)",SheetsData,7,FALSE)*1.44),IF(AND(VALUE(B138)&lt;2421,VALUE(C138)&lt;2421,VALUE(D138)&lt;1211),(4*VLOOKUP(WardrobeCarcassMaterial,SheetsData,5,FALSE))+(VLOOKUP("H/F (22mm)",SheetsData,7,FALSE)*1.44))))),IF(ISERROR(FIND("drawer front",A138))=FALSE,((B138/1000)*(C138/1000))*VLOOKUP(WardrobeDoorMaterial,SheetsData,8,0),IF(AND(WardrobeDrawerType="Match carcass",ISERROR(FIND("drawer box",A138))=FALSE),(((((B138/1000)*(C138/1000))+((B138/1000)*(D138/1000)))*2)*VLOOKUP(WardrobeCarcassMaterial,SheetsData,8,0))+(((C138/1000)*(D138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box",A138))=FALSE),(((((B138/1000)*(C138/1000))+((B138/1000)*(D138/1000)))*2)*(16/1000)*VLOOKUP(LEFT(WardrobeCarcassMaterial,FIND(" ",WardrobeCarcassMaterial))&amp;"(solid m3)",SolidData,4,0))+(((C138/1000)*(D138/1000))*VLOOKUP(LEFT(WardrobeCarcassMaterial,FIND("(",WardrobeCarcassMaterial)-1)&amp;IF(OR(ISERROR(FIND("ply",WardrobeCarcassMaterial))=FALSE,ISERROR(FIND("H/F",WardrobeCarcassMaterial))=FALSE),"(9mm)","(10mm)"),SheetsData,8,0)),IF(ISERROR(FIND("shelf",A138))=FALSE,((C138/1000)*(D138/1000))*VLOOKUP(WardrobeCarcassMaterial,SheetsData,7,FALSE),IF(ISERROR(FIND("Office pod",A138))=FALSE,3*VLOOKUP(WardrobeCarcassMaterial,SheetsData,5,0),IF(ISERROR(FIND(" panel",A138))=FALSE,((B138/1000)*(C138/1000))*VLOOKUP(WardrobeDoorMaterial,SheetsData,8,0),IF(ISERROR(FIND("Fillers",A138))=FALSE,(((0.06*(C138/1000))*2)*VLOOKUP("H/F (18mm)",SheetsData,8,0))+(((0.06*(C138/1000))*2)*VLOOKUP("H/F (9mm)",SheetsData,8,0)),IF(ISERROR(FIND("Cornice (stacked)",A138))=FALSE,((0.08*(C138/1000))*2)*VLOOKUP("H/F (22mm)",SheetsData,8,0),IF(OR(ISERROR(FIND("Plinth",A138))=FALSE,ISERROR(FIND("Cornice (flat)",A138))=FALSE),((B138/1000)*(C138/1000))*VLOOKUP("H/F (18mm)",SheetsData,8,0),IF(ISERROR(FIND("Pelmet",A138))=FALSE,((((B138/1000)*(C138/1000))*2)*VLOOKUP("H/F (18mm)",SheetsData,8,0)),IF(ISERROR(FIND("Fireplace",A138))=FALSE,IF(ISERROR(FIND("over 1600",A138))=FALSE,2*VLOOKUP(WardrobeCarcassMaterial,SheetsData,5,FALSE),VLOOKUP(WardrobeCarcassMaterial,SheetsData,5,FALSE)),IF(ISERROR(FIND("table",A138))=FALSE,((B138/1000)*0.6)*VLOOKUP("Birch ply (24mm)",SheetsData,7,FALSE),IF(ISERROR(FIND("Worktop",A138))=FALSE,((B138/1000)*(C138/1000))*VLOOKUP(WardrobeDoorMaterial,SheetsData,7,FALSE),"Check formula")))))))))))))))))</f>
        <v/>
      </c>
      <c r="F138" s="152" t="str">
        <f>IFERROR(__xludf.DUMMYFUNCTION("IF(OR(A138="""",AND(ISERROR(FIND(""drawer box"",A138))=FALSE,WardrobeDrawerType=""Solid dovetail"")),"""",IF(ISERROR(FIND(""bins"",A138))=FALSE,VLOOKUP(""Base carcass 600"",Wardrobes_etcData,6,0),IF(OR(ISERROR(FIND(""larder"",A138))=FALSE,ISERROR(FIND(""u"&amp;"nit"",A138))=FALSE),VLOOKUP(LEFT(A138,FIND("" "",A138))&amp;""carcass ""&amp;RIGHT(A138,LEN(A138)-len(regexextract(A138,"".* ""))),Wardrobes_etcData,6,0),IF(ISERROR(FIND(""drawer front"",A138))=FALSE,IF(ISERROR(FIND(""veneer"",WardrobeCarcassMaterial))=TRUE,0,((("&amp;"B138+C138)/1000)*2)*VLOOKUP(""Edge banding (per M)"",SheetsData,5,0)),IF(ISERROR(FIND(""drawer box"",A138))=FALSE,IF(ISERROR(FIND(""veneer"",WardrobeCarcassMaterial))=TRUE,0,(((C138+D138)/1000)*2)*VLOOKUP(""Edge banding (per M)"",SheetsData,5,0)),IF(ISERR"&amp;"OR(FIND(""shelf"",A138))=FALSE,IF(ISERROR(FIND(""veneer"",WardrobeCarcassMaterial))=TRUE,0,(C138/1000)*VLOOKUP(""Edge banding (per M)"",SheetsData,5,0)),IF(AND(OR(ISERROR(FIND(""arcass"",A138))=FALSE,ISERROR(FIND(""Fireplace"",A138))=FALSE),ISERROR(FIND("&amp;"""shelf"",A138))=TRUE),IF(ISERROR(FIND(""veneer"",WardrobeCarcassMaterial))=TRUE,0,((2*(B138+C138))/1000)*VLOOKUP(""Edge banding (per M)"",SheetsData,5,0)),IF(ISERROR(FIND(""door"",A138))=TRUE,"""",IF(ISERROR(FIND(""veneer"",WardrobeDoorMaterial))=TRUE,"""&amp;""",((2*(B138+C138))/1000)*VLOOKUP(""Edge banding (per M)"",SheetsData,5,0))))))))))"),"")</f>
        <v/>
      </c>
      <c r="G138" s="153" t="str">
        <f>IF(A138="","",IF(AND(ISERROR(FIND("arcass",A138))=TRUE,ISERROR(FIND("Fireplace",A138))=TRUE),"",IF(VALUE(C138)&lt;606,4*VLOOKUP("Plinth foot (2 Parts 80mm)",FurnitureData,5,FALSE),IF(VALUE(C138)&lt;1211,6*VLOOKUP("Plinth foot (2 Parts 80mm)",FurnitureData,5,FALSE),8*VLOOKUP("Plinth foot (2 Parts 80mm)",FurnitureData,5,FALSE)))))</f>
        <v/>
      </c>
      <c r="H138" s="115" t="str">
        <f>IF(OR(A138="",ISERROR(FIND("door",A138))=TRUE),"",VLOOKUP("Hinges &amp; plates (Hettich thick door)",FurnitureData,5,0)*5)</f>
        <v/>
      </c>
      <c r="I138" s="115" t="str">
        <f>IF(ISERROR(FIND("shelf",A138))=FALSE,(VLOOKUP("Shelf pegs",FurnitureData,5,0)/100)*4,"")</f>
        <v/>
      </c>
      <c r="J138" s="152" t="str">
        <f>IF(OR(ISERROR(FIND("fridge/freezer",A138))=FALSE,ISERROR(FIND("sink",A138))=FALSE,ISERROR(FIND("larder",A138))=FALSE),VLOOKUP("Deep shelf "&amp;C138,Wardrobes_etcData,18,0),IF(OR(ISERROR(FIND("single oven",A138))=FALSE,ISERROR(FIND("Base carcass",A138))=FALSE),2*VLOOKUP("Deep shelf "&amp;C138,Wardrobes_etcData,18,0),IF(AND(ISERROR(FIND("wall carcass",A138))=FALSE,ISERROR(FIND("Boiler",A138))=TRUE),2*VLOOKUP("Shallow shelf "&amp;C138,Wardrobes_etcData,18,0),IF(ISERROR(FIND("double oven",A138))=FALSE,3*VLOOKUP("Deep shelf "&amp;C138,Wardrobes_etcData,18,0),IF(ISERROR(FIND("Tower carcass",A138))=FALSE,6*VLOOKUP("Deep shelf "&amp;C138,Wardrobes_etcData,18,0),"")))))</f>
        <v/>
      </c>
      <c r="K138" s="152" t="str">
        <f>IF(ISERROR(FIND("sink",A138))=FALSE,VLOOKUP("Sink liner - Aluminium "&amp;RIGHT(A138,LEN(A138)-22)&amp;"mm",ExceptionalData,5,0),IF(ISERROR(FIND("bins",A138))=FALSE,VLOOKUP("Drawer runners and clip set for bin unit (500) Dynapro",FurnitureData,5,0)+(2*VLOOKUP("Bin (42L Anthracite)",FurnitureData,5,0)),IF(ISERROR(FIND("larder",A138))=FALSE,VLOOKUP("Pull out larder unit 600mm",FurnitureData,5,0),IF(AND(ISERROR(FIND("drawer box",A138))=FALSE,ISERROR(FIND("internal",A138))=TRUE),VLOOKUP("Drawer runners and clip set (550) Dynapro",FurnitureData,5,0),IF(ISERROR(FIND("internal drawer box",A138))=FALSE,VLOOKUP("Drawer runners and clip set (450) Dynapro",FurnitureData,5,0),IF(ISERROR(FIND("table",A138))=FALSE,VLOOKUP("Hairpin Leg (12mm Black "&amp;MID(A138,FIND("(",A138)+1,LEN(A138)-(FIND("(",A138))-1)&amp;"mm)",ExceptionalData,4,FALSE),""))))))</f>
        <v/>
      </c>
      <c r="L138" s="152" t="str">
        <f t="shared" si="3"/>
        <v/>
      </c>
      <c r="M138" s="154" t="str">
        <f>IF(A138="","",IF(AND(ISERROR(FIND("drawer front",A138))=FALSE,WardrobeDoorStyle="Flat"),(((B138/1000)*(C138/1000))*2)+((((B138+C138)/1000)*2)*0.022),IF(AND(ISERROR(FIND("drawer front",A138))=FALSE,LEFT(WardrobeDoorStyle,5)="Panel"),(((B138/1000)*(C138/1000))*2)+((((B138+C138)/1000)*2)*0.022)+((((C138/1000)-0.16)*0.013)*2)+((((D138/1000)-0.16)*0.013)*2),IF(AND(ISERROR(FIND("drawer front",A138))=FALSE,WardrobeDoorStyle="In-frame flat"),((((B138-76)/1000)*((C138-38)/1000))*2)+(MID(WardrobeDoorMaterial,FIND("(",WardrobeDoorMaterial)+1,2)/1000)*((((B138-76)+(C138-38))/1000)*2)+(((B138/1000)*0.032)*2)+((((B138-76)/1000)*0.032)*2)+(((B138/1000)*0.019)*4)+(((C138/1000)*0.032)*2)+((((C138-38)/1000)*0.032)*2)+(((C138/1000)*0.038)*4),IF(AND(ISERROR(FIND("drawer front",A138))=FALSE,LEFT(WardrobeDoorStyle,14)="In-frame panel"),((((B138-76)/1000)*((C138-38)/1000))*2)+((MID(WardrobeDoorMaterial,FIND("(",WardrobeDoorMaterial)+1,2)/1000)*((((B138-76)+(C138-38))/1000)*2))+((((B138-236)/1000)+((C138-198)/1000)*2)*0.013)+(((B138/1000)*0.032)*2)+((((B138-76)/1000)*0.032)*2)+(((B138/1000)*0.019)*4)+(((C138/1000)*0.032)*2)+((((C138-38)/1000)*0.032)*2)+(((C138/1000)*0.038)*4),IF(ISERROR(FIND("drawer box",A138))=FALSE,((((B138/1000)*(D138/1000))+((B138/1000)*(C138/1000)))*4)+((((D138/1000)+(C138/1000))*0.016)*4)+(((C138/1000)*(D138/1000))*2),IF(OR(ISERROR(FIND("shelf",A138))=FALSE,ISERROR(FIND("Filler panel",A138))=FALSE),(((C138/1000)*(D138/1000))*2)+((((C138+D138)*2)/1000)*0.022),IF(ISERROR(FIND("Fireplace",A138))=FALSE,((B138/1000)*(C138/1000)),IF(ISERROR(FIND("Worktop",A138))=FALSE,(B138/1000)*(C138/1000),IF(ISERROR(FIND("table",A138))=FALSE,(B138/1000)*0.6,IF(ISERROR(FIND("arcass",A138))=FALSE,(((C138/1000)*(D138/1000))*2)+(((B138/1000)*(D138/1000))*2)+((B138/1000)*(C138/1000))+((((B138/1000)*0.025)+((C138/1000)*0.025))*2),IF(AND(ISERROR(FIND("door",A138))=FALSE,WardrobeDoorStyle="Flat"),(((B138/1000)*(C138/1000))*2)+(MID(WardrobeDoorMaterial,FIND("(",WardrobeDoorMaterial)+1,2)/1000)*(((B138+C138)/1000)*2),IF(AND(ISERROR(FIND("door",A138))=FALSE,LEFT(WardrobeDoorStyle,5)="Panel"),(((B138/1000)*(C138/1000))*2)+((MID(WardrobeDoorMaterial,FIND("(",WardrobeDoorMaterial)+1,2)/1000)*(((B138+C138)/1000)*2))+(((((B138-160)+(C138-160))*2)/1000)*(0.013)),IF(AND(ISERROR(FIND("door",A138))=FALSE,WardrobeDoorStyle="In-frame flat"),((((B138-76)/1000)*((C138-38)/1000))*2)+(MID(WardrobeDoorMaterial,FIND("(",WardrobeDoorMaterial)+1,2)/1000)*((((B138-76)+(C138-38))/1000)*2)+(((B138/1000)*0.032)*2)+((((B138-76)/1000)*0.032)*2)+(((B138/1000)*0.019)*4)+(((C138/1000)*0.032)*2)+((((C138-38)/1000)*0.032)*2)+(((C138/1000)*0.038)*4),IF(AND(ISERROR(FIND("door",A138))=FALSE,LEFT(WardrobeDoorStyle,14)="In-frame panel"),((((B138-76)/1000)*((C138-38)/1000))*2)+((MID(WardrobeDoorMaterial,FIND("(",WardrobeDoorMaterial)+1,2)/1000)*((((B138-76)+(C138-38))/1000)*2))+((((B138-236)/1000)+((C138-198)/1000)*2)*0.013)+(((B138/1000)*0.032)*2)+((((B138-76)/1000)*0.032)*2)+(((B138/1000)*0.019)*4)+(((C138/1000)*0.032)*2)+((((C138-38)/1000)*0.032)*2)+(((C138/1000)*0.038)*4),IF(ISERROR(FIND("Plinth",A138))=FALSE,((B138/1000)*(C138/1000))+(((C138/1000)*0.018)*2)+(((B138/1000)*0.018)*2),IF(ISERROR(FIND("Cornice",A138))=FALSE,(((C138/1000)*0.1)*2)+(((C138/1000)*0.044)*2)+(((B138/1000)*0.08)*2),IF(ISERROR(FIND("Office pod",A138))=FALSE,((2400/1000)*(1200/1000))*6,IF(ISERROR(FIND("panel",A138))=FALSE,((B138/1000)*(C138/1000))+(0.022*((B138/1000)+((C138/1000)*2)))+((B138/1000)*0.05),IF(ISERROR(FIND("Fillers",A138))=FALSE,((C138/1000)*0.06)+((C138/1000)*0.069)+((0.06*0.018)*2)+((0.06*0.009)*2)+((C138/1000)*0.009)+((C138/1000)*0.018),IF(ISERROR(FIND("Pelmet",A138))=FALSE,((C138/1000)*0.05)+((C138/1000)*0.068)+((0.05*0.018)*4)+(((C138/1000)*0.018))*2)))))))))))))))))))))</f>
        <v/>
      </c>
      <c r="N138" s="152" t="str">
        <f>IF(M138="","",IF(AND(ISERROR(FIND("carcass",A138))=TRUE,ISERROR(FIND("unit",A138))=TRUE,ISERROR(FIND("insert",A138))=TRUE,ISERROR(FIND("rack",A138))=TRUE,ISERROR(FIND("box",A138))=TRUE,ISERROR(FIND("shelf",A138))=TRUE),VLOOKUP(WardrobeDoorFinish,Finishing!$A$2:$K$10,9,0)*M138,IF(ISERROR(FIND("table",A138))=FALSE,VLOOKUP("Sayerlack AF0072 Interior Clear Self-Sealer",FinishingData,9,FALSE)*M138,VLOOKUP(WardrobeCarcassFinish,Finishing!$A$2:$K$40,9,0)*M138)))</f>
        <v/>
      </c>
      <c r="O138" s="159"/>
      <c r="P138" s="159"/>
      <c r="Q138" s="152" t="str">
        <f>IF(OR(O138="",P138=""),"",((O138*X138)*(VLOOKUP("Workshop",Labour!$A$3:$E$20,4,0)/8))+((P138*AE138)*(VLOOKUP("Finishing",Labour!$A$3:$E$20,4,0)/8)))</f>
        <v/>
      </c>
      <c r="R138" s="152" t="str">
        <f t="shared" si="4"/>
        <v/>
      </c>
      <c r="S138" s="156" t="str">
        <f>IF(OR(O138="",P138=""),"",IF(OR(ISERROR(FIND("carcass",$A138))=FALSE,ISERROR(FIND("unit",$A138))=FALSE),VLOOKUP(WardrobeCarcassMaterial,FixedListsCarcassMaterial,2,0),0))</f>
        <v/>
      </c>
      <c r="T138" s="156" t="str">
        <f>IF(OR(O138="",P138=""),"",IF(ISERROR(FIND("door",$A138))=FALSE,VLOOKUP(WardrobeDoorStyle,FixedListsDoorStyle,2,0),0))</f>
        <v/>
      </c>
      <c r="U138" s="156" t="str">
        <f>IF(OR(O138="",P138=""),"",IF(ISERROR(FIND("door",$A138))=FALSE,VLOOKUP(WardrobeDoorMaterial,FixedListsDoorMaterial,2,0),0))</f>
        <v/>
      </c>
      <c r="V138" s="156" t="str">
        <f>IF(OR(O138="",P138=""),"",IF(ISERROR(FIND("drawer",$A138))=FALSE,VLOOKUP(WardrobeDrawerType,FixedListsDrawerType,2,0),0))</f>
        <v/>
      </c>
      <c r="W138" s="156" t="str">
        <f>IF(OR(O138="",P138=""),"",IF(S138&gt;0,VLOOKUP(WardrobeHandleType,FixedListsHandleType,2,FALSE),0))</f>
        <v/>
      </c>
      <c r="X138" s="156" t="str">
        <f t="shared" si="5"/>
        <v/>
      </c>
      <c r="Y138" s="156" t="str">
        <f>IF(OR(O138="",P138=""),"",IF(OR(ISERROR(FIND("carcass",$A138))=FALSE,ISERROR(FIND("unit",$A138))=FALSE),VLOOKUP(WardrobeCarcassMaterial,FixedListsCarcassMaterial,3,0),0))</f>
        <v/>
      </c>
      <c r="Z138" s="156" t="str">
        <f>IF(OR(O138="",P138=""),"",IF(ISERROR(FIND("door",$A138))=FALSE,VLOOKUP(WardrobeDoorStyle,FixedListsDoorStyle,3,0),0))</f>
        <v/>
      </c>
      <c r="AA138" s="156" t="str">
        <f>IF(OR(O138="",P138=""),"",IF(ISERROR(FIND("door",$A138))=FALSE,VLOOKUP(WardrobeDoorMaterial,FixedListsDoorMaterial,3,0),0))</f>
        <v/>
      </c>
      <c r="AB138" s="156" t="str">
        <f>IF(OR(O138="",P138=""),"",IF(ISERROR(FIND("drawer",$A138))=FALSE,VLOOKUP(WardrobeDrawerType,FixedListsDrawerType,3,0),0))</f>
        <v/>
      </c>
      <c r="AC138" s="156" t="str">
        <f>IF(OR(O138="",P138=""),"",IF(S138&gt;0,VLOOKUP(WardrobeHandleType,FixedListsHandleType,3,FALSE),0))</f>
        <v/>
      </c>
      <c r="AD138" s="156" t="str">
        <f>IF(OR(O138="",P138=""),"",IF(OR(ISERROR(FIND("carcass",$A138))=FALSE,ISERROR(FIND("unit",$A138))=FALSE),VLOOKUP(WardrobeCarcassFinish,FixedListsFinishes,3,0),IF(OR(ISERROR(FIND("door",$A138))=FALSE,ISERROR(FIND("Plinth",$A138))=FALSE,ISERROR(FIND("Cornice",$A138))=FALSE,ISERROR(FIND("Fillers",$A138))=FALSE,ISERROR(FIND("Pelmet",$A138))=FALSE,ISERROR(FIND("panel",$A138))=FALSE,ISERROR(FIND("post",$A138))=FALSE),VLOOKUP(WardrobeDoorFinish,FixedListsFinishes,3,0),IF(OR(ISERROR(FIND("drawer",$A138))=FALSE,ISERROR(FIND("insert",$A138))=FALSE,ISERROR(FIND("rck",$A138))=FALSE),VLOOKUP(WardrobeCarcassFinish,FixedListsFinishes,3,0),0))))</f>
        <v/>
      </c>
      <c r="AE138" s="156" t="str">
        <f t="shared" si="6"/>
        <v/>
      </c>
      <c r="AF138" s="157" t="str">
        <f>IF(AND(WardrobeHandleType="Channel",OR(ISERROR(FIND("arcass",$A138))=FALSE,ISERROR(FIND("unit",$A138))=FALSE)),IF(ISERROR(FIND("Tower",$A138))=TRUE,IF(WardrobeHandleFinish="Match carcass",IF(ISERROR(FIND("Walnut",WardrobeCarcassMaterial))=FALSE,(0.035*0.075*($C138/1000))*VLOOKUP("Walnut (solid m3)",SolidData,4,FALSE),IF(ISERROR(FIND("Oak",WardrobeCarcassMaterial))=FALSE,(0.035*0.075*($C138/1000))*VLOOKUP("Oak (solid m3)",SolidData,4,FALSE),IF(ISERROR(FIND("ply",WardrobeCarcassMaterial))=FALSE,(0.1*($C138/1000))*VLOOKUP("Birch ply (24mm)",SheetsData,7,FALSE),IF(ISERROR(FIND("H/F",WardrobeCarcassMaterial))=FALSE,(0.1*($C138/1000))*VLOOKUP("H/F (22mm)",SheetsData,7,FALSE),"Carcass - not tower - new material")))),IF(WardrobeHandleFinish="Match door",IF(ISERROR(FIND("Walnut",WardrobeDoorMaterial))=FALSE,(0.035*0.075*($C138/1000))*VLOOKUP("Walnut (solid m3)",SolidData,4,FALSE),IF(ISERROR(FIND("Oak",WardrobeDoorMaterial))=FALSE,(0.035*0.075*($C138/1000))*VLOOKUP("Oak (solid m3)",SolidData,4,FALSE),IF(ISERROR(FIND("ply",WardrobeDoorMaterial))=FALSE,(0.1*($C138/1000))*VLOOKUP("Birch ply (24mm)",SheetsData,7,FALSE),IF(ISERROR(FIND("H/F",WardrobeCarcassMaterial))=FALSE,(0.1*($C138/1000))*VLOOKUP("H/F (22mm)",SheetsData,7,FALSE),"Door - not tower - new material")))),"Channel - not tower - handle set to other")),IF(ISERROR(FIND("Tower",$A138))=FALSE,IF(WardrobeHandleFinish="Match carcass",IF(ISERROR(FIND("Walnut",WardrobeCarcassMaterial))=FALSE,(0.035*0.075*($B138/1000))*VLOOKUP("Walnut (solid m3)",SolidData,4,FALSE),IF(ISERROR(FIND("Oak",WardrobeCarcassMaterial))=FALSE,(0.035*0.075*($B138/1000))*VLOOKUP("Oak (solid m3)",SolidData,4,FALSE),IF(ISERROR(FIND("ply",WardrobeCarcassMaterial))=FALSE,(0.1*($B138/1000))*VLOOKUP("Birch ply (24mm)",SheetsData,7,FALSE),IF(ISERROR(FIND("H/F",WardrobeCarcassMaterial))=FALSE,(0.1*($C138/1000))*VLOOKUP("H/F (22mm)",SheetsData,7,FALSE),"Carcass - tower - new material")))),IF(WardrobeHandleFinish="Match door",IF(ISERROR(FIND("Walnut",WardrobeDoorMaterial))=FALSE,(0.035*0.075*($B138/1000))*VLOOKUP("Walnut (solid m3)",SolidData,4,FALSE),IF(ISERROR(FIND("Oak",WardrobeDoorMaterial))=FALSE,(0.035*0.075*($B138/1000))*VLOOKUP("Oak (solid m3)",SolidData,4,FALSE),IF(ISERROR(FIND("ply",WardrobeDoorMaterial))=FALSE,(0.1*($B138/1000))*VLOOKUP("Birch ply (24mm)",SheetData,7,FALSE),IF(ISERROR(FIND("H/F",WardrobeCarcassMaterial))=FALSE,(0.1*($C138/1000))*VLOOKUP("H/F (22mm)",SheetsData,7,FALSE),"Door - tower - new material")))),"Channel - tower - handle set to other")))),"")</f>
        <v/>
      </c>
    </row>
    <row r="139">
      <c r="A139" s="150"/>
      <c r="B139" s="160" t="str">
        <f t="shared" si="1"/>
        <v/>
      </c>
      <c r="C139" s="160" t="str">
        <f>IFERROR(__xludf.DUMMYFUNCTION("IF(A139="""","""",IF(ISERROR(FIND(""arcass"",A139))=FALSE,MID(A139,FIND(""*"",A139)+1,FIND(""*"",A139,FIND(""*"",A139)+1)-FIND(""*"",A139)-1),IF(ISERROR(FIND(""End panel"",A139))=FALSE,RIGHT(A139,3),IF(OR(ISERROR(FIND(""drawer"",A139))=FALSE,ISERROR(FIND("&amp;"""door"",A139))=FALSE,ISERROR(FIND(""shelf"",A139))=FALSE,ISERROR(FIND(""panel"",A139))=FALSE,ISERROR(FIND(""Plinth"",A139))=FALSE,ISERROR(FIND(""Cornice"",A139))=FALSE,ISERROR(FIND(""Fillers"",A139))=FALSE,ISERROR(FIND(""Pelmet"",A139))=FALSE,ISERROR(FIN"&amp;"D(""Fireplace up to 1600"",A139))=FALSE),RIGHT(A139,LEN(A139)-LEN(regexextract(A139,"".* ""))),IF(ISERROR(FIND(""table"",A139))=FALSE,""560"",IF(ISERROR(FIND(""Office pod"",A139))=FALSE,""1600"",IF(ISERROR(FIND(""Fireplace over 1600"",A139))=FALSE,""2400"&amp;""",IF(ISERROR(FIND(""Worktop"",A139))=FALSE,""650"",""Whoops""))))))))"),"")</f>
        <v/>
      </c>
      <c r="D139" s="161" t="str">
        <f t="shared" si="2"/>
        <v/>
      </c>
      <c r="E139" s="152" t="str">
        <f>IF(OR(A139="",AND(ISERROR(FIND("drawer",A139))=FALSE,WardrobeDrawerType="")),"",IF(ISERROR(FIND("door",A139))=FALSE,IF(WardrobeDoorStyle="Flat",((B139/1000)*(C139/1000))*VLOOKUP(WardrobeDoorMaterial,SheetsData,8,0),IF(LEFT(WardrobeDoorStyle,5)="Panel",(((((B139/1000)*2)*0.08)+((((C139/1000)-0.16)*2)*0.08))*VLOOKUP("H/F (22mm)",SheetsData,8,0))+(((B139/1000)-0.14)*((C139/1000)-0.14)*VLOOKUP("H/F (9mm)",SheetsData,8,0)),IF(WardrobeDoorStyle="In-frame flat",((((((B139/1000)*0.019)*0.038)+((((C139-38)/1000)*0.038)*0.038))*2)*VLOOKUP("Tulip (solid m3)",SolidData,4,0))+(((B139-76)/1000)*((C139-38)/1000))*VLOOKUP("H/F (22mm)",SheetsData,8,0),IF(LEFT(WardrobeDoorStyle,14)="In-frame panel",(((((((B139/1000)*0.019)*0.038)+((((C139-38)/1000)*0.038)*0.038))*2)*VLOOKUP("Tulip (solid m3)",SolidData,4,0))+(((((((B139-76)/1000)*2)*0.08)+(((((C139-198)/1000)*2)*0.08)))*VLOOKUP("H/F (22mm)",SheetsData,8,0))+(((B139-216)/1000)*((C139-178)/1000)*VLOOKUP("H/F (9mm)",SheetsData,8,0)))))))),IF(AND(ISERROR(FIND("arcass",A139))=FALSE,ISERROR(FIND("ost corner",A139))=TRUE),IF(AND(VALUE(B139)&lt;1211,VALUE(C139)&lt;1211,VALUE(D139)&lt;606),1*VLOOKUP(WardrobeCarcassMaterial,SheetsData,5,FALSE),IF(AND(VALUE(B139)&lt;2421,VALUE(C139)&lt;2421,VALUE(D139)&lt;606),2*VLOOKUP(WardrobeCarcassMaterial,SheetsData,5,FALSE),IF(AND(VALUE(B139)&lt;2421,VALUE(C139)&lt;1211,VALUE(D139)&lt;1211),3*VLOOKUP(WardrobeCarcassMaterial,SheetsData,5,FALSE),IF(AND(VALUE(B139)&lt;2421,VALUE(C139)&lt;2421,VALUE(D139)&lt;1211),4*VLOOKUP(WardrobeCarcassMaterial,SheetsData,5,FALSE))))),IF(AND(ISERROR(FIND("arcass",A139))=FALSE,ISERROR(FIND("ost corner",A139))=FALSE),IF(AND(VALUE(B139)&lt;1211,VALUE(C139)&lt;1211,VALUE(D139)&lt;606),(1*VLOOKUP(WardrobeCarcassMaterial,SheetsData,5,FALSE))+(VLOOKUP("H/F (22mm)",SheetsData,7,FALSE)*1.44),IF(AND(VALUE(B139)&lt;2421,VALUE(C139)&lt;2421,VALUE(D139)&lt;606),(2*VLOOKUP(WardrobeCarcassMaterial,SheetsData,5,FALSE))+(VLOOKUP("H/F (22mm)",SheetsData,7,FALSE)*1.44),IF(AND(VALUE(B139)&lt;2421,VALUE(C139)&lt;1211,VALUE(D139)&lt;1211),(3*VLOOKUP(WardrobeCarcassMaterial,SheetsData,5,FALSE))+(VLOOKUP("H/F (22mm)",SheetsData,7,FALSE)*1.44),IF(AND(VALUE(B139)&lt;2421,VALUE(C139)&lt;2421,VALUE(D139)&lt;1211),(4*VLOOKUP(WardrobeCarcassMaterial,SheetsData,5,FALSE))+(VLOOKUP("H/F (22mm)",SheetsData,7,FALSE)*1.44))))),IF(ISERROR(FIND("drawer front",A139))=FALSE,((B139/1000)*(C139/1000))*VLOOKUP(WardrobeDoorMaterial,SheetsData,8,0),IF(AND(WardrobeDrawerType="Match carcass",ISERROR(FIND("drawer box",A139))=FALSE),(((((B139/1000)*(C139/1000))+((B139/1000)*(D139/1000)))*2)*VLOOKUP(WardrobeCarcassMaterial,SheetsData,8,0))+(((C139/1000)*(D139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box",A139))=FALSE),(((((B139/1000)*(C139/1000))+((B139/1000)*(D139/1000)))*2)*(16/1000)*VLOOKUP(LEFT(WardrobeCarcassMaterial,FIND(" ",WardrobeCarcassMaterial))&amp;"(solid m3)",SolidData,4,0))+(((C139/1000)*(D139/1000))*VLOOKUP(LEFT(WardrobeCarcassMaterial,FIND("(",WardrobeCarcassMaterial)-1)&amp;IF(OR(ISERROR(FIND("ply",WardrobeCarcassMaterial))=FALSE,ISERROR(FIND("H/F",WardrobeCarcassMaterial))=FALSE),"(9mm)","(10mm)"),SheetsData,8,0)),IF(ISERROR(FIND("shelf",A139))=FALSE,((C139/1000)*(D139/1000))*VLOOKUP(WardrobeCarcassMaterial,SheetsData,7,FALSE),IF(ISERROR(FIND("Office pod",A139))=FALSE,3*VLOOKUP(WardrobeCarcassMaterial,SheetsData,5,0),IF(ISERROR(FIND(" panel",A139))=FALSE,((B139/1000)*(C139/1000))*VLOOKUP(WardrobeDoorMaterial,SheetsData,8,0),IF(ISERROR(FIND("Fillers",A139))=FALSE,(((0.06*(C139/1000))*2)*VLOOKUP("H/F (18mm)",SheetsData,8,0))+(((0.06*(C139/1000))*2)*VLOOKUP("H/F (9mm)",SheetsData,8,0)),IF(ISERROR(FIND("Cornice (stacked)",A139))=FALSE,((0.08*(C139/1000))*2)*VLOOKUP("H/F (22mm)",SheetsData,8,0),IF(OR(ISERROR(FIND("Plinth",A139))=FALSE,ISERROR(FIND("Cornice (flat)",A139))=FALSE),((B139/1000)*(C139/1000))*VLOOKUP("H/F (18mm)",SheetsData,8,0),IF(ISERROR(FIND("Pelmet",A139))=FALSE,((((B139/1000)*(C139/1000))*2)*VLOOKUP("H/F (18mm)",SheetsData,8,0)),IF(ISERROR(FIND("Fireplace",A139))=FALSE,IF(ISERROR(FIND("over 1600",A139))=FALSE,2*VLOOKUP(WardrobeCarcassMaterial,SheetsData,5,FALSE),VLOOKUP(WardrobeCarcassMaterial,SheetsData,5,FALSE)),IF(ISERROR(FIND("table",A139))=FALSE,((B139/1000)*0.6)*VLOOKUP("Birch ply (24mm)",SheetsData,7,FALSE),IF(ISERROR(FIND("Worktop",A139))=FALSE,((B139/1000)*(C139/1000))*VLOOKUP(WardrobeDoorMaterial,SheetsData,7,FALSE),"Check formula")))))))))))))))))</f>
        <v/>
      </c>
      <c r="F139" s="152" t="str">
        <f>IFERROR(__xludf.DUMMYFUNCTION("IF(OR(A139="""",AND(ISERROR(FIND(""drawer box"",A139))=FALSE,WardrobeDrawerType=""Solid dovetail"")),"""",IF(ISERROR(FIND(""bins"",A139))=FALSE,VLOOKUP(""Base carcass 600"",Wardrobes_etcData,6,0),IF(OR(ISERROR(FIND(""larder"",A139))=FALSE,ISERROR(FIND(""u"&amp;"nit"",A139))=FALSE),VLOOKUP(LEFT(A139,FIND("" "",A139))&amp;""carcass ""&amp;RIGHT(A139,LEN(A139)-len(regexextract(A139,"".* ""))),Wardrobes_etcData,6,0),IF(ISERROR(FIND(""drawer front"",A139))=FALSE,IF(ISERROR(FIND(""veneer"",WardrobeCarcassMaterial))=TRUE,0,((("&amp;"B139+C139)/1000)*2)*VLOOKUP(""Edge banding (per M)"",SheetsData,5,0)),IF(ISERROR(FIND(""drawer box"",A139))=FALSE,IF(ISERROR(FIND(""veneer"",WardrobeCarcassMaterial))=TRUE,0,(((C139+D139)/1000)*2)*VLOOKUP(""Edge banding (per M)"",SheetsData,5,0)),IF(ISERR"&amp;"OR(FIND(""shelf"",A139))=FALSE,IF(ISERROR(FIND(""veneer"",WardrobeCarcassMaterial))=TRUE,0,(C139/1000)*VLOOKUP(""Edge banding (per M)"",SheetsData,5,0)),IF(AND(OR(ISERROR(FIND(""arcass"",A139))=FALSE,ISERROR(FIND(""Fireplace"",A139))=FALSE),ISERROR(FIND("&amp;"""shelf"",A139))=TRUE),IF(ISERROR(FIND(""veneer"",WardrobeCarcassMaterial))=TRUE,0,((2*(B139+C139))/1000)*VLOOKUP(""Edge banding (per M)"",SheetsData,5,0)),IF(ISERROR(FIND(""door"",A139))=TRUE,"""",IF(ISERROR(FIND(""veneer"",WardrobeDoorMaterial))=TRUE,"""&amp;""",((2*(B139+C139))/1000)*VLOOKUP(""Edge banding (per M)"",SheetsData,5,0))))))))))"),"")</f>
        <v/>
      </c>
      <c r="G139" s="153" t="str">
        <f>IF(A139="","",IF(AND(ISERROR(FIND("arcass",A139))=TRUE,ISERROR(FIND("Fireplace",A139))=TRUE),"",IF(VALUE(C139)&lt;606,4*VLOOKUP("Plinth foot (2 Parts 80mm)",FurnitureData,5,FALSE),IF(VALUE(C139)&lt;1211,6*VLOOKUP("Plinth foot (2 Parts 80mm)",FurnitureData,5,FALSE),8*VLOOKUP("Plinth foot (2 Parts 80mm)",FurnitureData,5,FALSE)))))</f>
        <v/>
      </c>
      <c r="H139" s="115" t="str">
        <f>IF(OR(A139="",ISERROR(FIND("door",A139))=TRUE),"",VLOOKUP("Hinges &amp; plates (Hettich thick door)",FurnitureData,5,0)*5)</f>
        <v/>
      </c>
      <c r="I139" s="115" t="str">
        <f>IF(ISERROR(FIND("shelf",A139))=FALSE,(VLOOKUP("Shelf pegs",FurnitureData,5,0)/100)*4,"")</f>
        <v/>
      </c>
      <c r="J139" s="152" t="str">
        <f>IF(OR(ISERROR(FIND("fridge/freezer",A139))=FALSE,ISERROR(FIND("sink",A139))=FALSE,ISERROR(FIND("larder",A139))=FALSE),VLOOKUP("Deep shelf "&amp;C139,Wardrobes_etcData,18,0),IF(OR(ISERROR(FIND("single oven",A139))=FALSE,ISERROR(FIND("Base carcass",A139))=FALSE),2*VLOOKUP("Deep shelf "&amp;C139,Wardrobes_etcData,18,0),IF(AND(ISERROR(FIND("wall carcass",A139))=FALSE,ISERROR(FIND("Boiler",A139))=TRUE),2*VLOOKUP("Shallow shelf "&amp;C139,Wardrobes_etcData,18,0),IF(ISERROR(FIND("double oven",A139))=FALSE,3*VLOOKUP("Deep shelf "&amp;C139,Wardrobes_etcData,18,0),IF(ISERROR(FIND("Tower carcass",A139))=FALSE,6*VLOOKUP("Deep shelf "&amp;C139,Wardrobes_etcData,18,0),"")))))</f>
        <v/>
      </c>
      <c r="K139" s="152" t="str">
        <f>IF(ISERROR(FIND("sink",A139))=FALSE,VLOOKUP("Sink liner - Aluminium "&amp;RIGHT(A139,LEN(A139)-22)&amp;"mm",ExceptionalData,5,0),IF(ISERROR(FIND("bins",A139))=FALSE,VLOOKUP("Drawer runners and clip set for bin unit (500) Dynapro",FurnitureData,5,0)+(2*VLOOKUP("Bin (42L Anthracite)",FurnitureData,5,0)),IF(ISERROR(FIND("larder",A139))=FALSE,VLOOKUP("Pull out larder unit 600mm",FurnitureData,5,0),IF(AND(ISERROR(FIND("drawer box",A139))=FALSE,ISERROR(FIND("internal",A139))=TRUE),VLOOKUP("Drawer runners and clip set (550) Dynapro",FurnitureData,5,0),IF(ISERROR(FIND("internal drawer box",A139))=FALSE,VLOOKUP("Drawer runners and clip set (450) Dynapro",FurnitureData,5,0),IF(ISERROR(FIND("table",A139))=FALSE,VLOOKUP("Hairpin Leg (12mm Black "&amp;MID(A139,FIND("(",A139)+1,LEN(A139)-(FIND("(",A139))-1)&amp;"mm)",ExceptionalData,4,FALSE),""))))))</f>
        <v/>
      </c>
      <c r="L139" s="152" t="str">
        <f t="shared" si="3"/>
        <v/>
      </c>
      <c r="M139" s="154" t="str">
        <f>IF(A139="","",IF(AND(ISERROR(FIND("drawer front",A139))=FALSE,WardrobeDoorStyle="Flat"),(((B139/1000)*(C139/1000))*2)+((((B139+C139)/1000)*2)*0.022),IF(AND(ISERROR(FIND("drawer front",A139))=FALSE,LEFT(WardrobeDoorStyle,5)="Panel"),(((B139/1000)*(C139/1000))*2)+((((B139+C139)/1000)*2)*0.022)+((((C139/1000)-0.16)*0.013)*2)+((((D139/1000)-0.16)*0.013)*2),IF(AND(ISERROR(FIND("drawer front",A139))=FALSE,WardrobeDoorStyle="In-frame flat"),((((B139-76)/1000)*((C139-38)/1000))*2)+(MID(WardrobeDoorMaterial,FIND("(",WardrobeDoorMaterial)+1,2)/1000)*((((B139-76)+(C139-38))/1000)*2)+(((B139/1000)*0.032)*2)+((((B139-76)/1000)*0.032)*2)+(((B139/1000)*0.019)*4)+(((C139/1000)*0.032)*2)+((((C139-38)/1000)*0.032)*2)+(((C139/1000)*0.038)*4),IF(AND(ISERROR(FIND("drawer front",A139))=FALSE,LEFT(WardrobeDoorStyle,14)="In-frame panel"),((((B139-76)/1000)*((C139-38)/1000))*2)+((MID(WardrobeDoorMaterial,FIND("(",WardrobeDoorMaterial)+1,2)/1000)*((((B139-76)+(C139-38))/1000)*2))+((((B139-236)/1000)+((C139-198)/1000)*2)*0.013)+(((B139/1000)*0.032)*2)+((((B139-76)/1000)*0.032)*2)+(((B139/1000)*0.019)*4)+(((C139/1000)*0.032)*2)+((((C139-38)/1000)*0.032)*2)+(((C139/1000)*0.038)*4),IF(ISERROR(FIND("drawer box",A139))=FALSE,((((B139/1000)*(D139/1000))+((B139/1000)*(C139/1000)))*4)+((((D139/1000)+(C139/1000))*0.016)*4)+(((C139/1000)*(D139/1000))*2),IF(OR(ISERROR(FIND("shelf",A139))=FALSE,ISERROR(FIND("Filler panel",A139))=FALSE),(((C139/1000)*(D139/1000))*2)+((((C139+D139)*2)/1000)*0.022),IF(ISERROR(FIND("Fireplace",A139))=FALSE,((B139/1000)*(C139/1000)),IF(ISERROR(FIND("Worktop",A139))=FALSE,(B139/1000)*(C139/1000),IF(ISERROR(FIND("table",A139))=FALSE,(B139/1000)*0.6,IF(ISERROR(FIND("arcass",A139))=FALSE,(((C139/1000)*(D139/1000))*2)+(((B139/1000)*(D139/1000))*2)+((B139/1000)*(C139/1000))+((((B139/1000)*0.025)+((C139/1000)*0.025))*2),IF(AND(ISERROR(FIND("door",A139))=FALSE,WardrobeDoorStyle="Flat"),(((B139/1000)*(C139/1000))*2)+(MID(WardrobeDoorMaterial,FIND("(",WardrobeDoorMaterial)+1,2)/1000)*(((B139+C139)/1000)*2),IF(AND(ISERROR(FIND("door",A139))=FALSE,LEFT(WardrobeDoorStyle,5)="Panel"),(((B139/1000)*(C139/1000))*2)+((MID(WardrobeDoorMaterial,FIND("(",WardrobeDoorMaterial)+1,2)/1000)*(((B139+C139)/1000)*2))+(((((B139-160)+(C139-160))*2)/1000)*(0.013)),IF(AND(ISERROR(FIND("door",A139))=FALSE,WardrobeDoorStyle="In-frame flat"),((((B139-76)/1000)*((C139-38)/1000))*2)+(MID(WardrobeDoorMaterial,FIND("(",WardrobeDoorMaterial)+1,2)/1000)*((((B139-76)+(C139-38))/1000)*2)+(((B139/1000)*0.032)*2)+((((B139-76)/1000)*0.032)*2)+(((B139/1000)*0.019)*4)+(((C139/1000)*0.032)*2)+((((C139-38)/1000)*0.032)*2)+(((C139/1000)*0.038)*4),IF(AND(ISERROR(FIND("door",A139))=FALSE,LEFT(WardrobeDoorStyle,14)="In-frame panel"),((((B139-76)/1000)*((C139-38)/1000))*2)+((MID(WardrobeDoorMaterial,FIND("(",WardrobeDoorMaterial)+1,2)/1000)*((((B139-76)+(C139-38))/1000)*2))+((((B139-236)/1000)+((C139-198)/1000)*2)*0.013)+(((B139/1000)*0.032)*2)+((((B139-76)/1000)*0.032)*2)+(((B139/1000)*0.019)*4)+(((C139/1000)*0.032)*2)+((((C139-38)/1000)*0.032)*2)+(((C139/1000)*0.038)*4),IF(ISERROR(FIND("Plinth",A139))=FALSE,((B139/1000)*(C139/1000))+(((C139/1000)*0.018)*2)+(((B139/1000)*0.018)*2),IF(ISERROR(FIND("Cornice",A139))=FALSE,(((C139/1000)*0.1)*2)+(((C139/1000)*0.044)*2)+(((B139/1000)*0.08)*2),IF(ISERROR(FIND("Office pod",A139))=FALSE,((2400/1000)*(1200/1000))*6,IF(ISERROR(FIND("panel",A139))=FALSE,((B139/1000)*(C139/1000))+(0.022*((B139/1000)+((C139/1000)*2)))+((B139/1000)*0.05),IF(ISERROR(FIND("Fillers",A139))=FALSE,((C139/1000)*0.06)+((C139/1000)*0.069)+((0.06*0.018)*2)+((0.06*0.009)*2)+((C139/1000)*0.009)+((C139/1000)*0.018),IF(ISERROR(FIND("Pelmet",A139))=FALSE,((C139/1000)*0.05)+((C139/1000)*0.068)+((0.05*0.018)*4)+(((C139/1000)*0.018))*2)))))))))))))))))))))</f>
        <v/>
      </c>
      <c r="N139" s="152" t="str">
        <f>IF(M139="","",IF(AND(ISERROR(FIND("carcass",A139))=TRUE,ISERROR(FIND("unit",A139))=TRUE,ISERROR(FIND("insert",A139))=TRUE,ISERROR(FIND("rack",A139))=TRUE,ISERROR(FIND("box",A139))=TRUE,ISERROR(FIND("shelf",A139))=TRUE),VLOOKUP(WardrobeDoorFinish,Finishing!$A$2:$K$10,9,0)*M139,IF(ISERROR(FIND("table",A139))=FALSE,VLOOKUP("Sayerlack AF0072 Interior Clear Self-Sealer",FinishingData,9,FALSE)*M139,VLOOKUP(WardrobeCarcassFinish,Finishing!$A$2:$K$40,9,0)*M139)))</f>
        <v/>
      </c>
      <c r="O139" s="159"/>
      <c r="P139" s="159"/>
      <c r="Q139" s="152" t="str">
        <f>IF(OR(O139="",P139=""),"",((O139*X139)*(VLOOKUP("Workshop",Labour!$A$3:$E$20,4,0)/8))+((P139*AE139)*(VLOOKUP("Finishing",Labour!$A$3:$E$20,4,0)/8)))</f>
        <v/>
      </c>
      <c r="R139" s="152" t="str">
        <f t="shared" si="4"/>
        <v/>
      </c>
      <c r="S139" s="156" t="str">
        <f>IF(OR(O139="",P139=""),"",IF(OR(ISERROR(FIND("carcass",$A139))=FALSE,ISERROR(FIND("unit",$A139))=FALSE),VLOOKUP(WardrobeCarcassMaterial,FixedListsCarcassMaterial,2,0),0))</f>
        <v/>
      </c>
      <c r="T139" s="156" t="str">
        <f>IF(OR(O139="",P139=""),"",IF(ISERROR(FIND("door",$A139))=FALSE,VLOOKUP(WardrobeDoorStyle,FixedListsDoorStyle,2,0),0))</f>
        <v/>
      </c>
      <c r="U139" s="156" t="str">
        <f>IF(OR(O139="",P139=""),"",IF(ISERROR(FIND("door",$A139))=FALSE,VLOOKUP(WardrobeDoorMaterial,FixedListsDoorMaterial,2,0),0))</f>
        <v/>
      </c>
      <c r="V139" s="156" t="str">
        <f>IF(OR(O139="",P139=""),"",IF(ISERROR(FIND("drawer",$A139))=FALSE,VLOOKUP(WardrobeDrawerType,FixedListsDrawerType,2,0),0))</f>
        <v/>
      </c>
      <c r="W139" s="156" t="str">
        <f>IF(OR(O139="",P139=""),"",IF(S139&gt;0,VLOOKUP(WardrobeHandleType,FixedListsHandleType,2,FALSE),0))</f>
        <v/>
      </c>
      <c r="X139" s="156" t="str">
        <f t="shared" si="5"/>
        <v/>
      </c>
      <c r="Y139" s="156" t="str">
        <f>IF(OR(O139="",P139=""),"",IF(OR(ISERROR(FIND("carcass",$A139))=FALSE,ISERROR(FIND("unit",$A139))=FALSE),VLOOKUP(WardrobeCarcassMaterial,FixedListsCarcassMaterial,3,0),0))</f>
        <v/>
      </c>
      <c r="Z139" s="156" t="str">
        <f>IF(OR(O139="",P139=""),"",IF(ISERROR(FIND("door",$A139))=FALSE,VLOOKUP(WardrobeDoorStyle,FixedListsDoorStyle,3,0),0))</f>
        <v/>
      </c>
      <c r="AA139" s="156" t="str">
        <f>IF(OR(O139="",P139=""),"",IF(ISERROR(FIND("door",$A139))=FALSE,VLOOKUP(WardrobeDoorMaterial,FixedListsDoorMaterial,3,0),0))</f>
        <v/>
      </c>
      <c r="AB139" s="156" t="str">
        <f>IF(OR(O139="",P139=""),"",IF(ISERROR(FIND("drawer",$A139))=FALSE,VLOOKUP(WardrobeDrawerType,FixedListsDrawerType,3,0),0))</f>
        <v/>
      </c>
      <c r="AC139" s="156" t="str">
        <f>IF(OR(O139="",P139=""),"",IF(S139&gt;0,VLOOKUP(WardrobeHandleType,FixedListsHandleType,3,FALSE),0))</f>
        <v/>
      </c>
      <c r="AD139" s="156" t="str">
        <f>IF(OR(O139="",P139=""),"",IF(OR(ISERROR(FIND("carcass",$A139))=FALSE,ISERROR(FIND("unit",$A139))=FALSE),VLOOKUP(WardrobeCarcassFinish,FixedListsFinishes,3,0),IF(OR(ISERROR(FIND("door",$A139))=FALSE,ISERROR(FIND("Plinth",$A139))=FALSE,ISERROR(FIND("Cornice",$A139))=FALSE,ISERROR(FIND("Fillers",$A139))=FALSE,ISERROR(FIND("Pelmet",$A139))=FALSE,ISERROR(FIND("panel",$A139))=FALSE,ISERROR(FIND("post",$A139))=FALSE),VLOOKUP(WardrobeDoorFinish,FixedListsFinishes,3,0),IF(OR(ISERROR(FIND("drawer",$A139))=FALSE,ISERROR(FIND("insert",$A139))=FALSE,ISERROR(FIND("rck",$A139))=FALSE),VLOOKUP(WardrobeCarcassFinish,FixedListsFinishes,3,0),0))))</f>
        <v/>
      </c>
      <c r="AE139" s="156" t="str">
        <f t="shared" si="6"/>
        <v/>
      </c>
      <c r="AF139" s="157" t="str">
        <f>IF(AND(WardrobeHandleType="Channel",OR(ISERROR(FIND("arcass",$A139))=FALSE,ISERROR(FIND("unit",$A139))=FALSE)),IF(ISERROR(FIND("Tower",$A139))=TRUE,IF(WardrobeHandleFinish="Match carcass",IF(ISERROR(FIND("Walnut",WardrobeCarcassMaterial))=FALSE,(0.035*0.075*($C139/1000))*VLOOKUP("Walnut (solid m3)",SolidData,4,FALSE),IF(ISERROR(FIND("Oak",WardrobeCarcassMaterial))=FALSE,(0.035*0.075*($C139/1000))*VLOOKUP("Oak (solid m3)",SolidData,4,FALSE),IF(ISERROR(FIND("ply",WardrobeCarcassMaterial))=FALSE,(0.1*($C139/1000))*VLOOKUP("Birch ply (24mm)",SheetsData,7,FALSE),IF(ISERROR(FIND("H/F",WardrobeCarcassMaterial))=FALSE,(0.1*($C139/1000))*VLOOKUP("H/F (22mm)",SheetsData,7,FALSE),"Carcass - not tower - new material")))),IF(WardrobeHandleFinish="Match door",IF(ISERROR(FIND("Walnut",WardrobeDoorMaterial))=FALSE,(0.035*0.075*($C139/1000))*VLOOKUP("Walnut (solid m3)",SolidData,4,FALSE),IF(ISERROR(FIND("Oak",WardrobeDoorMaterial))=FALSE,(0.035*0.075*($C139/1000))*VLOOKUP("Oak (solid m3)",SolidData,4,FALSE),IF(ISERROR(FIND("ply",WardrobeDoorMaterial))=FALSE,(0.1*($C139/1000))*VLOOKUP("Birch ply (24mm)",SheetsData,7,FALSE),IF(ISERROR(FIND("H/F",WardrobeCarcassMaterial))=FALSE,(0.1*($C139/1000))*VLOOKUP("H/F (22mm)",SheetsData,7,FALSE),"Door - not tower - new material")))),"Channel - not tower - handle set to other")),IF(ISERROR(FIND("Tower",$A139))=FALSE,IF(WardrobeHandleFinish="Match carcass",IF(ISERROR(FIND("Walnut",WardrobeCarcassMaterial))=FALSE,(0.035*0.075*($B139/1000))*VLOOKUP("Walnut (solid m3)",SolidData,4,FALSE),IF(ISERROR(FIND("Oak",WardrobeCarcassMaterial))=FALSE,(0.035*0.075*($B139/1000))*VLOOKUP("Oak (solid m3)",SolidData,4,FALSE),IF(ISERROR(FIND("ply",WardrobeCarcassMaterial))=FALSE,(0.1*($B139/1000))*VLOOKUP("Birch ply (24mm)",SheetsData,7,FALSE),IF(ISERROR(FIND("H/F",WardrobeCarcassMaterial))=FALSE,(0.1*($C139/1000))*VLOOKUP("H/F (22mm)",SheetsData,7,FALSE),"Carcass - tower - new material")))),IF(WardrobeHandleFinish="Match door",IF(ISERROR(FIND("Walnut",WardrobeDoorMaterial))=FALSE,(0.035*0.075*($B139/1000))*VLOOKUP("Walnut (solid m3)",SolidData,4,FALSE),IF(ISERROR(FIND("Oak",WardrobeDoorMaterial))=FALSE,(0.035*0.075*($B139/1000))*VLOOKUP("Oak (solid m3)",SolidData,4,FALSE),IF(ISERROR(FIND("ply",WardrobeDoorMaterial))=FALSE,(0.1*($B139/1000))*VLOOKUP("Birch ply (24mm)",SheetData,7,FALSE),IF(ISERROR(FIND("H/F",WardrobeCarcassMaterial))=FALSE,(0.1*($C139/1000))*VLOOKUP("H/F (22mm)",SheetsData,7,FALSE),"Door - tower - new material")))),"Channel - tower - handle set to other")))),"")</f>
        <v/>
      </c>
    </row>
    <row r="140">
      <c r="A140" s="150"/>
      <c r="B140" s="160" t="str">
        <f t="shared" si="1"/>
        <v/>
      </c>
      <c r="C140" s="160" t="str">
        <f>IFERROR(__xludf.DUMMYFUNCTION("IF(A140="""","""",IF(ISERROR(FIND(""arcass"",A140))=FALSE,MID(A140,FIND(""*"",A140)+1,FIND(""*"",A140,FIND(""*"",A140)+1)-FIND(""*"",A140)-1),IF(ISERROR(FIND(""End panel"",A140))=FALSE,RIGHT(A140,3),IF(OR(ISERROR(FIND(""drawer"",A140))=FALSE,ISERROR(FIND("&amp;"""door"",A140))=FALSE,ISERROR(FIND(""shelf"",A140))=FALSE,ISERROR(FIND(""panel"",A140))=FALSE,ISERROR(FIND(""Plinth"",A140))=FALSE,ISERROR(FIND(""Cornice"",A140))=FALSE,ISERROR(FIND(""Fillers"",A140))=FALSE,ISERROR(FIND(""Pelmet"",A140))=FALSE,ISERROR(FIN"&amp;"D(""Fireplace up to 1600"",A140))=FALSE),RIGHT(A140,LEN(A140)-LEN(regexextract(A140,"".* ""))),IF(ISERROR(FIND(""table"",A140))=FALSE,""560"",IF(ISERROR(FIND(""Office pod"",A140))=FALSE,""1600"",IF(ISERROR(FIND(""Fireplace over 1600"",A140))=FALSE,""2400"&amp;""",IF(ISERROR(FIND(""Worktop"",A140))=FALSE,""650"",""Whoops""))))))))"),"")</f>
        <v/>
      </c>
      <c r="D140" s="161" t="str">
        <f t="shared" si="2"/>
        <v/>
      </c>
      <c r="E140" s="152" t="str">
        <f>IF(OR(A140="",AND(ISERROR(FIND("drawer",A140))=FALSE,WardrobeDrawerType="")),"",IF(ISERROR(FIND("door",A140))=FALSE,IF(WardrobeDoorStyle="Flat",((B140/1000)*(C140/1000))*VLOOKUP(WardrobeDoorMaterial,SheetsData,8,0),IF(LEFT(WardrobeDoorStyle,5)="Panel",(((((B140/1000)*2)*0.08)+((((C140/1000)-0.16)*2)*0.08))*VLOOKUP("H/F (22mm)",SheetsData,8,0))+(((B140/1000)-0.14)*((C140/1000)-0.14)*VLOOKUP("H/F (9mm)",SheetsData,8,0)),IF(WardrobeDoorStyle="In-frame flat",((((((B140/1000)*0.019)*0.038)+((((C140-38)/1000)*0.038)*0.038))*2)*VLOOKUP("Tulip (solid m3)",SolidData,4,0))+(((B140-76)/1000)*((C140-38)/1000))*VLOOKUP("H/F (22mm)",SheetsData,8,0),IF(LEFT(WardrobeDoorStyle,14)="In-frame panel",(((((((B140/1000)*0.019)*0.038)+((((C140-38)/1000)*0.038)*0.038))*2)*VLOOKUP("Tulip (solid m3)",SolidData,4,0))+(((((((B140-76)/1000)*2)*0.08)+(((((C140-198)/1000)*2)*0.08)))*VLOOKUP("H/F (22mm)",SheetsData,8,0))+(((B140-216)/1000)*((C140-178)/1000)*VLOOKUP("H/F (9mm)",SheetsData,8,0)))))))),IF(AND(ISERROR(FIND("arcass",A140))=FALSE,ISERROR(FIND("ost corner",A140))=TRUE),IF(AND(VALUE(B140)&lt;1211,VALUE(C140)&lt;1211,VALUE(D140)&lt;606),1*VLOOKUP(WardrobeCarcassMaterial,SheetsData,5,FALSE),IF(AND(VALUE(B140)&lt;2421,VALUE(C140)&lt;2421,VALUE(D140)&lt;606),2*VLOOKUP(WardrobeCarcassMaterial,SheetsData,5,FALSE),IF(AND(VALUE(B140)&lt;2421,VALUE(C140)&lt;1211,VALUE(D140)&lt;1211),3*VLOOKUP(WardrobeCarcassMaterial,SheetsData,5,FALSE),IF(AND(VALUE(B140)&lt;2421,VALUE(C140)&lt;2421,VALUE(D140)&lt;1211),4*VLOOKUP(WardrobeCarcassMaterial,SheetsData,5,FALSE))))),IF(AND(ISERROR(FIND("arcass",A140))=FALSE,ISERROR(FIND("ost corner",A140))=FALSE),IF(AND(VALUE(B140)&lt;1211,VALUE(C140)&lt;1211,VALUE(D140)&lt;606),(1*VLOOKUP(WardrobeCarcassMaterial,SheetsData,5,FALSE))+(VLOOKUP("H/F (22mm)",SheetsData,7,FALSE)*1.44),IF(AND(VALUE(B140)&lt;2421,VALUE(C140)&lt;2421,VALUE(D140)&lt;606),(2*VLOOKUP(WardrobeCarcassMaterial,SheetsData,5,FALSE))+(VLOOKUP("H/F (22mm)",SheetsData,7,FALSE)*1.44),IF(AND(VALUE(B140)&lt;2421,VALUE(C140)&lt;1211,VALUE(D140)&lt;1211),(3*VLOOKUP(WardrobeCarcassMaterial,SheetsData,5,FALSE))+(VLOOKUP("H/F (22mm)",SheetsData,7,FALSE)*1.44),IF(AND(VALUE(B140)&lt;2421,VALUE(C140)&lt;2421,VALUE(D140)&lt;1211),(4*VLOOKUP(WardrobeCarcassMaterial,SheetsData,5,FALSE))+(VLOOKUP("H/F (22mm)",SheetsData,7,FALSE)*1.44))))),IF(ISERROR(FIND("drawer front",A140))=FALSE,((B140/1000)*(C140/1000))*VLOOKUP(WardrobeDoorMaterial,SheetsData,8,0),IF(AND(WardrobeDrawerType="Match carcass",ISERROR(FIND("drawer box",A140))=FALSE),(((((B140/1000)*(C140/1000))+((B140/1000)*(D140/1000)))*2)*VLOOKUP(WardrobeCarcassMaterial,SheetsData,8,0))+(((C140/1000)*(D140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box",A140))=FALSE),(((((B140/1000)*(C140/1000))+((B140/1000)*(D140/1000)))*2)*(16/1000)*VLOOKUP(LEFT(WardrobeCarcassMaterial,FIND(" ",WardrobeCarcassMaterial))&amp;"(solid m3)",SolidData,4,0))+(((C140/1000)*(D140/1000))*VLOOKUP(LEFT(WardrobeCarcassMaterial,FIND("(",WardrobeCarcassMaterial)-1)&amp;IF(OR(ISERROR(FIND("ply",WardrobeCarcassMaterial))=FALSE,ISERROR(FIND("H/F",WardrobeCarcassMaterial))=FALSE),"(9mm)","(10mm)"),SheetsData,8,0)),IF(ISERROR(FIND("shelf",A140))=FALSE,((C140/1000)*(D140/1000))*VLOOKUP(WardrobeCarcassMaterial,SheetsData,7,FALSE),IF(ISERROR(FIND("Office pod",A140))=FALSE,3*VLOOKUP(WardrobeCarcassMaterial,SheetsData,5,0),IF(ISERROR(FIND(" panel",A140))=FALSE,((B140/1000)*(C140/1000))*VLOOKUP(WardrobeDoorMaterial,SheetsData,8,0),IF(ISERROR(FIND("Fillers",A140))=FALSE,(((0.06*(C140/1000))*2)*VLOOKUP("H/F (18mm)",SheetsData,8,0))+(((0.06*(C140/1000))*2)*VLOOKUP("H/F (9mm)",SheetsData,8,0)),IF(ISERROR(FIND("Cornice (stacked)",A140))=FALSE,((0.08*(C140/1000))*2)*VLOOKUP("H/F (22mm)",SheetsData,8,0),IF(OR(ISERROR(FIND("Plinth",A140))=FALSE,ISERROR(FIND("Cornice (flat)",A140))=FALSE),((B140/1000)*(C140/1000))*VLOOKUP("H/F (18mm)",SheetsData,8,0),IF(ISERROR(FIND("Pelmet",A140))=FALSE,((((B140/1000)*(C140/1000))*2)*VLOOKUP("H/F (18mm)",SheetsData,8,0)),IF(ISERROR(FIND("Fireplace",A140))=FALSE,IF(ISERROR(FIND("over 1600",A140))=FALSE,2*VLOOKUP(WardrobeCarcassMaterial,SheetsData,5,FALSE),VLOOKUP(WardrobeCarcassMaterial,SheetsData,5,FALSE)),IF(ISERROR(FIND("table",A140))=FALSE,((B140/1000)*0.6)*VLOOKUP("Birch ply (24mm)",SheetsData,7,FALSE),IF(ISERROR(FIND("Worktop",A140))=FALSE,((B140/1000)*(C140/1000))*VLOOKUP(WardrobeDoorMaterial,SheetsData,7,FALSE),"Check formula")))))))))))))))))</f>
        <v/>
      </c>
      <c r="F140" s="152" t="str">
        <f>IFERROR(__xludf.DUMMYFUNCTION("IF(OR(A140="""",AND(ISERROR(FIND(""drawer box"",A140))=FALSE,WardrobeDrawerType=""Solid dovetail"")),"""",IF(ISERROR(FIND(""bins"",A140))=FALSE,VLOOKUP(""Base carcass 600"",Wardrobes_etcData,6,0),IF(OR(ISERROR(FIND(""larder"",A140))=FALSE,ISERROR(FIND(""u"&amp;"nit"",A140))=FALSE),VLOOKUP(LEFT(A140,FIND("" "",A140))&amp;""carcass ""&amp;RIGHT(A140,LEN(A140)-len(regexextract(A140,"".* ""))),Wardrobes_etcData,6,0),IF(ISERROR(FIND(""drawer front"",A140))=FALSE,IF(ISERROR(FIND(""veneer"",WardrobeCarcassMaterial))=TRUE,0,((("&amp;"B140+C140)/1000)*2)*VLOOKUP(""Edge banding (per M)"",SheetsData,5,0)),IF(ISERROR(FIND(""drawer box"",A140))=FALSE,IF(ISERROR(FIND(""veneer"",WardrobeCarcassMaterial))=TRUE,0,(((C140+D140)/1000)*2)*VLOOKUP(""Edge banding (per M)"",SheetsData,5,0)),IF(ISERR"&amp;"OR(FIND(""shelf"",A140))=FALSE,IF(ISERROR(FIND(""veneer"",WardrobeCarcassMaterial))=TRUE,0,(C140/1000)*VLOOKUP(""Edge banding (per M)"",SheetsData,5,0)),IF(AND(OR(ISERROR(FIND(""arcass"",A140))=FALSE,ISERROR(FIND(""Fireplace"",A140))=FALSE),ISERROR(FIND("&amp;"""shelf"",A140))=TRUE),IF(ISERROR(FIND(""veneer"",WardrobeCarcassMaterial))=TRUE,0,((2*(B140+C140))/1000)*VLOOKUP(""Edge banding (per M)"",SheetsData,5,0)),IF(ISERROR(FIND(""door"",A140))=TRUE,"""",IF(ISERROR(FIND(""veneer"",WardrobeDoorMaterial))=TRUE,"""&amp;""",((2*(B140+C140))/1000)*VLOOKUP(""Edge banding (per M)"",SheetsData,5,0))))))))))"),"")</f>
        <v/>
      </c>
      <c r="G140" s="153" t="str">
        <f>IF(A140="","",IF(AND(ISERROR(FIND("arcass",A140))=TRUE,ISERROR(FIND("Fireplace",A140))=TRUE),"",IF(VALUE(C140)&lt;606,4*VLOOKUP("Plinth foot (2 Parts 80mm)",FurnitureData,5,FALSE),IF(VALUE(C140)&lt;1211,6*VLOOKUP("Plinth foot (2 Parts 80mm)",FurnitureData,5,FALSE),8*VLOOKUP("Plinth foot (2 Parts 80mm)",FurnitureData,5,FALSE)))))</f>
        <v/>
      </c>
      <c r="H140" s="115" t="str">
        <f>IF(OR(A140="",ISERROR(FIND("door",A140))=TRUE),"",VLOOKUP("Hinges &amp; plates (Hettich thick door)",FurnitureData,5,0)*5)</f>
        <v/>
      </c>
      <c r="I140" s="115" t="str">
        <f>IF(ISERROR(FIND("shelf",A140))=FALSE,(VLOOKUP("Shelf pegs",FurnitureData,5,0)/100)*4,"")</f>
        <v/>
      </c>
      <c r="J140" s="152" t="str">
        <f>IF(OR(ISERROR(FIND("fridge/freezer",A140))=FALSE,ISERROR(FIND("sink",A140))=FALSE,ISERROR(FIND("larder",A140))=FALSE),VLOOKUP("Deep shelf "&amp;C140,Wardrobes_etcData,18,0),IF(OR(ISERROR(FIND("single oven",A140))=FALSE,ISERROR(FIND("Base carcass",A140))=FALSE),2*VLOOKUP("Deep shelf "&amp;C140,Wardrobes_etcData,18,0),IF(AND(ISERROR(FIND("wall carcass",A140))=FALSE,ISERROR(FIND("Boiler",A140))=TRUE),2*VLOOKUP("Shallow shelf "&amp;C140,Wardrobes_etcData,18,0),IF(ISERROR(FIND("double oven",A140))=FALSE,3*VLOOKUP("Deep shelf "&amp;C140,Wardrobes_etcData,18,0),IF(ISERROR(FIND("Tower carcass",A140))=FALSE,6*VLOOKUP("Deep shelf "&amp;C140,Wardrobes_etcData,18,0),"")))))</f>
        <v/>
      </c>
      <c r="K140" s="152" t="str">
        <f>IF(ISERROR(FIND("sink",A140))=FALSE,VLOOKUP("Sink liner - Aluminium "&amp;RIGHT(A140,LEN(A140)-22)&amp;"mm",ExceptionalData,5,0),IF(ISERROR(FIND("bins",A140))=FALSE,VLOOKUP("Drawer runners and clip set for bin unit (500) Dynapro",FurnitureData,5,0)+(2*VLOOKUP("Bin (42L Anthracite)",FurnitureData,5,0)),IF(ISERROR(FIND("larder",A140))=FALSE,VLOOKUP("Pull out larder unit 600mm",FurnitureData,5,0),IF(AND(ISERROR(FIND("drawer box",A140))=FALSE,ISERROR(FIND("internal",A140))=TRUE),VLOOKUP("Drawer runners and clip set (550) Dynapro",FurnitureData,5,0),IF(ISERROR(FIND("internal drawer box",A140))=FALSE,VLOOKUP("Drawer runners and clip set (450) Dynapro",FurnitureData,5,0),IF(ISERROR(FIND("table",A140))=FALSE,VLOOKUP("Hairpin Leg (12mm Black "&amp;MID(A140,FIND("(",A140)+1,LEN(A140)-(FIND("(",A140))-1)&amp;"mm)",ExceptionalData,4,FALSE),""))))))</f>
        <v/>
      </c>
      <c r="L140" s="152" t="str">
        <f t="shared" si="3"/>
        <v/>
      </c>
      <c r="M140" s="154" t="str">
        <f>IF(A140="","",IF(AND(ISERROR(FIND("drawer front",A140))=FALSE,WardrobeDoorStyle="Flat"),(((B140/1000)*(C140/1000))*2)+((((B140+C140)/1000)*2)*0.022),IF(AND(ISERROR(FIND("drawer front",A140))=FALSE,LEFT(WardrobeDoorStyle,5)="Panel"),(((B140/1000)*(C140/1000))*2)+((((B140+C140)/1000)*2)*0.022)+((((C140/1000)-0.16)*0.013)*2)+((((D140/1000)-0.16)*0.013)*2),IF(AND(ISERROR(FIND("drawer front",A140))=FALSE,WardrobeDoorStyle="In-frame flat"),((((B140-76)/1000)*((C140-38)/1000))*2)+(MID(WardrobeDoorMaterial,FIND("(",WardrobeDoorMaterial)+1,2)/1000)*((((B140-76)+(C140-38))/1000)*2)+(((B140/1000)*0.032)*2)+((((B140-76)/1000)*0.032)*2)+(((B140/1000)*0.019)*4)+(((C140/1000)*0.032)*2)+((((C140-38)/1000)*0.032)*2)+(((C140/1000)*0.038)*4),IF(AND(ISERROR(FIND("drawer front",A140))=FALSE,LEFT(WardrobeDoorStyle,14)="In-frame panel"),((((B140-76)/1000)*((C140-38)/1000))*2)+((MID(WardrobeDoorMaterial,FIND("(",WardrobeDoorMaterial)+1,2)/1000)*((((B140-76)+(C140-38))/1000)*2))+((((B140-236)/1000)+((C140-198)/1000)*2)*0.013)+(((B140/1000)*0.032)*2)+((((B140-76)/1000)*0.032)*2)+(((B140/1000)*0.019)*4)+(((C140/1000)*0.032)*2)+((((C140-38)/1000)*0.032)*2)+(((C140/1000)*0.038)*4),IF(ISERROR(FIND("drawer box",A140))=FALSE,((((B140/1000)*(D140/1000))+((B140/1000)*(C140/1000)))*4)+((((D140/1000)+(C140/1000))*0.016)*4)+(((C140/1000)*(D140/1000))*2),IF(OR(ISERROR(FIND("shelf",A140))=FALSE,ISERROR(FIND("Filler panel",A140))=FALSE),(((C140/1000)*(D140/1000))*2)+((((C140+D140)*2)/1000)*0.022),IF(ISERROR(FIND("Fireplace",A140))=FALSE,((B140/1000)*(C140/1000)),IF(ISERROR(FIND("Worktop",A140))=FALSE,(B140/1000)*(C140/1000),IF(ISERROR(FIND("table",A140))=FALSE,(B140/1000)*0.6,IF(ISERROR(FIND("arcass",A140))=FALSE,(((C140/1000)*(D140/1000))*2)+(((B140/1000)*(D140/1000))*2)+((B140/1000)*(C140/1000))+((((B140/1000)*0.025)+((C140/1000)*0.025))*2),IF(AND(ISERROR(FIND("door",A140))=FALSE,WardrobeDoorStyle="Flat"),(((B140/1000)*(C140/1000))*2)+(MID(WardrobeDoorMaterial,FIND("(",WardrobeDoorMaterial)+1,2)/1000)*(((B140+C140)/1000)*2),IF(AND(ISERROR(FIND("door",A140))=FALSE,LEFT(WardrobeDoorStyle,5)="Panel"),(((B140/1000)*(C140/1000))*2)+((MID(WardrobeDoorMaterial,FIND("(",WardrobeDoorMaterial)+1,2)/1000)*(((B140+C140)/1000)*2))+(((((B140-160)+(C140-160))*2)/1000)*(0.013)),IF(AND(ISERROR(FIND("door",A140))=FALSE,WardrobeDoorStyle="In-frame flat"),((((B140-76)/1000)*((C140-38)/1000))*2)+(MID(WardrobeDoorMaterial,FIND("(",WardrobeDoorMaterial)+1,2)/1000)*((((B140-76)+(C140-38))/1000)*2)+(((B140/1000)*0.032)*2)+((((B140-76)/1000)*0.032)*2)+(((B140/1000)*0.019)*4)+(((C140/1000)*0.032)*2)+((((C140-38)/1000)*0.032)*2)+(((C140/1000)*0.038)*4),IF(AND(ISERROR(FIND("door",A140))=FALSE,LEFT(WardrobeDoorStyle,14)="In-frame panel"),((((B140-76)/1000)*((C140-38)/1000))*2)+((MID(WardrobeDoorMaterial,FIND("(",WardrobeDoorMaterial)+1,2)/1000)*((((B140-76)+(C140-38))/1000)*2))+((((B140-236)/1000)+((C140-198)/1000)*2)*0.013)+(((B140/1000)*0.032)*2)+((((B140-76)/1000)*0.032)*2)+(((B140/1000)*0.019)*4)+(((C140/1000)*0.032)*2)+((((C140-38)/1000)*0.032)*2)+(((C140/1000)*0.038)*4),IF(ISERROR(FIND("Plinth",A140))=FALSE,((B140/1000)*(C140/1000))+(((C140/1000)*0.018)*2)+(((B140/1000)*0.018)*2),IF(ISERROR(FIND("Cornice",A140))=FALSE,(((C140/1000)*0.1)*2)+(((C140/1000)*0.044)*2)+(((B140/1000)*0.08)*2),IF(ISERROR(FIND("Office pod",A140))=FALSE,((2400/1000)*(1200/1000))*6,IF(ISERROR(FIND("panel",A140))=FALSE,((B140/1000)*(C140/1000))+(0.022*((B140/1000)+((C140/1000)*2)))+((B140/1000)*0.05),IF(ISERROR(FIND("Fillers",A140))=FALSE,((C140/1000)*0.06)+((C140/1000)*0.069)+((0.06*0.018)*2)+((0.06*0.009)*2)+((C140/1000)*0.009)+((C140/1000)*0.018),IF(ISERROR(FIND("Pelmet",A140))=FALSE,((C140/1000)*0.05)+((C140/1000)*0.068)+((0.05*0.018)*4)+(((C140/1000)*0.018))*2)))))))))))))))))))))</f>
        <v/>
      </c>
      <c r="N140" s="152" t="str">
        <f>IF(M140="","",IF(AND(ISERROR(FIND("carcass",A140))=TRUE,ISERROR(FIND("unit",A140))=TRUE,ISERROR(FIND("insert",A140))=TRUE,ISERROR(FIND("rack",A140))=TRUE,ISERROR(FIND("box",A140))=TRUE,ISERROR(FIND("shelf",A140))=TRUE),VLOOKUP(WardrobeDoorFinish,Finishing!$A$2:$K$10,9,0)*M140,IF(ISERROR(FIND("table",A140))=FALSE,VLOOKUP("Sayerlack AF0072 Interior Clear Self-Sealer",FinishingData,9,FALSE)*M140,VLOOKUP(WardrobeCarcassFinish,Finishing!$A$2:$K$40,9,0)*M140)))</f>
        <v/>
      </c>
      <c r="O140" s="159"/>
      <c r="P140" s="159"/>
      <c r="Q140" s="152" t="str">
        <f>IF(OR(O140="",P140=""),"",((O140*X140)*(VLOOKUP("Workshop",Labour!$A$3:$E$20,4,0)/8))+((P140*AE140)*(VLOOKUP("Finishing",Labour!$A$3:$E$20,4,0)/8)))</f>
        <v/>
      </c>
      <c r="R140" s="152" t="str">
        <f t="shared" si="4"/>
        <v/>
      </c>
      <c r="S140" s="156" t="str">
        <f>IF(OR(O140="",P140=""),"",IF(OR(ISERROR(FIND("carcass",$A140))=FALSE,ISERROR(FIND("unit",$A140))=FALSE),VLOOKUP(WardrobeCarcassMaterial,FixedListsCarcassMaterial,2,0),0))</f>
        <v/>
      </c>
      <c r="T140" s="156" t="str">
        <f>IF(OR(O140="",P140=""),"",IF(ISERROR(FIND("door",$A140))=FALSE,VLOOKUP(WardrobeDoorStyle,FixedListsDoorStyle,2,0),0))</f>
        <v/>
      </c>
      <c r="U140" s="156" t="str">
        <f>IF(OR(O140="",P140=""),"",IF(ISERROR(FIND("door",$A140))=FALSE,VLOOKUP(WardrobeDoorMaterial,FixedListsDoorMaterial,2,0),0))</f>
        <v/>
      </c>
      <c r="V140" s="156" t="str">
        <f>IF(OR(O140="",P140=""),"",IF(ISERROR(FIND("drawer",$A140))=FALSE,VLOOKUP(WardrobeDrawerType,FixedListsDrawerType,2,0),0))</f>
        <v/>
      </c>
      <c r="W140" s="156" t="str">
        <f>IF(OR(O140="",P140=""),"",IF(S140&gt;0,VLOOKUP(WardrobeHandleType,FixedListsHandleType,2,FALSE),0))</f>
        <v/>
      </c>
      <c r="X140" s="156" t="str">
        <f t="shared" si="5"/>
        <v/>
      </c>
      <c r="Y140" s="156" t="str">
        <f>IF(OR(O140="",P140=""),"",IF(OR(ISERROR(FIND("carcass",$A140))=FALSE,ISERROR(FIND("unit",$A140))=FALSE),VLOOKUP(WardrobeCarcassMaterial,FixedListsCarcassMaterial,3,0),0))</f>
        <v/>
      </c>
      <c r="Z140" s="156" t="str">
        <f>IF(OR(O140="",P140=""),"",IF(ISERROR(FIND("door",$A140))=FALSE,VLOOKUP(WardrobeDoorStyle,FixedListsDoorStyle,3,0),0))</f>
        <v/>
      </c>
      <c r="AA140" s="156" t="str">
        <f>IF(OR(O140="",P140=""),"",IF(ISERROR(FIND("door",$A140))=FALSE,VLOOKUP(WardrobeDoorMaterial,FixedListsDoorMaterial,3,0),0))</f>
        <v/>
      </c>
      <c r="AB140" s="156" t="str">
        <f>IF(OR(O140="",P140=""),"",IF(ISERROR(FIND("drawer",$A140))=FALSE,VLOOKUP(WardrobeDrawerType,FixedListsDrawerType,3,0),0))</f>
        <v/>
      </c>
      <c r="AC140" s="156" t="str">
        <f>IF(OR(O140="",P140=""),"",IF(S140&gt;0,VLOOKUP(WardrobeHandleType,FixedListsHandleType,3,FALSE),0))</f>
        <v/>
      </c>
      <c r="AD140" s="156" t="str">
        <f>IF(OR(O140="",P140=""),"",IF(OR(ISERROR(FIND("carcass",$A140))=FALSE,ISERROR(FIND("unit",$A140))=FALSE),VLOOKUP(WardrobeCarcassFinish,FixedListsFinishes,3,0),IF(OR(ISERROR(FIND("door",$A140))=FALSE,ISERROR(FIND("Plinth",$A140))=FALSE,ISERROR(FIND("Cornice",$A140))=FALSE,ISERROR(FIND("Fillers",$A140))=FALSE,ISERROR(FIND("Pelmet",$A140))=FALSE,ISERROR(FIND("panel",$A140))=FALSE,ISERROR(FIND("post",$A140))=FALSE),VLOOKUP(WardrobeDoorFinish,FixedListsFinishes,3,0),IF(OR(ISERROR(FIND("drawer",$A140))=FALSE,ISERROR(FIND("insert",$A140))=FALSE,ISERROR(FIND("rck",$A140))=FALSE),VLOOKUP(WardrobeCarcassFinish,FixedListsFinishes,3,0),0))))</f>
        <v/>
      </c>
      <c r="AE140" s="156" t="str">
        <f t="shared" si="6"/>
        <v/>
      </c>
      <c r="AF140" s="157" t="str">
        <f>IF(AND(WardrobeHandleType="Channel",OR(ISERROR(FIND("arcass",$A140))=FALSE,ISERROR(FIND("unit",$A140))=FALSE)),IF(ISERROR(FIND("Tower",$A140))=TRUE,IF(WardrobeHandleFinish="Match carcass",IF(ISERROR(FIND("Walnut",WardrobeCarcassMaterial))=FALSE,(0.035*0.075*($C140/1000))*VLOOKUP("Walnut (solid m3)",SolidData,4,FALSE),IF(ISERROR(FIND("Oak",WardrobeCarcassMaterial))=FALSE,(0.035*0.075*($C140/1000))*VLOOKUP("Oak (solid m3)",SolidData,4,FALSE),IF(ISERROR(FIND("ply",WardrobeCarcassMaterial))=FALSE,(0.1*($C140/1000))*VLOOKUP("Birch ply (24mm)",SheetsData,7,FALSE),IF(ISERROR(FIND("H/F",WardrobeCarcassMaterial))=FALSE,(0.1*($C140/1000))*VLOOKUP("H/F (22mm)",SheetsData,7,FALSE),"Carcass - not tower - new material")))),IF(WardrobeHandleFinish="Match door",IF(ISERROR(FIND("Walnut",WardrobeDoorMaterial))=FALSE,(0.035*0.075*($C140/1000))*VLOOKUP("Walnut (solid m3)",SolidData,4,FALSE),IF(ISERROR(FIND("Oak",WardrobeDoorMaterial))=FALSE,(0.035*0.075*($C140/1000))*VLOOKUP("Oak (solid m3)",SolidData,4,FALSE),IF(ISERROR(FIND("ply",WardrobeDoorMaterial))=FALSE,(0.1*($C140/1000))*VLOOKUP("Birch ply (24mm)",SheetsData,7,FALSE),IF(ISERROR(FIND("H/F",WardrobeCarcassMaterial))=FALSE,(0.1*($C140/1000))*VLOOKUP("H/F (22mm)",SheetsData,7,FALSE),"Door - not tower - new material")))),"Channel - not tower - handle set to other")),IF(ISERROR(FIND("Tower",$A140))=FALSE,IF(WardrobeHandleFinish="Match carcass",IF(ISERROR(FIND("Walnut",WardrobeCarcassMaterial))=FALSE,(0.035*0.075*($B140/1000))*VLOOKUP("Walnut (solid m3)",SolidData,4,FALSE),IF(ISERROR(FIND("Oak",WardrobeCarcassMaterial))=FALSE,(0.035*0.075*($B140/1000))*VLOOKUP("Oak (solid m3)",SolidData,4,FALSE),IF(ISERROR(FIND("ply",WardrobeCarcassMaterial))=FALSE,(0.1*($B140/1000))*VLOOKUP("Birch ply (24mm)",SheetsData,7,FALSE),IF(ISERROR(FIND("H/F",WardrobeCarcassMaterial))=FALSE,(0.1*($C140/1000))*VLOOKUP("H/F (22mm)",SheetsData,7,FALSE),"Carcass - tower - new material")))),IF(WardrobeHandleFinish="Match door",IF(ISERROR(FIND("Walnut",WardrobeDoorMaterial))=FALSE,(0.035*0.075*($B140/1000))*VLOOKUP("Walnut (solid m3)",SolidData,4,FALSE),IF(ISERROR(FIND("Oak",WardrobeDoorMaterial))=FALSE,(0.035*0.075*($B140/1000))*VLOOKUP("Oak (solid m3)",SolidData,4,FALSE),IF(ISERROR(FIND("ply",WardrobeDoorMaterial))=FALSE,(0.1*($B140/1000))*VLOOKUP("Birch ply (24mm)",SheetData,7,FALSE),IF(ISERROR(FIND("H/F",WardrobeCarcassMaterial))=FALSE,(0.1*($C140/1000))*VLOOKUP("H/F (22mm)",SheetsData,7,FALSE),"Door - tower - new material")))),"Channel - tower - handle set to other")))),"")</f>
        <v/>
      </c>
    </row>
    <row r="141">
      <c r="A141" s="150"/>
      <c r="B141" s="160" t="str">
        <f t="shared" si="1"/>
        <v/>
      </c>
      <c r="C141" s="160" t="str">
        <f>IFERROR(__xludf.DUMMYFUNCTION("IF(A141="""","""",IF(ISERROR(FIND(""arcass"",A141))=FALSE,MID(A141,FIND(""*"",A141)+1,FIND(""*"",A141,FIND(""*"",A141)+1)-FIND(""*"",A141)-1),IF(ISERROR(FIND(""End panel"",A141))=FALSE,RIGHT(A141,3),IF(OR(ISERROR(FIND(""drawer"",A141))=FALSE,ISERROR(FIND("&amp;"""door"",A141))=FALSE,ISERROR(FIND(""shelf"",A141))=FALSE,ISERROR(FIND(""panel"",A141))=FALSE,ISERROR(FIND(""Plinth"",A141))=FALSE,ISERROR(FIND(""Cornice"",A141))=FALSE,ISERROR(FIND(""Fillers"",A141))=FALSE,ISERROR(FIND(""Pelmet"",A141))=FALSE,ISERROR(FIN"&amp;"D(""Fireplace up to 1600"",A141))=FALSE),RIGHT(A141,LEN(A141)-LEN(regexextract(A141,"".* ""))),IF(ISERROR(FIND(""table"",A141))=FALSE,""560"",IF(ISERROR(FIND(""Office pod"",A141))=FALSE,""1600"",IF(ISERROR(FIND(""Fireplace over 1600"",A141))=FALSE,""2400"&amp;""",IF(ISERROR(FIND(""Worktop"",A141))=FALSE,""650"",""Whoops""))))))))"),"")</f>
        <v/>
      </c>
      <c r="D141" s="161" t="str">
        <f t="shared" si="2"/>
        <v/>
      </c>
      <c r="E141" s="152" t="str">
        <f>IF(OR(A141="",AND(ISERROR(FIND("drawer",A141))=FALSE,WardrobeDrawerType="")),"",IF(ISERROR(FIND("door",A141))=FALSE,IF(WardrobeDoorStyle="Flat",((B141/1000)*(C141/1000))*VLOOKUP(WardrobeDoorMaterial,SheetsData,8,0),IF(LEFT(WardrobeDoorStyle,5)="Panel",(((((B141/1000)*2)*0.08)+((((C141/1000)-0.16)*2)*0.08))*VLOOKUP("H/F (22mm)",SheetsData,8,0))+(((B141/1000)-0.14)*((C141/1000)-0.14)*VLOOKUP("H/F (9mm)",SheetsData,8,0)),IF(WardrobeDoorStyle="In-frame flat",((((((B141/1000)*0.019)*0.038)+((((C141-38)/1000)*0.038)*0.038))*2)*VLOOKUP("Tulip (solid m3)",SolidData,4,0))+(((B141-76)/1000)*((C141-38)/1000))*VLOOKUP("H/F (22mm)",SheetsData,8,0),IF(LEFT(WardrobeDoorStyle,14)="In-frame panel",(((((((B141/1000)*0.019)*0.038)+((((C141-38)/1000)*0.038)*0.038))*2)*VLOOKUP("Tulip (solid m3)",SolidData,4,0))+(((((((B141-76)/1000)*2)*0.08)+(((((C141-198)/1000)*2)*0.08)))*VLOOKUP("H/F (22mm)",SheetsData,8,0))+(((B141-216)/1000)*((C141-178)/1000)*VLOOKUP("H/F (9mm)",SheetsData,8,0)))))))),IF(AND(ISERROR(FIND("arcass",A141))=FALSE,ISERROR(FIND("ost corner",A141))=TRUE),IF(AND(VALUE(B141)&lt;1211,VALUE(C141)&lt;1211,VALUE(D141)&lt;606),1*VLOOKUP(WardrobeCarcassMaterial,SheetsData,5,FALSE),IF(AND(VALUE(B141)&lt;2421,VALUE(C141)&lt;2421,VALUE(D141)&lt;606),2*VLOOKUP(WardrobeCarcassMaterial,SheetsData,5,FALSE),IF(AND(VALUE(B141)&lt;2421,VALUE(C141)&lt;1211,VALUE(D141)&lt;1211),3*VLOOKUP(WardrobeCarcassMaterial,SheetsData,5,FALSE),IF(AND(VALUE(B141)&lt;2421,VALUE(C141)&lt;2421,VALUE(D141)&lt;1211),4*VLOOKUP(WardrobeCarcassMaterial,SheetsData,5,FALSE))))),IF(AND(ISERROR(FIND("arcass",A141))=FALSE,ISERROR(FIND("ost corner",A141))=FALSE),IF(AND(VALUE(B141)&lt;1211,VALUE(C141)&lt;1211,VALUE(D141)&lt;606),(1*VLOOKUP(WardrobeCarcassMaterial,SheetsData,5,FALSE))+(VLOOKUP("H/F (22mm)",SheetsData,7,FALSE)*1.44),IF(AND(VALUE(B141)&lt;2421,VALUE(C141)&lt;2421,VALUE(D141)&lt;606),(2*VLOOKUP(WardrobeCarcassMaterial,SheetsData,5,FALSE))+(VLOOKUP("H/F (22mm)",SheetsData,7,FALSE)*1.44),IF(AND(VALUE(B141)&lt;2421,VALUE(C141)&lt;1211,VALUE(D141)&lt;1211),(3*VLOOKUP(WardrobeCarcassMaterial,SheetsData,5,FALSE))+(VLOOKUP("H/F (22mm)",SheetsData,7,FALSE)*1.44),IF(AND(VALUE(B141)&lt;2421,VALUE(C141)&lt;2421,VALUE(D141)&lt;1211),(4*VLOOKUP(WardrobeCarcassMaterial,SheetsData,5,FALSE))+(VLOOKUP("H/F (22mm)",SheetsData,7,FALSE)*1.44))))),IF(ISERROR(FIND("drawer front",A141))=FALSE,((B141/1000)*(C141/1000))*VLOOKUP(WardrobeDoorMaterial,SheetsData,8,0),IF(AND(WardrobeDrawerType="Match carcass",ISERROR(FIND("drawer box",A141))=FALSE),(((((B141/1000)*(C141/1000))+((B141/1000)*(D141/1000)))*2)*VLOOKUP(WardrobeCarcassMaterial,SheetsData,8,0))+(((C141/1000)*(D141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box",A141))=FALSE),(((((B141/1000)*(C141/1000))+((B141/1000)*(D141/1000)))*2)*(16/1000)*VLOOKUP(LEFT(WardrobeCarcassMaterial,FIND(" ",WardrobeCarcassMaterial))&amp;"(solid m3)",SolidData,4,0))+(((C141/1000)*(D141/1000))*VLOOKUP(LEFT(WardrobeCarcassMaterial,FIND("(",WardrobeCarcassMaterial)-1)&amp;IF(OR(ISERROR(FIND("ply",WardrobeCarcassMaterial))=FALSE,ISERROR(FIND("H/F",WardrobeCarcassMaterial))=FALSE),"(9mm)","(10mm)"),SheetsData,8,0)),IF(ISERROR(FIND("shelf",A141))=FALSE,((C141/1000)*(D141/1000))*VLOOKUP(WardrobeCarcassMaterial,SheetsData,7,FALSE),IF(ISERROR(FIND("Office pod",A141))=FALSE,3*VLOOKUP(WardrobeCarcassMaterial,SheetsData,5,0),IF(ISERROR(FIND(" panel",A141))=FALSE,((B141/1000)*(C141/1000))*VLOOKUP(WardrobeDoorMaterial,SheetsData,8,0),IF(ISERROR(FIND("Fillers",A141))=FALSE,(((0.06*(C141/1000))*2)*VLOOKUP("H/F (18mm)",SheetsData,8,0))+(((0.06*(C141/1000))*2)*VLOOKUP("H/F (9mm)",SheetsData,8,0)),IF(ISERROR(FIND("Cornice (stacked)",A141))=FALSE,((0.08*(C141/1000))*2)*VLOOKUP("H/F (22mm)",SheetsData,8,0),IF(OR(ISERROR(FIND("Plinth",A141))=FALSE,ISERROR(FIND("Cornice (flat)",A141))=FALSE),((B141/1000)*(C141/1000))*VLOOKUP("H/F (18mm)",SheetsData,8,0),IF(ISERROR(FIND("Pelmet",A141))=FALSE,((((B141/1000)*(C141/1000))*2)*VLOOKUP("H/F (18mm)",SheetsData,8,0)),IF(ISERROR(FIND("Fireplace",A141))=FALSE,IF(ISERROR(FIND("over 1600",A141))=FALSE,2*VLOOKUP(WardrobeCarcassMaterial,SheetsData,5,FALSE),VLOOKUP(WardrobeCarcassMaterial,SheetsData,5,FALSE)),IF(ISERROR(FIND("table",A141))=FALSE,((B141/1000)*0.6)*VLOOKUP("Birch ply (24mm)",SheetsData,7,FALSE),IF(ISERROR(FIND("Worktop",A141))=FALSE,((B141/1000)*(C141/1000))*VLOOKUP(WardrobeDoorMaterial,SheetsData,7,FALSE),"Check formula")))))))))))))))))</f>
        <v/>
      </c>
      <c r="F141" s="152" t="str">
        <f>IFERROR(__xludf.DUMMYFUNCTION("IF(OR(A141="""",AND(ISERROR(FIND(""drawer box"",A141))=FALSE,WardrobeDrawerType=""Solid dovetail"")),"""",IF(ISERROR(FIND(""bins"",A141))=FALSE,VLOOKUP(""Base carcass 600"",Wardrobes_etcData,6,0),IF(OR(ISERROR(FIND(""larder"",A141))=FALSE,ISERROR(FIND(""u"&amp;"nit"",A141))=FALSE),VLOOKUP(LEFT(A141,FIND("" "",A141))&amp;""carcass ""&amp;RIGHT(A141,LEN(A141)-len(regexextract(A141,"".* ""))),Wardrobes_etcData,6,0),IF(ISERROR(FIND(""drawer front"",A141))=FALSE,IF(ISERROR(FIND(""veneer"",WardrobeCarcassMaterial))=TRUE,0,((("&amp;"B141+C141)/1000)*2)*VLOOKUP(""Edge banding (per M)"",SheetsData,5,0)),IF(ISERROR(FIND(""drawer box"",A141))=FALSE,IF(ISERROR(FIND(""veneer"",WardrobeCarcassMaterial))=TRUE,0,(((C141+D141)/1000)*2)*VLOOKUP(""Edge banding (per M)"",SheetsData,5,0)),IF(ISERR"&amp;"OR(FIND(""shelf"",A141))=FALSE,IF(ISERROR(FIND(""veneer"",WardrobeCarcassMaterial))=TRUE,0,(C141/1000)*VLOOKUP(""Edge banding (per M)"",SheetsData,5,0)),IF(AND(OR(ISERROR(FIND(""arcass"",A141))=FALSE,ISERROR(FIND(""Fireplace"",A141))=FALSE),ISERROR(FIND("&amp;"""shelf"",A141))=TRUE),IF(ISERROR(FIND(""veneer"",WardrobeCarcassMaterial))=TRUE,0,((2*(B141+C141))/1000)*VLOOKUP(""Edge banding (per M)"",SheetsData,5,0)),IF(ISERROR(FIND(""door"",A141))=TRUE,"""",IF(ISERROR(FIND(""veneer"",WardrobeDoorMaterial))=TRUE,"""&amp;""",((2*(B141+C141))/1000)*VLOOKUP(""Edge banding (per M)"",SheetsData,5,0))))))))))"),"")</f>
        <v/>
      </c>
      <c r="G141" s="153" t="str">
        <f>IF(A141="","",IF(AND(ISERROR(FIND("arcass",A141))=TRUE,ISERROR(FIND("Fireplace",A141))=TRUE),"",IF(VALUE(C141)&lt;606,4*VLOOKUP("Plinth foot (2 Parts 80mm)",FurnitureData,5,FALSE),IF(VALUE(C141)&lt;1211,6*VLOOKUP("Plinth foot (2 Parts 80mm)",FurnitureData,5,FALSE),8*VLOOKUP("Plinth foot (2 Parts 80mm)",FurnitureData,5,FALSE)))))</f>
        <v/>
      </c>
      <c r="H141" s="115" t="str">
        <f>IF(OR(A141="",ISERROR(FIND("door",A141))=TRUE),"",VLOOKUP("Hinges &amp; plates (Hettich thick door)",FurnitureData,5,0)*5)</f>
        <v/>
      </c>
      <c r="I141" s="115" t="str">
        <f>IF(ISERROR(FIND("shelf",A141))=FALSE,(VLOOKUP("Shelf pegs",FurnitureData,5,0)/100)*4,"")</f>
        <v/>
      </c>
      <c r="J141" s="152" t="str">
        <f>IF(OR(ISERROR(FIND("fridge/freezer",A141))=FALSE,ISERROR(FIND("sink",A141))=FALSE,ISERROR(FIND("larder",A141))=FALSE),VLOOKUP("Deep shelf "&amp;C141,Wardrobes_etcData,18,0),IF(OR(ISERROR(FIND("single oven",A141))=FALSE,ISERROR(FIND("Base carcass",A141))=FALSE),2*VLOOKUP("Deep shelf "&amp;C141,Wardrobes_etcData,18,0),IF(AND(ISERROR(FIND("wall carcass",A141))=FALSE,ISERROR(FIND("Boiler",A141))=TRUE),2*VLOOKUP("Shallow shelf "&amp;C141,Wardrobes_etcData,18,0),IF(ISERROR(FIND("double oven",A141))=FALSE,3*VLOOKUP("Deep shelf "&amp;C141,Wardrobes_etcData,18,0),IF(ISERROR(FIND("Tower carcass",A141))=FALSE,6*VLOOKUP("Deep shelf "&amp;C141,Wardrobes_etcData,18,0),"")))))</f>
        <v/>
      </c>
      <c r="K141" s="152" t="str">
        <f>IF(ISERROR(FIND("sink",A141))=FALSE,VLOOKUP("Sink liner - Aluminium "&amp;RIGHT(A141,LEN(A141)-22)&amp;"mm",ExceptionalData,5,0),IF(ISERROR(FIND("bins",A141))=FALSE,VLOOKUP("Drawer runners and clip set for bin unit (500) Dynapro",FurnitureData,5,0)+(2*VLOOKUP("Bin (42L Anthracite)",FurnitureData,5,0)),IF(ISERROR(FIND("larder",A141))=FALSE,VLOOKUP("Pull out larder unit 600mm",FurnitureData,5,0),IF(AND(ISERROR(FIND("drawer box",A141))=FALSE,ISERROR(FIND("internal",A141))=TRUE),VLOOKUP("Drawer runners and clip set (550) Dynapro",FurnitureData,5,0),IF(ISERROR(FIND("internal drawer box",A141))=FALSE,VLOOKUP("Drawer runners and clip set (450) Dynapro",FurnitureData,5,0),IF(ISERROR(FIND("table",A141))=FALSE,VLOOKUP("Hairpin Leg (12mm Black "&amp;MID(A141,FIND("(",A141)+1,LEN(A141)-(FIND("(",A141))-1)&amp;"mm)",ExceptionalData,4,FALSE),""))))))</f>
        <v/>
      </c>
      <c r="L141" s="152" t="str">
        <f t="shared" si="3"/>
        <v/>
      </c>
      <c r="M141" s="154" t="str">
        <f>IF(A141="","",IF(AND(ISERROR(FIND("drawer front",A141))=FALSE,WardrobeDoorStyle="Flat"),(((B141/1000)*(C141/1000))*2)+((((B141+C141)/1000)*2)*0.022),IF(AND(ISERROR(FIND("drawer front",A141))=FALSE,LEFT(WardrobeDoorStyle,5)="Panel"),(((B141/1000)*(C141/1000))*2)+((((B141+C141)/1000)*2)*0.022)+((((C141/1000)-0.16)*0.013)*2)+((((D141/1000)-0.16)*0.013)*2),IF(AND(ISERROR(FIND("drawer front",A141))=FALSE,WardrobeDoorStyle="In-frame flat"),((((B141-76)/1000)*((C141-38)/1000))*2)+(MID(WardrobeDoorMaterial,FIND("(",WardrobeDoorMaterial)+1,2)/1000)*((((B141-76)+(C141-38))/1000)*2)+(((B141/1000)*0.032)*2)+((((B141-76)/1000)*0.032)*2)+(((B141/1000)*0.019)*4)+(((C141/1000)*0.032)*2)+((((C141-38)/1000)*0.032)*2)+(((C141/1000)*0.038)*4),IF(AND(ISERROR(FIND("drawer front",A141))=FALSE,LEFT(WardrobeDoorStyle,14)="In-frame panel"),((((B141-76)/1000)*((C141-38)/1000))*2)+((MID(WardrobeDoorMaterial,FIND("(",WardrobeDoorMaterial)+1,2)/1000)*((((B141-76)+(C141-38))/1000)*2))+((((B141-236)/1000)+((C141-198)/1000)*2)*0.013)+(((B141/1000)*0.032)*2)+((((B141-76)/1000)*0.032)*2)+(((B141/1000)*0.019)*4)+(((C141/1000)*0.032)*2)+((((C141-38)/1000)*0.032)*2)+(((C141/1000)*0.038)*4),IF(ISERROR(FIND("drawer box",A141))=FALSE,((((B141/1000)*(D141/1000))+((B141/1000)*(C141/1000)))*4)+((((D141/1000)+(C141/1000))*0.016)*4)+(((C141/1000)*(D141/1000))*2),IF(OR(ISERROR(FIND("shelf",A141))=FALSE,ISERROR(FIND("Filler panel",A141))=FALSE),(((C141/1000)*(D141/1000))*2)+((((C141+D141)*2)/1000)*0.022),IF(ISERROR(FIND("Fireplace",A141))=FALSE,((B141/1000)*(C141/1000)),IF(ISERROR(FIND("Worktop",A141))=FALSE,(B141/1000)*(C141/1000),IF(ISERROR(FIND("table",A141))=FALSE,(B141/1000)*0.6,IF(ISERROR(FIND("arcass",A141))=FALSE,(((C141/1000)*(D141/1000))*2)+(((B141/1000)*(D141/1000))*2)+((B141/1000)*(C141/1000))+((((B141/1000)*0.025)+((C141/1000)*0.025))*2),IF(AND(ISERROR(FIND("door",A141))=FALSE,WardrobeDoorStyle="Flat"),(((B141/1000)*(C141/1000))*2)+(MID(WardrobeDoorMaterial,FIND("(",WardrobeDoorMaterial)+1,2)/1000)*(((B141+C141)/1000)*2),IF(AND(ISERROR(FIND("door",A141))=FALSE,LEFT(WardrobeDoorStyle,5)="Panel"),(((B141/1000)*(C141/1000))*2)+((MID(WardrobeDoorMaterial,FIND("(",WardrobeDoorMaterial)+1,2)/1000)*(((B141+C141)/1000)*2))+(((((B141-160)+(C141-160))*2)/1000)*(0.013)),IF(AND(ISERROR(FIND("door",A141))=FALSE,WardrobeDoorStyle="In-frame flat"),((((B141-76)/1000)*((C141-38)/1000))*2)+(MID(WardrobeDoorMaterial,FIND("(",WardrobeDoorMaterial)+1,2)/1000)*((((B141-76)+(C141-38))/1000)*2)+(((B141/1000)*0.032)*2)+((((B141-76)/1000)*0.032)*2)+(((B141/1000)*0.019)*4)+(((C141/1000)*0.032)*2)+((((C141-38)/1000)*0.032)*2)+(((C141/1000)*0.038)*4),IF(AND(ISERROR(FIND("door",A141))=FALSE,LEFT(WardrobeDoorStyle,14)="In-frame panel"),((((B141-76)/1000)*((C141-38)/1000))*2)+((MID(WardrobeDoorMaterial,FIND("(",WardrobeDoorMaterial)+1,2)/1000)*((((B141-76)+(C141-38))/1000)*2))+((((B141-236)/1000)+((C141-198)/1000)*2)*0.013)+(((B141/1000)*0.032)*2)+((((B141-76)/1000)*0.032)*2)+(((B141/1000)*0.019)*4)+(((C141/1000)*0.032)*2)+((((C141-38)/1000)*0.032)*2)+(((C141/1000)*0.038)*4),IF(ISERROR(FIND("Plinth",A141))=FALSE,((B141/1000)*(C141/1000))+(((C141/1000)*0.018)*2)+(((B141/1000)*0.018)*2),IF(ISERROR(FIND("Cornice",A141))=FALSE,(((C141/1000)*0.1)*2)+(((C141/1000)*0.044)*2)+(((B141/1000)*0.08)*2),IF(ISERROR(FIND("Office pod",A141))=FALSE,((2400/1000)*(1200/1000))*6,IF(ISERROR(FIND("panel",A141))=FALSE,((B141/1000)*(C141/1000))+(0.022*((B141/1000)+((C141/1000)*2)))+((B141/1000)*0.05),IF(ISERROR(FIND("Fillers",A141))=FALSE,((C141/1000)*0.06)+((C141/1000)*0.069)+((0.06*0.018)*2)+((0.06*0.009)*2)+((C141/1000)*0.009)+((C141/1000)*0.018),IF(ISERROR(FIND("Pelmet",A141))=FALSE,((C141/1000)*0.05)+((C141/1000)*0.068)+((0.05*0.018)*4)+(((C141/1000)*0.018))*2)))))))))))))))))))))</f>
        <v/>
      </c>
      <c r="N141" s="152" t="str">
        <f>IF(M141="","",IF(AND(ISERROR(FIND("carcass",A141))=TRUE,ISERROR(FIND("unit",A141))=TRUE,ISERROR(FIND("insert",A141))=TRUE,ISERROR(FIND("rack",A141))=TRUE,ISERROR(FIND("box",A141))=TRUE,ISERROR(FIND("shelf",A141))=TRUE),VLOOKUP(WardrobeDoorFinish,Finishing!$A$2:$K$10,9,0)*M141,IF(ISERROR(FIND("table",A141))=FALSE,VLOOKUP("Sayerlack AF0072 Interior Clear Self-Sealer",FinishingData,9,FALSE)*M141,VLOOKUP(WardrobeCarcassFinish,Finishing!$A$2:$K$40,9,0)*M141)))</f>
        <v/>
      </c>
      <c r="O141" s="159"/>
      <c r="P141" s="159"/>
      <c r="Q141" s="152" t="str">
        <f>IF(OR(O141="",P141=""),"",((O141*X141)*(VLOOKUP("Workshop",Labour!$A$3:$E$20,4,0)/8))+((P141*AE141)*(VLOOKUP("Finishing",Labour!$A$3:$E$20,4,0)/8)))</f>
        <v/>
      </c>
      <c r="R141" s="152" t="str">
        <f t="shared" si="4"/>
        <v/>
      </c>
      <c r="S141" s="156" t="str">
        <f>IF(OR(O141="",P141=""),"",IF(OR(ISERROR(FIND("carcass",$A141))=FALSE,ISERROR(FIND("unit",$A141))=FALSE),VLOOKUP(WardrobeCarcassMaterial,FixedListsCarcassMaterial,2,0),0))</f>
        <v/>
      </c>
      <c r="T141" s="156" t="str">
        <f>IF(OR(O141="",P141=""),"",IF(ISERROR(FIND("door",$A141))=FALSE,VLOOKUP(WardrobeDoorStyle,FixedListsDoorStyle,2,0),0))</f>
        <v/>
      </c>
      <c r="U141" s="156" t="str">
        <f>IF(OR(O141="",P141=""),"",IF(ISERROR(FIND("door",$A141))=FALSE,VLOOKUP(WardrobeDoorMaterial,FixedListsDoorMaterial,2,0),0))</f>
        <v/>
      </c>
      <c r="V141" s="156" t="str">
        <f>IF(OR(O141="",P141=""),"",IF(ISERROR(FIND("drawer",$A141))=FALSE,VLOOKUP(WardrobeDrawerType,FixedListsDrawerType,2,0),0))</f>
        <v/>
      </c>
      <c r="W141" s="156" t="str">
        <f>IF(OR(O141="",P141=""),"",IF(S141&gt;0,VLOOKUP(WardrobeHandleType,FixedListsHandleType,2,FALSE),0))</f>
        <v/>
      </c>
      <c r="X141" s="156" t="str">
        <f t="shared" si="5"/>
        <v/>
      </c>
      <c r="Y141" s="156" t="str">
        <f>IF(OR(O141="",P141=""),"",IF(OR(ISERROR(FIND("carcass",$A141))=FALSE,ISERROR(FIND("unit",$A141))=FALSE),VLOOKUP(WardrobeCarcassMaterial,FixedListsCarcassMaterial,3,0),0))</f>
        <v/>
      </c>
      <c r="Z141" s="156" t="str">
        <f>IF(OR(O141="",P141=""),"",IF(ISERROR(FIND("door",$A141))=FALSE,VLOOKUP(WardrobeDoorStyle,FixedListsDoorStyle,3,0),0))</f>
        <v/>
      </c>
      <c r="AA141" s="156" t="str">
        <f>IF(OR(O141="",P141=""),"",IF(ISERROR(FIND("door",$A141))=FALSE,VLOOKUP(WardrobeDoorMaterial,FixedListsDoorMaterial,3,0),0))</f>
        <v/>
      </c>
      <c r="AB141" s="156" t="str">
        <f>IF(OR(O141="",P141=""),"",IF(ISERROR(FIND("drawer",$A141))=FALSE,VLOOKUP(WardrobeDrawerType,FixedListsDrawerType,3,0),0))</f>
        <v/>
      </c>
      <c r="AC141" s="156" t="str">
        <f>IF(OR(O141="",P141=""),"",IF(S141&gt;0,VLOOKUP(WardrobeHandleType,FixedListsHandleType,3,FALSE),0))</f>
        <v/>
      </c>
      <c r="AD141" s="156" t="str">
        <f>IF(OR(O141="",P141=""),"",IF(OR(ISERROR(FIND("carcass",$A141))=FALSE,ISERROR(FIND("unit",$A141))=FALSE),VLOOKUP(WardrobeCarcassFinish,FixedListsFinishes,3,0),IF(OR(ISERROR(FIND("door",$A141))=FALSE,ISERROR(FIND("Plinth",$A141))=FALSE,ISERROR(FIND("Cornice",$A141))=FALSE,ISERROR(FIND("Fillers",$A141))=FALSE,ISERROR(FIND("Pelmet",$A141))=FALSE,ISERROR(FIND("panel",$A141))=FALSE,ISERROR(FIND("post",$A141))=FALSE),VLOOKUP(WardrobeDoorFinish,FixedListsFinishes,3,0),IF(OR(ISERROR(FIND("drawer",$A141))=FALSE,ISERROR(FIND("insert",$A141))=FALSE,ISERROR(FIND("rck",$A141))=FALSE),VLOOKUP(WardrobeCarcassFinish,FixedListsFinishes,3,0),0))))</f>
        <v/>
      </c>
      <c r="AE141" s="156" t="str">
        <f t="shared" si="6"/>
        <v/>
      </c>
      <c r="AF141" s="157" t="str">
        <f>IF(AND(WardrobeHandleType="Channel",OR(ISERROR(FIND("arcass",$A141))=FALSE,ISERROR(FIND("unit",$A141))=FALSE)),IF(ISERROR(FIND("Tower",$A141))=TRUE,IF(WardrobeHandleFinish="Match carcass",IF(ISERROR(FIND("Walnut",WardrobeCarcassMaterial))=FALSE,(0.035*0.075*($C141/1000))*VLOOKUP("Walnut (solid m3)",SolidData,4,FALSE),IF(ISERROR(FIND("Oak",WardrobeCarcassMaterial))=FALSE,(0.035*0.075*($C141/1000))*VLOOKUP("Oak (solid m3)",SolidData,4,FALSE),IF(ISERROR(FIND("ply",WardrobeCarcassMaterial))=FALSE,(0.1*($C141/1000))*VLOOKUP("Birch ply (24mm)",SheetsData,7,FALSE),IF(ISERROR(FIND("H/F",WardrobeCarcassMaterial))=FALSE,(0.1*($C141/1000))*VLOOKUP("H/F (22mm)",SheetsData,7,FALSE),"Carcass - not tower - new material")))),IF(WardrobeHandleFinish="Match door",IF(ISERROR(FIND("Walnut",WardrobeDoorMaterial))=FALSE,(0.035*0.075*($C141/1000))*VLOOKUP("Walnut (solid m3)",SolidData,4,FALSE),IF(ISERROR(FIND("Oak",WardrobeDoorMaterial))=FALSE,(0.035*0.075*($C141/1000))*VLOOKUP("Oak (solid m3)",SolidData,4,FALSE),IF(ISERROR(FIND("ply",WardrobeDoorMaterial))=FALSE,(0.1*($C141/1000))*VLOOKUP("Birch ply (24mm)",SheetsData,7,FALSE),IF(ISERROR(FIND("H/F",WardrobeCarcassMaterial))=FALSE,(0.1*($C141/1000))*VLOOKUP("H/F (22mm)",SheetsData,7,FALSE),"Door - not tower - new material")))),"Channel - not tower - handle set to other")),IF(ISERROR(FIND("Tower",$A141))=FALSE,IF(WardrobeHandleFinish="Match carcass",IF(ISERROR(FIND("Walnut",WardrobeCarcassMaterial))=FALSE,(0.035*0.075*($B141/1000))*VLOOKUP("Walnut (solid m3)",SolidData,4,FALSE),IF(ISERROR(FIND("Oak",WardrobeCarcassMaterial))=FALSE,(0.035*0.075*($B141/1000))*VLOOKUP("Oak (solid m3)",SolidData,4,FALSE),IF(ISERROR(FIND("ply",WardrobeCarcassMaterial))=FALSE,(0.1*($B141/1000))*VLOOKUP("Birch ply (24mm)",SheetsData,7,FALSE),IF(ISERROR(FIND("H/F",WardrobeCarcassMaterial))=FALSE,(0.1*($C141/1000))*VLOOKUP("H/F (22mm)",SheetsData,7,FALSE),"Carcass - tower - new material")))),IF(WardrobeHandleFinish="Match door",IF(ISERROR(FIND("Walnut",WardrobeDoorMaterial))=FALSE,(0.035*0.075*($B141/1000))*VLOOKUP("Walnut (solid m3)",SolidData,4,FALSE),IF(ISERROR(FIND("Oak",WardrobeDoorMaterial))=FALSE,(0.035*0.075*($B141/1000))*VLOOKUP("Oak (solid m3)",SolidData,4,FALSE),IF(ISERROR(FIND("ply",WardrobeDoorMaterial))=FALSE,(0.1*($B141/1000))*VLOOKUP("Birch ply (24mm)",SheetData,7,FALSE),IF(ISERROR(FIND("H/F",WardrobeCarcassMaterial))=FALSE,(0.1*($C141/1000))*VLOOKUP("H/F (22mm)",SheetsData,7,FALSE),"Door - tower - new material")))),"Channel - tower - handle set to other")))),"")</f>
        <v/>
      </c>
    </row>
    <row r="142">
      <c r="A142" s="150"/>
      <c r="B142" s="160" t="str">
        <f t="shared" si="1"/>
        <v/>
      </c>
      <c r="C142" s="160" t="str">
        <f>IFERROR(__xludf.DUMMYFUNCTION("IF(A142="""","""",IF(ISERROR(FIND(""arcass"",A142))=FALSE,MID(A142,FIND(""*"",A142)+1,FIND(""*"",A142,FIND(""*"",A142)+1)-FIND(""*"",A142)-1),IF(ISERROR(FIND(""End panel"",A142))=FALSE,RIGHT(A142,3),IF(OR(ISERROR(FIND(""drawer"",A142))=FALSE,ISERROR(FIND("&amp;"""door"",A142))=FALSE,ISERROR(FIND(""shelf"",A142))=FALSE,ISERROR(FIND(""panel"",A142))=FALSE,ISERROR(FIND(""Plinth"",A142))=FALSE,ISERROR(FIND(""Cornice"",A142))=FALSE,ISERROR(FIND(""Fillers"",A142))=FALSE,ISERROR(FIND(""Pelmet"",A142))=FALSE,ISERROR(FIN"&amp;"D(""Fireplace up to 1600"",A142))=FALSE),RIGHT(A142,LEN(A142)-LEN(regexextract(A142,"".* ""))),IF(ISERROR(FIND(""table"",A142))=FALSE,""560"",IF(ISERROR(FIND(""Office pod"",A142))=FALSE,""1600"",IF(ISERROR(FIND(""Fireplace over 1600"",A142))=FALSE,""2400"&amp;""",IF(ISERROR(FIND(""Worktop"",A142))=FALSE,""650"",""Whoops""))))))))"),"")</f>
        <v/>
      </c>
      <c r="D142" s="161" t="str">
        <f t="shared" si="2"/>
        <v/>
      </c>
      <c r="E142" s="152" t="str">
        <f>IF(OR(A142="",AND(ISERROR(FIND("drawer",A142))=FALSE,WardrobeDrawerType="")),"",IF(ISERROR(FIND("door",A142))=FALSE,IF(WardrobeDoorStyle="Flat",((B142/1000)*(C142/1000))*VLOOKUP(WardrobeDoorMaterial,SheetsData,8,0),IF(LEFT(WardrobeDoorStyle,5)="Panel",(((((B142/1000)*2)*0.08)+((((C142/1000)-0.16)*2)*0.08))*VLOOKUP("H/F (22mm)",SheetsData,8,0))+(((B142/1000)-0.14)*((C142/1000)-0.14)*VLOOKUP("H/F (9mm)",SheetsData,8,0)),IF(WardrobeDoorStyle="In-frame flat",((((((B142/1000)*0.019)*0.038)+((((C142-38)/1000)*0.038)*0.038))*2)*VLOOKUP("Tulip (solid m3)",SolidData,4,0))+(((B142-76)/1000)*((C142-38)/1000))*VLOOKUP("H/F (22mm)",SheetsData,8,0),IF(LEFT(WardrobeDoorStyle,14)="In-frame panel",(((((((B142/1000)*0.019)*0.038)+((((C142-38)/1000)*0.038)*0.038))*2)*VLOOKUP("Tulip (solid m3)",SolidData,4,0))+(((((((B142-76)/1000)*2)*0.08)+(((((C142-198)/1000)*2)*0.08)))*VLOOKUP("H/F (22mm)",SheetsData,8,0))+(((B142-216)/1000)*((C142-178)/1000)*VLOOKUP("H/F (9mm)",SheetsData,8,0)))))))),IF(AND(ISERROR(FIND("arcass",A142))=FALSE,ISERROR(FIND("ost corner",A142))=TRUE),IF(AND(VALUE(B142)&lt;1211,VALUE(C142)&lt;1211,VALUE(D142)&lt;606),1*VLOOKUP(WardrobeCarcassMaterial,SheetsData,5,FALSE),IF(AND(VALUE(B142)&lt;2421,VALUE(C142)&lt;2421,VALUE(D142)&lt;606),2*VLOOKUP(WardrobeCarcassMaterial,SheetsData,5,FALSE),IF(AND(VALUE(B142)&lt;2421,VALUE(C142)&lt;1211,VALUE(D142)&lt;1211),3*VLOOKUP(WardrobeCarcassMaterial,SheetsData,5,FALSE),IF(AND(VALUE(B142)&lt;2421,VALUE(C142)&lt;2421,VALUE(D142)&lt;1211),4*VLOOKUP(WardrobeCarcassMaterial,SheetsData,5,FALSE))))),IF(AND(ISERROR(FIND("arcass",A142))=FALSE,ISERROR(FIND("ost corner",A142))=FALSE),IF(AND(VALUE(B142)&lt;1211,VALUE(C142)&lt;1211,VALUE(D142)&lt;606),(1*VLOOKUP(WardrobeCarcassMaterial,SheetsData,5,FALSE))+(VLOOKUP("H/F (22mm)",SheetsData,7,FALSE)*1.44),IF(AND(VALUE(B142)&lt;2421,VALUE(C142)&lt;2421,VALUE(D142)&lt;606),(2*VLOOKUP(WardrobeCarcassMaterial,SheetsData,5,FALSE))+(VLOOKUP("H/F (22mm)",SheetsData,7,FALSE)*1.44),IF(AND(VALUE(B142)&lt;2421,VALUE(C142)&lt;1211,VALUE(D142)&lt;1211),(3*VLOOKUP(WardrobeCarcassMaterial,SheetsData,5,FALSE))+(VLOOKUP("H/F (22mm)",SheetsData,7,FALSE)*1.44),IF(AND(VALUE(B142)&lt;2421,VALUE(C142)&lt;2421,VALUE(D142)&lt;1211),(4*VLOOKUP(WardrobeCarcassMaterial,SheetsData,5,FALSE))+(VLOOKUP("H/F (22mm)",SheetsData,7,FALSE)*1.44))))),IF(ISERROR(FIND("drawer front",A142))=FALSE,((B142/1000)*(C142/1000))*VLOOKUP(WardrobeDoorMaterial,SheetsData,8,0),IF(AND(WardrobeDrawerType="Match carcass",ISERROR(FIND("drawer box",A142))=FALSE),(((((B142/1000)*(C142/1000))+((B142/1000)*(D142/1000)))*2)*VLOOKUP(WardrobeCarcassMaterial,SheetsData,8,0))+(((C142/1000)*(D142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box",A142))=FALSE),(((((B142/1000)*(C142/1000))+((B142/1000)*(D142/1000)))*2)*(16/1000)*VLOOKUP(LEFT(WardrobeCarcassMaterial,FIND(" ",WardrobeCarcassMaterial))&amp;"(solid m3)",SolidData,4,0))+(((C142/1000)*(D142/1000))*VLOOKUP(LEFT(WardrobeCarcassMaterial,FIND("(",WardrobeCarcassMaterial)-1)&amp;IF(OR(ISERROR(FIND("ply",WardrobeCarcassMaterial))=FALSE,ISERROR(FIND("H/F",WardrobeCarcassMaterial))=FALSE),"(9mm)","(10mm)"),SheetsData,8,0)),IF(ISERROR(FIND("shelf",A142))=FALSE,((C142/1000)*(D142/1000))*VLOOKUP(WardrobeCarcassMaterial,SheetsData,7,FALSE),IF(ISERROR(FIND("Office pod",A142))=FALSE,3*VLOOKUP(WardrobeCarcassMaterial,SheetsData,5,0),IF(ISERROR(FIND(" panel",A142))=FALSE,((B142/1000)*(C142/1000))*VLOOKUP(WardrobeDoorMaterial,SheetsData,8,0),IF(ISERROR(FIND("Fillers",A142))=FALSE,(((0.06*(C142/1000))*2)*VLOOKUP("H/F (18mm)",SheetsData,8,0))+(((0.06*(C142/1000))*2)*VLOOKUP("H/F (9mm)",SheetsData,8,0)),IF(ISERROR(FIND("Cornice (stacked)",A142))=FALSE,((0.08*(C142/1000))*2)*VLOOKUP("H/F (22mm)",SheetsData,8,0),IF(OR(ISERROR(FIND("Plinth",A142))=FALSE,ISERROR(FIND("Cornice (flat)",A142))=FALSE),((B142/1000)*(C142/1000))*VLOOKUP("H/F (18mm)",SheetsData,8,0),IF(ISERROR(FIND("Pelmet",A142))=FALSE,((((B142/1000)*(C142/1000))*2)*VLOOKUP("H/F (18mm)",SheetsData,8,0)),IF(ISERROR(FIND("Fireplace",A142))=FALSE,IF(ISERROR(FIND("over 1600",A142))=FALSE,2*VLOOKUP(WardrobeCarcassMaterial,SheetsData,5,FALSE),VLOOKUP(WardrobeCarcassMaterial,SheetsData,5,FALSE)),IF(ISERROR(FIND("table",A142))=FALSE,((B142/1000)*0.6)*VLOOKUP("Birch ply (24mm)",SheetsData,7,FALSE),IF(ISERROR(FIND("Worktop",A142))=FALSE,((B142/1000)*(C142/1000))*VLOOKUP(WardrobeDoorMaterial,SheetsData,7,FALSE),"Check formula")))))))))))))))))</f>
        <v/>
      </c>
      <c r="F142" s="152" t="str">
        <f>IFERROR(__xludf.DUMMYFUNCTION("IF(OR(A142="""",AND(ISERROR(FIND(""drawer box"",A142))=FALSE,WardrobeDrawerType=""Solid dovetail"")),"""",IF(ISERROR(FIND(""bins"",A142))=FALSE,VLOOKUP(""Base carcass 600"",Wardrobes_etcData,6,0),IF(OR(ISERROR(FIND(""larder"",A142))=FALSE,ISERROR(FIND(""u"&amp;"nit"",A142))=FALSE),VLOOKUP(LEFT(A142,FIND("" "",A142))&amp;""carcass ""&amp;RIGHT(A142,LEN(A142)-len(regexextract(A142,"".* ""))),Wardrobes_etcData,6,0),IF(ISERROR(FIND(""drawer front"",A142))=FALSE,IF(ISERROR(FIND(""veneer"",WardrobeCarcassMaterial))=TRUE,0,((("&amp;"B142+C142)/1000)*2)*VLOOKUP(""Edge banding (per M)"",SheetsData,5,0)),IF(ISERROR(FIND(""drawer box"",A142))=FALSE,IF(ISERROR(FIND(""veneer"",WardrobeCarcassMaterial))=TRUE,0,(((C142+D142)/1000)*2)*VLOOKUP(""Edge banding (per M)"",SheetsData,5,0)),IF(ISERR"&amp;"OR(FIND(""shelf"",A142))=FALSE,IF(ISERROR(FIND(""veneer"",WardrobeCarcassMaterial))=TRUE,0,(C142/1000)*VLOOKUP(""Edge banding (per M)"",SheetsData,5,0)),IF(AND(OR(ISERROR(FIND(""arcass"",A142))=FALSE,ISERROR(FIND(""Fireplace"",A142))=FALSE),ISERROR(FIND("&amp;"""shelf"",A142))=TRUE),IF(ISERROR(FIND(""veneer"",WardrobeCarcassMaterial))=TRUE,0,((2*(B142+C142))/1000)*VLOOKUP(""Edge banding (per M)"",SheetsData,5,0)),IF(ISERROR(FIND(""door"",A142))=TRUE,"""",IF(ISERROR(FIND(""veneer"",WardrobeDoorMaterial))=TRUE,"""&amp;""",((2*(B142+C142))/1000)*VLOOKUP(""Edge banding (per M)"",SheetsData,5,0))))))))))"),"")</f>
        <v/>
      </c>
      <c r="G142" s="153" t="str">
        <f>IF(A142="","",IF(AND(ISERROR(FIND("arcass",A142))=TRUE,ISERROR(FIND("Fireplace",A142))=TRUE),"",IF(VALUE(C142)&lt;606,4*VLOOKUP("Plinth foot (2 Parts 80mm)",FurnitureData,5,FALSE),IF(VALUE(C142)&lt;1211,6*VLOOKUP("Plinth foot (2 Parts 80mm)",FurnitureData,5,FALSE),8*VLOOKUP("Plinth foot (2 Parts 80mm)",FurnitureData,5,FALSE)))))</f>
        <v/>
      </c>
      <c r="H142" s="115" t="str">
        <f>IF(OR(A142="",ISERROR(FIND("door",A142))=TRUE),"",VLOOKUP("Hinges &amp; plates (Hettich thick door)",FurnitureData,5,0)*5)</f>
        <v/>
      </c>
      <c r="I142" s="115" t="str">
        <f>IF(ISERROR(FIND("shelf",A142))=FALSE,(VLOOKUP("Shelf pegs",FurnitureData,5,0)/100)*4,"")</f>
        <v/>
      </c>
      <c r="J142" s="152" t="str">
        <f>IF(OR(ISERROR(FIND("fridge/freezer",A142))=FALSE,ISERROR(FIND("sink",A142))=FALSE,ISERROR(FIND("larder",A142))=FALSE),VLOOKUP("Deep shelf "&amp;C142,Wardrobes_etcData,18,0),IF(OR(ISERROR(FIND("single oven",A142))=FALSE,ISERROR(FIND("Base carcass",A142))=FALSE),2*VLOOKUP("Deep shelf "&amp;C142,Wardrobes_etcData,18,0),IF(AND(ISERROR(FIND("wall carcass",A142))=FALSE,ISERROR(FIND("Boiler",A142))=TRUE),2*VLOOKUP("Shallow shelf "&amp;C142,Wardrobes_etcData,18,0),IF(ISERROR(FIND("double oven",A142))=FALSE,3*VLOOKUP("Deep shelf "&amp;C142,Wardrobes_etcData,18,0),IF(ISERROR(FIND("Tower carcass",A142))=FALSE,6*VLOOKUP("Deep shelf "&amp;C142,Wardrobes_etcData,18,0),"")))))</f>
        <v/>
      </c>
      <c r="K142" s="152" t="str">
        <f>IF(ISERROR(FIND("sink",A142))=FALSE,VLOOKUP("Sink liner - Aluminium "&amp;RIGHT(A142,LEN(A142)-22)&amp;"mm",ExceptionalData,5,0),IF(ISERROR(FIND("bins",A142))=FALSE,VLOOKUP("Drawer runners and clip set for bin unit (500) Dynapro",FurnitureData,5,0)+(2*VLOOKUP("Bin (42L Anthracite)",FurnitureData,5,0)),IF(ISERROR(FIND("larder",A142))=FALSE,VLOOKUP("Pull out larder unit 600mm",FurnitureData,5,0),IF(AND(ISERROR(FIND("drawer box",A142))=FALSE,ISERROR(FIND("internal",A142))=TRUE),VLOOKUP("Drawer runners and clip set (550) Dynapro",FurnitureData,5,0),IF(ISERROR(FIND("internal drawer box",A142))=FALSE,VLOOKUP("Drawer runners and clip set (450) Dynapro",FurnitureData,5,0),IF(ISERROR(FIND("table",A142))=FALSE,VLOOKUP("Hairpin Leg (12mm Black "&amp;MID(A142,FIND("(",A142)+1,LEN(A142)-(FIND("(",A142))-1)&amp;"mm)",ExceptionalData,4,FALSE),""))))))</f>
        <v/>
      </c>
      <c r="L142" s="152" t="str">
        <f t="shared" si="3"/>
        <v/>
      </c>
      <c r="M142" s="154" t="str">
        <f>IF(A142="","",IF(AND(ISERROR(FIND("drawer front",A142))=FALSE,WardrobeDoorStyle="Flat"),(((B142/1000)*(C142/1000))*2)+((((B142+C142)/1000)*2)*0.022),IF(AND(ISERROR(FIND("drawer front",A142))=FALSE,LEFT(WardrobeDoorStyle,5)="Panel"),(((B142/1000)*(C142/1000))*2)+((((B142+C142)/1000)*2)*0.022)+((((C142/1000)-0.16)*0.013)*2)+((((D142/1000)-0.16)*0.013)*2),IF(AND(ISERROR(FIND("drawer front",A142))=FALSE,WardrobeDoorStyle="In-frame flat"),((((B142-76)/1000)*((C142-38)/1000))*2)+(MID(WardrobeDoorMaterial,FIND("(",WardrobeDoorMaterial)+1,2)/1000)*((((B142-76)+(C142-38))/1000)*2)+(((B142/1000)*0.032)*2)+((((B142-76)/1000)*0.032)*2)+(((B142/1000)*0.019)*4)+(((C142/1000)*0.032)*2)+((((C142-38)/1000)*0.032)*2)+(((C142/1000)*0.038)*4),IF(AND(ISERROR(FIND("drawer front",A142))=FALSE,LEFT(WardrobeDoorStyle,14)="In-frame panel"),((((B142-76)/1000)*((C142-38)/1000))*2)+((MID(WardrobeDoorMaterial,FIND("(",WardrobeDoorMaterial)+1,2)/1000)*((((B142-76)+(C142-38))/1000)*2))+((((B142-236)/1000)+((C142-198)/1000)*2)*0.013)+(((B142/1000)*0.032)*2)+((((B142-76)/1000)*0.032)*2)+(((B142/1000)*0.019)*4)+(((C142/1000)*0.032)*2)+((((C142-38)/1000)*0.032)*2)+(((C142/1000)*0.038)*4),IF(ISERROR(FIND("drawer box",A142))=FALSE,((((B142/1000)*(D142/1000))+((B142/1000)*(C142/1000)))*4)+((((D142/1000)+(C142/1000))*0.016)*4)+(((C142/1000)*(D142/1000))*2),IF(OR(ISERROR(FIND("shelf",A142))=FALSE,ISERROR(FIND("Filler panel",A142))=FALSE),(((C142/1000)*(D142/1000))*2)+((((C142+D142)*2)/1000)*0.022),IF(ISERROR(FIND("Fireplace",A142))=FALSE,((B142/1000)*(C142/1000)),IF(ISERROR(FIND("Worktop",A142))=FALSE,(B142/1000)*(C142/1000),IF(ISERROR(FIND("table",A142))=FALSE,(B142/1000)*0.6,IF(ISERROR(FIND("arcass",A142))=FALSE,(((C142/1000)*(D142/1000))*2)+(((B142/1000)*(D142/1000))*2)+((B142/1000)*(C142/1000))+((((B142/1000)*0.025)+((C142/1000)*0.025))*2),IF(AND(ISERROR(FIND("door",A142))=FALSE,WardrobeDoorStyle="Flat"),(((B142/1000)*(C142/1000))*2)+(MID(WardrobeDoorMaterial,FIND("(",WardrobeDoorMaterial)+1,2)/1000)*(((B142+C142)/1000)*2),IF(AND(ISERROR(FIND("door",A142))=FALSE,LEFT(WardrobeDoorStyle,5)="Panel"),(((B142/1000)*(C142/1000))*2)+((MID(WardrobeDoorMaterial,FIND("(",WardrobeDoorMaterial)+1,2)/1000)*(((B142+C142)/1000)*2))+(((((B142-160)+(C142-160))*2)/1000)*(0.013)),IF(AND(ISERROR(FIND("door",A142))=FALSE,WardrobeDoorStyle="In-frame flat"),((((B142-76)/1000)*((C142-38)/1000))*2)+(MID(WardrobeDoorMaterial,FIND("(",WardrobeDoorMaterial)+1,2)/1000)*((((B142-76)+(C142-38))/1000)*2)+(((B142/1000)*0.032)*2)+((((B142-76)/1000)*0.032)*2)+(((B142/1000)*0.019)*4)+(((C142/1000)*0.032)*2)+((((C142-38)/1000)*0.032)*2)+(((C142/1000)*0.038)*4),IF(AND(ISERROR(FIND("door",A142))=FALSE,LEFT(WardrobeDoorStyle,14)="In-frame panel"),((((B142-76)/1000)*((C142-38)/1000))*2)+((MID(WardrobeDoorMaterial,FIND("(",WardrobeDoorMaterial)+1,2)/1000)*((((B142-76)+(C142-38))/1000)*2))+((((B142-236)/1000)+((C142-198)/1000)*2)*0.013)+(((B142/1000)*0.032)*2)+((((B142-76)/1000)*0.032)*2)+(((B142/1000)*0.019)*4)+(((C142/1000)*0.032)*2)+((((C142-38)/1000)*0.032)*2)+(((C142/1000)*0.038)*4),IF(ISERROR(FIND("Plinth",A142))=FALSE,((B142/1000)*(C142/1000))+(((C142/1000)*0.018)*2)+(((B142/1000)*0.018)*2),IF(ISERROR(FIND("Cornice",A142))=FALSE,(((C142/1000)*0.1)*2)+(((C142/1000)*0.044)*2)+(((B142/1000)*0.08)*2),IF(ISERROR(FIND("Office pod",A142))=FALSE,((2400/1000)*(1200/1000))*6,IF(ISERROR(FIND("panel",A142))=FALSE,((B142/1000)*(C142/1000))+(0.022*((B142/1000)+((C142/1000)*2)))+((B142/1000)*0.05),IF(ISERROR(FIND("Fillers",A142))=FALSE,((C142/1000)*0.06)+((C142/1000)*0.069)+((0.06*0.018)*2)+((0.06*0.009)*2)+((C142/1000)*0.009)+((C142/1000)*0.018),IF(ISERROR(FIND("Pelmet",A142))=FALSE,((C142/1000)*0.05)+((C142/1000)*0.068)+((0.05*0.018)*4)+(((C142/1000)*0.018))*2)))))))))))))))))))))</f>
        <v/>
      </c>
      <c r="N142" s="152" t="str">
        <f>IF(M142="","",IF(AND(ISERROR(FIND("carcass",A142))=TRUE,ISERROR(FIND("unit",A142))=TRUE,ISERROR(FIND("insert",A142))=TRUE,ISERROR(FIND("rack",A142))=TRUE,ISERROR(FIND("box",A142))=TRUE,ISERROR(FIND("shelf",A142))=TRUE),VLOOKUP(WardrobeDoorFinish,Finishing!$A$2:$K$10,9,0)*M142,IF(ISERROR(FIND("table",A142))=FALSE,VLOOKUP("Sayerlack AF0072 Interior Clear Self-Sealer",FinishingData,9,FALSE)*M142,VLOOKUP(WardrobeCarcassFinish,Finishing!$A$2:$K$40,9,0)*M142)))</f>
        <v/>
      </c>
      <c r="O142" s="159"/>
      <c r="P142" s="159"/>
      <c r="Q142" s="152" t="str">
        <f>IF(OR(O142="",P142=""),"",((O142*X142)*(VLOOKUP("Workshop",Labour!$A$3:$E$20,4,0)/8))+((P142*AE142)*(VLOOKUP("Finishing",Labour!$A$3:$E$20,4,0)/8)))</f>
        <v/>
      </c>
      <c r="R142" s="152" t="str">
        <f t="shared" si="4"/>
        <v/>
      </c>
      <c r="S142" s="156" t="str">
        <f>IF(OR(O142="",P142=""),"",IF(OR(ISERROR(FIND("carcass",$A142))=FALSE,ISERROR(FIND("unit",$A142))=FALSE),VLOOKUP(WardrobeCarcassMaterial,FixedListsCarcassMaterial,2,0),0))</f>
        <v/>
      </c>
      <c r="T142" s="156" t="str">
        <f>IF(OR(O142="",P142=""),"",IF(ISERROR(FIND("door",$A142))=FALSE,VLOOKUP(WardrobeDoorStyle,FixedListsDoorStyle,2,0),0))</f>
        <v/>
      </c>
      <c r="U142" s="156" t="str">
        <f>IF(OR(O142="",P142=""),"",IF(ISERROR(FIND("door",$A142))=FALSE,VLOOKUP(WardrobeDoorMaterial,FixedListsDoorMaterial,2,0),0))</f>
        <v/>
      </c>
      <c r="V142" s="156" t="str">
        <f>IF(OR(O142="",P142=""),"",IF(ISERROR(FIND("drawer",$A142))=FALSE,VLOOKUP(WardrobeDrawerType,FixedListsDrawerType,2,0),0))</f>
        <v/>
      </c>
      <c r="W142" s="156" t="str">
        <f>IF(OR(O142="",P142=""),"",IF(S142&gt;0,VLOOKUP(WardrobeHandleType,FixedListsHandleType,2,FALSE),0))</f>
        <v/>
      </c>
      <c r="X142" s="156" t="str">
        <f t="shared" si="5"/>
        <v/>
      </c>
      <c r="Y142" s="156" t="str">
        <f>IF(OR(O142="",P142=""),"",IF(OR(ISERROR(FIND("carcass",$A142))=FALSE,ISERROR(FIND("unit",$A142))=FALSE),VLOOKUP(WardrobeCarcassMaterial,FixedListsCarcassMaterial,3,0),0))</f>
        <v/>
      </c>
      <c r="Z142" s="156" t="str">
        <f>IF(OR(O142="",P142=""),"",IF(ISERROR(FIND("door",$A142))=FALSE,VLOOKUP(WardrobeDoorStyle,FixedListsDoorStyle,3,0),0))</f>
        <v/>
      </c>
      <c r="AA142" s="156" t="str">
        <f>IF(OR(O142="",P142=""),"",IF(ISERROR(FIND("door",$A142))=FALSE,VLOOKUP(WardrobeDoorMaterial,FixedListsDoorMaterial,3,0),0))</f>
        <v/>
      </c>
      <c r="AB142" s="156" t="str">
        <f>IF(OR(O142="",P142=""),"",IF(ISERROR(FIND("drawer",$A142))=FALSE,VLOOKUP(WardrobeDrawerType,FixedListsDrawerType,3,0),0))</f>
        <v/>
      </c>
      <c r="AC142" s="156" t="str">
        <f>IF(OR(O142="",P142=""),"",IF(S142&gt;0,VLOOKUP(WardrobeHandleType,FixedListsHandleType,3,FALSE),0))</f>
        <v/>
      </c>
      <c r="AD142" s="156" t="str">
        <f>IF(OR(O142="",P142=""),"",IF(OR(ISERROR(FIND("carcass",$A142))=FALSE,ISERROR(FIND("unit",$A142))=FALSE),VLOOKUP(WardrobeCarcassFinish,FixedListsFinishes,3,0),IF(OR(ISERROR(FIND("door",$A142))=FALSE,ISERROR(FIND("Plinth",$A142))=FALSE,ISERROR(FIND("Cornice",$A142))=FALSE,ISERROR(FIND("Fillers",$A142))=FALSE,ISERROR(FIND("Pelmet",$A142))=FALSE,ISERROR(FIND("panel",$A142))=FALSE,ISERROR(FIND("post",$A142))=FALSE),VLOOKUP(WardrobeDoorFinish,FixedListsFinishes,3,0),IF(OR(ISERROR(FIND("drawer",$A142))=FALSE,ISERROR(FIND("insert",$A142))=FALSE,ISERROR(FIND("rck",$A142))=FALSE),VLOOKUP(WardrobeCarcassFinish,FixedListsFinishes,3,0),0))))</f>
        <v/>
      </c>
      <c r="AE142" s="156" t="str">
        <f t="shared" si="6"/>
        <v/>
      </c>
      <c r="AF142" s="157" t="str">
        <f>IF(AND(WardrobeHandleType="Channel",OR(ISERROR(FIND("arcass",$A142))=FALSE,ISERROR(FIND("unit",$A142))=FALSE)),IF(ISERROR(FIND("Tower",$A142))=TRUE,IF(WardrobeHandleFinish="Match carcass",IF(ISERROR(FIND("Walnut",WardrobeCarcassMaterial))=FALSE,(0.035*0.075*($C142/1000))*VLOOKUP("Walnut (solid m3)",SolidData,4,FALSE),IF(ISERROR(FIND("Oak",WardrobeCarcassMaterial))=FALSE,(0.035*0.075*($C142/1000))*VLOOKUP("Oak (solid m3)",SolidData,4,FALSE),IF(ISERROR(FIND("ply",WardrobeCarcassMaterial))=FALSE,(0.1*($C142/1000))*VLOOKUP("Birch ply (24mm)",SheetsData,7,FALSE),IF(ISERROR(FIND("H/F",WardrobeCarcassMaterial))=FALSE,(0.1*($C142/1000))*VLOOKUP("H/F (22mm)",SheetsData,7,FALSE),"Carcass - not tower - new material")))),IF(WardrobeHandleFinish="Match door",IF(ISERROR(FIND("Walnut",WardrobeDoorMaterial))=FALSE,(0.035*0.075*($C142/1000))*VLOOKUP("Walnut (solid m3)",SolidData,4,FALSE),IF(ISERROR(FIND("Oak",WardrobeDoorMaterial))=FALSE,(0.035*0.075*($C142/1000))*VLOOKUP("Oak (solid m3)",SolidData,4,FALSE),IF(ISERROR(FIND("ply",WardrobeDoorMaterial))=FALSE,(0.1*($C142/1000))*VLOOKUP("Birch ply (24mm)",SheetsData,7,FALSE),IF(ISERROR(FIND("H/F",WardrobeCarcassMaterial))=FALSE,(0.1*($C142/1000))*VLOOKUP("H/F (22mm)",SheetsData,7,FALSE),"Door - not tower - new material")))),"Channel - not tower - handle set to other")),IF(ISERROR(FIND("Tower",$A142))=FALSE,IF(WardrobeHandleFinish="Match carcass",IF(ISERROR(FIND("Walnut",WardrobeCarcassMaterial))=FALSE,(0.035*0.075*($B142/1000))*VLOOKUP("Walnut (solid m3)",SolidData,4,FALSE),IF(ISERROR(FIND("Oak",WardrobeCarcassMaterial))=FALSE,(0.035*0.075*($B142/1000))*VLOOKUP("Oak (solid m3)",SolidData,4,FALSE),IF(ISERROR(FIND("ply",WardrobeCarcassMaterial))=FALSE,(0.1*($B142/1000))*VLOOKUP("Birch ply (24mm)",SheetsData,7,FALSE),IF(ISERROR(FIND("H/F",WardrobeCarcassMaterial))=FALSE,(0.1*($C142/1000))*VLOOKUP("H/F (22mm)",SheetsData,7,FALSE),"Carcass - tower - new material")))),IF(WardrobeHandleFinish="Match door",IF(ISERROR(FIND("Walnut",WardrobeDoorMaterial))=FALSE,(0.035*0.075*($B142/1000))*VLOOKUP("Walnut (solid m3)",SolidData,4,FALSE),IF(ISERROR(FIND("Oak",WardrobeDoorMaterial))=FALSE,(0.035*0.075*($B142/1000))*VLOOKUP("Oak (solid m3)",SolidData,4,FALSE),IF(ISERROR(FIND("ply",WardrobeDoorMaterial))=FALSE,(0.1*($B142/1000))*VLOOKUP("Birch ply (24mm)",SheetData,7,FALSE),IF(ISERROR(FIND("H/F",WardrobeCarcassMaterial))=FALSE,(0.1*($C142/1000))*VLOOKUP("H/F (22mm)",SheetsData,7,FALSE),"Door - tower - new material")))),"Channel - tower - handle set to other")))),"")</f>
        <v/>
      </c>
    </row>
    <row r="143">
      <c r="A143" s="150"/>
      <c r="B143" s="160" t="str">
        <f t="shared" si="1"/>
        <v/>
      </c>
      <c r="C143" s="160" t="str">
        <f>IFERROR(__xludf.DUMMYFUNCTION("IF(A143="""","""",IF(ISERROR(FIND(""arcass"",A143))=FALSE,MID(A143,FIND(""*"",A143)+1,FIND(""*"",A143,FIND(""*"",A143)+1)-FIND(""*"",A143)-1),IF(ISERROR(FIND(""End panel"",A143))=FALSE,RIGHT(A143,3),IF(OR(ISERROR(FIND(""drawer"",A143))=FALSE,ISERROR(FIND("&amp;"""door"",A143))=FALSE,ISERROR(FIND(""shelf"",A143))=FALSE,ISERROR(FIND(""panel"",A143))=FALSE,ISERROR(FIND(""Plinth"",A143))=FALSE,ISERROR(FIND(""Cornice"",A143))=FALSE,ISERROR(FIND(""Fillers"",A143))=FALSE,ISERROR(FIND(""Pelmet"",A143))=FALSE,ISERROR(FIN"&amp;"D(""Fireplace up to 1600"",A143))=FALSE),RIGHT(A143,LEN(A143)-LEN(regexextract(A143,"".* ""))),IF(ISERROR(FIND(""table"",A143))=FALSE,""560"",IF(ISERROR(FIND(""Office pod"",A143))=FALSE,""1600"",IF(ISERROR(FIND(""Fireplace over 1600"",A143))=FALSE,""2400"&amp;""",IF(ISERROR(FIND(""Worktop"",A143))=FALSE,""650"",""Whoops""))))))))"),"")</f>
        <v/>
      </c>
      <c r="D143" s="161" t="str">
        <f t="shared" si="2"/>
        <v/>
      </c>
      <c r="E143" s="152" t="str">
        <f>IF(OR(A143="",AND(ISERROR(FIND("drawer",A143))=FALSE,WardrobeDrawerType="")),"",IF(ISERROR(FIND("door",A143))=FALSE,IF(WardrobeDoorStyle="Flat",((B143/1000)*(C143/1000))*VLOOKUP(WardrobeDoorMaterial,SheetsData,8,0),IF(LEFT(WardrobeDoorStyle,5)="Panel",(((((B143/1000)*2)*0.08)+((((C143/1000)-0.16)*2)*0.08))*VLOOKUP("H/F (22mm)",SheetsData,8,0))+(((B143/1000)-0.14)*((C143/1000)-0.14)*VLOOKUP("H/F (9mm)",SheetsData,8,0)),IF(WardrobeDoorStyle="In-frame flat",((((((B143/1000)*0.019)*0.038)+((((C143-38)/1000)*0.038)*0.038))*2)*VLOOKUP("Tulip (solid m3)",SolidData,4,0))+(((B143-76)/1000)*((C143-38)/1000))*VLOOKUP("H/F (22mm)",SheetsData,8,0),IF(LEFT(WardrobeDoorStyle,14)="In-frame panel",(((((((B143/1000)*0.019)*0.038)+((((C143-38)/1000)*0.038)*0.038))*2)*VLOOKUP("Tulip (solid m3)",SolidData,4,0))+(((((((B143-76)/1000)*2)*0.08)+(((((C143-198)/1000)*2)*0.08)))*VLOOKUP("H/F (22mm)",SheetsData,8,0))+(((B143-216)/1000)*((C143-178)/1000)*VLOOKUP("H/F (9mm)",SheetsData,8,0)))))))),IF(AND(ISERROR(FIND("arcass",A143))=FALSE,ISERROR(FIND("ost corner",A143))=TRUE),IF(AND(VALUE(B143)&lt;1211,VALUE(C143)&lt;1211,VALUE(D143)&lt;606),1*VLOOKUP(WardrobeCarcassMaterial,SheetsData,5,FALSE),IF(AND(VALUE(B143)&lt;2421,VALUE(C143)&lt;2421,VALUE(D143)&lt;606),2*VLOOKUP(WardrobeCarcassMaterial,SheetsData,5,FALSE),IF(AND(VALUE(B143)&lt;2421,VALUE(C143)&lt;1211,VALUE(D143)&lt;1211),3*VLOOKUP(WardrobeCarcassMaterial,SheetsData,5,FALSE),IF(AND(VALUE(B143)&lt;2421,VALUE(C143)&lt;2421,VALUE(D143)&lt;1211),4*VLOOKUP(WardrobeCarcassMaterial,SheetsData,5,FALSE))))),IF(AND(ISERROR(FIND("arcass",A143))=FALSE,ISERROR(FIND("ost corner",A143))=FALSE),IF(AND(VALUE(B143)&lt;1211,VALUE(C143)&lt;1211,VALUE(D143)&lt;606),(1*VLOOKUP(WardrobeCarcassMaterial,SheetsData,5,FALSE))+(VLOOKUP("H/F (22mm)",SheetsData,7,FALSE)*1.44),IF(AND(VALUE(B143)&lt;2421,VALUE(C143)&lt;2421,VALUE(D143)&lt;606),(2*VLOOKUP(WardrobeCarcassMaterial,SheetsData,5,FALSE))+(VLOOKUP("H/F (22mm)",SheetsData,7,FALSE)*1.44),IF(AND(VALUE(B143)&lt;2421,VALUE(C143)&lt;1211,VALUE(D143)&lt;1211),(3*VLOOKUP(WardrobeCarcassMaterial,SheetsData,5,FALSE))+(VLOOKUP("H/F (22mm)",SheetsData,7,FALSE)*1.44),IF(AND(VALUE(B143)&lt;2421,VALUE(C143)&lt;2421,VALUE(D143)&lt;1211),(4*VLOOKUP(WardrobeCarcassMaterial,SheetsData,5,FALSE))+(VLOOKUP("H/F (22mm)",SheetsData,7,FALSE)*1.44))))),IF(ISERROR(FIND("drawer front",A143))=FALSE,((B143/1000)*(C143/1000))*VLOOKUP(WardrobeDoorMaterial,SheetsData,8,0),IF(AND(WardrobeDrawerType="Match carcass",ISERROR(FIND("drawer box",A143))=FALSE),(((((B143/1000)*(C143/1000))+((B143/1000)*(D143/1000)))*2)*VLOOKUP(WardrobeCarcassMaterial,SheetsData,8,0))+(((C143/1000)*(D143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box",A143))=FALSE),(((((B143/1000)*(C143/1000))+((B143/1000)*(D143/1000)))*2)*(16/1000)*VLOOKUP(LEFT(WardrobeCarcassMaterial,FIND(" ",WardrobeCarcassMaterial))&amp;"(solid m3)",SolidData,4,0))+(((C143/1000)*(D143/1000))*VLOOKUP(LEFT(WardrobeCarcassMaterial,FIND("(",WardrobeCarcassMaterial)-1)&amp;IF(OR(ISERROR(FIND("ply",WardrobeCarcassMaterial))=FALSE,ISERROR(FIND("H/F",WardrobeCarcassMaterial))=FALSE),"(9mm)","(10mm)"),SheetsData,8,0)),IF(ISERROR(FIND("shelf",A143))=FALSE,((C143/1000)*(D143/1000))*VLOOKUP(WardrobeCarcassMaterial,SheetsData,7,FALSE),IF(ISERROR(FIND("Office pod",A143))=FALSE,3*VLOOKUP(WardrobeCarcassMaterial,SheetsData,5,0),IF(ISERROR(FIND(" panel",A143))=FALSE,((B143/1000)*(C143/1000))*VLOOKUP(WardrobeDoorMaterial,SheetsData,8,0),IF(ISERROR(FIND("Fillers",A143))=FALSE,(((0.06*(C143/1000))*2)*VLOOKUP("H/F (18mm)",SheetsData,8,0))+(((0.06*(C143/1000))*2)*VLOOKUP("H/F (9mm)",SheetsData,8,0)),IF(ISERROR(FIND("Cornice (stacked)",A143))=FALSE,((0.08*(C143/1000))*2)*VLOOKUP("H/F (22mm)",SheetsData,8,0),IF(OR(ISERROR(FIND("Plinth",A143))=FALSE,ISERROR(FIND("Cornice (flat)",A143))=FALSE),((B143/1000)*(C143/1000))*VLOOKUP("H/F (18mm)",SheetsData,8,0),IF(ISERROR(FIND("Pelmet",A143))=FALSE,((((B143/1000)*(C143/1000))*2)*VLOOKUP("H/F (18mm)",SheetsData,8,0)),IF(ISERROR(FIND("Fireplace",A143))=FALSE,IF(ISERROR(FIND("over 1600",A143))=FALSE,2*VLOOKUP(WardrobeCarcassMaterial,SheetsData,5,FALSE),VLOOKUP(WardrobeCarcassMaterial,SheetsData,5,FALSE)),IF(ISERROR(FIND("table",A143))=FALSE,((B143/1000)*0.6)*VLOOKUP("Birch ply (24mm)",SheetsData,7,FALSE),IF(ISERROR(FIND("Worktop",A143))=FALSE,((B143/1000)*(C143/1000))*VLOOKUP(WardrobeDoorMaterial,SheetsData,7,FALSE),"Check formula")))))))))))))))))</f>
        <v/>
      </c>
      <c r="F143" s="152" t="str">
        <f>IFERROR(__xludf.DUMMYFUNCTION("IF(OR(A143="""",AND(ISERROR(FIND(""drawer box"",A143))=FALSE,WardrobeDrawerType=""Solid dovetail"")),"""",IF(ISERROR(FIND(""bins"",A143))=FALSE,VLOOKUP(""Base carcass 600"",Wardrobes_etcData,6,0),IF(OR(ISERROR(FIND(""larder"",A143))=FALSE,ISERROR(FIND(""u"&amp;"nit"",A143))=FALSE),VLOOKUP(LEFT(A143,FIND("" "",A143))&amp;""carcass ""&amp;RIGHT(A143,LEN(A143)-len(regexextract(A143,"".* ""))),Wardrobes_etcData,6,0),IF(ISERROR(FIND(""drawer front"",A143))=FALSE,IF(ISERROR(FIND(""veneer"",WardrobeCarcassMaterial))=TRUE,0,((("&amp;"B143+C143)/1000)*2)*VLOOKUP(""Edge banding (per M)"",SheetsData,5,0)),IF(ISERROR(FIND(""drawer box"",A143))=FALSE,IF(ISERROR(FIND(""veneer"",WardrobeCarcassMaterial))=TRUE,0,(((C143+D143)/1000)*2)*VLOOKUP(""Edge banding (per M)"",SheetsData,5,0)),IF(ISERR"&amp;"OR(FIND(""shelf"",A143))=FALSE,IF(ISERROR(FIND(""veneer"",WardrobeCarcassMaterial))=TRUE,0,(C143/1000)*VLOOKUP(""Edge banding (per M)"",SheetsData,5,0)),IF(AND(OR(ISERROR(FIND(""arcass"",A143))=FALSE,ISERROR(FIND(""Fireplace"",A143))=FALSE),ISERROR(FIND("&amp;"""shelf"",A143))=TRUE),IF(ISERROR(FIND(""veneer"",WardrobeCarcassMaterial))=TRUE,0,((2*(B143+C143))/1000)*VLOOKUP(""Edge banding (per M)"",SheetsData,5,0)),IF(ISERROR(FIND(""door"",A143))=TRUE,"""",IF(ISERROR(FIND(""veneer"",WardrobeDoorMaterial))=TRUE,"""&amp;""",((2*(B143+C143))/1000)*VLOOKUP(""Edge banding (per M)"",SheetsData,5,0))))))))))"),"")</f>
        <v/>
      </c>
      <c r="G143" s="153" t="str">
        <f>IF(A143="","",IF(AND(ISERROR(FIND("arcass",A143))=TRUE,ISERROR(FIND("Fireplace",A143))=TRUE),"",IF(VALUE(C143)&lt;606,4*VLOOKUP("Plinth foot (2 Parts 80mm)",FurnitureData,5,FALSE),IF(VALUE(C143)&lt;1211,6*VLOOKUP("Plinth foot (2 Parts 80mm)",FurnitureData,5,FALSE),8*VLOOKUP("Plinth foot (2 Parts 80mm)",FurnitureData,5,FALSE)))))</f>
        <v/>
      </c>
      <c r="H143" s="115" t="str">
        <f>IF(OR(A143="",ISERROR(FIND("door",A143))=TRUE),"",VLOOKUP("Hinges &amp; plates (Hettich thick door)",FurnitureData,5,0)*5)</f>
        <v/>
      </c>
      <c r="I143" s="115" t="str">
        <f>IF(ISERROR(FIND("shelf",A143))=FALSE,(VLOOKUP("Shelf pegs",FurnitureData,5,0)/100)*4,"")</f>
        <v/>
      </c>
      <c r="J143" s="152" t="str">
        <f>IF(OR(ISERROR(FIND("fridge/freezer",A143))=FALSE,ISERROR(FIND("sink",A143))=FALSE,ISERROR(FIND("larder",A143))=FALSE),VLOOKUP("Deep shelf "&amp;C143,Wardrobes_etcData,18,0),IF(OR(ISERROR(FIND("single oven",A143))=FALSE,ISERROR(FIND("Base carcass",A143))=FALSE),2*VLOOKUP("Deep shelf "&amp;C143,Wardrobes_etcData,18,0),IF(AND(ISERROR(FIND("wall carcass",A143))=FALSE,ISERROR(FIND("Boiler",A143))=TRUE),2*VLOOKUP("Shallow shelf "&amp;C143,Wardrobes_etcData,18,0),IF(ISERROR(FIND("double oven",A143))=FALSE,3*VLOOKUP("Deep shelf "&amp;C143,Wardrobes_etcData,18,0),IF(ISERROR(FIND("Tower carcass",A143))=FALSE,6*VLOOKUP("Deep shelf "&amp;C143,Wardrobes_etcData,18,0),"")))))</f>
        <v/>
      </c>
      <c r="K143" s="152" t="str">
        <f>IF(ISERROR(FIND("sink",A143))=FALSE,VLOOKUP("Sink liner - Aluminium "&amp;RIGHT(A143,LEN(A143)-22)&amp;"mm",ExceptionalData,5,0),IF(ISERROR(FIND("bins",A143))=FALSE,VLOOKUP("Drawer runners and clip set for bin unit (500) Dynapro",FurnitureData,5,0)+(2*VLOOKUP("Bin (42L Anthracite)",FurnitureData,5,0)),IF(ISERROR(FIND("larder",A143))=FALSE,VLOOKUP("Pull out larder unit 600mm",FurnitureData,5,0),IF(AND(ISERROR(FIND("drawer box",A143))=FALSE,ISERROR(FIND("internal",A143))=TRUE),VLOOKUP("Drawer runners and clip set (550) Dynapro",FurnitureData,5,0),IF(ISERROR(FIND("internal drawer box",A143))=FALSE,VLOOKUP("Drawer runners and clip set (450) Dynapro",FurnitureData,5,0),IF(ISERROR(FIND("table",A143))=FALSE,VLOOKUP("Hairpin Leg (12mm Black "&amp;MID(A143,FIND("(",A143)+1,LEN(A143)-(FIND("(",A143))-1)&amp;"mm)",ExceptionalData,4,FALSE),""))))))</f>
        <v/>
      </c>
      <c r="L143" s="152" t="str">
        <f t="shared" si="3"/>
        <v/>
      </c>
      <c r="M143" s="154" t="str">
        <f>IF(A143="","",IF(AND(ISERROR(FIND("drawer front",A143))=FALSE,WardrobeDoorStyle="Flat"),(((B143/1000)*(C143/1000))*2)+((((B143+C143)/1000)*2)*0.022),IF(AND(ISERROR(FIND("drawer front",A143))=FALSE,LEFT(WardrobeDoorStyle,5)="Panel"),(((B143/1000)*(C143/1000))*2)+((((B143+C143)/1000)*2)*0.022)+((((C143/1000)-0.16)*0.013)*2)+((((D143/1000)-0.16)*0.013)*2),IF(AND(ISERROR(FIND("drawer front",A143))=FALSE,WardrobeDoorStyle="In-frame flat"),((((B143-76)/1000)*((C143-38)/1000))*2)+(MID(WardrobeDoorMaterial,FIND("(",WardrobeDoorMaterial)+1,2)/1000)*((((B143-76)+(C143-38))/1000)*2)+(((B143/1000)*0.032)*2)+((((B143-76)/1000)*0.032)*2)+(((B143/1000)*0.019)*4)+(((C143/1000)*0.032)*2)+((((C143-38)/1000)*0.032)*2)+(((C143/1000)*0.038)*4),IF(AND(ISERROR(FIND("drawer front",A143))=FALSE,LEFT(WardrobeDoorStyle,14)="In-frame panel"),((((B143-76)/1000)*((C143-38)/1000))*2)+((MID(WardrobeDoorMaterial,FIND("(",WardrobeDoorMaterial)+1,2)/1000)*((((B143-76)+(C143-38))/1000)*2))+((((B143-236)/1000)+((C143-198)/1000)*2)*0.013)+(((B143/1000)*0.032)*2)+((((B143-76)/1000)*0.032)*2)+(((B143/1000)*0.019)*4)+(((C143/1000)*0.032)*2)+((((C143-38)/1000)*0.032)*2)+(((C143/1000)*0.038)*4),IF(ISERROR(FIND("drawer box",A143))=FALSE,((((B143/1000)*(D143/1000))+((B143/1000)*(C143/1000)))*4)+((((D143/1000)+(C143/1000))*0.016)*4)+(((C143/1000)*(D143/1000))*2),IF(OR(ISERROR(FIND("shelf",A143))=FALSE,ISERROR(FIND("Filler panel",A143))=FALSE),(((C143/1000)*(D143/1000))*2)+((((C143+D143)*2)/1000)*0.022),IF(ISERROR(FIND("Fireplace",A143))=FALSE,((B143/1000)*(C143/1000)),IF(ISERROR(FIND("Worktop",A143))=FALSE,(B143/1000)*(C143/1000),IF(ISERROR(FIND("table",A143))=FALSE,(B143/1000)*0.6,IF(ISERROR(FIND("arcass",A143))=FALSE,(((C143/1000)*(D143/1000))*2)+(((B143/1000)*(D143/1000))*2)+((B143/1000)*(C143/1000))+((((B143/1000)*0.025)+((C143/1000)*0.025))*2),IF(AND(ISERROR(FIND("door",A143))=FALSE,WardrobeDoorStyle="Flat"),(((B143/1000)*(C143/1000))*2)+(MID(WardrobeDoorMaterial,FIND("(",WardrobeDoorMaterial)+1,2)/1000)*(((B143+C143)/1000)*2),IF(AND(ISERROR(FIND("door",A143))=FALSE,LEFT(WardrobeDoorStyle,5)="Panel"),(((B143/1000)*(C143/1000))*2)+((MID(WardrobeDoorMaterial,FIND("(",WardrobeDoorMaterial)+1,2)/1000)*(((B143+C143)/1000)*2))+(((((B143-160)+(C143-160))*2)/1000)*(0.013)),IF(AND(ISERROR(FIND("door",A143))=FALSE,WardrobeDoorStyle="In-frame flat"),((((B143-76)/1000)*((C143-38)/1000))*2)+(MID(WardrobeDoorMaterial,FIND("(",WardrobeDoorMaterial)+1,2)/1000)*((((B143-76)+(C143-38))/1000)*2)+(((B143/1000)*0.032)*2)+((((B143-76)/1000)*0.032)*2)+(((B143/1000)*0.019)*4)+(((C143/1000)*0.032)*2)+((((C143-38)/1000)*0.032)*2)+(((C143/1000)*0.038)*4),IF(AND(ISERROR(FIND("door",A143))=FALSE,LEFT(WardrobeDoorStyle,14)="In-frame panel"),((((B143-76)/1000)*((C143-38)/1000))*2)+((MID(WardrobeDoorMaterial,FIND("(",WardrobeDoorMaterial)+1,2)/1000)*((((B143-76)+(C143-38))/1000)*2))+((((B143-236)/1000)+((C143-198)/1000)*2)*0.013)+(((B143/1000)*0.032)*2)+((((B143-76)/1000)*0.032)*2)+(((B143/1000)*0.019)*4)+(((C143/1000)*0.032)*2)+((((C143-38)/1000)*0.032)*2)+(((C143/1000)*0.038)*4),IF(ISERROR(FIND("Plinth",A143))=FALSE,((B143/1000)*(C143/1000))+(((C143/1000)*0.018)*2)+(((B143/1000)*0.018)*2),IF(ISERROR(FIND("Cornice",A143))=FALSE,(((C143/1000)*0.1)*2)+(((C143/1000)*0.044)*2)+(((B143/1000)*0.08)*2),IF(ISERROR(FIND("Office pod",A143))=FALSE,((2400/1000)*(1200/1000))*6,IF(ISERROR(FIND("panel",A143))=FALSE,((B143/1000)*(C143/1000))+(0.022*((B143/1000)+((C143/1000)*2)))+((B143/1000)*0.05),IF(ISERROR(FIND("Fillers",A143))=FALSE,((C143/1000)*0.06)+((C143/1000)*0.069)+((0.06*0.018)*2)+((0.06*0.009)*2)+((C143/1000)*0.009)+((C143/1000)*0.018),IF(ISERROR(FIND("Pelmet",A143))=FALSE,((C143/1000)*0.05)+((C143/1000)*0.068)+((0.05*0.018)*4)+(((C143/1000)*0.018))*2)))))))))))))))))))))</f>
        <v/>
      </c>
      <c r="N143" s="152" t="str">
        <f>IF(M143="","",IF(AND(ISERROR(FIND("carcass",A143))=TRUE,ISERROR(FIND("unit",A143))=TRUE,ISERROR(FIND("insert",A143))=TRUE,ISERROR(FIND("rack",A143))=TRUE,ISERROR(FIND("box",A143))=TRUE,ISERROR(FIND("shelf",A143))=TRUE),VLOOKUP(WardrobeDoorFinish,Finishing!$A$2:$K$10,9,0)*M143,IF(ISERROR(FIND("table",A143))=FALSE,VLOOKUP("Sayerlack AF0072 Interior Clear Self-Sealer",FinishingData,9,FALSE)*M143,VLOOKUP(WardrobeCarcassFinish,Finishing!$A$2:$K$40,9,0)*M143)))</f>
        <v/>
      </c>
      <c r="O143" s="159"/>
      <c r="P143" s="159"/>
      <c r="Q143" s="152" t="str">
        <f>IF(OR(O143="",P143=""),"",((O143*X143)*(VLOOKUP("Workshop",Labour!$A$3:$E$20,4,0)/8))+((P143*AE143)*(VLOOKUP("Finishing",Labour!$A$3:$E$20,4,0)/8)))</f>
        <v/>
      </c>
      <c r="R143" s="152" t="str">
        <f t="shared" si="4"/>
        <v/>
      </c>
      <c r="S143" s="156" t="str">
        <f>IF(OR(O143="",P143=""),"",IF(OR(ISERROR(FIND("carcass",$A143))=FALSE,ISERROR(FIND("unit",$A143))=FALSE),VLOOKUP(WardrobeCarcassMaterial,FixedListsCarcassMaterial,2,0),0))</f>
        <v/>
      </c>
      <c r="T143" s="156" t="str">
        <f>IF(OR(O143="",P143=""),"",IF(ISERROR(FIND("door",$A143))=FALSE,VLOOKUP(WardrobeDoorStyle,FixedListsDoorStyle,2,0),0))</f>
        <v/>
      </c>
      <c r="U143" s="156" t="str">
        <f>IF(OR(O143="",P143=""),"",IF(ISERROR(FIND("door",$A143))=FALSE,VLOOKUP(WardrobeDoorMaterial,FixedListsDoorMaterial,2,0),0))</f>
        <v/>
      </c>
      <c r="V143" s="156" t="str">
        <f>IF(OR(O143="",P143=""),"",IF(ISERROR(FIND("drawer",$A143))=FALSE,VLOOKUP(WardrobeDrawerType,FixedListsDrawerType,2,0),0))</f>
        <v/>
      </c>
      <c r="W143" s="156" t="str">
        <f>IF(OR(O143="",P143=""),"",IF(S143&gt;0,VLOOKUP(WardrobeHandleType,FixedListsHandleType,2,FALSE),0))</f>
        <v/>
      </c>
      <c r="X143" s="156" t="str">
        <f t="shared" si="5"/>
        <v/>
      </c>
      <c r="Y143" s="156" t="str">
        <f>IF(OR(O143="",P143=""),"",IF(OR(ISERROR(FIND("carcass",$A143))=FALSE,ISERROR(FIND("unit",$A143))=FALSE),VLOOKUP(WardrobeCarcassMaterial,FixedListsCarcassMaterial,3,0),0))</f>
        <v/>
      </c>
      <c r="Z143" s="156" t="str">
        <f>IF(OR(O143="",P143=""),"",IF(ISERROR(FIND("door",$A143))=FALSE,VLOOKUP(WardrobeDoorStyle,FixedListsDoorStyle,3,0),0))</f>
        <v/>
      </c>
      <c r="AA143" s="156" t="str">
        <f>IF(OR(O143="",P143=""),"",IF(ISERROR(FIND("door",$A143))=FALSE,VLOOKUP(WardrobeDoorMaterial,FixedListsDoorMaterial,3,0),0))</f>
        <v/>
      </c>
      <c r="AB143" s="156" t="str">
        <f>IF(OR(O143="",P143=""),"",IF(ISERROR(FIND("drawer",$A143))=FALSE,VLOOKUP(WardrobeDrawerType,FixedListsDrawerType,3,0),0))</f>
        <v/>
      </c>
      <c r="AC143" s="156" t="str">
        <f>IF(OR(O143="",P143=""),"",IF(S143&gt;0,VLOOKUP(WardrobeHandleType,FixedListsHandleType,3,FALSE),0))</f>
        <v/>
      </c>
      <c r="AD143" s="156" t="str">
        <f>IF(OR(O143="",P143=""),"",IF(OR(ISERROR(FIND("carcass",$A143))=FALSE,ISERROR(FIND("unit",$A143))=FALSE),VLOOKUP(WardrobeCarcassFinish,FixedListsFinishes,3,0),IF(OR(ISERROR(FIND("door",$A143))=FALSE,ISERROR(FIND("Plinth",$A143))=FALSE,ISERROR(FIND("Cornice",$A143))=FALSE,ISERROR(FIND("Fillers",$A143))=FALSE,ISERROR(FIND("Pelmet",$A143))=FALSE,ISERROR(FIND("panel",$A143))=FALSE,ISERROR(FIND("post",$A143))=FALSE),VLOOKUP(WardrobeDoorFinish,FixedListsFinishes,3,0),IF(OR(ISERROR(FIND("drawer",$A143))=FALSE,ISERROR(FIND("insert",$A143))=FALSE,ISERROR(FIND("rck",$A143))=FALSE),VLOOKUP(WardrobeCarcassFinish,FixedListsFinishes,3,0),0))))</f>
        <v/>
      </c>
      <c r="AE143" s="156" t="str">
        <f t="shared" si="6"/>
        <v/>
      </c>
      <c r="AF143" s="157" t="str">
        <f>IF(AND(WardrobeHandleType="Channel",OR(ISERROR(FIND("arcass",$A143))=FALSE,ISERROR(FIND("unit",$A143))=FALSE)),IF(ISERROR(FIND("Tower",$A143))=TRUE,IF(WardrobeHandleFinish="Match carcass",IF(ISERROR(FIND("Walnut",WardrobeCarcassMaterial))=FALSE,(0.035*0.075*($C143/1000))*VLOOKUP("Walnut (solid m3)",SolidData,4,FALSE),IF(ISERROR(FIND("Oak",WardrobeCarcassMaterial))=FALSE,(0.035*0.075*($C143/1000))*VLOOKUP("Oak (solid m3)",SolidData,4,FALSE),IF(ISERROR(FIND("ply",WardrobeCarcassMaterial))=FALSE,(0.1*($C143/1000))*VLOOKUP("Birch ply (24mm)",SheetsData,7,FALSE),IF(ISERROR(FIND("H/F",WardrobeCarcassMaterial))=FALSE,(0.1*($C143/1000))*VLOOKUP("H/F (22mm)",SheetsData,7,FALSE),"Carcass - not tower - new material")))),IF(WardrobeHandleFinish="Match door",IF(ISERROR(FIND("Walnut",WardrobeDoorMaterial))=FALSE,(0.035*0.075*($C143/1000))*VLOOKUP("Walnut (solid m3)",SolidData,4,FALSE),IF(ISERROR(FIND("Oak",WardrobeDoorMaterial))=FALSE,(0.035*0.075*($C143/1000))*VLOOKUP("Oak (solid m3)",SolidData,4,FALSE),IF(ISERROR(FIND("ply",WardrobeDoorMaterial))=FALSE,(0.1*($C143/1000))*VLOOKUP("Birch ply (24mm)",SheetsData,7,FALSE),IF(ISERROR(FIND("H/F",WardrobeCarcassMaterial))=FALSE,(0.1*($C143/1000))*VLOOKUP("H/F (22mm)",SheetsData,7,FALSE),"Door - not tower - new material")))),"Channel - not tower - handle set to other")),IF(ISERROR(FIND("Tower",$A143))=FALSE,IF(WardrobeHandleFinish="Match carcass",IF(ISERROR(FIND("Walnut",WardrobeCarcassMaterial))=FALSE,(0.035*0.075*($B143/1000))*VLOOKUP("Walnut (solid m3)",SolidData,4,FALSE),IF(ISERROR(FIND("Oak",WardrobeCarcassMaterial))=FALSE,(0.035*0.075*($B143/1000))*VLOOKUP("Oak (solid m3)",SolidData,4,FALSE),IF(ISERROR(FIND("ply",WardrobeCarcassMaterial))=FALSE,(0.1*($B143/1000))*VLOOKUP("Birch ply (24mm)",SheetsData,7,FALSE),IF(ISERROR(FIND("H/F",WardrobeCarcassMaterial))=FALSE,(0.1*($C143/1000))*VLOOKUP("H/F (22mm)",SheetsData,7,FALSE),"Carcass - tower - new material")))),IF(WardrobeHandleFinish="Match door",IF(ISERROR(FIND("Walnut",WardrobeDoorMaterial))=FALSE,(0.035*0.075*($B143/1000))*VLOOKUP("Walnut (solid m3)",SolidData,4,FALSE),IF(ISERROR(FIND("Oak",WardrobeDoorMaterial))=FALSE,(0.035*0.075*($B143/1000))*VLOOKUP("Oak (solid m3)",SolidData,4,FALSE),IF(ISERROR(FIND("ply",WardrobeDoorMaterial))=FALSE,(0.1*($B143/1000))*VLOOKUP("Birch ply (24mm)",SheetData,7,FALSE),IF(ISERROR(FIND("H/F",WardrobeCarcassMaterial))=FALSE,(0.1*($C143/1000))*VLOOKUP("H/F (22mm)",SheetsData,7,FALSE),"Door - tower - new material")))),"Channel - tower - handle set to other")))),"")</f>
        <v/>
      </c>
    </row>
    <row r="144">
      <c r="A144" s="150"/>
      <c r="B144" s="160" t="str">
        <f t="shared" si="1"/>
        <v/>
      </c>
      <c r="C144" s="160" t="str">
        <f>IFERROR(__xludf.DUMMYFUNCTION("IF(A144="""","""",IF(ISERROR(FIND(""arcass"",A144))=FALSE,MID(A144,FIND(""*"",A144)+1,FIND(""*"",A144,FIND(""*"",A144)+1)-FIND(""*"",A144)-1),IF(ISERROR(FIND(""End panel"",A144))=FALSE,RIGHT(A144,3),IF(OR(ISERROR(FIND(""drawer"",A144))=FALSE,ISERROR(FIND("&amp;"""door"",A144))=FALSE,ISERROR(FIND(""shelf"",A144))=FALSE,ISERROR(FIND(""panel"",A144))=FALSE,ISERROR(FIND(""Plinth"",A144))=FALSE,ISERROR(FIND(""Cornice"",A144))=FALSE,ISERROR(FIND(""Fillers"",A144))=FALSE,ISERROR(FIND(""Pelmet"",A144))=FALSE,ISERROR(FIN"&amp;"D(""Fireplace up to 1600"",A144))=FALSE),RIGHT(A144,LEN(A144)-LEN(regexextract(A144,"".* ""))),IF(ISERROR(FIND(""table"",A144))=FALSE,""560"",IF(ISERROR(FIND(""Office pod"",A144))=FALSE,""1600"",IF(ISERROR(FIND(""Fireplace over 1600"",A144))=FALSE,""2400"&amp;""",IF(ISERROR(FIND(""Worktop"",A144))=FALSE,""650"",""Whoops""))))))))"),"")</f>
        <v/>
      </c>
      <c r="D144" s="161" t="str">
        <f t="shared" si="2"/>
        <v/>
      </c>
      <c r="E144" s="152" t="str">
        <f>IF(OR(A144="",AND(ISERROR(FIND("drawer",A144))=FALSE,WardrobeDrawerType="")),"",IF(ISERROR(FIND("door",A144))=FALSE,IF(WardrobeDoorStyle="Flat",((B144/1000)*(C144/1000))*VLOOKUP(WardrobeDoorMaterial,SheetsData,8,0),IF(LEFT(WardrobeDoorStyle,5)="Panel",(((((B144/1000)*2)*0.08)+((((C144/1000)-0.16)*2)*0.08))*VLOOKUP("H/F (22mm)",SheetsData,8,0))+(((B144/1000)-0.14)*((C144/1000)-0.14)*VLOOKUP("H/F (9mm)",SheetsData,8,0)),IF(WardrobeDoorStyle="In-frame flat",((((((B144/1000)*0.019)*0.038)+((((C144-38)/1000)*0.038)*0.038))*2)*VLOOKUP("Tulip (solid m3)",SolidData,4,0))+(((B144-76)/1000)*((C144-38)/1000))*VLOOKUP("H/F (22mm)",SheetsData,8,0),IF(LEFT(WardrobeDoorStyle,14)="In-frame panel",(((((((B144/1000)*0.019)*0.038)+((((C144-38)/1000)*0.038)*0.038))*2)*VLOOKUP("Tulip (solid m3)",SolidData,4,0))+(((((((B144-76)/1000)*2)*0.08)+(((((C144-198)/1000)*2)*0.08)))*VLOOKUP("H/F (22mm)",SheetsData,8,0))+(((B144-216)/1000)*((C144-178)/1000)*VLOOKUP("H/F (9mm)",SheetsData,8,0)))))))),IF(AND(ISERROR(FIND("arcass",A144))=FALSE,ISERROR(FIND("ost corner",A144))=TRUE),IF(AND(VALUE(B144)&lt;1211,VALUE(C144)&lt;1211,VALUE(D144)&lt;606),1*VLOOKUP(WardrobeCarcassMaterial,SheetsData,5,FALSE),IF(AND(VALUE(B144)&lt;2421,VALUE(C144)&lt;2421,VALUE(D144)&lt;606),2*VLOOKUP(WardrobeCarcassMaterial,SheetsData,5,FALSE),IF(AND(VALUE(B144)&lt;2421,VALUE(C144)&lt;1211,VALUE(D144)&lt;1211),3*VLOOKUP(WardrobeCarcassMaterial,SheetsData,5,FALSE),IF(AND(VALUE(B144)&lt;2421,VALUE(C144)&lt;2421,VALUE(D144)&lt;1211),4*VLOOKUP(WardrobeCarcassMaterial,SheetsData,5,FALSE))))),IF(AND(ISERROR(FIND("arcass",A144))=FALSE,ISERROR(FIND("ost corner",A144))=FALSE),IF(AND(VALUE(B144)&lt;1211,VALUE(C144)&lt;1211,VALUE(D144)&lt;606),(1*VLOOKUP(WardrobeCarcassMaterial,SheetsData,5,FALSE))+(VLOOKUP("H/F (22mm)",SheetsData,7,FALSE)*1.44),IF(AND(VALUE(B144)&lt;2421,VALUE(C144)&lt;2421,VALUE(D144)&lt;606),(2*VLOOKUP(WardrobeCarcassMaterial,SheetsData,5,FALSE))+(VLOOKUP("H/F (22mm)",SheetsData,7,FALSE)*1.44),IF(AND(VALUE(B144)&lt;2421,VALUE(C144)&lt;1211,VALUE(D144)&lt;1211),(3*VLOOKUP(WardrobeCarcassMaterial,SheetsData,5,FALSE))+(VLOOKUP("H/F (22mm)",SheetsData,7,FALSE)*1.44),IF(AND(VALUE(B144)&lt;2421,VALUE(C144)&lt;2421,VALUE(D144)&lt;1211),(4*VLOOKUP(WardrobeCarcassMaterial,SheetsData,5,FALSE))+(VLOOKUP("H/F (22mm)",SheetsData,7,FALSE)*1.44))))),IF(ISERROR(FIND("drawer front",A144))=FALSE,((B144/1000)*(C144/1000))*VLOOKUP(WardrobeDoorMaterial,SheetsData,8,0),IF(AND(WardrobeDrawerType="Match carcass",ISERROR(FIND("drawer box",A144))=FALSE),(((((B144/1000)*(C144/1000))+((B144/1000)*(D144/1000)))*2)*VLOOKUP(WardrobeCarcassMaterial,SheetsData,8,0))+(((C144/1000)*(D144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box",A144))=FALSE),(((((B144/1000)*(C144/1000))+((B144/1000)*(D144/1000)))*2)*(16/1000)*VLOOKUP(LEFT(WardrobeCarcassMaterial,FIND(" ",WardrobeCarcassMaterial))&amp;"(solid m3)",SolidData,4,0))+(((C144/1000)*(D144/1000))*VLOOKUP(LEFT(WardrobeCarcassMaterial,FIND("(",WardrobeCarcassMaterial)-1)&amp;IF(OR(ISERROR(FIND("ply",WardrobeCarcassMaterial))=FALSE,ISERROR(FIND("H/F",WardrobeCarcassMaterial))=FALSE),"(9mm)","(10mm)"),SheetsData,8,0)),IF(ISERROR(FIND("shelf",A144))=FALSE,((C144/1000)*(D144/1000))*VLOOKUP(WardrobeCarcassMaterial,SheetsData,7,FALSE),IF(ISERROR(FIND("Office pod",A144))=FALSE,3*VLOOKUP(WardrobeCarcassMaterial,SheetsData,5,0),IF(ISERROR(FIND(" panel",A144))=FALSE,((B144/1000)*(C144/1000))*VLOOKUP(WardrobeDoorMaterial,SheetsData,8,0),IF(ISERROR(FIND("Fillers",A144))=FALSE,(((0.06*(C144/1000))*2)*VLOOKUP("H/F (18mm)",SheetsData,8,0))+(((0.06*(C144/1000))*2)*VLOOKUP("H/F (9mm)",SheetsData,8,0)),IF(ISERROR(FIND("Cornice (stacked)",A144))=FALSE,((0.08*(C144/1000))*2)*VLOOKUP("H/F (22mm)",SheetsData,8,0),IF(OR(ISERROR(FIND("Plinth",A144))=FALSE,ISERROR(FIND("Cornice (flat)",A144))=FALSE),((B144/1000)*(C144/1000))*VLOOKUP("H/F (18mm)",SheetsData,8,0),IF(ISERROR(FIND("Pelmet",A144))=FALSE,((((B144/1000)*(C144/1000))*2)*VLOOKUP("H/F (18mm)",SheetsData,8,0)),IF(ISERROR(FIND("Fireplace",A144))=FALSE,IF(ISERROR(FIND("over 1600",A144))=FALSE,2*VLOOKUP(WardrobeCarcassMaterial,SheetsData,5,FALSE),VLOOKUP(WardrobeCarcassMaterial,SheetsData,5,FALSE)),IF(ISERROR(FIND("table",A144))=FALSE,((B144/1000)*0.6)*VLOOKUP("Birch ply (24mm)",SheetsData,7,FALSE),IF(ISERROR(FIND("Worktop",A144))=FALSE,((B144/1000)*(C144/1000))*VLOOKUP(WardrobeDoorMaterial,SheetsData,7,FALSE),"Check formula")))))))))))))))))</f>
        <v/>
      </c>
      <c r="F144" s="152" t="str">
        <f>IFERROR(__xludf.DUMMYFUNCTION("IF(OR(A144="""",AND(ISERROR(FIND(""drawer box"",A144))=FALSE,WardrobeDrawerType=""Solid dovetail"")),"""",IF(ISERROR(FIND(""bins"",A144))=FALSE,VLOOKUP(""Base carcass 600"",Wardrobes_etcData,6,0),IF(OR(ISERROR(FIND(""larder"",A144))=FALSE,ISERROR(FIND(""u"&amp;"nit"",A144))=FALSE),VLOOKUP(LEFT(A144,FIND("" "",A144))&amp;""carcass ""&amp;RIGHT(A144,LEN(A144)-len(regexextract(A144,"".* ""))),Wardrobes_etcData,6,0),IF(ISERROR(FIND(""drawer front"",A144))=FALSE,IF(ISERROR(FIND(""veneer"",WardrobeCarcassMaterial))=TRUE,0,((("&amp;"B144+C144)/1000)*2)*VLOOKUP(""Edge banding (per M)"",SheetsData,5,0)),IF(ISERROR(FIND(""drawer box"",A144))=FALSE,IF(ISERROR(FIND(""veneer"",WardrobeCarcassMaterial))=TRUE,0,(((C144+D144)/1000)*2)*VLOOKUP(""Edge banding (per M)"",SheetsData,5,0)),IF(ISERR"&amp;"OR(FIND(""shelf"",A144))=FALSE,IF(ISERROR(FIND(""veneer"",WardrobeCarcassMaterial))=TRUE,0,(C144/1000)*VLOOKUP(""Edge banding (per M)"",SheetsData,5,0)),IF(AND(OR(ISERROR(FIND(""arcass"",A144))=FALSE,ISERROR(FIND(""Fireplace"",A144))=FALSE),ISERROR(FIND("&amp;"""shelf"",A144))=TRUE),IF(ISERROR(FIND(""veneer"",WardrobeCarcassMaterial))=TRUE,0,((2*(B144+C144))/1000)*VLOOKUP(""Edge banding (per M)"",SheetsData,5,0)),IF(ISERROR(FIND(""door"",A144))=TRUE,"""",IF(ISERROR(FIND(""veneer"",WardrobeDoorMaterial))=TRUE,"""&amp;""",((2*(B144+C144))/1000)*VLOOKUP(""Edge banding (per M)"",SheetsData,5,0))))))))))"),"")</f>
        <v/>
      </c>
      <c r="G144" s="153" t="str">
        <f>IF(A144="","",IF(AND(ISERROR(FIND("arcass",A144))=TRUE,ISERROR(FIND("Fireplace",A144))=TRUE),"",IF(VALUE(C144)&lt;606,4*VLOOKUP("Plinth foot (2 Parts 80mm)",FurnitureData,5,FALSE),IF(VALUE(C144)&lt;1211,6*VLOOKUP("Plinth foot (2 Parts 80mm)",FurnitureData,5,FALSE),8*VLOOKUP("Plinth foot (2 Parts 80mm)",FurnitureData,5,FALSE)))))</f>
        <v/>
      </c>
      <c r="H144" s="115" t="str">
        <f>IF(OR(A144="",ISERROR(FIND("door",A144))=TRUE),"",VLOOKUP("Hinges &amp; plates (Hettich thick door)",FurnitureData,5,0)*5)</f>
        <v/>
      </c>
      <c r="I144" s="115" t="str">
        <f>IF(ISERROR(FIND("shelf",A144))=FALSE,(VLOOKUP("Shelf pegs",FurnitureData,5,0)/100)*4,"")</f>
        <v/>
      </c>
      <c r="J144" s="152" t="str">
        <f>IF(OR(ISERROR(FIND("fridge/freezer",A144))=FALSE,ISERROR(FIND("sink",A144))=FALSE,ISERROR(FIND("larder",A144))=FALSE),VLOOKUP("Deep shelf "&amp;C144,Wardrobes_etcData,18,0),IF(OR(ISERROR(FIND("single oven",A144))=FALSE,ISERROR(FIND("Base carcass",A144))=FALSE),2*VLOOKUP("Deep shelf "&amp;C144,Wardrobes_etcData,18,0),IF(AND(ISERROR(FIND("wall carcass",A144))=FALSE,ISERROR(FIND("Boiler",A144))=TRUE),2*VLOOKUP("Shallow shelf "&amp;C144,Wardrobes_etcData,18,0),IF(ISERROR(FIND("double oven",A144))=FALSE,3*VLOOKUP("Deep shelf "&amp;C144,Wardrobes_etcData,18,0),IF(ISERROR(FIND("Tower carcass",A144))=FALSE,6*VLOOKUP("Deep shelf "&amp;C144,Wardrobes_etcData,18,0),"")))))</f>
        <v/>
      </c>
      <c r="K144" s="152" t="str">
        <f>IF(ISERROR(FIND("sink",A144))=FALSE,VLOOKUP("Sink liner - Aluminium "&amp;RIGHT(A144,LEN(A144)-22)&amp;"mm",ExceptionalData,5,0),IF(ISERROR(FIND("bins",A144))=FALSE,VLOOKUP("Drawer runners and clip set for bin unit (500) Dynapro",FurnitureData,5,0)+(2*VLOOKUP("Bin (42L Anthracite)",FurnitureData,5,0)),IF(ISERROR(FIND("larder",A144))=FALSE,VLOOKUP("Pull out larder unit 600mm",FurnitureData,5,0),IF(AND(ISERROR(FIND("drawer box",A144))=FALSE,ISERROR(FIND("internal",A144))=TRUE),VLOOKUP("Drawer runners and clip set (550) Dynapro",FurnitureData,5,0),IF(ISERROR(FIND("internal drawer box",A144))=FALSE,VLOOKUP("Drawer runners and clip set (450) Dynapro",FurnitureData,5,0),IF(ISERROR(FIND("table",A144))=FALSE,VLOOKUP("Hairpin Leg (12mm Black "&amp;MID(A144,FIND("(",A144)+1,LEN(A144)-(FIND("(",A144))-1)&amp;"mm)",ExceptionalData,4,FALSE),""))))))</f>
        <v/>
      </c>
      <c r="L144" s="152" t="str">
        <f t="shared" si="3"/>
        <v/>
      </c>
      <c r="M144" s="154" t="str">
        <f>IF(A144="","",IF(AND(ISERROR(FIND("drawer front",A144))=FALSE,WardrobeDoorStyle="Flat"),(((B144/1000)*(C144/1000))*2)+((((B144+C144)/1000)*2)*0.022),IF(AND(ISERROR(FIND("drawer front",A144))=FALSE,LEFT(WardrobeDoorStyle,5)="Panel"),(((B144/1000)*(C144/1000))*2)+((((B144+C144)/1000)*2)*0.022)+((((C144/1000)-0.16)*0.013)*2)+((((D144/1000)-0.16)*0.013)*2),IF(AND(ISERROR(FIND("drawer front",A144))=FALSE,WardrobeDoorStyle="In-frame flat"),((((B144-76)/1000)*((C144-38)/1000))*2)+(MID(WardrobeDoorMaterial,FIND("(",WardrobeDoorMaterial)+1,2)/1000)*((((B144-76)+(C144-38))/1000)*2)+(((B144/1000)*0.032)*2)+((((B144-76)/1000)*0.032)*2)+(((B144/1000)*0.019)*4)+(((C144/1000)*0.032)*2)+((((C144-38)/1000)*0.032)*2)+(((C144/1000)*0.038)*4),IF(AND(ISERROR(FIND("drawer front",A144))=FALSE,LEFT(WardrobeDoorStyle,14)="In-frame panel"),((((B144-76)/1000)*((C144-38)/1000))*2)+((MID(WardrobeDoorMaterial,FIND("(",WardrobeDoorMaterial)+1,2)/1000)*((((B144-76)+(C144-38))/1000)*2))+((((B144-236)/1000)+((C144-198)/1000)*2)*0.013)+(((B144/1000)*0.032)*2)+((((B144-76)/1000)*0.032)*2)+(((B144/1000)*0.019)*4)+(((C144/1000)*0.032)*2)+((((C144-38)/1000)*0.032)*2)+(((C144/1000)*0.038)*4),IF(ISERROR(FIND("drawer box",A144))=FALSE,((((B144/1000)*(D144/1000))+((B144/1000)*(C144/1000)))*4)+((((D144/1000)+(C144/1000))*0.016)*4)+(((C144/1000)*(D144/1000))*2),IF(OR(ISERROR(FIND("shelf",A144))=FALSE,ISERROR(FIND("Filler panel",A144))=FALSE),(((C144/1000)*(D144/1000))*2)+((((C144+D144)*2)/1000)*0.022),IF(ISERROR(FIND("Fireplace",A144))=FALSE,((B144/1000)*(C144/1000)),IF(ISERROR(FIND("Worktop",A144))=FALSE,(B144/1000)*(C144/1000),IF(ISERROR(FIND("table",A144))=FALSE,(B144/1000)*0.6,IF(ISERROR(FIND("arcass",A144))=FALSE,(((C144/1000)*(D144/1000))*2)+(((B144/1000)*(D144/1000))*2)+((B144/1000)*(C144/1000))+((((B144/1000)*0.025)+((C144/1000)*0.025))*2),IF(AND(ISERROR(FIND("door",A144))=FALSE,WardrobeDoorStyle="Flat"),(((B144/1000)*(C144/1000))*2)+(MID(WardrobeDoorMaterial,FIND("(",WardrobeDoorMaterial)+1,2)/1000)*(((B144+C144)/1000)*2),IF(AND(ISERROR(FIND("door",A144))=FALSE,LEFT(WardrobeDoorStyle,5)="Panel"),(((B144/1000)*(C144/1000))*2)+((MID(WardrobeDoorMaterial,FIND("(",WardrobeDoorMaterial)+1,2)/1000)*(((B144+C144)/1000)*2))+(((((B144-160)+(C144-160))*2)/1000)*(0.013)),IF(AND(ISERROR(FIND("door",A144))=FALSE,WardrobeDoorStyle="In-frame flat"),((((B144-76)/1000)*((C144-38)/1000))*2)+(MID(WardrobeDoorMaterial,FIND("(",WardrobeDoorMaterial)+1,2)/1000)*((((B144-76)+(C144-38))/1000)*2)+(((B144/1000)*0.032)*2)+((((B144-76)/1000)*0.032)*2)+(((B144/1000)*0.019)*4)+(((C144/1000)*0.032)*2)+((((C144-38)/1000)*0.032)*2)+(((C144/1000)*0.038)*4),IF(AND(ISERROR(FIND("door",A144))=FALSE,LEFT(WardrobeDoorStyle,14)="In-frame panel"),((((B144-76)/1000)*((C144-38)/1000))*2)+((MID(WardrobeDoorMaterial,FIND("(",WardrobeDoorMaterial)+1,2)/1000)*((((B144-76)+(C144-38))/1000)*2))+((((B144-236)/1000)+((C144-198)/1000)*2)*0.013)+(((B144/1000)*0.032)*2)+((((B144-76)/1000)*0.032)*2)+(((B144/1000)*0.019)*4)+(((C144/1000)*0.032)*2)+((((C144-38)/1000)*0.032)*2)+(((C144/1000)*0.038)*4),IF(ISERROR(FIND("Plinth",A144))=FALSE,((B144/1000)*(C144/1000))+(((C144/1000)*0.018)*2)+(((B144/1000)*0.018)*2),IF(ISERROR(FIND("Cornice",A144))=FALSE,(((C144/1000)*0.1)*2)+(((C144/1000)*0.044)*2)+(((B144/1000)*0.08)*2),IF(ISERROR(FIND("Office pod",A144))=FALSE,((2400/1000)*(1200/1000))*6,IF(ISERROR(FIND("panel",A144))=FALSE,((B144/1000)*(C144/1000))+(0.022*((B144/1000)+((C144/1000)*2)))+((B144/1000)*0.05),IF(ISERROR(FIND("Fillers",A144))=FALSE,((C144/1000)*0.06)+((C144/1000)*0.069)+((0.06*0.018)*2)+((0.06*0.009)*2)+((C144/1000)*0.009)+((C144/1000)*0.018),IF(ISERROR(FIND("Pelmet",A144))=FALSE,((C144/1000)*0.05)+((C144/1000)*0.068)+((0.05*0.018)*4)+(((C144/1000)*0.018))*2)))))))))))))))))))))</f>
        <v/>
      </c>
      <c r="N144" s="152" t="str">
        <f>IF(M144="","",IF(AND(ISERROR(FIND("carcass",A144))=TRUE,ISERROR(FIND("unit",A144))=TRUE,ISERROR(FIND("insert",A144))=TRUE,ISERROR(FIND("rack",A144))=TRUE,ISERROR(FIND("box",A144))=TRUE,ISERROR(FIND("shelf",A144))=TRUE),VLOOKUP(WardrobeDoorFinish,Finishing!$A$2:$K$10,9,0)*M144,IF(ISERROR(FIND("table",A144))=FALSE,VLOOKUP("Sayerlack AF0072 Interior Clear Self-Sealer",FinishingData,9,FALSE)*M144,VLOOKUP(WardrobeCarcassFinish,Finishing!$A$2:$K$40,9,0)*M144)))</f>
        <v/>
      </c>
      <c r="O144" s="159"/>
      <c r="P144" s="159"/>
      <c r="Q144" s="152" t="str">
        <f>IF(OR(O144="",P144=""),"",((O144*X144)*(VLOOKUP("Workshop",Labour!$A$3:$E$20,4,0)/8))+((P144*AE144)*(VLOOKUP("Finishing",Labour!$A$3:$E$20,4,0)/8)))</f>
        <v/>
      </c>
      <c r="R144" s="152" t="str">
        <f t="shared" si="4"/>
        <v/>
      </c>
      <c r="S144" s="156" t="str">
        <f>IF(OR(O144="",P144=""),"",IF(OR(ISERROR(FIND("carcass",$A144))=FALSE,ISERROR(FIND("unit",$A144))=FALSE),VLOOKUP(WardrobeCarcassMaterial,FixedListsCarcassMaterial,2,0),0))</f>
        <v/>
      </c>
      <c r="T144" s="156" t="str">
        <f>IF(OR(O144="",P144=""),"",IF(ISERROR(FIND("door",$A144))=FALSE,VLOOKUP(WardrobeDoorStyle,FixedListsDoorStyle,2,0),0))</f>
        <v/>
      </c>
      <c r="U144" s="156" t="str">
        <f>IF(OR(O144="",P144=""),"",IF(ISERROR(FIND("door",$A144))=FALSE,VLOOKUP(WardrobeDoorMaterial,FixedListsDoorMaterial,2,0),0))</f>
        <v/>
      </c>
      <c r="V144" s="156" t="str">
        <f>IF(OR(O144="",P144=""),"",IF(ISERROR(FIND("drawer",$A144))=FALSE,VLOOKUP(WardrobeDrawerType,FixedListsDrawerType,2,0),0))</f>
        <v/>
      </c>
      <c r="W144" s="156" t="str">
        <f>IF(OR(O144="",P144=""),"",IF(S144&gt;0,VLOOKUP(WardrobeHandleType,FixedListsHandleType,2,FALSE),0))</f>
        <v/>
      </c>
      <c r="X144" s="156" t="str">
        <f t="shared" si="5"/>
        <v/>
      </c>
      <c r="Y144" s="156" t="str">
        <f>IF(OR(O144="",P144=""),"",IF(OR(ISERROR(FIND("carcass",$A144))=FALSE,ISERROR(FIND("unit",$A144))=FALSE),VLOOKUP(WardrobeCarcassMaterial,FixedListsCarcassMaterial,3,0),0))</f>
        <v/>
      </c>
      <c r="Z144" s="156" t="str">
        <f>IF(OR(O144="",P144=""),"",IF(ISERROR(FIND("door",$A144))=FALSE,VLOOKUP(WardrobeDoorStyle,FixedListsDoorStyle,3,0),0))</f>
        <v/>
      </c>
      <c r="AA144" s="156" t="str">
        <f>IF(OR(O144="",P144=""),"",IF(ISERROR(FIND("door",$A144))=FALSE,VLOOKUP(WardrobeDoorMaterial,FixedListsDoorMaterial,3,0),0))</f>
        <v/>
      </c>
      <c r="AB144" s="156" t="str">
        <f>IF(OR(O144="",P144=""),"",IF(ISERROR(FIND("drawer",$A144))=FALSE,VLOOKUP(WardrobeDrawerType,FixedListsDrawerType,3,0),0))</f>
        <v/>
      </c>
      <c r="AC144" s="156" t="str">
        <f>IF(OR(O144="",P144=""),"",IF(S144&gt;0,VLOOKUP(WardrobeHandleType,FixedListsHandleType,3,FALSE),0))</f>
        <v/>
      </c>
      <c r="AD144" s="156" t="str">
        <f>IF(OR(O144="",P144=""),"",IF(OR(ISERROR(FIND("carcass",$A144))=FALSE,ISERROR(FIND("unit",$A144))=FALSE),VLOOKUP(WardrobeCarcassFinish,FixedListsFinishes,3,0),IF(OR(ISERROR(FIND("door",$A144))=FALSE,ISERROR(FIND("Plinth",$A144))=FALSE,ISERROR(FIND("Cornice",$A144))=FALSE,ISERROR(FIND("Fillers",$A144))=FALSE,ISERROR(FIND("Pelmet",$A144))=FALSE,ISERROR(FIND("panel",$A144))=FALSE,ISERROR(FIND("post",$A144))=FALSE),VLOOKUP(WardrobeDoorFinish,FixedListsFinishes,3,0),IF(OR(ISERROR(FIND("drawer",$A144))=FALSE,ISERROR(FIND("insert",$A144))=FALSE,ISERROR(FIND("rck",$A144))=FALSE),VLOOKUP(WardrobeCarcassFinish,FixedListsFinishes,3,0),0))))</f>
        <v/>
      </c>
      <c r="AE144" s="156" t="str">
        <f t="shared" si="6"/>
        <v/>
      </c>
      <c r="AF144" s="157" t="str">
        <f>IF(AND(WardrobeHandleType="Channel",OR(ISERROR(FIND("arcass",$A144))=FALSE,ISERROR(FIND("unit",$A144))=FALSE)),IF(ISERROR(FIND("Tower",$A144))=TRUE,IF(WardrobeHandleFinish="Match carcass",IF(ISERROR(FIND("Walnut",WardrobeCarcassMaterial))=FALSE,(0.035*0.075*($C144/1000))*VLOOKUP("Walnut (solid m3)",SolidData,4,FALSE),IF(ISERROR(FIND("Oak",WardrobeCarcassMaterial))=FALSE,(0.035*0.075*($C144/1000))*VLOOKUP("Oak (solid m3)",SolidData,4,FALSE),IF(ISERROR(FIND("ply",WardrobeCarcassMaterial))=FALSE,(0.1*($C144/1000))*VLOOKUP("Birch ply (24mm)",SheetsData,7,FALSE),IF(ISERROR(FIND("H/F",WardrobeCarcassMaterial))=FALSE,(0.1*($C144/1000))*VLOOKUP("H/F (22mm)",SheetsData,7,FALSE),"Carcass - not tower - new material")))),IF(WardrobeHandleFinish="Match door",IF(ISERROR(FIND("Walnut",WardrobeDoorMaterial))=FALSE,(0.035*0.075*($C144/1000))*VLOOKUP("Walnut (solid m3)",SolidData,4,FALSE),IF(ISERROR(FIND("Oak",WardrobeDoorMaterial))=FALSE,(0.035*0.075*($C144/1000))*VLOOKUP("Oak (solid m3)",SolidData,4,FALSE),IF(ISERROR(FIND("ply",WardrobeDoorMaterial))=FALSE,(0.1*($C144/1000))*VLOOKUP("Birch ply (24mm)",SheetsData,7,FALSE),IF(ISERROR(FIND("H/F",WardrobeCarcassMaterial))=FALSE,(0.1*($C144/1000))*VLOOKUP("H/F (22mm)",SheetsData,7,FALSE),"Door - not tower - new material")))),"Channel - not tower - handle set to other")),IF(ISERROR(FIND("Tower",$A144))=FALSE,IF(WardrobeHandleFinish="Match carcass",IF(ISERROR(FIND("Walnut",WardrobeCarcassMaterial))=FALSE,(0.035*0.075*($B144/1000))*VLOOKUP("Walnut (solid m3)",SolidData,4,FALSE),IF(ISERROR(FIND("Oak",WardrobeCarcassMaterial))=FALSE,(0.035*0.075*($B144/1000))*VLOOKUP("Oak (solid m3)",SolidData,4,FALSE),IF(ISERROR(FIND("ply",WardrobeCarcassMaterial))=FALSE,(0.1*($B144/1000))*VLOOKUP("Birch ply (24mm)",SheetsData,7,FALSE),IF(ISERROR(FIND("H/F",WardrobeCarcassMaterial))=FALSE,(0.1*($C144/1000))*VLOOKUP("H/F (22mm)",SheetsData,7,FALSE),"Carcass - tower - new material")))),IF(WardrobeHandleFinish="Match door",IF(ISERROR(FIND("Walnut",WardrobeDoorMaterial))=FALSE,(0.035*0.075*($B144/1000))*VLOOKUP("Walnut (solid m3)",SolidData,4,FALSE),IF(ISERROR(FIND("Oak",WardrobeDoorMaterial))=FALSE,(0.035*0.075*($B144/1000))*VLOOKUP("Oak (solid m3)",SolidData,4,FALSE),IF(ISERROR(FIND("ply",WardrobeDoorMaterial))=FALSE,(0.1*($B144/1000))*VLOOKUP("Birch ply (24mm)",SheetData,7,FALSE),IF(ISERROR(FIND("H/F",WardrobeCarcassMaterial))=FALSE,(0.1*($C144/1000))*VLOOKUP("H/F (22mm)",SheetsData,7,FALSE),"Door - tower - new material")))),"Channel - tower - handle set to other")))),"")</f>
        <v/>
      </c>
    </row>
    <row r="145">
      <c r="A145" s="150"/>
      <c r="B145" s="160" t="str">
        <f t="shared" si="1"/>
        <v/>
      </c>
      <c r="C145" s="160" t="str">
        <f>IFERROR(__xludf.DUMMYFUNCTION("IF(A145="""","""",IF(ISERROR(FIND(""arcass"",A145))=FALSE,MID(A145,FIND(""*"",A145)+1,FIND(""*"",A145,FIND(""*"",A145)+1)-FIND(""*"",A145)-1),IF(ISERROR(FIND(""End panel"",A145))=FALSE,RIGHT(A145,3),IF(OR(ISERROR(FIND(""drawer"",A145))=FALSE,ISERROR(FIND("&amp;"""door"",A145))=FALSE,ISERROR(FIND(""shelf"",A145))=FALSE,ISERROR(FIND(""panel"",A145))=FALSE,ISERROR(FIND(""Plinth"",A145))=FALSE,ISERROR(FIND(""Cornice"",A145))=FALSE,ISERROR(FIND(""Fillers"",A145))=FALSE,ISERROR(FIND(""Pelmet"",A145))=FALSE,ISERROR(FIN"&amp;"D(""Fireplace up to 1600"",A145))=FALSE),RIGHT(A145,LEN(A145)-LEN(regexextract(A145,"".* ""))),IF(ISERROR(FIND(""table"",A145))=FALSE,""560"",IF(ISERROR(FIND(""Office pod"",A145))=FALSE,""1600"",IF(ISERROR(FIND(""Fireplace over 1600"",A145))=FALSE,""2400"&amp;""",IF(ISERROR(FIND(""Worktop"",A145))=FALSE,""650"",""Whoops""))))))))"),"")</f>
        <v/>
      </c>
      <c r="D145" s="161" t="str">
        <f t="shared" si="2"/>
        <v/>
      </c>
      <c r="E145" s="152" t="str">
        <f>IF(OR(A145="",AND(ISERROR(FIND("drawer",A145))=FALSE,WardrobeDrawerType="")),"",IF(ISERROR(FIND("door",A145))=FALSE,IF(WardrobeDoorStyle="Flat",((B145/1000)*(C145/1000))*VLOOKUP(WardrobeDoorMaterial,SheetsData,8,0),IF(LEFT(WardrobeDoorStyle,5)="Panel",(((((B145/1000)*2)*0.08)+((((C145/1000)-0.16)*2)*0.08))*VLOOKUP("H/F (22mm)",SheetsData,8,0))+(((B145/1000)-0.14)*((C145/1000)-0.14)*VLOOKUP("H/F (9mm)",SheetsData,8,0)),IF(WardrobeDoorStyle="In-frame flat",((((((B145/1000)*0.019)*0.038)+((((C145-38)/1000)*0.038)*0.038))*2)*VLOOKUP("Tulip (solid m3)",SolidData,4,0))+(((B145-76)/1000)*((C145-38)/1000))*VLOOKUP("H/F (22mm)",SheetsData,8,0),IF(LEFT(WardrobeDoorStyle,14)="In-frame panel",(((((((B145/1000)*0.019)*0.038)+((((C145-38)/1000)*0.038)*0.038))*2)*VLOOKUP("Tulip (solid m3)",SolidData,4,0))+(((((((B145-76)/1000)*2)*0.08)+(((((C145-198)/1000)*2)*0.08)))*VLOOKUP("H/F (22mm)",SheetsData,8,0))+(((B145-216)/1000)*((C145-178)/1000)*VLOOKUP("H/F (9mm)",SheetsData,8,0)))))))),IF(AND(ISERROR(FIND("arcass",A145))=FALSE,ISERROR(FIND("ost corner",A145))=TRUE),IF(AND(VALUE(B145)&lt;1211,VALUE(C145)&lt;1211,VALUE(D145)&lt;606),1*VLOOKUP(WardrobeCarcassMaterial,SheetsData,5,FALSE),IF(AND(VALUE(B145)&lt;2421,VALUE(C145)&lt;2421,VALUE(D145)&lt;606),2*VLOOKUP(WardrobeCarcassMaterial,SheetsData,5,FALSE),IF(AND(VALUE(B145)&lt;2421,VALUE(C145)&lt;1211,VALUE(D145)&lt;1211),3*VLOOKUP(WardrobeCarcassMaterial,SheetsData,5,FALSE),IF(AND(VALUE(B145)&lt;2421,VALUE(C145)&lt;2421,VALUE(D145)&lt;1211),4*VLOOKUP(WardrobeCarcassMaterial,SheetsData,5,FALSE))))),IF(AND(ISERROR(FIND("arcass",A145))=FALSE,ISERROR(FIND("ost corner",A145))=FALSE),IF(AND(VALUE(B145)&lt;1211,VALUE(C145)&lt;1211,VALUE(D145)&lt;606),(1*VLOOKUP(WardrobeCarcassMaterial,SheetsData,5,FALSE))+(VLOOKUP("H/F (22mm)",SheetsData,7,FALSE)*1.44),IF(AND(VALUE(B145)&lt;2421,VALUE(C145)&lt;2421,VALUE(D145)&lt;606),(2*VLOOKUP(WardrobeCarcassMaterial,SheetsData,5,FALSE))+(VLOOKUP("H/F (22mm)",SheetsData,7,FALSE)*1.44),IF(AND(VALUE(B145)&lt;2421,VALUE(C145)&lt;1211,VALUE(D145)&lt;1211),(3*VLOOKUP(WardrobeCarcassMaterial,SheetsData,5,FALSE))+(VLOOKUP("H/F (22mm)",SheetsData,7,FALSE)*1.44),IF(AND(VALUE(B145)&lt;2421,VALUE(C145)&lt;2421,VALUE(D145)&lt;1211),(4*VLOOKUP(WardrobeCarcassMaterial,SheetsData,5,FALSE))+(VLOOKUP("H/F (22mm)",SheetsData,7,FALSE)*1.44))))),IF(ISERROR(FIND("drawer front",A145))=FALSE,((B145/1000)*(C145/1000))*VLOOKUP(WardrobeDoorMaterial,SheetsData,8,0),IF(AND(WardrobeDrawerType="Match carcass",ISERROR(FIND("drawer box",A145))=FALSE),(((((B145/1000)*(C145/1000))+((B145/1000)*(D145/1000)))*2)*VLOOKUP(WardrobeCarcassMaterial,SheetsData,8,0))+(((C145/1000)*(D145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box",A145))=FALSE),(((((B145/1000)*(C145/1000))+((B145/1000)*(D145/1000)))*2)*(16/1000)*VLOOKUP(LEFT(WardrobeCarcassMaterial,FIND(" ",WardrobeCarcassMaterial))&amp;"(solid m3)",SolidData,4,0))+(((C145/1000)*(D145/1000))*VLOOKUP(LEFT(WardrobeCarcassMaterial,FIND("(",WardrobeCarcassMaterial)-1)&amp;IF(OR(ISERROR(FIND("ply",WardrobeCarcassMaterial))=FALSE,ISERROR(FIND("H/F",WardrobeCarcassMaterial))=FALSE),"(9mm)","(10mm)"),SheetsData,8,0)),IF(ISERROR(FIND("shelf",A145))=FALSE,((C145/1000)*(D145/1000))*VLOOKUP(WardrobeCarcassMaterial,SheetsData,7,FALSE),IF(ISERROR(FIND("Office pod",A145))=FALSE,3*VLOOKUP(WardrobeCarcassMaterial,SheetsData,5,0),IF(ISERROR(FIND(" panel",A145))=FALSE,((B145/1000)*(C145/1000))*VLOOKUP(WardrobeDoorMaterial,SheetsData,8,0),IF(ISERROR(FIND("Fillers",A145))=FALSE,(((0.06*(C145/1000))*2)*VLOOKUP("H/F (18mm)",SheetsData,8,0))+(((0.06*(C145/1000))*2)*VLOOKUP("H/F (9mm)",SheetsData,8,0)),IF(ISERROR(FIND("Cornice (stacked)",A145))=FALSE,((0.08*(C145/1000))*2)*VLOOKUP("H/F (22mm)",SheetsData,8,0),IF(OR(ISERROR(FIND("Plinth",A145))=FALSE,ISERROR(FIND("Cornice (flat)",A145))=FALSE),((B145/1000)*(C145/1000))*VLOOKUP("H/F (18mm)",SheetsData,8,0),IF(ISERROR(FIND("Pelmet",A145))=FALSE,((((B145/1000)*(C145/1000))*2)*VLOOKUP("H/F (18mm)",SheetsData,8,0)),IF(ISERROR(FIND("Fireplace",A145))=FALSE,IF(ISERROR(FIND("over 1600",A145))=FALSE,2*VLOOKUP(WardrobeCarcassMaterial,SheetsData,5,FALSE),VLOOKUP(WardrobeCarcassMaterial,SheetsData,5,FALSE)),IF(ISERROR(FIND("table",A145))=FALSE,((B145/1000)*0.6)*VLOOKUP("Birch ply (24mm)",SheetsData,7,FALSE),IF(ISERROR(FIND("Worktop",A145))=FALSE,((B145/1000)*(C145/1000))*VLOOKUP(WardrobeDoorMaterial,SheetsData,7,FALSE),"Check formula")))))))))))))))))</f>
        <v/>
      </c>
      <c r="F145" s="152" t="str">
        <f>IFERROR(__xludf.DUMMYFUNCTION("IF(OR(A145="""",AND(ISERROR(FIND(""drawer box"",A145))=FALSE,WardrobeDrawerType=""Solid dovetail"")),"""",IF(ISERROR(FIND(""bins"",A145))=FALSE,VLOOKUP(""Base carcass 600"",Wardrobes_etcData,6,0),IF(OR(ISERROR(FIND(""larder"",A145))=FALSE,ISERROR(FIND(""u"&amp;"nit"",A145))=FALSE),VLOOKUP(LEFT(A145,FIND("" "",A145))&amp;""carcass ""&amp;RIGHT(A145,LEN(A145)-len(regexextract(A145,"".* ""))),Wardrobes_etcData,6,0),IF(ISERROR(FIND(""drawer front"",A145))=FALSE,IF(ISERROR(FIND(""veneer"",WardrobeCarcassMaterial))=TRUE,0,((("&amp;"B145+C145)/1000)*2)*VLOOKUP(""Edge banding (per M)"",SheetsData,5,0)),IF(ISERROR(FIND(""drawer box"",A145))=FALSE,IF(ISERROR(FIND(""veneer"",WardrobeCarcassMaterial))=TRUE,0,(((C145+D145)/1000)*2)*VLOOKUP(""Edge banding (per M)"",SheetsData,5,0)),IF(ISERR"&amp;"OR(FIND(""shelf"",A145))=FALSE,IF(ISERROR(FIND(""veneer"",WardrobeCarcassMaterial))=TRUE,0,(C145/1000)*VLOOKUP(""Edge banding (per M)"",SheetsData,5,0)),IF(AND(OR(ISERROR(FIND(""arcass"",A145))=FALSE,ISERROR(FIND(""Fireplace"",A145))=FALSE),ISERROR(FIND("&amp;"""shelf"",A145))=TRUE),IF(ISERROR(FIND(""veneer"",WardrobeCarcassMaterial))=TRUE,0,((2*(B145+C145))/1000)*VLOOKUP(""Edge banding (per M)"",SheetsData,5,0)),IF(ISERROR(FIND(""door"",A145))=TRUE,"""",IF(ISERROR(FIND(""veneer"",WardrobeDoorMaterial))=TRUE,"""&amp;""",((2*(B145+C145))/1000)*VLOOKUP(""Edge banding (per M)"",SheetsData,5,0))))))))))"),"")</f>
        <v/>
      </c>
      <c r="G145" s="153" t="str">
        <f>IF(A145="","",IF(AND(ISERROR(FIND("arcass",A145))=TRUE,ISERROR(FIND("Fireplace",A145))=TRUE),"",IF(VALUE(C145)&lt;606,4*VLOOKUP("Plinth foot (2 Parts 80mm)",FurnitureData,5,FALSE),IF(VALUE(C145)&lt;1211,6*VLOOKUP("Plinth foot (2 Parts 80mm)",FurnitureData,5,FALSE),8*VLOOKUP("Plinth foot (2 Parts 80mm)",FurnitureData,5,FALSE)))))</f>
        <v/>
      </c>
      <c r="H145" s="115" t="str">
        <f>IF(OR(A145="",ISERROR(FIND("door",A145))=TRUE),"",VLOOKUP("Hinges &amp; plates (Hettich thick door)",FurnitureData,5,0)*5)</f>
        <v/>
      </c>
      <c r="I145" s="115" t="str">
        <f>IF(ISERROR(FIND("shelf",A145))=FALSE,(VLOOKUP("Shelf pegs",FurnitureData,5,0)/100)*4,"")</f>
        <v/>
      </c>
      <c r="J145" s="152" t="str">
        <f>IF(OR(ISERROR(FIND("fridge/freezer",A145))=FALSE,ISERROR(FIND("sink",A145))=FALSE,ISERROR(FIND("larder",A145))=FALSE),VLOOKUP("Deep shelf "&amp;C145,Wardrobes_etcData,18,0),IF(OR(ISERROR(FIND("single oven",A145))=FALSE,ISERROR(FIND("Base carcass",A145))=FALSE),2*VLOOKUP("Deep shelf "&amp;C145,Wardrobes_etcData,18,0),IF(AND(ISERROR(FIND("wall carcass",A145))=FALSE,ISERROR(FIND("Boiler",A145))=TRUE),2*VLOOKUP("Shallow shelf "&amp;C145,Wardrobes_etcData,18,0),IF(ISERROR(FIND("double oven",A145))=FALSE,3*VLOOKUP("Deep shelf "&amp;C145,Wardrobes_etcData,18,0),IF(ISERROR(FIND("Tower carcass",A145))=FALSE,6*VLOOKUP("Deep shelf "&amp;C145,Wardrobes_etcData,18,0),"")))))</f>
        <v/>
      </c>
      <c r="K145" s="152" t="str">
        <f>IF(ISERROR(FIND("sink",A145))=FALSE,VLOOKUP("Sink liner - Aluminium "&amp;RIGHT(A145,LEN(A145)-22)&amp;"mm",ExceptionalData,5,0),IF(ISERROR(FIND("bins",A145))=FALSE,VLOOKUP("Drawer runners and clip set for bin unit (500) Dynapro",FurnitureData,5,0)+(2*VLOOKUP("Bin (42L Anthracite)",FurnitureData,5,0)),IF(ISERROR(FIND("larder",A145))=FALSE,VLOOKUP("Pull out larder unit 600mm",FurnitureData,5,0),IF(AND(ISERROR(FIND("drawer box",A145))=FALSE,ISERROR(FIND("internal",A145))=TRUE),VLOOKUP("Drawer runners and clip set (550) Dynapro",FurnitureData,5,0),IF(ISERROR(FIND("internal drawer box",A145))=FALSE,VLOOKUP("Drawer runners and clip set (450) Dynapro",FurnitureData,5,0),IF(ISERROR(FIND("table",A145))=FALSE,VLOOKUP("Hairpin Leg (12mm Black "&amp;MID(A145,FIND("(",A145)+1,LEN(A145)-(FIND("(",A145))-1)&amp;"mm)",ExceptionalData,4,FALSE),""))))))</f>
        <v/>
      </c>
      <c r="L145" s="152" t="str">
        <f t="shared" si="3"/>
        <v/>
      </c>
      <c r="M145" s="154" t="str">
        <f>IF(A145="","",IF(AND(ISERROR(FIND("drawer front",A145))=FALSE,WardrobeDoorStyle="Flat"),(((B145/1000)*(C145/1000))*2)+((((B145+C145)/1000)*2)*0.022),IF(AND(ISERROR(FIND("drawer front",A145))=FALSE,LEFT(WardrobeDoorStyle,5)="Panel"),(((B145/1000)*(C145/1000))*2)+((((B145+C145)/1000)*2)*0.022)+((((C145/1000)-0.16)*0.013)*2)+((((D145/1000)-0.16)*0.013)*2),IF(AND(ISERROR(FIND("drawer front",A145))=FALSE,WardrobeDoorStyle="In-frame flat"),((((B145-76)/1000)*((C145-38)/1000))*2)+(MID(WardrobeDoorMaterial,FIND("(",WardrobeDoorMaterial)+1,2)/1000)*((((B145-76)+(C145-38))/1000)*2)+(((B145/1000)*0.032)*2)+((((B145-76)/1000)*0.032)*2)+(((B145/1000)*0.019)*4)+(((C145/1000)*0.032)*2)+((((C145-38)/1000)*0.032)*2)+(((C145/1000)*0.038)*4),IF(AND(ISERROR(FIND("drawer front",A145))=FALSE,LEFT(WardrobeDoorStyle,14)="In-frame panel"),((((B145-76)/1000)*((C145-38)/1000))*2)+((MID(WardrobeDoorMaterial,FIND("(",WardrobeDoorMaterial)+1,2)/1000)*((((B145-76)+(C145-38))/1000)*2))+((((B145-236)/1000)+((C145-198)/1000)*2)*0.013)+(((B145/1000)*0.032)*2)+((((B145-76)/1000)*0.032)*2)+(((B145/1000)*0.019)*4)+(((C145/1000)*0.032)*2)+((((C145-38)/1000)*0.032)*2)+(((C145/1000)*0.038)*4),IF(ISERROR(FIND("drawer box",A145))=FALSE,((((B145/1000)*(D145/1000))+((B145/1000)*(C145/1000)))*4)+((((D145/1000)+(C145/1000))*0.016)*4)+(((C145/1000)*(D145/1000))*2),IF(OR(ISERROR(FIND("shelf",A145))=FALSE,ISERROR(FIND("Filler panel",A145))=FALSE),(((C145/1000)*(D145/1000))*2)+((((C145+D145)*2)/1000)*0.022),IF(ISERROR(FIND("Fireplace",A145))=FALSE,((B145/1000)*(C145/1000)),IF(ISERROR(FIND("Worktop",A145))=FALSE,(B145/1000)*(C145/1000),IF(ISERROR(FIND("table",A145))=FALSE,(B145/1000)*0.6,IF(ISERROR(FIND("arcass",A145))=FALSE,(((C145/1000)*(D145/1000))*2)+(((B145/1000)*(D145/1000))*2)+((B145/1000)*(C145/1000))+((((B145/1000)*0.025)+((C145/1000)*0.025))*2),IF(AND(ISERROR(FIND("door",A145))=FALSE,WardrobeDoorStyle="Flat"),(((B145/1000)*(C145/1000))*2)+(MID(WardrobeDoorMaterial,FIND("(",WardrobeDoorMaterial)+1,2)/1000)*(((B145+C145)/1000)*2),IF(AND(ISERROR(FIND("door",A145))=FALSE,LEFT(WardrobeDoorStyle,5)="Panel"),(((B145/1000)*(C145/1000))*2)+((MID(WardrobeDoorMaterial,FIND("(",WardrobeDoorMaterial)+1,2)/1000)*(((B145+C145)/1000)*2))+(((((B145-160)+(C145-160))*2)/1000)*(0.013)),IF(AND(ISERROR(FIND("door",A145))=FALSE,WardrobeDoorStyle="In-frame flat"),((((B145-76)/1000)*((C145-38)/1000))*2)+(MID(WardrobeDoorMaterial,FIND("(",WardrobeDoorMaterial)+1,2)/1000)*((((B145-76)+(C145-38))/1000)*2)+(((B145/1000)*0.032)*2)+((((B145-76)/1000)*0.032)*2)+(((B145/1000)*0.019)*4)+(((C145/1000)*0.032)*2)+((((C145-38)/1000)*0.032)*2)+(((C145/1000)*0.038)*4),IF(AND(ISERROR(FIND("door",A145))=FALSE,LEFT(WardrobeDoorStyle,14)="In-frame panel"),((((B145-76)/1000)*((C145-38)/1000))*2)+((MID(WardrobeDoorMaterial,FIND("(",WardrobeDoorMaterial)+1,2)/1000)*((((B145-76)+(C145-38))/1000)*2))+((((B145-236)/1000)+((C145-198)/1000)*2)*0.013)+(((B145/1000)*0.032)*2)+((((B145-76)/1000)*0.032)*2)+(((B145/1000)*0.019)*4)+(((C145/1000)*0.032)*2)+((((C145-38)/1000)*0.032)*2)+(((C145/1000)*0.038)*4),IF(ISERROR(FIND("Plinth",A145))=FALSE,((B145/1000)*(C145/1000))+(((C145/1000)*0.018)*2)+(((B145/1000)*0.018)*2),IF(ISERROR(FIND("Cornice",A145))=FALSE,(((C145/1000)*0.1)*2)+(((C145/1000)*0.044)*2)+(((B145/1000)*0.08)*2),IF(ISERROR(FIND("Office pod",A145))=FALSE,((2400/1000)*(1200/1000))*6,IF(ISERROR(FIND("panel",A145))=FALSE,((B145/1000)*(C145/1000))+(0.022*((B145/1000)+((C145/1000)*2)))+((B145/1000)*0.05),IF(ISERROR(FIND("Fillers",A145))=FALSE,((C145/1000)*0.06)+((C145/1000)*0.069)+((0.06*0.018)*2)+((0.06*0.009)*2)+((C145/1000)*0.009)+((C145/1000)*0.018),IF(ISERROR(FIND("Pelmet",A145))=FALSE,((C145/1000)*0.05)+((C145/1000)*0.068)+((0.05*0.018)*4)+(((C145/1000)*0.018))*2)))))))))))))))))))))</f>
        <v/>
      </c>
      <c r="N145" s="152" t="str">
        <f>IF(M145="","",IF(AND(ISERROR(FIND("carcass",A145))=TRUE,ISERROR(FIND("unit",A145))=TRUE,ISERROR(FIND("insert",A145))=TRUE,ISERROR(FIND("rack",A145))=TRUE,ISERROR(FIND("box",A145))=TRUE,ISERROR(FIND("shelf",A145))=TRUE),VLOOKUP(WardrobeDoorFinish,Finishing!$A$2:$K$10,9,0)*M145,IF(ISERROR(FIND("table",A145))=FALSE,VLOOKUP("Sayerlack AF0072 Interior Clear Self-Sealer",FinishingData,9,FALSE)*M145,VLOOKUP(WardrobeCarcassFinish,Finishing!$A$2:$K$40,9,0)*M145)))</f>
        <v/>
      </c>
      <c r="O145" s="159"/>
      <c r="P145" s="159"/>
      <c r="Q145" s="152" t="str">
        <f>IF(OR(O145="",P145=""),"",((O145*X145)*(VLOOKUP("Workshop",Labour!$A$3:$E$20,4,0)/8))+((P145*AE145)*(VLOOKUP("Finishing",Labour!$A$3:$E$20,4,0)/8)))</f>
        <v/>
      </c>
      <c r="R145" s="152" t="str">
        <f t="shared" si="4"/>
        <v/>
      </c>
      <c r="S145" s="156" t="str">
        <f>IF(OR(O145="",P145=""),"",IF(OR(ISERROR(FIND("carcass",$A145))=FALSE,ISERROR(FIND("unit",$A145))=FALSE),VLOOKUP(WardrobeCarcassMaterial,FixedListsCarcassMaterial,2,0),0))</f>
        <v/>
      </c>
      <c r="T145" s="156" t="str">
        <f>IF(OR(O145="",P145=""),"",IF(ISERROR(FIND("door",$A145))=FALSE,VLOOKUP(WardrobeDoorStyle,FixedListsDoorStyle,2,0),0))</f>
        <v/>
      </c>
      <c r="U145" s="156" t="str">
        <f>IF(OR(O145="",P145=""),"",IF(ISERROR(FIND("door",$A145))=FALSE,VLOOKUP(WardrobeDoorMaterial,FixedListsDoorMaterial,2,0),0))</f>
        <v/>
      </c>
      <c r="V145" s="156" t="str">
        <f>IF(OR(O145="",P145=""),"",IF(ISERROR(FIND("drawer",$A145))=FALSE,VLOOKUP(WardrobeDrawerType,FixedListsDrawerType,2,0),0))</f>
        <v/>
      </c>
      <c r="W145" s="156" t="str">
        <f>IF(OR(O145="",P145=""),"",IF(S145&gt;0,VLOOKUP(WardrobeHandleType,FixedListsHandleType,2,FALSE),0))</f>
        <v/>
      </c>
      <c r="X145" s="156" t="str">
        <f t="shared" si="5"/>
        <v/>
      </c>
      <c r="Y145" s="156" t="str">
        <f>IF(OR(O145="",P145=""),"",IF(OR(ISERROR(FIND("carcass",$A145))=FALSE,ISERROR(FIND("unit",$A145))=FALSE),VLOOKUP(WardrobeCarcassMaterial,FixedListsCarcassMaterial,3,0),0))</f>
        <v/>
      </c>
      <c r="Z145" s="156" t="str">
        <f>IF(OR(O145="",P145=""),"",IF(ISERROR(FIND("door",$A145))=FALSE,VLOOKUP(WardrobeDoorStyle,FixedListsDoorStyle,3,0),0))</f>
        <v/>
      </c>
      <c r="AA145" s="156" t="str">
        <f>IF(OR(O145="",P145=""),"",IF(ISERROR(FIND("door",$A145))=FALSE,VLOOKUP(WardrobeDoorMaterial,FixedListsDoorMaterial,3,0),0))</f>
        <v/>
      </c>
      <c r="AB145" s="156" t="str">
        <f>IF(OR(O145="",P145=""),"",IF(ISERROR(FIND("drawer",$A145))=FALSE,VLOOKUP(WardrobeDrawerType,FixedListsDrawerType,3,0),0))</f>
        <v/>
      </c>
      <c r="AC145" s="156" t="str">
        <f>IF(OR(O145="",P145=""),"",IF(S145&gt;0,VLOOKUP(WardrobeHandleType,FixedListsHandleType,3,FALSE),0))</f>
        <v/>
      </c>
      <c r="AD145" s="156" t="str">
        <f>IF(OR(O145="",P145=""),"",IF(OR(ISERROR(FIND("carcass",$A145))=FALSE,ISERROR(FIND("unit",$A145))=FALSE),VLOOKUP(WardrobeCarcassFinish,FixedListsFinishes,3,0),IF(OR(ISERROR(FIND("door",$A145))=FALSE,ISERROR(FIND("Plinth",$A145))=FALSE,ISERROR(FIND("Cornice",$A145))=FALSE,ISERROR(FIND("Fillers",$A145))=FALSE,ISERROR(FIND("Pelmet",$A145))=FALSE,ISERROR(FIND("panel",$A145))=FALSE,ISERROR(FIND("post",$A145))=FALSE),VLOOKUP(WardrobeDoorFinish,FixedListsFinishes,3,0),IF(OR(ISERROR(FIND("drawer",$A145))=FALSE,ISERROR(FIND("insert",$A145))=FALSE,ISERROR(FIND("rck",$A145))=FALSE),VLOOKUP(WardrobeCarcassFinish,FixedListsFinishes,3,0),0))))</f>
        <v/>
      </c>
      <c r="AE145" s="156" t="str">
        <f t="shared" si="6"/>
        <v/>
      </c>
      <c r="AF145" s="157" t="str">
        <f>IF(AND(WardrobeHandleType="Channel",OR(ISERROR(FIND("arcass",$A145))=FALSE,ISERROR(FIND("unit",$A145))=FALSE)),IF(ISERROR(FIND("Tower",$A145))=TRUE,IF(WardrobeHandleFinish="Match carcass",IF(ISERROR(FIND("Walnut",WardrobeCarcassMaterial))=FALSE,(0.035*0.075*($C145/1000))*VLOOKUP("Walnut (solid m3)",SolidData,4,FALSE),IF(ISERROR(FIND("Oak",WardrobeCarcassMaterial))=FALSE,(0.035*0.075*($C145/1000))*VLOOKUP("Oak (solid m3)",SolidData,4,FALSE),IF(ISERROR(FIND("ply",WardrobeCarcassMaterial))=FALSE,(0.1*($C145/1000))*VLOOKUP("Birch ply (24mm)",SheetsData,7,FALSE),IF(ISERROR(FIND("H/F",WardrobeCarcassMaterial))=FALSE,(0.1*($C145/1000))*VLOOKUP("H/F (22mm)",SheetsData,7,FALSE),"Carcass - not tower - new material")))),IF(WardrobeHandleFinish="Match door",IF(ISERROR(FIND("Walnut",WardrobeDoorMaterial))=FALSE,(0.035*0.075*($C145/1000))*VLOOKUP("Walnut (solid m3)",SolidData,4,FALSE),IF(ISERROR(FIND("Oak",WardrobeDoorMaterial))=FALSE,(0.035*0.075*($C145/1000))*VLOOKUP("Oak (solid m3)",SolidData,4,FALSE),IF(ISERROR(FIND("ply",WardrobeDoorMaterial))=FALSE,(0.1*($C145/1000))*VLOOKUP("Birch ply (24mm)",SheetsData,7,FALSE),IF(ISERROR(FIND("H/F",WardrobeCarcassMaterial))=FALSE,(0.1*($C145/1000))*VLOOKUP("H/F (22mm)",SheetsData,7,FALSE),"Door - not tower - new material")))),"Channel - not tower - handle set to other")),IF(ISERROR(FIND("Tower",$A145))=FALSE,IF(WardrobeHandleFinish="Match carcass",IF(ISERROR(FIND("Walnut",WardrobeCarcassMaterial))=FALSE,(0.035*0.075*($B145/1000))*VLOOKUP("Walnut (solid m3)",SolidData,4,FALSE),IF(ISERROR(FIND("Oak",WardrobeCarcassMaterial))=FALSE,(0.035*0.075*($B145/1000))*VLOOKUP("Oak (solid m3)",SolidData,4,FALSE),IF(ISERROR(FIND("ply",WardrobeCarcassMaterial))=FALSE,(0.1*($B145/1000))*VLOOKUP("Birch ply (24mm)",SheetsData,7,FALSE),IF(ISERROR(FIND("H/F",WardrobeCarcassMaterial))=FALSE,(0.1*($C145/1000))*VLOOKUP("H/F (22mm)",SheetsData,7,FALSE),"Carcass - tower - new material")))),IF(WardrobeHandleFinish="Match door",IF(ISERROR(FIND("Walnut",WardrobeDoorMaterial))=FALSE,(0.035*0.075*($B145/1000))*VLOOKUP("Walnut (solid m3)",SolidData,4,FALSE),IF(ISERROR(FIND("Oak",WardrobeDoorMaterial))=FALSE,(0.035*0.075*($B145/1000))*VLOOKUP("Oak (solid m3)",SolidData,4,FALSE),IF(ISERROR(FIND("ply",WardrobeDoorMaterial))=FALSE,(0.1*($B145/1000))*VLOOKUP("Birch ply (24mm)",SheetData,7,FALSE),IF(ISERROR(FIND("H/F",WardrobeCarcassMaterial))=FALSE,(0.1*($C145/1000))*VLOOKUP("H/F (22mm)",SheetsData,7,FALSE),"Door - tower - new material")))),"Channel - tower - handle set to other")))),"")</f>
        <v/>
      </c>
    </row>
    <row r="146">
      <c r="A146" s="150"/>
      <c r="B146" s="160" t="str">
        <f t="shared" si="1"/>
        <v/>
      </c>
      <c r="C146" s="160" t="str">
        <f>IFERROR(__xludf.DUMMYFUNCTION("IF(A146="""","""",IF(ISERROR(FIND(""arcass"",A146))=FALSE,MID(A146,FIND(""*"",A146)+1,FIND(""*"",A146,FIND(""*"",A146)+1)-FIND(""*"",A146)-1),IF(ISERROR(FIND(""End panel"",A146))=FALSE,RIGHT(A146,3),IF(OR(ISERROR(FIND(""drawer"",A146))=FALSE,ISERROR(FIND("&amp;"""door"",A146))=FALSE,ISERROR(FIND(""shelf"",A146))=FALSE,ISERROR(FIND(""panel"",A146))=FALSE,ISERROR(FIND(""Plinth"",A146))=FALSE,ISERROR(FIND(""Cornice"",A146))=FALSE,ISERROR(FIND(""Fillers"",A146))=FALSE,ISERROR(FIND(""Pelmet"",A146))=FALSE,ISERROR(FIN"&amp;"D(""Fireplace up to 1600"",A146))=FALSE),RIGHT(A146,LEN(A146)-LEN(regexextract(A146,"".* ""))),IF(ISERROR(FIND(""table"",A146))=FALSE,""560"",IF(ISERROR(FIND(""Office pod"",A146))=FALSE,""1600"",IF(ISERROR(FIND(""Fireplace over 1600"",A146))=FALSE,""2400"&amp;""",IF(ISERROR(FIND(""Worktop"",A146))=FALSE,""650"",""Whoops""))))))))"),"")</f>
        <v/>
      </c>
      <c r="D146" s="161" t="str">
        <f t="shared" si="2"/>
        <v/>
      </c>
      <c r="E146" s="152" t="str">
        <f>IF(OR(A146="",AND(ISERROR(FIND("drawer",A146))=FALSE,WardrobeDrawerType="")),"",IF(ISERROR(FIND("door",A146))=FALSE,IF(WardrobeDoorStyle="Flat",((B146/1000)*(C146/1000))*VLOOKUP(WardrobeDoorMaterial,SheetsData,8,0),IF(LEFT(WardrobeDoorStyle,5)="Panel",(((((B146/1000)*2)*0.08)+((((C146/1000)-0.16)*2)*0.08))*VLOOKUP("H/F (22mm)",SheetsData,8,0))+(((B146/1000)-0.14)*((C146/1000)-0.14)*VLOOKUP("H/F (9mm)",SheetsData,8,0)),IF(WardrobeDoorStyle="In-frame flat",((((((B146/1000)*0.019)*0.038)+((((C146-38)/1000)*0.038)*0.038))*2)*VLOOKUP("Tulip (solid m3)",SolidData,4,0))+(((B146-76)/1000)*((C146-38)/1000))*VLOOKUP("H/F (22mm)",SheetsData,8,0),IF(LEFT(WardrobeDoorStyle,14)="In-frame panel",(((((((B146/1000)*0.019)*0.038)+((((C146-38)/1000)*0.038)*0.038))*2)*VLOOKUP("Tulip (solid m3)",SolidData,4,0))+(((((((B146-76)/1000)*2)*0.08)+(((((C146-198)/1000)*2)*0.08)))*VLOOKUP("H/F (22mm)",SheetsData,8,0))+(((B146-216)/1000)*((C146-178)/1000)*VLOOKUP("H/F (9mm)",SheetsData,8,0)))))))),IF(AND(ISERROR(FIND("arcass",A146))=FALSE,ISERROR(FIND("ost corner",A146))=TRUE),IF(AND(VALUE(B146)&lt;1211,VALUE(C146)&lt;1211,VALUE(D146)&lt;606),1*VLOOKUP(WardrobeCarcassMaterial,SheetsData,5,FALSE),IF(AND(VALUE(B146)&lt;2421,VALUE(C146)&lt;2421,VALUE(D146)&lt;606),2*VLOOKUP(WardrobeCarcassMaterial,SheetsData,5,FALSE),IF(AND(VALUE(B146)&lt;2421,VALUE(C146)&lt;1211,VALUE(D146)&lt;1211),3*VLOOKUP(WardrobeCarcassMaterial,SheetsData,5,FALSE),IF(AND(VALUE(B146)&lt;2421,VALUE(C146)&lt;2421,VALUE(D146)&lt;1211),4*VLOOKUP(WardrobeCarcassMaterial,SheetsData,5,FALSE))))),IF(AND(ISERROR(FIND("arcass",A146))=FALSE,ISERROR(FIND("ost corner",A146))=FALSE),IF(AND(VALUE(B146)&lt;1211,VALUE(C146)&lt;1211,VALUE(D146)&lt;606),(1*VLOOKUP(WardrobeCarcassMaterial,SheetsData,5,FALSE))+(VLOOKUP("H/F (22mm)",SheetsData,7,FALSE)*1.44),IF(AND(VALUE(B146)&lt;2421,VALUE(C146)&lt;2421,VALUE(D146)&lt;606),(2*VLOOKUP(WardrobeCarcassMaterial,SheetsData,5,FALSE))+(VLOOKUP("H/F (22mm)",SheetsData,7,FALSE)*1.44),IF(AND(VALUE(B146)&lt;2421,VALUE(C146)&lt;1211,VALUE(D146)&lt;1211),(3*VLOOKUP(WardrobeCarcassMaterial,SheetsData,5,FALSE))+(VLOOKUP("H/F (22mm)",SheetsData,7,FALSE)*1.44),IF(AND(VALUE(B146)&lt;2421,VALUE(C146)&lt;2421,VALUE(D146)&lt;1211),(4*VLOOKUP(WardrobeCarcassMaterial,SheetsData,5,FALSE))+(VLOOKUP("H/F (22mm)",SheetsData,7,FALSE)*1.44))))),IF(ISERROR(FIND("drawer front",A146))=FALSE,((B146/1000)*(C146/1000))*VLOOKUP(WardrobeDoorMaterial,SheetsData,8,0),IF(AND(WardrobeDrawerType="Match carcass",ISERROR(FIND("drawer box",A146))=FALSE),(((((B146/1000)*(C146/1000))+((B146/1000)*(D146/1000)))*2)*VLOOKUP(WardrobeCarcassMaterial,SheetsData,8,0))+(((C146/1000)*(D146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box",A146))=FALSE),(((((B146/1000)*(C146/1000))+((B146/1000)*(D146/1000)))*2)*(16/1000)*VLOOKUP(LEFT(WardrobeCarcassMaterial,FIND(" ",WardrobeCarcassMaterial))&amp;"(solid m3)",SolidData,4,0))+(((C146/1000)*(D146/1000))*VLOOKUP(LEFT(WardrobeCarcassMaterial,FIND("(",WardrobeCarcassMaterial)-1)&amp;IF(OR(ISERROR(FIND("ply",WardrobeCarcassMaterial))=FALSE,ISERROR(FIND("H/F",WardrobeCarcassMaterial))=FALSE),"(9mm)","(10mm)"),SheetsData,8,0)),IF(ISERROR(FIND("shelf",A146))=FALSE,((C146/1000)*(D146/1000))*VLOOKUP(WardrobeCarcassMaterial,SheetsData,7,FALSE),IF(ISERROR(FIND("Office pod",A146))=FALSE,3*VLOOKUP(WardrobeCarcassMaterial,SheetsData,5,0),IF(ISERROR(FIND(" panel",A146))=FALSE,((B146/1000)*(C146/1000))*VLOOKUP(WardrobeDoorMaterial,SheetsData,8,0),IF(ISERROR(FIND("Fillers",A146))=FALSE,(((0.06*(C146/1000))*2)*VLOOKUP("H/F (18mm)",SheetsData,8,0))+(((0.06*(C146/1000))*2)*VLOOKUP("H/F (9mm)",SheetsData,8,0)),IF(ISERROR(FIND("Cornice (stacked)",A146))=FALSE,((0.08*(C146/1000))*2)*VLOOKUP("H/F (22mm)",SheetsData,8,0),IF(OR(ISERROR(FIND("Plinth",A146))=FALSE,ISERROR(FIND("Cornice (flat)",A146))=FALSE),((B146/1000)*(C146/1000))*VLOOKUP("H/F (18mm)",SheetsData,8,0),IF(ISERROR(FIND("Pelmet",A146))=FALSE,((((B146/1000)*(C146/1000))*2)*VLOOKUP("H/F (18mm)",SheetsData,8,0)),IF(ISERROR(FIND("Fireplace",A146))=FALSE,IF(ISERROR(FIND("over 1600",A146))=FALSE,2*VLOOKUP(WardrobeCarcassMaterial,SheetsData,5,FALSE),VLOOKUP(WardrobeCarcassMaterial,SheetsData,5,FALSE)),IF(ISERROR(FIND("table",A146))=FALSE,((B146/1000)*0.6)*VLOOKUP("Birch ply (24mm)",SheetsData,7,FALSE),IF(ISERROR(FIND("Worktop",A146))=FALSE,((B146/1000)*(C146/1000))*VLOOKUP(WardrobeDoorMaterial,SheetsData,7,FALSE),"Check formula")))))))))))))))))</f>
        <v/>
      </c>
      <c r="F146" s="152" t="str">
        <f>IFERROR(__xludf.DUMMYFUNCTION("IF(OR(A146="""",AND(ISERROR(FIND(""drawer box"",A146))=FALSE,WardrobeDrawerType=""Solid dovetail"")),"""",IF(ISERROR(FIND(""bins"",A146))=FALSE,VLOOKUP(""Base carcass 600"",Wardrobes_etcData,6,0),IF(OR(ISERROR(FIND(""larder"",A146))=FALSE,ISERROR(FIND(""u"&amp;"nit"",A146))=FALSE),VLOOKUP(LEFT(A146,FIND("" "",A146))&amp;""carcass ""&amp;RIGHT(A146,LEN(A146)-len(regexextract(A146,"".* ""))),Wardrobes_etcData,6,0),IF(ISERROR(FIND(""drawer front"",A146))=FALSE,IF(ISERROR(FIND(""veneer"",WardrobeCarcassMaterial))=TRUE,0,((("&amp;"B146+C146)/1000)*2)*VLOOKUP(""Edge banding (per M)"",SheetsData,5,0)),IF(ISERROR(FIND(""drawer box"",A146))=FALSE,IF(ISERROR(FIND(""veneer"",WardrobeCarcassMaterial))=TRUE,0,(((C146+D146)/1000)*2)*VLOOKUP(""Edge banding (per M)"",SheetsData,5,0)),IF(ISERR"&amp;"OR(FIND(""shelf"",A146))=FALSE,IF(ISERROR(FIND(""veneer"",WardrobeCarcassMaterial))=TRUE,0,(C146/1000)*VLOOKUP(""Edge banding (per M)"",SheetsData,5,0)),IF(AND(OR(ISERROR(FIND(""arcass"",A146))=FALSE,ISERROR(FIND(""Fireplace"",A146))=FALSE),ISERROR(FIND("&amp;"""shelf"",A146))=TRUE),IF(ISERROR(FIND(""veneer"",WardrobeCarcassMaterial))=TRUE,0,((2*(B146+C146))/1000)*VLOOKUP(""Edge banding (per M)"",SheetsData,5,0)),IF(ISERROR(FIND(""door"",A146))=TRUE,"""",IF(ISERROR(FIND(""veneer"",WardrobeDoorMaterial))=TRUE,"""&amp;""",((2*(B146+C146))/1000)*VLOOKUP(""Edge banding (per M)"",SheetsData,5,0))))))))))"),"")</f>
        <v/>
      </c>
      <c r="G146" s="153" t="str">
        <f>IF(A146="","",IF(AND(ISERROR(FIND("arcass",A146))=TRUE,ISERROR(FIND("Fireplace",A146))=TRUE),"",IF(VALUE(C146)&lt;606,4*VLOOKUP("Plinth foot (2 Parts 80mm)",FurnitureData,5,FALSE),IF(VALUE(C146)&lt;1211,6*VLOOKUP("Plinth foot (2 Parts 80mm)",FurnitureData,5,FALSE),8*VLOOKUP("Plinth foot (2 Parts 80mm)",FurnitureData,5,FALSE)))))</f>
        <v/>
      </c>
      <c r="H146" s="115" t="str">
        <f>IF(OR(A146="",ISERROR(FIND("door",A146))=TRUE),"",VLOOKUP("Hinges &amp; plates (Hettich thick door)",FurnitureData,5,0)*5)</f>
        <v/>
      </c>
      <c r="I146" s="115" t="str">
        <f>IF(ISERROR(FIND("shelf",A146))=FALSE,(VLOOKUP("Shelf pegs",FurnitureData,5,0)/100)*4,"")</f>
        <v/>
      </c>
      <c r="J146" s="152" t="str">
        <f>IF(OR(ISERROR(FIND("fridge/freezer",A146))=FALSE,ISERROR(FIND("sink",A146))=FALSE,ISERROR(FIND("larder",A146))=FALSE),VLOOKUP("Deep shelf "&amp;C146,Wardrobes_etcData,18,0),IF(OR(ISERROR(FIND("single oven",A146))=FALSE,ISERROR(FIND("Base carcass",A146))=FALSE),2*VLOOKUP("Deep shelf "&amp;C146,Wardrobes_etcData,18,0),IF(AND(ISERROR(FIND("wall carcass",A146))=FALSE,ISERROR(FIND("Boiler",A146))=TRUE),2*VLOOKUP("Shallow shelf "&amp;C146,Wardrobes_etcData,18,0),IF(ISERROR(FIND("double oven",A146))=FALSE,3*VLOOKUP("Deep shelf "&amp;C146,Wardrobes_etcData,18,0),IF(ISERROR(FIND("Tower carcass",A146))=FALSE,6*VLOOKUP("Deep shelf "&amp;C146,Wardrobes_etcData,18,0),"")))))</f>
        <v/>
      </c>
      <c r="K146" s="152" t="str">
        <f>IF(ISERROR(FIND("sink",A146))=FALSE,VLOOKUP("Sink liner - Aluminium "&amp;RIGHT(A146,LEN(A146)-22)&amp;"mm",ExceptionalData,5,0),IF(ISERROR(FIND("bins",A146))=FALSE,VLOOKUP("Drawer runners and clip set for bin unit (500) Dynapro",FurnitureData,5,0)+(2*VLOOKUP("Bin (42L Anthracite)",FurnitureData,5,0)),IF(ISERROR(FIND("larder",A146))=FALSE,VLOOKUP("Pull out larder unit 600mm",FurnitureData,5,0),IF(AND(ISERROR(FIND("drawer box",A146))=FALSE,ISERROR(FIND("internal",A146))=TRUE),VLOOKUP("Drawer runners and clip set (550) Dynapro",FurnitureData,5,0),IF(ISERROR(FIND("internal drawer box",A146))=FALSE,VLOOKUP("Drawer runners and clip set (450) Dynapro",FurnitureData,5,0),IF(ISERROR(FIND("table",A146))=FALSE,VLOOKUP("Hairpin Leg (12mm Black "&amp;MID(A146,FIND("(",A146)+1,LEN(A146)-(FIND("(",A146))-1)&amp;"mm)",ExceptionalData,4,FALSE),""))))))</f>
        <v/>
      </c>
      <c r="L146" s="152" t="str">
        <f t="shared" si="3"/>
        <v/>
      </c>
      <c r="M146" s="154" t="str">
        <f>IF(A146="","",IF(AND(ISERROR(FIND("drawer front",A146))=FALSE,WardrobeDoorStyle="Flat"),(((B146/1000)*(C146/1000))*2)+((((B146+C146)/1000)*2)*0.022),IF(AND(ISERROR(FIND("drawer front",A146))=FALSE,LEFT(WardrobeDoorStyle,5)="Panel"),(((B146/1000)*(C146/1000))*2)+((((B146+C146)/1000)*2)*0.022)+((((C146/1000)-0.16)*0.013)*2)+((((D146/1000)-0.16)*0.013)*2),IF(AND(ISERROR(FIND("drawer front",A146))=FALSE,WardrobeDoorStyle="In-frame flat"),((((B146-76)/1000)*((C146-38)/1000))*2)+(MID(WardrobeDoorMaterial,FIND("(",WardrobeDoorMaterial)+1,2)/1000)*((((B146-76)+(C146-38))/1000)*2)+(((B146/1000)*0.032)*2)+((((B146-76)/1000)*0.032)*2)+(((B146/1000)*0.019)*4)+(((C146/1000)*0.032)*2)+((((C146-38)/1000)*0.032)*2)+(((C146/1000)*0.038)*4),IF(AND(ISERROR(FIND("drawer front",A146))=FALSE,LEFT(WardrobeDoorStyle,14)="In-frame panel"),((((B146-76)/1000)*((C146-38)/1000))*2)+((MID(WardrobeDoorMaterial,FIND("(",WardrobeDoorMaterial)+1,2)/1000)*((((B146-76)+(C146-38))/1000)*2))+((((B146-236)/1000)+((C146-198)/1000)*2)*0.013)+(((B146/1000)*0.032)*2)+((((B146-76)/1000)*0.032)*2)+(((B146/1000)*0.019)*4)+(((C146/1000)*0.032)*2)+((((C146-38)/1000)*0.032)*2)+(((C146/1000)*0.038)*4),IF(ISERROR(FIND("drawer box",A146))=FALSE,((((B146/1000)*(D146/1000))+((B146/1000)*(C146/1000)))*4)+((((D146/1000)+(C146/1000))*0.016)*4)+(((C146/1000)*(D146/1000))*2),IF(OR(ISERROR(FIND("shelf",A146))=FALSE,ISERROR(FIND("Filler panel",A146))=FALSE),(((C146/1000)*(D146/1000))*2)+((((C146+D146)*2)/1000)*0.022),IF(ISERROR(FIND("Fireplace",A146))=FALSE,((B146/1000)*(C146/1000)),IF(ISERROR(FIND("Worktop",A146))=FALSE,(B146/1000)*(C146/1000),IF(ISERROR(FIND("table",A146))=FALSE,(B146/1000)*0.6,IF(ISERROR(FIND("arcass",A146))=FALSE,(((C146/1000)*(D146/1000))*2)+(((B146/1000)*(D146/1000))*2)+((B146/1000)*(C146/1000))+((((B146/1000)*0.025)+((C146/1000)*0.025))*2),IF(AND(ISERROR(FIND("door",A146))=FALSE,WardrobeDoorStyle="Flat"),(((B146/1000)*(C146/1000))*2)+(MID(WardrobeDoorMaterial,FIND("(",WardrobeDoorMaterial)+1,2)/1000)*(((B146+C146)/1000)*2),IF(AND(ISERROR(FIND("door",A146))=FALSE,LEFT(WardrobeDoorStyle,5)="Panel"),(((B146/1000)*(C146/1000))*2)+((MID(WardrobeDoorMaterial,FIND("(",WardrobeDoorMaterial)+1,2)/1000)*(((B146+C146)/1000)*2))+(((((B146-160)+(C146-160))*2)/1000)*(0.013)),IF(AND(ISERROR(FIND("door",A146))=FALSE,WardrobeDoorStyle="In-frame flat"),((((B146-76)/1000)*((C146-38)/1000))*2)+(MID(WardrobeDoorMaterial,FIND("(",WardrobeDoorMaterial)+1,2)/1000)*((((B146-76)+(C146-38))/1000)*2)+(((B146/1000)*0.032)*2)+((((B146-76)/1000)*0.032)*2)+(((B146/1000)*0.019)*4)+(((C146/1000)*0.032)*2)+((((C146-38)/1000)*0.032)*2)+(((C146/1000)*0.038)*4),IF(AND(ISERROR(FIND("door",A146))=FALSE,LEFT(WardrobeDoorStyle,14)="In-frame panel"),((((B146-76)/1000)*((C146-38)/1000))*2)+((MID(WardrobeDoorMaterial,FIND("(",WardrobeDoorMaterial)+1,2)/1000)*((((B146-76)+(C146-38))/1000)*2))+((((B146-236)/1000)+((C146-198)/1000)*2)*0.013)+(((B146/1000)*0.032)*2)+((((B146-76)/1000)*0.032)*2)+(((B146/1000)*0.019)*4)+(((C146/1000)*0.032)*2)+((((C146-38)/1000)*0.032)*2)+(((C146/1000)*0.038)*4),IF(ISERROR(FIND("Plinth",A146))=FALSE,((B146/1000)*(C146/1000))+(((C146/1000)*0.018)*2)+(((B146/1000)*0.018)*2),IF(ISERROR(FIND("Cornice",A146))=FALSE,(((C146/1000)*0.1)*2)+(((C146/1000)*0.044)*2)+(((B146/1000)*0.08)*2),IF(ISERROR(FIND("Office pod",A146))=FALSE,((2400/1000)*(1200/1000))*6,IF(ISERROR(FIND("panel",A146))=FALSE,((B146/1000)*(C146/1000))+(0.022*((B146/1000)+((C146/1000)*2)))+((B146/1000)*0.05),IF(ISERROR(FIND("Fillers",A146))=FALSE,((C146/1000)*0.06)+((C146/1000)*0.069)+((0.06*0.018)*2)+((0.06*0.009)*2)+((C146/1000)*0.009)+((C146/1000)*0.018),IF(ISERROR(FIND("Pelmet",A146))=FALSE,((C146/1000)*0.05)+((C146/1000)*0.068)+((0.05*0.018)*4)+(((C146/1000)*0.018))*2)))))))))))))))))))))</f>
        <v/>
      </c>
      <c r="N146" s="152" t="str">
        <f>IF(M146="","",IF(AND(ISERROR(FIND("carcass",A146))=TRUE,ISERROR(FIND("unit",A146))=TRUE,ISERROR(FIND("insert",A146))=TRUE,ISERROR(FIND("rack",A146))=TRUE,ISERROR(FIND("box",A146))=TRUE,ISERROR(FIND("shelf",A146))=TRUE),VLOOKUP(WardrobeDoorFinish,Finishing!$A$2:$K$10,9,0)*M146,IF(ISERROR(FIND("table",A146))=FALSE,VLOOKUP("Sayerlack AF0072 Interior Clear Self-Sealer",FinishingData,9,FALSE)*M146,VLOOKUP(WardrobeCarcassFinish,Finishing!$A$2:$K$40,9,0)*M146)))</f>
        <v/>
      </c>
      <c r="O146" s="159"/>
      <c r="P146" s="159"/>
      <c r="Q146" s="152" t="str">
        <f>IF(OR(O146="",P146=""),"",((O146*X146)*(VLOOKUP("Workshop",Labour!$A$3:$E$20,4,0)/8))+((P146*AE146)*(VLOOKUP("Finishing",Labour!$A$3:$E$20,4,0)/8)))</f>
        <v/>
      </c>
      <c r="R146" s="152" t="str">
        <f t="shared" si="4"/>
        <v/>
      </c>
      <c r="S146" s="156" t="str">
        <f>IF(OR(O146="",P146=""),"",IF(OR(ISERROR(FIND("carcass",$A146))=FALSE,ISERROR(FIND("unit",$A146))=FALSE),VLOOKUP(WardrobeCarcassMaterial,FixedListsCarcassMaterial,2,0),0))</f>
        <v/>
      </c>
      <c r="T146" s="156" t="str">
        <f>IF(OR(O146="",P146=""),"",IF(ISERROR(FIND("door",$A146))=FALSE,VLOOKUP(WardrobeDoorStyle,FixedListsDoorStyle,2,0),0))</f>
        <v/>
      </c>
      <c r="U146" s="156" t="str">
        <f>IF(OR(O146="",P146=""),"",IF(ISERROR(FIND("door",$A146))=FALSE,VLOOKUP(WardrobeDoorMaterial,FixedListsDoorMaterial,2,0),0))</f>
        <v/>
      </c>
      <c r="V146" s="156" t="str">
        <f>IF(OR(O146="",P146=""),"",IF(ISERROR(FIND("drawer",$A146))=FALSE,VLOOKUP(WardrobeDrawerType,FixedListsDrawerType,2,0),0))</f>
        <v/>
      </c>
      <c r="W146" s="156" t="str">
        <f>IF(OR(O146="",P146=""),"",IF(S146&gt;0,VLOOKUP(WardrobeHandleType,FixedListsHandleType,2,FALSE),0))</f>
        <v/>
      </c>
      <c r="X146" s="156" t="str">
        <f t="shared" si="5"/>
        <v/>
      </c>
      <c r="Y146" s="156" t="str">
        <f>IF(OR(O146="",P146=""),"",IF(OR(ISERROR(FIND("carcass",$A146))=FALSE,ISERROR(FIND("unit",$A146))=FALSE),VLOOKUP(WardrobeCarcassMaterial,FixedListsCarcassMaterial,3,0),0))</f>
        <v/>
      </c>
      <c r="Z146" s="156" t="str">
        <f>IF(OR(O146="",P146=""),"",IF(ISERROR(FIND("door",$A146))=FALSE,VLOOKUP(WardrobeDoorStyle,FixedListsDoorStyle,3,0),0))</f>
        <v/>
      </c>
      <c r="AA146" s="156" t="str">
        <f>IF(OR(O146="",P146=""),"",IF(ISERROR(FIND("door",$A146))=FALSE,VLOOKUP(WardrobeDoorMaterial,FixedListsDoorMaterial,3,0),0))</f>
        <v/>
      </c>
      <c r="AB146" s="156" t="str">
        <f>IF(OR(O146="",P146=""),"",IF(ISERROR(FIND("drawer",$A146))=FALSE,VLOOKUP(WardrobeDrawerType,FixedListsDrawerType,3,0),0))</f>
        <v/>
      </c>
      <c r="AC146" s="156" t="str">
        <f>IF(OR(O146="",P146=""),"",IF(S146&gt;0,VLOOKUP(WardrobeHandleType,FixedListsHandleType,3,FALSE),0))</f>
        <v/>
      </c>
      <c r="AD146" s="156" t="str">
        <f>IF(OR(O146="",P146=""),"",IF(OR(ISERROR(FIND("carcass",$A146))=FALSE,ISERROR(FIND("unit",$A146))=FALSE),VLOOKUP(WardrobeCarcassFinish,FixedListsFinishes,3,0),IF(OR(ISERROR(FIND("door",$A146))=FALSE,ISERROR(FIND("Plinth",$A146))=FALSE,ISERROR(FIND("Cornice",$A146))=FALSE,ISERROR(FIND("Fillers",$A146))=FALSE,ISERROR(FIND("Pelmet",$A146))=FALSE,ISERROR(FIND("panel",$A146))=FALSE,ISERROR(FIND("post",$A146))=FALSE),VLOOKUP(WardrobeDoorFinish,FixedListsFinishes,3,0),IF(OR(ISERROR(FIND("drawer",$A146))=FALSE,ISERROR(FIND("insert",$A146))=FALSE,ISERROR(FIND("rck",$A146))=FALSE),VLOOKUP(WardrobeCarcassFinish,FixedListsFinishes,3,0),0))))</f>
        <v/>
      </c>
      <c r="AE146" s="156" t="str">
        <f t="shared" si="6"/>
        <v/>
      </c>
      <c r="AF146" s="157" t="str">
        <f>IF(AND(WardrobeHandleType="Channel",OR(ISERROR(FIND("arcass",$A146))=FALSE,ISERROR(FIND("unit",$A146))=FALSE)),IF(ISERROR(FIND("Tower",$A146))=TRUE,IF(WardrobeHandleFinish="Match carcass",IF(ISERROR(FIND("Walnut",WardrobeCarcassMaterial))=FALSE,(0.035*0.075*($C146/1000))*VLOOKUP("Walnut (solid m3)",SolidData,4,FALSE),IF(ISERROR(FIND("Oak",WardrobeCarcassMaterial))=FALSE,(0.035*0.075*($C146/1000))*VLOOKUP("Oak (solid m3)",SolidData,4,FALSE),IF(ISERROR(FIND("ply",WardrobeCarcassMaterial))=FALSE,(0.1*($C146/1000))*VLOOKUP("Birch ply (24mm)",SheetsData,7,FALSE),IF(ISERROR(FIND("H/F",WardrobeCarcassMaterial))=FALSE,(0.1*($C146/1000))*VLOOKUP("H/F (22mm)",SheetsData,7,FALSE),"Carcass - not tower - new material")))),IF(WardrobeHandleFinish="Match door",IF(ISERROR(FIND("Walnut",WardrobeDoorMaterial))=FALSE,(0.035*0.075*($C146/1000))*VLOOKUP("Walnut (solid m3)",SolidData,4,FALSE),IF(ISERROR(FIND("Oak",WardrobeDoorMaterial))=FALSE,(0.035*0.075*($C146/1000))*VLOOKUP("Oak (solid m3)",SolidData,4,FALSE),IF(ISERROR(FIND("ply",WardrobeDoorMaterial))=FALSE,(0.1*($C146/1000))*VLOOKUP("Birch ply (24mm)",SheetsData,7,FALSE),IF(ISERROR(FIND("H/F",WardrobeCarcassMaterial))=FALSE,(0.1*($C146/1000))*VLOOKUP("H/F (22mm)",SheetsData,7,FALSE),"Door - not tower - new material")))),"Channel - not tower - handle set to other")),IF(ISERROR(FIND("Tower",$A146))=FALSE,IF(WardrobeHandleFinish="Match carcass",IF(ISERROR(FIND("Walnut",WardrobeCarcassMaterial))=FALSE,(0.035*0.075*($B146/1000))*VLOOKUP("Walnut (solid m3)",SolidData,4,FALSE),IF(ISERROR(FIND("Oak",WardrobeCarcassMaterial))=FALSE,(0.035*0.075*($B146/1000))*VLOOKUP("Oak (solid m3)",SolidData,4,FALSE),IF(ISERROR(FIND("ply",WardrobeCarcassMaterial))=FALSE,(0.1*($B146/1000))*VLOOKUP("Birch ply (24mm)",SheetsData,7,FALSE),IF(ISERROR(FIND("H/F",WardrobeCarcassMaterial))=FALSE,(0.1*($C146/1000))*VLOOKUP("H/F (22mm)",SheetsData,7,FALSE),"Carcass - tower - new material")))),IF(WardrobeHandleFinish="Match door",IF(ISERROR(FIND("Walnut",WardrobeDoorMaterial))=FALSE,(0.035*0.075*($B146/1000))*VLOOKUP("Walnut (solid m3)",SolidData,4,FALSE),IF(ISERROR(FIND("Oak",WardrobeDoorMaterial))=FALSE,(0.035*0.075*($B146/1000))*VLOOKUP("Oak (solid m3)",SolidData,4,FALSE),IF(ISERROR(FIND("ply",WardrobeDoorMaterial))=FALSE,(0.1*($B146/1000))*VLOOKUP("Birch ply (24mm)",SheetData,7,FALSE),IF(ISERROR(FIND("H/F",WardrobeCarcassMaterial))=FALSE,(0.1*($C146/1000))*VLOOKUP("H/F (22mm)",SheetsData,7,FALSE),"Door - tower - new material")))),"Channel - tower - handle set to other")))),"")</f>
        <v/>
      </c>
    </row>
    <row r="147">
      <c r="A147" s="150"/>
      <c r="B147" s="160" t="str">
        <f t="shared" si="1"/>
        <v/>
      </c>
      <c r="C147" s="160" t="str">
        <f>IFERROR(__xludf.DUMMYFUNCTION("IF(A147="""","""",IF(ISERROR(FIND(""arcass"",A147))=FALSE,MID(A147,FIND(""*"",A147)+1,FIND(""*"",A147,FIND(""*"",A147)+1)-FIND(""*"",A147)-1),IF(ISERROR(FIND(""End panel"",A147))=FALSE,RIGHT(A147,3),IF(OR(ISERROR(FIND(""drawer"",A147))=FALSE,ISERROR(FIND("&amp;"""door"",A147))=FALSE,ISERROR(FIND(""shelf"",A147))=FALSE,ISERROR(FIND(""panel"",A147))=FALSE,ISERROR(FIND(""Plinth"",A147))=FALSE,ISERROR(FIND(""Cornice"",A147))=FALSE,ISERROR(FIND(""Fillers"",A147))=FALSE,ISERROR(FIND(""Pelmet"",A147))=FALSE,ISERROR(FIN"&amp;"D(""Fireplace up to 1600"",A147))=FALSE),RIGHT(A147,LEN(A147)-LEN(regexextract(A147,"".* ""))),IF(ISERROR(FIND(""table"",A147))=FALSE,""560"",IF(ISERROR(FIND(""Office pod"",A147))=FALSE,""1600"",IF(ISERROR(FIND(""Fireplace over 1600"",A147))=FALSE,""2400"&amp;""",IF(ISERROR(FIND(""Worktop"",A147))=FALSE,""650"",""Whoops""))))))))"),"")</f>
        <v/>
      </c>
      <c r="D147" s="161" t="str">
        <f t="shared" si="2"/>
        <v/>
      </c>
      <c r="E147" s="152" t="str">
        <f>IF(OR(A147="",AND(ISERROR(FIND("drawer",A147))=FALSE,WardrobeDrawerType="")),"",IF(ISERROR(FIND("door",A147))=FALSE,IF(WardrobeDoorStyle="Flat",((B147/1000)*(C147/1000))*VLOOKUP(WardrobeDoorMaterial,SheetsData,8,0),IF(LEFT(WardrobeDoorStyle,5)="Panel",(((((B147/1000)*2)*0.08)+((((C147/1000)-0.16)*2)*0.08))*VLOOKUP("H/F (22mm)",SheetsData,8,0))+(((B147/1000)-0.14)*((C147/1000)-0.14)*VLOOKUP("H/F (9mm)",SheetsData,8,0)),IF(WardrobeDoorStyle="In-frame flat",((((((B147/1000)*0.019)*0.038)+((((C147-38)/1000)*0.038)*0.038))*2)*VLOOKUP("Tulip (solid m3)",SolidData,4,0))+(((B147-76)/1000)*((C147-38)/1000))*VLOOKUP("H/F (22mm)",SheetsData,8,0),IF(LEFT(WardrobeDoorStyle,14)="In-frame panel",(((((((B147/1000)*0.019)*0.038)+((((C147-38)/1000)*0.038)*0.038))*2)*VLOOKUP("Tulip (solid m3)",SolidData,4,0))+(((((((B147-76)/1000)*2)*0.08)+(((((C147-198)/1000)*2)*0.08)))*VLOOKUP("H/F (22mm)",SheetsData,8,0))+(((B147-216)/1000)*((C147-178)/1000)*VLOOKUP("H/F (9mm)",SheetsData,8,0)))))))),IF(AND(ISERROR(FIND("arcass",A147))=FALSE,ISERROR(FIND("ost corner",A147))=TRUE),IF(AND(VALUE(B147)&lt;1211,VALUE(C147)&lt;1211,VALUE(D147)&lt;606),1*VLOOKUP(WardrobeCarcassMaterial,SheetsData,5,FALSE),IF(AND(VALUE(B147)&lt;2421,VALUE(C147)&lt;2421,VALUE(D147)&lt;606),2*VLOOKUP(WardrobeCarcassMaterial,SheetsData,5,FALSE),IF(AND(VALUE(B147)&lt;2421,VALUE(C147)&lt;1211,VALUE(D147)&lt;1211),3*VLOOKUP(WardrobeCarcassMaterial,SheetsData,5,FALSE),IF(AND(VALUE(B147)&lt;2421,VALUE(C147)&lt;2421,VALUE(D147)&lt;1211),4*VLOOKUP(WardrobeCarcassMaterial,SheetsData,5,FALSE))))),IF(AND(ISERROR(FIND("arcass",A147))=FALSE,ISERROR(FIND("ost corner",A147))=FALSE),IF(AND(VALUE(B147)&lt;1211,VALUE(C147)&lt;1211,VALUE(D147)&lt;606),(1*VLOOKUP(WardrobeCarcassMaterial,SheetsData,5,FALSE))+(VLOOKUP("H/F (22mm)",SheetsData,7,FALSE)*1.44),IF(AND(VALUE(B147)&lt;2421,VALUE(C147)&lt;2421,VALUE(D147)&lt;606),(2*VLOOKUP(WardrobeCarcassMaterial,SheetsData,5,FALSE))+(VLOOKUP("H/F (22mm)",SheetsData,7,FALSE)*1.44),IF(AND(VALUE(B147)&lt;2421,VALUE(C147)&lt;1211,VALUE(D147)&lt;1211),(3*VLOOKUP(WardrobeCarcassMaterial,SheetsData,5,FALSE))+(VLOOKUP("H/F (22mm)",SheetsData,7,FALSE)*1.44),IF(AND(VALUE(B147)&lt;2421,VALUE(C147)&lt;2421,VALUE(D147)&lt;1211),(4*VLOOKUP(WardrobeCarcassMaterial,SheetsData,5,FALSE))+(VLOOKUP("H/F (22mm)",SheetsData,7,FALSE)*1.44))))),IF(ISERROR(FIND("drawer front",A147))=FALSE,((B147/1000)*(C147/1000))*VLOOKUP(WardrobeDoorMaterial,SheetsData,8,0),IF(AND(WardrobeDrawerType="Match carcass",ISERROR(FIND("drawer box",A147))=FALSE),(((((B147/1000)*(C147/1000))+((B147/1000)*(D147/1000)))*2)*VLOOKUP(WardrobeCarcassMaterial,SheetsData,8,0))+(((C147/1000)*(D147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box",A147))=FALSE),(((((B147/1000)*(C147/1000))+((B147/1000)*(D147/1000)))*2)*(16/1000)*VLOOKUP(LEFT(WardrobeCarcassMaterial,FIND(" ",WardrobeCarcassMaterial))&amp;"(solid m3)",SolidData,4,0))+(((C147/1000)*(D147/1000))*VLOOKUP(LEFT(WardrobeCarcassMaterial,FIND("(",WardrobeCarcassMaterial)-1)&amp;IF(OR(ISERROR(FIND("ply",WardrobeCarcassMaterial))=FALSE,ISERROR(FIND("H/F",WardrobeCarcassMaterial))=FALSE),"(9mm)","(10mm)"),SheetsData,8,0)),IF(ISERROR(FIND("shelf",A147))=FALSE,((C147/1000)*(D147/1000))*VLOOKUP(WardrobeCarcassMaterial,SheetsData,7,FALSE),IF(ISERROR(FIND("Office pod",A147))=FALSE,3*VLOOKUP(WardrobeCarcassMaterial,SheetsData,5,0),IF(ISERROR(FIND(" panel",A147))=FALSE,((B147/1000)*(C147/1000))*VLOOKUP(WardrobeDoorMaterial,SheetsData,8,0),IF(ISERROR(FIND("Fillers",A147))=FALSE,(((0.06*(C147/1000))*2)*VLOOKUP("H/F (18mm)",SheetsData,8,0))+(((0.06*(C147/1000))*2)*VLOOKUP("H/F (9mm)",SheetsData,8,0)),IF(ISERROR(FIND("Cornice (stacked)",A147))=FALSE,((0.08*(C147/1000))*2)*VLOOKUP("H/F (22mm)",SheetsData,8,0),IF(OR(ISERROR(FIND("Plinth",A147))=FALSE,ISERROR(FIND("Cornice (flat)",A147))=FALSE),((B147/1000)*(C147/1000))*VLOOKUP("H/F (18mm)",SheetsData,8,0),IF(ISERROR(FIND("Pelmet",A147))=FALSE,((((B147/1000)*(C147/1000))*2)*VLOOKUP("H/F (18mm)",SheetsData,8,0)),IF(ISERROR(FIND("Fireplace",A147))=FALSE,IF(ISERROR(FIND("over 1600",A147))=FALSE,2*VLOOKUP(WardrobeCarcassMaterial,SheetsData,5,FALSE),VLOOKUP(WardrobeCarcassMaterial,SheetsData,5,FALSE)),IF(ISERROR(FIND("table",A147))=FALSE,((B147/1000)*0.6)*VLOOKUP("Birch ply (24mm)",SheetsData,7,FALSE),IF(ISERROR(FIND("Worktop",A147))=FALSE,((B147/1000)*(C147/1000))*VLOOKUP(WardrobeDoorMaterial,SheetsData,7,FALSE),"Check formula")))))))))))))))))</f>
        <v/>
      </c>
      <c r="F147" s="152" t="str">
        <f>IFERROR(__xludf.DUMMYFUNCTION("IF(OR(A147="""",AND(ISERROR(FIND(""drawer box"",A147))=FALSE,WardrobeDrawerType=""Solid dovetail"")),"""",IF(ISERROR(FIND(""bins"",A147))=FALSE,VLOOKUP(""Base carcass 600"",Wardrobes_etcData,6,0),IF(OR(ISERROR(FIND(""larder"",A147))=FALSE,ISERROR(FIND(""u"&amp;"nit"",A147))=FALSE),VLOOKUP(LEFT(A147,FIND("" "",A147))&amp;""carcass ""&amp;RIGHT(A147,LEN(A147)-len(regexextract(A147,"".* ""))),Wardrobes_etcData,6,0),IF(ISERROR(FIND(""drawer front"",A147))=FALSE,IF(ISERROR(FIND(""veneer"",WardrobeCarcassMaterial))=TRUE,0,((("&amp;"B147+C147)/1000)*2)*VLOOKUP(""Edge banding (per M)"",SheetsData,5,0)),IF(ISERROR(FIND(""drawer box"",A147))=FALSE,IF(ISERROR(FIND(""veneer"",WardrobeCarcassMaterial))=TRUE,0,(((C147+D147)/1000)*2)*VLOOKUP(""Edge banding (per M)"",SheetsData,5,0)),IF(ISERR"&amp;"OR(FIND(""shelf"",A147))=FALSE,IF(ISERROR(FIND(""veneer"",WardrobeCarcassMaterial))=TRUE,0,(C147/1000)*VLOOKUP(""Edge banding (per M)"",SheetsData,5,0)),IF(AND(OR(ISERROR(FIND(""arcass"",A147))=FALSE,ISERROR(FIND(""Fireplace"",A147))=FALSE),ISERROR(FIND("&amp;"""shelf"",A147))=TRUE),IF(ISERROR(FIND(""veneer"",WardrobeCarcassMaterial))=TRUE,0,((2*(B147+C147))/1000)*VLOOKUP(""Edge banding (per M)"",SheetsData,5,0)),IF(ISERROR(FIND(""door"",A147))=TRUE,"""",IF(ISERROR(FIND(""veneer"",WardrobeDoorMaterial))=TRUE,"""&amp;""",((2*(B147+C147))/1000)*VLOOKUP(""Edge banding (per M)"",SheetsData,5,0))))))))))"),"")</f>
        <v/>
      </c>
      <c r="G147" s="153" t="str">
        <f>IF(A147="","",IF(AND(ISERROR(FIND("arcass",A147))=TRUE,ISERROR(FIND("Fireplace",A147))=TRUE),"",IF(VALUE(C147)&lt;606,4*VLOOKUP("Plinth foot (2 Parts 80mm)",FurnitureData,5,FALSE),IF(VALUE(C147)&lt;1211,6*VLOOKUP("Plinth foot (2 Parts 80mm)",FurnitureData,5,FALSE),8*VLOOKUP("Plinth foot (2 Parts 80mm)",FurnitureData,5,FALSE)))))</f>
        <v/>
      </c>
      <c r="H147" s="115" t="str">
        <f>IF(OR(A147="",ISERROR(FIND("door",A147))=TRUE),"",VLOOKUP("Hinges &amp; plates (Hettich thick door)",FurnitureData,5,0)*5)</f>
        <v/>
      </c>
      <c r="I147" s="115" t="str">
        <f>IF(ISERROR(FIND("shelf",A147))=FALSE,(VLOOKUP("Shelf pegs",FurnitureData,5,0)/100)*4,"")</f>
        <v/>
      </c>
      <c r="J147" s="152" t="str">
        <f>IF(OR(ISERROR(FIND("fridge/freezer",A147))=FALSE,ISERROR(FIND("sink",A147))=FALSE,ISERROR(FIND("larder",A147))=FALSE),VLOOKUP("Deep shelf "&amp;C147,Wardrobes_etcData,18,0),IF(OR(ISERROR(FIND("single oven",A147))=FALSE,ISERROR(FIND("Base carcass",A147))=FALSE),2*VLOOKUP("Deep shelf "&amp;C147,Wardrobes_etcData,18,0),IF(AND(ISERROR(FIND("wall carcass",A147))=FALSE,ISERROR(FIND("Boiler",A147))=TRUE),2*VLOOKUP("Shallow shelf "&amp;C147,Wardrobes_etcData,18,0),IF(ISERROR(FIND("double oven",A147))=FALSE,3*VLOOKUP("Deep shelf "&amp;C147,Wardrobes_etcData,18,0),IF(ISERROR(FIND("Tower carcass",A147))=FALSE,6*VLOOKUP("Deep shelf "&amp;C147,Wardrobes_etcData,18,0),"")))))</f>
        <v/>
      </c>
      <c r="K147" s="152" t="str">
        <f>IF(ISERROR(FIND("sink",A147))=FALSE,VLOOKUP("Sink liner - Aluminium "&amp;RIGHT(A147,LEN(A147)-22)&amp;"mm",ExceptionalData,5,0),IF(ISERROR(FIND("bins",A147))=FALSE,VLOOKUP("Drawer runners and clip set for bin unit (500) Dynapro",FurnitureData,5,0)+(2*VLOOKUP("Bin (42L Anthracite)",FurnitureData,5,0)),IF(ISERROR(FIND("larder",A147))=FALSE,VLOOKUP("Pull out larder unit 600mm",FurnitureData,5,0),IF(AND(ISERROR(FIND("drawer box",A147))=FALSE,ISERROR(FIND("internal",A147))=TRUE),VLOOKUP("Drawer runners and clip set (550) Dynapro",FurnitureData,5,0),IF(ISERROR(FIND("internal drawer box",A147))=FALSE,VLOOKUP("Drawer runners and clip set (450) Dynapro",FurnitureData,5,0),IF(ISERROR(FIND("table",A147))=FALSE,VLOOKUP("Hairpin Leg (12mm Black "&amp;MID(A147,FIND("(",A147)+1,LEN(A147)-(FIND("(",A147))-1)&amp;"mm)",ExceptionalData,4,FALSE),""))))))</f>
        <v/>
      </c>
      <c r="L147" s="152" t="str">
        <f t="shared" si="3"/>
        <v/>
      </c>
      <c r="M147" s="154" t="str">
        <f>IF(A147="","",IF(AND(ISERROR(FIND("drawer front",A147))=FALSE,WardrobeDoorStyle="Flat"),(((B147/1000)*(C147/1000))*2)+((((B147+C147)/1000)*2)*0.022),IF(AND(ISERROR(FIND("drawer front",A147))=FALSE,LEFT(WardrobeDoorStyle,5)="Panel"),(((B147/1000)*(C147/1000))*2)+((((B147+C147)/1000)*2)*0.022)+((((C147/1000)-0.16)*0.013)*2)+((((D147/1000)-0.16)*0.013)*2),IF(AND(ISERROR(FIND("drawer front",A147))=FALSE,WardrobeDoorStyle="In-frame flat"),((((B147-76)/1000)*((C147-38)/1000))*2)+(MID(WardrobeDoorMaterial,FIND("(",WardrobeDoorMaterial)+1,2)/1000)*((((B147-76)+(C147-38))/1000)*2)+(((B147/1000)*0.032)*2)+((((B147-76)/1000)*0.032)*2)+(((B147/1000)*0.019)*4)+(((C147/1000)*0.032)*2)+((((C147-38)/1000)*0.032)*2)+(((C147/1000)*0.038)*4),IF(AND(ISERROR(FIND("drawer front",A147))=FALSE,LEFT(WardrobeDoorStyle,14)="In-frame panel"),((((B147-76)/1000)*((C147-38)/1000))*2)+((MID(WardrobeDoorMaterial,FIND("(",WardrobeDoorMaterial)+1,2)/1000)*((((B147-76)+(C147-38))/1000)*2))+((((B147-236)/1000)+((C147-198)/1000)*2)*0.013)+(((B147/1000)*0.032)*2)+((((B147-76)/1000)*0.032)*2)+(((B147/1000)*0.019)*4)+(((C147/1000)*0.032)*2)+((((C147-38)/1000)*0.032)*2)+(((C147/1000)*0.038)*4),IF(ISERROR(FIND("drawer box",A147))=FALSE,((((B147/1000)*(D147/1000))+((B147/1000)*(C147/1000)))*4)+((((D147/1000)+(C147/1000))*0.016)*4)+(((C147/1000)*(D147/1000))*2),IF(OR(ISERROR(FIND("shelf",A147))=FALSE,ISERROR(FIND("Filler panel",A147))=FALSE),(((C147/1000)*(D147/1000))*2)+((((C147+D147)*2)/1000)*0.022),IF(ISERROR(FIND("Fireplace",A147))=FALSE,((B147/1000)*(C147/1000)),IF(ISERROR(FIND("Worktop",A147))=FALSE,(B147/1000)*(C147/1000),IF(ISERROR(FIND("table",A147))=FALSE,(B147/1000)*0.6,IF(ISERROR(FIND("arcass",A147))=FALSE,(((C147/1000)*(D147/1000))*2)+(((B147/1000)*(D147/1000))*2)+((B147/1000)*(C147/1000))+((((B147/1000)*0.025)+((C147/1000)*0.025))*2),IF(AND(ISERROR(FIND("door",A147))=FALSE,WardrobeDoorStyle="Flat"),(((B147/1000)*(C147/1000))*2)+(MID(WardrobeDoorMaterial,FIND("(",WardrobeDoorMaterial)+1,2)/1000)*(((B147+C147)/1000)*2),IF(AND(ISERROR(FIND("door",A147))=FALSE,LEFT(WardrobeDoorStyle,5)="Panel"),(((B147/1000)*(C147/1000))*2)+((MID(WardrobeDoorMaterial,FIND("(",WardrobeDoorMaterial)+1,2)/1000)*(((B147+C147)/1000)*2))+(((((B147-160)+(C147-160))*2)/1000)*(0.013)),IF(AND(ISERROR(FIND("door",A147))=FALSE,WardrobeDoorStyle="In-frame flat"),((((B147-76)/1000)*((C147-38)/1000))*2)+(MID(WardrobeDoorMaterial,FIND("(",WardrobeDoorMaterial)+1,2)/1000)*((((B147-76)+(C147-38))/1000)*2)+(((B147/1000)*0.032)*2)+((((B147-76)/1000)*0.032)*2)+(((B147/1000)*0.019)*4)+(((C147/1000)*0.032)*2)+((((C147-38)/1000)*0.032)*2)+(((C147/1000)*0.038)*4),IF(AND(ISERROR(FIND("door",A147))=FALSE,LEFT(WardrobeDoorStyle,14)="In-frame panel"),((((B147-76)/1000)*((C147-38)/1000))*2)+((MID(WardrobeDoorMaterial,FIND("(",WardrobeDoorMaterial)+1,2)/1000)*((((B147-76)+(C147-38))/1000)*2))+((((B147-236)/1000)+((C147-198)/1000)*2)*0.013)+(((B147/1000)*0.032)*2)+((((B147-76)/1000)*0.032)*2)+(((B147/1000)*0.019)*4)+(((C147/1000)*0.032)*2)+((((C147-38)/1000)*0.032)*2)+(((C147/1000)*0.038)*4),IF(ISERROR(FIND("Plinth",A147))=FALSE,((B147/1000)*(C147/1000))+(((C147/1000)*0.018)*2)+(((B147/1000)*0.018)*2),IF(ISERROR(FIND("Cornice",A147))=FALSE,(((C147/1000)*0.1)*2)+(((C147/1000)*0.044)*2)+(((B147/1000)*0.08)*2),IF(ISERROR(FIND("Office pod",A147))=FALSE,((2400/1000)*(1200/1000))*6,IF(ISERROR(FIND("panel",A147))=FALSE,((B147/1000)*(C147/1000))+(0.022*((B147/1000)+((C147/1000)*2)))+((B147/1000)*0.05),IF(ISERROR(FIND("Fillers",A147))=FALSE,((C147/1000)*0.06)+((C147/1000)*0.069)+((0.06*0.018)*2)+((0.06*0.009)*2)+((C147/1000)*0.009)+((C147/1000)*0.018),IF(ISERROR(FIND("Pelmet",A147))=FALSE,((C147/1000)*0.05)+((C147/1000)*0.068)+((0.05*0.018)*4)+(((C147/1000)*0.018))*2)))))))))))))))))))))</f>
        <v/>
      </c>
      <c r="N147" s="152" t="str">
        <f>IF(M147="","",IF(AND(ISERROR(FIND("carcass",A147))=TRUE,ISERROR(FIND("unit",A147))=TRUE,ISERROR(FIND("insert",A147))=TRUE,ISERROR(FIND("rack",A147))=TRUE,ISERROR(FIND("box",A147))=TRUE,ISERROR(FIND("shelf",A147))=TRUE),VLOOKUP(WardrobeDoorFinish,Finishing!$A$2:$K$10,9,0)*M147,IF(ISERROR(FIND("table",A147))=FALSE,VLOOKUP("Sayerlack AF0072 Interior Clear Self-Sealer",FinishingData,9,FALSE)*M147,VLOOKUP(WardrobeCarcassFinish,Finishing!$A$2:$K$40,9,0)*M147)))</f>
        <v/>
      </c>
      <c r="O147" s="159"/>
      <c r="P147" s="159"/>
      <c r="Q147" s="152" t="str">
        <f>IF(OR(O147="",P147=""),"",((O147*X147)*(VLOOKUP("Workshop",Labour!$A$3:$E$20,4,0)/8))+((P147*AE147)*(VLOOKUP("Finishing",Labour!$A$3:$E$20,4,0)/8)))</f>
        <v/>
      </c>
      <c r="R147" s="152" t="str">
        <f t="shared" si="4"/>
        <v/>
      </c>
      <c r="S147" s="156" t="str">
        <f>IF(OR(O147="",P147=""),"",IF(OR(ISERROR(FIND("carcass",$A147))=FALSE,ISERROR(FIND("unit",$A147))=FALSE),VLOOKUP(WardrobeCarcassMaterial,FixedListsCarcassMaterial,2,0),0))</f>
        <v/>
      </c>
      <c r="T147" s="156" t="str">
        <f>IF(OR(O147="",P147=""),"",IF(ISERROR(FIND("door",$A147))=FALSE,VLOOKUP(WardrobeDoorStyle,FixedListsDoorStyle,2,0),0))</f>
        <v/>
      </c>
      <c r="U147" s="156" t="str">
        <f>IF(OR(O147="",P147=""),"",IF(ISERROR(FIND("door",$A147))=FALSE,VLOOKUP(WardrobeDoorMaterial,FixedListsDoorMaterial,2,0),0))</f>
        <v/>
      </c>
      <c r="V147" s="156" t="str">
        <f>IF(OR(O147="",P147=""),"",IF(ISERROR(FIND("drawer",$A147))=FALSE,VLOOKUP(WardrobeDrawerType,FixedListsDrawerType,2,0),0))</f>
        <v/>
      </c>
      <c r="W147" s="156" t="str">
        <f>IF(OR(O147="",P147=""),"",IF(S147&gt;0,VLOOKUP(WardrobeHandleType,FixedListsHandleType,2,FALSE),0))</f>
        <v/>
      </c>
      <c r="X147" s="156" t="str">
        <f t="shared" si="5"/>
        <v/>
      </c>
      <c r="Y147" s="156" t="str">
        <f>IF(OR(O147="",P147=""),"",IF(OR(ISERROR(FIND("carcass",$A147))=FALSE,ISERROR(FIND("unit",$A147))=FALSE),VLOOKUP(WardrobeCarcassMaterial,FixedListsCarcassMaterial,3,0),0))</f>
        <v/>
      </c>
      <c r="Z147" s="156" t="str">
        <f>IF(OR(O147="",P147=""),"",IF(ISERROR(FIND("door",$A147))=FALSE,VLOOKUP(WardrobeDoorStyle,FixedListsDoorStyle,3,0),0))</f>
        <v/>
      </c>
      <c r="AA147" s="156" t="str">
        <f>IF(OR(O147="",P147=""),"",IF(ISERROR(FIND("door",$A147))=FALSE,VLOOKUP(WardrobeDoorMaterial,FixedListsDoorMaterial,3,0),0))</f>
        <v/>
      </c>
      <c r="AB147" s="156" t="str">
        <f>IF(OR(O147="",P147=""),"",IF(ISERROR(FIND("drawer",$A147))=FALSE,VLOOKUP(WardrobeDrawerType,FixedListsDrawerType,3,0),0))</f>
        <v/>
      </c>
      <c r="AC147" s="156" t="str">
        <f>IF(OR(O147="",P147=""),"",IF(S147&gt;0,VLOOKUP(WardrobeHandleType,FixedListsHandleType,3,FALSE),0))</f>
        <v/>
      </c>
      <c r="AD147" s="156" t="str">
        <f>IF(OR(O147="",P147=""),"",IF(OR(ISERROR(FIND("carcass",$A147))=FALSE,ISERROR(FIND("unit",$A147))=FALSE),VLOOKUP(WardrobeCarcassFinish,FixedListsFinishes,3,0),IF(OR(ISERROR(FIND("door",$A147))=FALSE,ISERROR(FIND("Plinth",$A147))=FALSE,ISERROR(FIND("Cornice",$A147))=FALSE,ISERROR(FIND("Fillers",$A147))=FALSE,ISERROR(FIND("Pelmet",$A147))=FALSE,ISERROR(FIND("panel",$A147))=FALSE,ISERROR(FIND("post",$A147))=FALSE),VLOOKUP(WardrobeDoorFinish,FixedListsFinishes,3,0),IF(OR(ISERROR(FIND("drawer",$A147))=FALSE,ISERROR(FIND("insert",$A147))=FALSE,ISERROR(FIND("rck",$A147))=FALSE),VLOOKUP(WardrobeCarcassFinish,FixedListsFinishes,3,0),0))))</f>
        <v/>
      </c>
      <c r="AE147" s="156" t="str">
        <f t="shared" si="6"/>
        <v/>
      </c>
      <c r="AF147" s="157" t="str">
        <f>IF(AND(WardrobeHandleType="Channel",OR(ISERROR(FIND("arcass",$A147))=FALSE,ISERROR(FIND("unit",$A147))=FALSE)),IF(ISERROR(FIND("Tower",$A147))=TRUE,IF(WardrobeHandleFinish="Match carcass",IF(ISERROR(FIND("Walnut",WardrobeCarcassMaterial))=FALSE,(0.035*0.075*($C147/1000))*VLOOKUP("Walnut (solid m3)",SolidData,4,FALSE),IF(ISERROR(FIND("Oak",WardrobeCarcassMaterial))=FALSE,(0.035*0.075*($C147/1000))*VLOOKUP("Oak (solid m3)",SolidData,4,FALSE),IF(ISERROR(FIND("ply",WardrobeCarcassMaterial))=FALSE,(0.1*($C147/1000))*VLOOKUP("Birch ply (24mm)",SheetsData,7,FALSE),IF(ISERROR(FIND("H/F",WardrobeCarcassMaterial))=FALSE,(0.1*($C147/1000))*VLOOKUP("H/F (22mm)",SheetsData,7,FALSE),"Carcass - not tower - new material")))),IF(WardrobeHandleFinish="Match door",IF(ISERROR(FIND("Walnut",WardrobeDoorMaterial))=FALSE,(0.035*0.075*($C147/1000))*VLOOKUP("Walnut (solid m3)",SolidData,4,FALSE),IF(ISERROR(FIND("Oak",WardrobeDoorMaterial))=FALSE,(0.035*0.075*($C147/1000))*VLOOKUP("Oak (solid m3)",SolidData,4,FALSE),IF(ISERROR(FIND("ply",WardrobeDoorMaterial))=FALSE,(0.1*($C147/1000))*VLOOKUP("Birch ply (24mm)",SheetsData,7,FALSE),IF(ISERROR(FIND("H/F",WardrobeCarcassMaterial))=FALSE,(0.1*($C147/1000))*VLOOKUP("H/F (22mm)",SheetsData,7,FALSE),"Door - not tower - new material")))),"Channel - not tower - handle set to other")),IF(ISERROR(FIND("Tower",$A147))=FALSE,IF(WardrobeHandleFinish="Match carcass",IF(ISERROR(FIND("Walnut",WardrobeCarcassMaterial))=FALSE,(0.035*0.075*($B147/1000))*VLOOKUP("Walnut (solid m3)",SolidData,4,FALSE),IF(ISERROR(FIND("Oak",WardrobeCarcassMaterial))=FALSE,(0.035*0.075*($B147/1000))*VLOOKUP("Oak (solid m3)",SolidData,4,FALSE),IF(ISERROR(FIND("ply",WardrobeCarcassMaterial))=FALSE,(0.1*($B147/1000))*VLOOKUP("Birch ply (24mm)",SheetsData,7,FALSE),IF(ISERROR(FIND("H/F",WardrobeCarcassMaterial))=FALSE,(0.1*($C147/1000))*VLOOKUP("H/F (22mm)",SheetsData,7,FALSE),"Carcass - tower - new material")))),IF(WardrobeHandleFinish="Match door",IF(ISERROR(FIND("Walnut",WardrobeDoorMaterial))=FALSE,(0.035*0.075*($B147/1000))*VLOOKUP("Walnut (solid m3)",SolidData,4,FALSE),IF(ISERROR(FIND("Oak",WardrobeDoorMaterial))=FALSE,(0.035*0.075*($B147/1000))*VLOOKUP("Oak (solid m3)",SolidData,4,FALSE),IF(ISERROR(FIND("ply",WardrobeDoorMaterial))=FALSE,(0.1*($B147/1000))*VLOOKUP("Birch ply (24mm)",SheetData,7,FALSE),IF(ISERROR(FIND("H/F",WardrobeCarcassMaterial))=FALSE,(0.1*($C147/1000))*VLOOKUP("H/F (22mm)",SheetsData,7,FALSE),"Door - tower - new material")))),"Channel - tower - handle set to other")))),"")</f>
        <v/>
      </c>
    </row>
    <row r="148">
      <c r="A148" s="150"/>
      <c r="B148" s="160" t="str">
        <f t="shared" si="1"/>
        <v/>
      </c>
      <c r="C148" s="160" t="str">
        <f>IFERROR(__xludf.DUMMYFUNCTION("IF(A148="""","""",IF(ISERROR(FIND(""arcass"",A148))=FALSE,MID(A148,FIND(""*"",A148)+1,FIND(""*"",A148,FIND(""*"",A148)+1)-FIND(""*"",A148)-1),IF(ISERROR(FIND(""End panel"",A148))=FALSE,RIGHT(A148,3),IF(OR(ISERROR(FIND(""drawer"",A148))=FALSE,ISERROR(FIND("&amp;"""door"",A148))=FALSE,ISERROR(FIND(""shelf"",A148))=FALSE,ISERROR(FIND(""panel"",A148))=FALSE,ISERROR(FIND(""Plinth"",A148))=FALSE,ISERROR(FIND(""Cornice"",A148))=FALSE,ISERROR(FIND(""Fillers"",A148))=FALSE,ISERROR(FIND(""Pelmet"",A148))=FALSE,ISERROR(FIN"&amp;"D(""Fireplace up to 1600"",A148))=FALSE),RIGHT(A148,LEN(A148)-LEN(regexextract(A148,"".* ""))),IF(ISERROR(FIND(""table"",A148))=FALSE,""560"",IF(ISERROR(FIND(""Office pod"",A148))=FALSE,""1600"",IF(ISERROR(FIND(""Fireplace over 1600"",A148))=FALSE,""2400"&amp;""",IF(ISERROR(FIND(""Worktop"",A148))=FALSE,""650"",""Whoops""))))))))"),"")</f>
        <v/>
      </c>
      <c r="D148" s="161" t="str">
        <f t="shared" si="2"/>
        <v/>
      </c>
      <c r="E148" s="152" t="str">
        <f>IF(OR(A148="",AND(ISERROR(FIND("drawer",A148))=FALSE,WardrobeDrawerType="")),"",IF(ISERROR(FIND("door",A148))=FALSE,IF(WardrobeDoorStyle="Flat",((B148/1000)*(C148/1000))*VLOOKUP(WardrobeDoorMaterial,SheetsData,8,0),IF(LEFT(WardrobeDoorStyle,5)="Panel",(((((B148/1000)*2)*0.08)+((((C148/1000)-0.16)*2)*0.08))*VLOOKUP("H/F (22mm)",SheetsData,8,0))+(((B148/1000)-0.14)*((C148/1000)-0.14)*VLOOKUP("H/F (9mm)",SheetsData,8,0)),IF(WardrobeDoorStyle="In-frame flat",((((((B148/1000)*0.019)*0.038)+((((C148-38)/1000)*0.038)*0.038))*2)*VLOOKUP("Tulip (solid m3)",SolidData,4,0))+(((B148-76)/1000)*((C148-38)/1000))*VLOOKUP("H/F (22mm)",SheetsData,8,0),IF(LEFT(WardrobeDoorStyle,14)="In-frame panel",(((((((B148/1000)*0.019)*0.038)+((((C148-38)/1000)*0.038)*0.038))*2)*VLOOKUP("Tulip (solid m3)",SolidData,4,0))+(((((((B148-76)/1000)*2)*0.08)+(((((C148-198)/1000)*2)*0.08)))*VLOOKUP("H/F (22mm)",SheetsData,8,0))+(((B148-216)/1000)*((C148-178)/1000)*VLOOKUP("H/F (9mm)",SheetsData,8,0)))))))),IF(AND(ISERROR(FIND("arcass",A148))=FALSE,ISERROR(FIND("ost corner",A148))=TRUE),IF(AND(VALUE(B148)&lt;1211,VALUE(C148)&lt;1211,VALUE(D148)&lt;606),1*VLOOKUP(WardrobeCarcassMaterial,SheetsData,5,FALSE),IF(AND(VALUE(B148)&lt;2421,VALUE(C148)&lt;2421,VALUE(D148)&lt;606),2*VLOOKUP(WardrobeCarcassMaterial,SheetsData,5,FALSE),IF(AND(VALUE(B148)&lt;2421,VALUE(C148)&lt;1211,VALUE(D148)&lt;1211),3*VLOOKUP(WardrobeCarcassMaterial,SheetsData,5,FALSE),IF(AND(VALUE(B148)&lt;2421,VALUE(C148)&lt;2421,VALUE(D148)&lt;1211),4*VLOOKUP(WardrobeCarcassMaterial,SheetsData,5,FALSE))))),IF(AND(ISERROR(FIND("arcass",A148))=FALSE,ISERROR(FIND("ost corner",A148))=FALSE),IF(AND(VALUE(B148)&lt;1211,VALUE(C148)&lt;1211,VALUE(D148)&lt;606),(1*VLOOKUP(WardrobeCarcassMaterial,SheetsData,5,FALSE))+(VLOOKUP("H/F (22mm)",SheetsData,7,FALSE)*1.44),IF(AND(VALUE(B148)&lt;2421,VALUE(C148)&lt;2421,VALUE(D148)&lt;606),(2*VLOOKUP(WardrobeCarcassMaterial,SheetsData,5,FALSE))+(VLOOKUP("H/F (22mm)",SheetsData,7,FALSE)*1.44),IF(AND(VALUE(B148)&lt;2421,VALUE(C148)&lt;1211,VALUE(D148)&lt;1211),(3*VLOOKUP(WardrobeCarcassMaterial,SheetsData,5,FALSE))+(VLOOKUP("H/F (22mm)",SheetsData,7,FALSE)*1.44),IF(AND(VALUE(B148)&lt;2421,VALUE(C148)&lt;2421,VALUE(D148)&lt;1211),(4*VLOOKUP(WardrobeCarcassMaterial,SheetsData,5,FALSE))+(VLOOKUP("H/F (22mm)",SheetsData,7,FALSE)*1.44))))),IF(ISERROR(FIND("drawer front",A148))=FALSE,((B148/1000)*(C148/1000))*VLOOKUP(WardrobeDoorMaterial,SheetsData,8,0),IF(AND(WardrobeDrawerType="Match carcass",ISERROR(FIND("drawer box",A148))=FALSE),(((((B148/1000)*(C148/1000))+((B148/1000)*(D148/1000)))*2)*VLOOKUP(WardrobeCarcassMaterial,SheetsData,8,0))+(((C148/1000)*(D148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box",A148))=FALSE),(((((B148/1000)*(C148/1000))+((B148/1000)*(D148/1000)))*2)*(16/1000)*VLOOKUP(LEFT(WardrobeCarcassMaterial,FIND(" ",WardrobeCarcassMaterial))&amp;"(solid m3)",SolidData,4,0))+(((C148/1000)*(D148/1000))*VLOOKUP(LEFT(WardrobeCarcassMaterial,FIND("(",WardrobeCarcassMaterial)-1)&amp;IF(OR(ISERROR(FIND("ply",WardrobeCarcassMaterial))=FALSE,ISERROR(FIND("H/F",WardrobeCarcassMaterial))=FALSE),"(9mm)","(10mm)"),SheetsData,8,0)),IF(ISERROR(FIND("shelf",A148))=FALSE,((C148/1000)*(D148/1000))*VLOOKUP(WardrobeCarcassMaterial,SheetsData,7,FALSE),IF(ISERROR(FIND("Office pod",A148))=FALSE,3*VLOOKUP(WardrobeCarcassMaterial,SheetsData,5,0),IF(ISERROR(FIND(" panel",A148))=FALSE,((B148/1000)*(C148/1000))*VLOOKUP(WardrobeDoorMaterial,SheetsData,8,0),IF(ISERROR(FIND("Fillers",A148))=FALSE,(((0.06*(C148/1000))*2)*VLOOKUP("H/F (18mm)",SheetsData,8,0))+(((0.06*(C148/1000))*2)*VLOOKUP("H/F (9mm)",SheetsData,8,0)),IF(ISERROR(FIND("Cornice (stacked)",A148))=FALSE,((0.08*(C148/1000))*2)*VLOOKUP("H/F (22mm)",SheetsData,8,0),IF(OR(ISERROR(FIND("Plinth",A148))=FALSE,ISERROR(FIND("Cornice (flat)",A148))=FALSE),((B148/1000)*(C148/1000))*VLOOKUP("H/F (18mm)",SheetsData,8,0),IF(ISERROR(FIND("Pelmet",A148))=FALSE,((((B148/1000)*(C148/1000))*2)*VLOOKUP("H/F (18mm)",SheetsData,8,0)),IF(ISERROR(FIND("Fireplace",A148))=FALSE,IF(ISERROR(FIND("over 1600",A148))=FALSE,2*VLOOKUP(WardrobeCarcassMaterial,SheetsData,5,FALSE),VLOOKUP(WardrobeCarcassMaterial,SheetsData,5,FALSE)),IF(ISERROR(FIND("table",A148))=FALSE,((B148/1000)*0.6)*VLOOKUP("Birch ply (24mm)",SheetsData,7,FALSE),IF(ISERROR(FIND("Worktop",A148))=FALSE,((B148/1000)*(C148/1000))*VLOOKUP(WardrobeDoorMaterial,SheetsData,7,FALSE),"Check formula")))))))))))))))))</f>
        <v/>
      </c>
      <c r="F148" s="152" t="str">
        <f>IFERROR(__xludf.DUMMYFUNCTION("IF(OR(A148="""",AND(ISERROR(FIND(""drawer box"",A148))=FALSE,WardrobeDrawerType=""Solid dovetail"")),"""",IF(ISERROR(FIND(""bins"",A148))=FALSE,VLOOKUP(""Base carcass 600"",Wardrobes_etcData,6,0),IF(OR(ISERROR(FIND(""larder"",A148))=FALSE,ISERROR(FIND(""u"&amp;"nit"",A148))=FALSE),VLOOKUP(LEFT(A148,FIND("" "",A148))&amp;""carcass ""&amp;RIGHT(A148,LEN(A148)-len(regexextract(A148,"".* ""))),Wardrobes_etcData,6,0),IF(ISERROR(FIND(""drawer front"",A148))=FALSE,IF(ISERROR(FIND(""veneer"",WardrobeCarcassMaterial))=TRUE,0,((("&amp;"B148+C148)/1000)*2)*VLOOKUP(""Edge banding (per M)"",SheetsData,5,0)),IF(ISERROR(FIND(""drawer box"",A148))=FALSE,IF(ISERROR(FIND(""veneer"",WardrobeCarcassMaterial))=TRUE,0,(((C148+D148)/1000)*2)*VLOOKUP(""Edge banding (per M)"",SheetsData,5,0)),IF(ISERR"&amp;"OR(FIND(""shelf"",A148))=FALSE,IF(ISERROR(FIND(""veneer"",WardrobeCarcassMaterial))=TRUE,0,(C148/1000)*VLOOKUP(""Edge banding (per M)"",SheetsData,5,0)),IF(AND(OR(ISERROR(FIND(""arcass"",A148))=FALSE,ISERROR(FIND(""Fireplace"",A148))=FALSE),ISERROR(FIND("&amp;"""shelf"",A148))=TRUE),IF(ISERROR(FIND(""veneer"",WardrobeCarcassMaterial))=TRUE,0,((2*(B148+C148))/1000)*VLOOKUP(""Edge banding (per M)"",SheetsData,5,0)),IF(ISERROR(FIND(""door"",A148))=TRUE,"""",IF(ISERROR(FIND(""veneer"",WardrobeDoorMaterial))=TRUE,"""&amp;""",((2*(B148+C148))/1000)*VLOOKUP(""Edge banding (per M)"",SheetsData,5,0))))))))))"),"")</f>
        <v/>
      </c>
      <c r="G148" s="153" t="str">
        <f>IF(A148="","",IF(AND(ISERROR(FIND("arcass",A148))=TRUE,ISERROR(FIND("Fireplace",A148))=TRUE),"",IF(VALUE(C148)&lt;606,4*VLOOKUP("Plinth foot (2 Parts 80mm)",FurnitureData,5,FALSE),IF(VALUE(C148)&lt;1211,6*VLOOKUP("Plinth foot (2 Parts 80mm)",FurnitureData,5,FALSE),8*VLOOKUP("Plinth foot (2 Parts 80mm)",FurnitureData,5,FALSE)))))</f>
        <v/>
      </c>
      <c r="H148" s="115" t="str">
        <f>IF(OR(A148="",ISERROR(FIND("door",A148))=TRUE),"",VLOOKUP("Hinges &amp; plates (Hettich thick door)",FurnitureData,5,0)*5)</f>
        <v/>
      </c>
      <c r="I148" s="115" t="str">
        <f>IF(ISERROR(FIND("shelf",A148))=FALSE,(VLOOKUP("Shelf pegs",FurnitureData,5,0)/100)*4,"")</f>
        <v/>
      </c>
      <c r="J148" s="152" t="str">
        <f>IF(OR(ISERROR(FIND("fridge/freezer",A148))=FALSE,ISERROR(FIND("sink",A148))=FALSE,ISERROR(FIND("larder",A148))=FALSE),VLOOKUP("Deep shelf "&amp;C148,Wardrobes_etcData,18,0),IF(OR(ISERROR(FIND("single oven",A148))=FALSE,ISERROR(FIND("Base carcass",A148))=FALSE),2*VLOOKUP("Deep shelf "&amp;C148,Wardrobes_etcData,18,0),IF(AND(ISERROR(FIND("wall carcass",A148))=FALSE,ISERROR(FIND("Boiler",A148))=TRUE),2*VLOOKUP("Shallow shelf "&amp;C148,Wardrobes_etcData,18,0),IF(ISERROR(FIND("double oven",A148))=FALSE,3*VLOOKUP("Deep shelf "&amp;C148,Wardrobes_etcData,18,0),IF(ISERROR(FIND("Tower carcass",A148))=FALSE,6*VLOOKUP("Deep shelf "&amp;C148,Wardrobes_etcData,18,0),"")))))</f>
        <v/>
      </c>
      <c r="K148" s="152" t="str">
        <f>IF(ISERROR(FIND("sink",A148))=FALSE,VLOOKUP("Sink liner - Aluminium "&amp;RIGHT(A148,LEN(A148)-22)&amp;"mm",ExceptionalData,5,0),IF(ISERROR(FIND("bins",A148))=FALSE,VLOOKUP("Drawer runners and clip set for bin unit (500) Dynapro",FurnitureData,5,0)+(2*VLOOKUP("Bin (42L Anthracite)",FurnitureData,5,0)),IF(ISERROR(FIND("larder",A148))=FALSE,VLOOKUP("Pull out larder unit 600mm",FurnitureData,5,0),IF(AND(ISERROR(FIND("drawer box",A148))=FALSE,ISERROR(FIND("internal",A148))=TRUE),VLOOKUP("Drawer runners and clip set (550) Dynapro",FurnitureData,5,0),IF(ISERROR(FIND("internal drawer box",A148))=FALSE,VLOOKUP("Drawer runners and clip set (450) Dynapro",FurnitureData,5,0),IF(ISERROR(FIND("table",A148))=FALSE,VLOOKUP("Hairpin Leg (12mm Black "&amp;MID(A148,FIND("(",A148)+1,LEN(A148)-(FIND("(",A148))-1)&amp;"mm)",ExceptionalData,4,FALSE),""))))))</f>
        <v/>
      </c>
      <c r="L148" s="152" t="str">
        <f t="shared" si="3"/>
        <v/>
      </c>
      <c r="M148" s="154" t="str">
        <f>IF(A148="","",IF(AND(ISERROR(FIND("drawer front",A148))=FALSE,WardrobeDoorStyle="Flat"),(((B148/1000)*(C148/1000))*2)+((((B148+C148)/1000)*2)*0.022),IF(AND(ISERROR(FIND("drawer front",A148))=FALSE,LEFT(WardrobeDoorStyle,5)="Panel"),(((B148/1000)*(C148/1000))*2)+((((B148+C148)/1000)*2)*0.022)+((((C148/1000)-0.16)*0.013)*2)+((((D148/1000)-0.16)*0.013)*2),IF(AND(ISERROR(FIND("drawer front",A148))=FALSE,WardrobeDoorStyle="In-frame flat"),((((B148-76)/1000)*((C148-38)/1000))*2)+(MID(WardrobeDoorMaterial,FIND("(",WardrobeDoorMaterial)+1,2)/1000)*((((B148-76)+(C148-38))/1000)*2)+(((B148/1000)*0.032)*2)+((((B148-76)/1000)*0.032)*2)+(((B148/1000)*0.019)*4)+(((C148/1000)*0.032)*2)+((((C148-38)/1000)*0.032)*2)+(((C148/1000)*0.038)*4),IF(AND(ISERROR(FIND("drawer front",A148))=FALSE,LEFT(WardrobeDoorStyle,14)="In-frame panel"),((((B148-76)/1000)*((C148-38)/1000))*2)+((MID(WardrobeDoorMaterial,FIND("(",WardrobeDoorMaterial)+1,2)/1000)*((((B148-76)+(C148-38))/1000)*2))+((((B148-236)/1000)+((C148-198)/1000)*2)*0.013)+(((B148/1000)*0.032)*2)+((((B148-76)/1000)*0.032)*2)+(((B148/1000)*0.019)*4)+(((C148/1000)*0.032)*2)+((((C148-38)/1000)*0.032)*2)+(((C148/1000)*0.038)*4),IF(ISERROR(FIND("drawer box",A148))=FALSE,((((B148/1000)*(D148/1000))+((B148/1000)*(C148/1000)))*4)+((((D148/1000)+(C148/1000))*0.016)*4)+(((C148/1000)*(D148/1000))*2),IF(OR(ISERROR(FIND("shelf",A148))=FALSE,ISERROR(FIND("Filler panel",A148))=FALSE),(((C148/1000)*(D148/1000))*2)+((((C148+D148)*2)/1000)*0.022),IF(ISERROR(FIND("Fireplace",A148))=FALSE,((B148/1000)*(C148/1000)),IF(ISERROR(FIND("Worktop",A148))=FALSE,(B148/1000)*(C148/1000),IF(ISERROR(FIND("table",A148))=FALSE,(B148/1000)*0.6,IF(ISERROR(FIND("arcass",A148))=FALSE,(((C148/1000)*(D148/1000))*2)+(((B148/1000)*(D148/1000))*2)+((B148/1000)*(C148/1000))+((((B148/1000)*0.025)+((C148/1000)*0.025))*2),IF(AND(ISERROR(FIND("door",A148))=FALSE,WardrobeDoorStyle="Flat"),(((B148/1000)*(C148/1000))*2)+(MID(WardrobeDoorMaterial,FIND("(",WardrobeDoorMaterial)+1,2)/1000)*(((B148+C148)/1000)*2),IF(AND(ISERROR(FIND("door",A148))=FALSE,LEFT(WardrobeDoorStyle,5)="Panel"),(((B148/1000)*(C148/1000))*2)+((MID(WardrobeDoorMaterial,FIND("(",WardrobeDoorMaterial)+1,2)/1000)*(((B148+C148)/1000)*2))+(((((B148-160)+(C148-160))*2)/1000)*(0.013)),IF(AND(ISERROR(FIND("door",A148))=FALSE,WardrobeDoorStyle="In-frame flat"),((((B148-76)/1000)*((C148-38)/1000))*2)+(MID(WardrobeDoorMaterial,FIND("(",WardrobeDoorMaterial)+1,2)/1000)*((((B148-76)+(C148-38))/1000)*2)+(((B148/1000)*0.032)*2)+((((B148-76)/1000)*0.032)*2)+(((B148/1000)*0.019)*4)+(((C148/1000)*0.032)*2)+((((C148-38)/1000)*0.032)*2)+(((C148/1000)*0.038)*4),IF(AND(ISERROR(FIND("door",A148))=FALSE,LEFT(WardrobeDoorStyle,14)="In-frame panel"),((((B148-76)/1000)*((C148-38)/1000))*2)+((MID(WardrobeDoorMaterial,FIND("(",WardrobeDoorMaterial)+1,2)/1000)*((((B148-76)+(C148-38))/1000)*2))+((((B148-236)/1000)+((C148-198)/1000)*2)*0.013)+(((B148/1000)*0.032)*2)+((((B148-76)/1000)*0.032)*2)+(((B148/1000)*0.019)*4)+(((C148/1000)*0.032)*2)+((((C148-38)/1000)*0.032)*2)+(((C148/1000)*0.038)*4),IF(ISERROR(FIND("Plinth",A148))=FALSE,((B148/1000)*(C148/1000))+(((C148/1000)*0.018)*2)+(((B148/1000)*0.018)*2),IF(ISERROR(FIND("Cornice",A148))=FALSE,(((C148/1000)*0.1)*2)+(((C148/1000)*0.044)*2)+(((B148/1000)*0.08)*2),IF(ISERROR(FIND("Office pod",A148))=FALSE,((2400/1000)*(1200/1000))*6,IF(ISERROR(FIND("panel",A148))=FALSE,((B148/1000)*(C148/1000))+(0.022*((B148/1000)+((C148/1000)*2)))+((B148/1000)*0.05),IF(ISERROR(FIND("Fillers",A148))=FALSE,((C148/1000)*0.06)+((C148/1000)*0.069)+((0.06*0.018)*2)+((0.06*0.009)*2)+((C148/1000)*0.009)+((C148/1000)*0.018),IF(ISERROR(FIND("Pelmet",A148))=FALSE,((C148/1000)*0.05)+((C148/1000)*0.068)+((0.05*0.018)*4)+(((C148/1000)*0.018))*2)))))))))))))))))))))</f>
        <v/>
      </c>
      <c r="N148" s="152" t="str">
        <f>IF(M148="","",IF(AND(ISERROR(FIND("carcass",A148))=TRUE,ISERROR(FIND("unit",A148))=TRUE,ISERROR(FIND("insert",A148))=TRUE,ISERROR(FIND("rack",A148))=TRUE,ISERROR(FIND("box",A148))=TRUE,ISERROR(FIND("shelf",A148))=TRUE),VLOOKUP(WardrobeDoorFinish,Finishing!$A$2:$K$10,9,0)*M148,IF(ISERROR(FIND("table",A148))=FALSE,VLOOKUP("Sayerlack AF0072 Interior Clear Self-Sealer",FinishingData,9,FALSE)*M148,VLOOKUP(WardrobeCarcassFinish,Finishing!$A$2:$K$40,9,0)*M148)))</f>
        <v/>
      </c>
      <c r="O148" s="159"/>
      <c r="P148" s="159"/>
      <c r="Q148" s="152" t="str">
        <f>IF(OR(O148="",P148=""),"",((O148*X148)*(VLOOKUP("Workshop",Labour!$A$3:$E$20,4,0)/8))+((P148*AE148)*(VLOOKUP("Finishing",Labour!$A$3:$E$20,4,0)/8)))</f>
        <v/>
      </c>
      <c r="R148" s="152" t="str">
        <f t="shared" si="4"/>
        <v/>
      </c>
      <c r="S148" s="156" t="str">
        <f>IF(OR(O148="",P148=""),"",IF(OR(ISERROR(FIND("carcass",$A148))=FALSE,ISERROR(FIND("unit",$A148))=FALSE),VLOOKUP(WardrobeCarcassMaterial,FixedListsCarcassMaterial,2,0),0))</f>
        <v/>
      </c>
      <c r="T148" s="156" t="str">
        <f>IF(OR(O148="",P148=""),"",IF(ISERROR(FIND("door",$A148))=FALSE,VLOOKUP(WardrobeDoorStyle,FixedListsDoorStyle,2,0),0))</f>
        <v/>
      </c>
      <c r="U148" s="156" t="str">
        <f>IF(OR(O148="",P148=""),"",IF(ISERROR(FIND("door",$A148))=FALSE,VLOOKUP(WardrobeDoorMaterial,FixedListsDoorMaterial,2,0),0))</f>
        <v/>
      </c>
      <c r="V148" s="156" t="str">
        <f>IF(OR(O148="",P148=""),"",IF(ISERROR(FIND("drawer",$A148))=FALSE,VLOOKUP(WardrobeDrawerType,FixedListsDrawerType,2,0),0))</f>
        <v/>
      </c>
      <c r="W148" s="156" t="str">
        <f>IF(OR(O148="",P148=""),"",IF(S148&gt;0,VLOOKUP(WardrobeHandleType,FixedListsHandleType,2,FALSE),0))</f>
        <v/>
      </c>
      <c r="X148" s="156" t="str">
        <f t="shared" si="5"/>
        <v/>
      </c>
      <c r="Y148" s="156" t="str">
        <f>IF(OR(O148="",P148=""),"",IF(OR(ISERROR(FIND("carcass",$A148))=FALSE,ISERROR(FIND("unit",$A148))=FALSE),VLOOKUP(WardrobeCarcassMaterial,FixedListsCarcassMaterial,3,0),0))</f>
        <v/>
      </c>
      <c r="Z148" s="156" t="str">
        <f>IF(OR(O148="",P148=""),"",IF(ISERROR(FIND("door",$A148))=FALSE,VLOOKUP(WardrobeDoorStyle,FixedListsDoorStyle,3,0),0))</f>
        <v/>
      </c>
      <c r="AA148" s="156" t="str">
        <f>IF(OR(O148="",P148=""),"",IF(ISERROR(FIND("door",$A148))=FALSE,VLOOKUP(WardrobeDoorMaterial,FixedListsDoorMaterial,3,0),0))</f>
        <v/>
      </c>
      <c r="AB148" s="156" t="str">
        <f>IF(OR(O148="",P148=""),"",IF(ISERROR(FIND("drawer",$A148))=FALSE,VLOOKUP(WardrobeDrawerType,FixedListsDrawerType,3,0),0))</f>
        <v/>
      </c>
      <c r="AC148" s="156" t="str">
        <f>IF(OR(O148="",P148=""),"",IF(S148&gt;0,VLOOKUP(WardrobeHandleType,FixedListsHandleType,3,FALSE),0))</f>
        <v/>
      </c>
      <c r="AD148" s="156" t="str">
        <f>IF(OR(O148="",P148=""),"",IF(OR(ISERROR(FIND("carcass",$A148))=FALSE,ISERROR(FIND("unit",$A148))=FALSE),VLOOKUP(WardrobeCarcassFinish,FixedListsFinishes,3,0),IF(OR(ISERROR(FIND("door",$A148))=FALSE,ISERROR(FIND("Plinth",$A148))=FALSE,ISERROR(FIND("Cornice",$A148))=FALSE,ISERROR(FIND("Fillers",$A148))=FALSE,ISERROR(FIND("Pelmet",$A148))=FALSE,ISERROR(FIND("panel",$A148))=FALSE,ISERROR(FIND("post",$A148))=FALSE),VLOOKUP(WardrobeDoorFinish,FixedListsFinishes,3,0),IF(OR(ISERROR(FIND("drawer",$A148))=FALSE,ISERROR(FIND("insert",$A148))=FALSE,ISERROR(FIND("rck",$A148))=FALSE),VLOOKUP(WardrobeCarcassFinish,FixedListsFinishes,3,0),0))))</f>
        <v/>
      </c>
      <c r="AE148" s="156" t="str">
        <f t="shared" si="6"/>
        <v/>
      </c>
      <c r="AF148" s="157" t="str">
        <f>IF(AND(WardrobeHandleType="Channel",OR(ISERROR(FIND("arcass",$A148))=FALSE,ISERROR(FIND("unit",$A148))=FALSE)),IF(ISERROR(FIND("Tower",$A148))=TRUE,IF(WardrobeHandleFinish="Match carcass",IF(ISERROR(FIND("Walnut",WardrobeCarcassMaterial))=FALSE,(0.035*0.075*($C148/1000))*VLOOKUP("Walnut (solid m3)",SolidData,4,FALSE),IF(ISERROR(FIND("Oak",WardrobeCarcassMaterial))=FALSE,(0.035*0.075*($C148/1000))*VLOOKUP("Oak (solid m3)",SolidData,4,FALSE),IF(ISERROR(FIND("ply",WardrobeCarcassMaterial))=FALSE,(0.1*($C148/1000))*VLOOKUP("Birch ply (24mm)",SheetsData,7,FALSE),IF(ISERROR(FIND("H/F",WardrobeCarcassMaterial))=FALSE,(0.1*($C148/1000))*VLOOKUP("H/F (22mm)",SheetsData,7,FALSE),"Carcass - not tower - new material")))),IF(WardrobeHandleFinish="Match door",IF(ISERROR(FIND("Walnut",WardrobeDoorMaterial))=FALSE,(0.035*0.075*($C148/1000))*VLOOKUP("Walnut (solid m3)",SolidData,4,FALSE),IF(ISERROR(FIND("Oak",WardrobeDoorMaterial))=FALSE,(0.035*0.075*($C148/1000))*VLOOKUP("Oak (solid m3)",SolidData,4,FALSE),IF(ISERROR(FIND("ply",WardrobeDoorMaterial))=FALSE,(0.1*($C148/1000))*VLOOKUP("Birch ply (24mm)",SheetsData,7,FALSE),IF(ISERROR(FIND("H/F",WardrobeCarcassMaterial))=FALSE,(0.1*($C148/1000))*VLOOKUP("H/F (22mm)",SheetsData,7,FALSE),"Door - not tower - new material")))),"Channel - not tower - handle set to other")),IF(ISERROR(FIND("Tower",$A148))=FALSE,IF(WardrobeHandleFinish="Match carcass",IF(ISERROR(FIND("Walnut",WardrobeCarcassMaterial))=FALSE,(0.035*0.075*($B148/1000))*VLOOKUP("Walnut (solid m3)",SolidData,4,FALSE),IF(ISERROR(FIND("Oak",WardrobeCarcassMaterial))=FALSE,(0.035*0.075*($B148/1000))*VLOOKUP("Oak (solid m3)",SolidData,4,FALSE),IF(ISERROR(FIND("ply",WardrobeCarcassMaterial))=FALSE,(0.1*($B148/1000))*VLOOKUP("Birch ply (24mm)",SheetsData,7,FALSE),IF(ISERROR(FIND("H/F",WardrobeCarcassMaterial))=FALSE,(0.1*($C148/1000))*VLOOKUP("H/F (22mm)",SheetsData,7,FALSE),"Carcass - tower - new material")))),IF(WardrobeHandleFinish="Match door",IF(ISERROR(FIND("Walnut",WardrobeDoorMaterial))=FALSE,(0.035*0.075*($B148/1000))*VLOOKUP("Walnut (solid m3)",SolidData,4,FALSE),IF(ISERROR(FIND("Oak",WardrobeDoorMaterial))=FALSE,(0.035*0.075*($B148/1000))*VLOOKUP("Oak (solid m3)",SolidData,4,FALSE),IF(ISERROR(FIND("ply",WardrobeDoorMaterial))=FALSE,(0.1*($B148/1000))*VLOOKUP("Birch ply (24mm)",SheetData,7,FALSE),IF(ISERROR(FIND("H/F",WardrobeCarcassMaterial))=FALSE,(0.1*($C148/1000))*VLOOKUP("H/F (22mm)",SheetsData,7,FALSE),"Door - tower - new material")))),"Channel - tower - handle set to other")))),"")</f>
        <v/>
      </c>
    </row>
    <row r="149">
      <c r="A149" s="150"/>
      <c r="B149" s="160" t="str">
        <f t="shared" si="1"/>
        <v/>
      </c>
      <c r="C149" s="160" t="str">
        <f>IFERROR(__xludf.DUMMYFUNCTION("IF(A149="""","""",IF(ISERROR(FIND(""arcass"",A149))=FALSE,MID(A149,FIND(""*"",A149)+1,FIND(""*"",A149,FIND(""*"",A149)+1)-FIND(""*"",A149)-1),IF(ISERROR(FIND(""End panel"",A149))=FALSE,RIGHT(A149,3),IF(OR(ISERROR(FIND(""drawer"",A149))=FALSE,ISERROR(FIND("&amp;"""door"",A149))=FALSE,ISERROR(FIND(""shelf"",A149))=FALSE,ISERROR(FIND(""panel"",A149))=FALSE,ISERROR(FIND(""Plinth"",A149))=FALSE,ISERROR(FIND(""Cornice"",A149))=FALSE,ISERROR(FIND(""Fillers"",A149))=FALSE,ISERROR(FIND(""Pelmet"",A149))=FALSE,ISERROR(FIN"&amp;"D(""Fireplace up to 1600"",A149))=FALSE),RIGHT(A149,LEN(A149)-LEN(regexextract(A149,"".* ""))),IF(ISERROR(FIND(""table"",A149))=FALSE,""560"",IF(ISERROR(FIND(""Office pod"",A149))=FALSE,""1600"",IF(ISERROR(FIND(""Fireplace over 1600"",A149))=FALSE,""2400"&amp;""",IF(ISERROR(FIND(""Worktop"",A149))=FALSE,""650"",""Whoops""))))))))"),"")</f>
        <v/>
      </c>
      <c r="D149" s="161" t="str">
        <f t="shared" si="2"/>
        <v/>
      </c>
      <c r="E149" s="152" t="str">
        <f>IF(OR(A149="",AND(ISERROR(FIND("drawer",A149))=FALSE,WardrobeDrawerType="")),"",IF(ISERROR(FIND("door",A149))=FALSE,IF(WardrobeDoorStyle="Flat",((B149/1000)*(C149/1000))*VLOOKUP(WardrobeDoorMaterial,SheetsData,8,0),IF(LEFT(WardrobeDoorStyle,5)="Panel",(((((B149/1000)*2)*0.08)+((((C149/1000)-0.16)*2)*0.08))*VLOOKUP("H/F (22mm)",SheetsData,8,0))+(((B149/1000)-0.14)*((C149/1000)-0.14)*VLOOKUP("H/F (9mm)",SheetsData,8,0)),IF(WardrobeDoorStyle="In-frame flat",((((((B149/1000)*0.019)*0.038)+((((C149-38)/1000)*0.038)*0.038))*2)*VLOOKUP("Tulip (solid m3)",SolidData,4,0))+(((B149-76)/1000)*((C149-38)/1000))*VLOOKUP("H/F (22mm)",SheetsData,8,0),IF(LEFT(WardrobeDoorStyle,14)="In-frame panel",(((((((B149/1000)*0.019)*0.038)+((((C149-38)/1000)*0.038)*0.038))*2)*VLOOKUP("Tulip (solid m3)",SolidData,4,0))+(((((((B149-76)/1000)*2)*0.08)+(((((C149-198)/1000)*2)*0.08)))*VLOOKUP("H/F (22mm)",SheetsData,8,0))+(((B149-216)/1000)*((C149-178)/1000)*VLOOKUP("H/F (9mm)",SheetsData,8,0)))))))),IF(AND(ISERROR(FIND("arcass",A149))=FALSE,ISERROR(FIND("ost corner",A149))=TRUE),IF(AND(VALUE(B149)&lt;1211,VALUE(C149)&lt;1211,VALUE(D149)&lt;606),1*VLOOKUP(WardrobeCarcassMaterial,SheetsData,5,FALSE),IF(AND(VALUE(B149)&lt;2421,VALUE(C149)&lt;2421,VALUE(D149)&lt;606),2*VLOOKUP(WardrobeCarcassMaterial,SheetsData,5,FALSE),IF(AND(VALUE(B149)&lt;2421,VALUE(C149)&lt;1211,VALUE(D149)&lt;1211),3*VLOOKUP(WardrobeCarcassMaterial,SheetsData,5,FALSE),IF(AND(VALUE(B149)&lt;2421,VALUE(C149)&lt;2421,VALUE(D149)&lt;1211),4*VLOOKUP(WardrobeCarcassMaterial,SheetsData,5,FALSE))))),IF(AND(ISERROR(FIND("arcass",A149))=FALSE,ISERROR(FIND("ost corner",A149))=FALSE),IF(AND(VALUE(B149)&lt;1211,VALUE(C149)&lt;1211,VALUE(D149)&lt;606),(1*VLOOKUP(WardrobeCarcassMaterial,SheetsData,5,FALSE))+(VLOOKUP("H/F (22mm)",SheetsData,7,FALSE)*1.44),IF(AND(VALUE(B149)&lt;2421,VALUE(C149)&lt;2421,VALUE(D149)&lt;606),(2*VLOOKUP(WardrobeCarcassMaterial,SheetsData,5,FALSE))+(VLOOKUP("H/F (22mm)",SheetsData,7,FALSE)*1.44),IF(AND(VALUE(B149)&lt;2421,VALUE(C149)&lt;1211,VALUE(D149)&lt;1211),(3*VLOOKUP(WardrobeCarcassMaterial,SheetsData,5,FALSE))+(VLOOKUP("H/F (22mm)",SheetsData,7,FALSE)*1.44),IF(AND(VALUE(B149)&lt;2421,VALUE(C149)&lt;2421,VALUE(D149)&lt;1211),(4*VLOOKUP(WardrobeCarcassMaterial,SheetsData,5,FALSE))+(VLOOKUP("H/F (22mm)",SheetsData,7,FALSE)*1.44))))),IF(ISERROR(FIND("drawer front",A149))=FALSE,((B149/1000)*(C149/1000))*VLOOKUP(WardrobeDoorMaterial,SheetsData,8,0),IF(AND(WardrobeDrawerType="Match carcass",ISERROR(FIND("drawer box",A149))=FALSE),(((((B149/1000)*(C149/1000))+((B149/1000)*(D149/1000)))*2)*VLOOKUP(WardrobeCarcassMaterial,SheetsData,8,0))+(((C149/1000)*(D149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box",A149))=FALSE),(((((B149/1000)*(C149/1000))+((B149/1000)*(D149/1000)))*2)*(16/1000)*VLOOKUP(LEFT(WardrobeCarcassMaterial,FIND(" ",WardrobeCarcassMaterial))&amp;"(solid m3)",SolidData,4,0))+(((C149/1000)*(D149/1000))*VLOOKUP(LEFT(WardrobeCarcassMaterial,FIND("(",WardrobeCarcassMaterial)-1)&amp;IF(OR(ISERROR(FIND("ply",WardrobeCarcassMaterial))=FALSE,ISERROR(FIND("H/F",WardrobeCarcassMaterial))=FALSE),"(9mm)","(10mm)"),SheetsData,8,0)),IF(ISERROR(FIND("shelf",A149))=FALSE,((C149/1000)*(D149/1000))*VLOOKUP(WardrobeCarcassMaterial,SheetsData,7,FALSE),IF(ISERROR(FIND("Office pod",A149))=FALSE,3*VLOOKUP(WardrobeCarcassMaterial,SheetsData,5,0),IF(ISERROR(FIND(" panel",A149))=FALSE,((B149/1000)*(C149/1000))*VLOOKUP(WardrobeDoorMaterial,SheetsData,8,0),IF(ISERROR(FIND("Fillers",A149))=FALSE,(((0.06*(C149/1000))*2)*VLOOKUP("H/F (18mm)",SheetsData,8,0))+(((0.06*(C149/1000))*2)*VLOOKUP("H/F (9mm)",SheetsData,8,0)),IF(ISERROR(FIND("Cornice (stacked)",A149))=FALSE,((0.08*(C149/1000))*2)*VLOOKUP("H/F (22mm)",SheetsData,8,0),IF(OR(ISERROR(FIND("Plinth",A149))=FALSE,ISERROR(FIND("Cornice (flat)",A149))=FALSE),((B149/1000)*(C149/1000))*VLOOKUP("H/F (18mm)",SheetsData,8,0),IF(ISERROR(FIND("Pelmet",A149))=FALSE,((((B149/1000)*(C149/1000))*2)*VLOOKUP("H/F (18mm)",SheetsData,8,0)),IF(ISERROR(FIND("Fireplace",A149))=FALSE,IF(ISERROR(FIND("over 1600",A149))=FALSE,2*VLOOKUP(WardrobeCarcassMaterial,SheetsData,5,FALSE),VLOOKUP(WardrobeCarcassMaterial,SheetsData,5,FALSE)),IF(ISERROR(FIND("table",A149))=FALSE,((B149/1000)*0.6)*VLOOKUP("Birch ply (24mm)",SheetsData,7,FALSE),IF(ISERROR(FIND("Worktop",A149))=FALSE,((B149/1000)*(C149/1000))*VLOOKUP(WardrobeDoorMaterial,SheetsData,7,FALSE),"Check formula")))))))))))))))))</f>
        <v/>
      </c>
      <c r="F149" s="152" t="str">
        <f>IFERROR(__xludf.DUMMYFUNCTION("IF(OR(A149="""",AND(ISERROR(FIND(""drawer box"",A149))=FALSE,WardrobeDrawerType=""Solid dovetail"")),"""",IF(ISERROR(FIND(""bins"",A149))=FALSE,VLOOKUP(""Base carcass 600"",Wardrobes_etcData,6,0),IF(OR(ISERROR(FIND(""larder"",A149))=FALSE,ISERROR(FIND(""u"&amp;"nit"",A149))=FALSE),VLOOKUP(LEFT(A149,FIND("" "",A149))&amp;""carcass ""&amp;RIGHT(A149,LEN(A149)-len(regexextract(A149,"".* ""))),Wardrobes_etcData,6,0),IF(ISERROR(FIND(""drawer front"",A149))=FALSE,IF(ISERROR(FIND(""veneer"",WardrobeCarcassMaterial))=TRUE,0,((("&amp;"B149+C149)/1000)*2)*VLOOKUP(""Edge banding (per M)"",SheetsData,5,0)),IF(ISERROR(FIND(""drawer box"",A149))=FALSE,IF(ISERROR(FIND(""veneer"",WardrobeCarcassMaterial))=TRUE,0,(((C149+D149)/1000)*2)*VLOOKUP(""Edge banding (per M)"",SheetsData,5,0)),IF(ISERR"&amp;"OR(FIND(""shelf"",A149))=FALSE,IF(ISERROR(FIND(""veneer"",WardrobeCarcassMaterial))=TRUE,0,(C149/1000)*VLOOKUP(""Edge banding (per M)"",SheetsData,5,0)),IF(AND(OR(ISERROR(FIND(""arcass"",A149))=FALSE,ISERROR(FIND(""Fireplace"",A149))=FALSE),ISERROR(FIND("&amp;"""shelf"",A149))=TRUE),IF(ISERROR(FIND(""veneer"",WardrobeCarcassMaterial))=TRUE,0,((2*(B149+C149))/1000)*VLOOKUP(""Edge banding (per M)"",SheetsData,5,0)),IF(ISERROR(FIND(""door"",A149))=TRUE,"""",IF(ISERROR(FIND(""veneer"",WardrobeDoorMaterial))=TRUE,"""&amp;""",((2*(B149+C149))/1000)*VLOOKUP(""Edge banding (per M)"",SheetsData,5,0))))))))))"),"")</f>
        <v/>
      </c>
      <c r="G149" s="153" t="str">
        <f>IF(A149="","",IF(AND(ISERROR(FIND("arcass",A149))=TRUE,ISERROR(FIND("Fireplace",A149))=TRUE),"",IF(VALUE(C149)&lt;606,4*VLOOKUP("Plinth foot (2 Parts 80mm)",FurnitureData,5,FALSE),IF(VALUE(C149)&lt;1211,6*VLOOKUP("Plinth foot (2 Parts 80mm)",FurnitureData,5,FALSE),8*VLOOKUP("Plinth foot (2 Parts 80mm)",FurnitureData,5,FALSE)))))</f>
        <v/>
      </c>
      <c r="H149" s="115" t="str">
        <f>IF(OR(A149="",ISERROR(FIND("door",A149))=TRUE),"",VLOOKUP("Hinges &amp; plates (Hettich thick door)",FurnitureData,5,0)*5)</f>
        <v/>
      </c>
      <c r="I149" s="115" t="str">
        <f>IF(ISERROR(FIND("shelf",A149))=FALSE,(VLOOKUP("Shelf pegs",FurnitureData,5,0)/100)*4,"")</f>
        <v/>
      </c>
      <c r="J149" s="152" t="str">
        <f>IF(OR(ISERROR(FIND("fridge/freezer",A149))=FALSE,ISERROR(FIND("sink",A149))=FALSE,ISERROR(FIND("larder",A149))=FALSE),VLOOKUP("Deep shelf "&amp;C149,Wardrobes_etcData,18,0),IF(OR(ISERROR(FIND("single oven",A149))=FALSE,ISERROR(FIND("Base carcass",A149))=FALSE),2*VLOOKUP("Deep shelf "&amp;C149,Wardrobes_etcData,18,0),IF(AND(ISERROR(FIND("wall carcass",A149))=FALSE,ISERROR(FIND("Boiler",A149))=TRUE),2*VLOOKUP("Shallow shelf "&amp;C149,Wardrobes_etcData,18,0),IF(ISERROR(FIND("double oven",A149))=FALSE,3*VLOOKUP("Deep shelf "&amp;C149,Wardrobes_etcData,18,0),IF(ISERROR(FIND("Tower carcass",A149))=FALSE,6*VLOOKUP("Deep shelf "&amp;C149,Wardrobes_etcData,18,0),"")))))</f>
        <v/>
      </c>
      <c r="K149" s="152" t="str">
        <f>IF(ISERROR(FIND("sink",A149))=FALSE,VLOOKUP("Sink liner - Aluminium "&amp;RIGHT(A149,LEN(A149)-22)&amp;"mm",ExceptionalData,5,0),IF(ISERROR(FIND("bins",A149))=FALSE,VLOOKUP("Drawer runners and clip set for bin unit (500) Dynapro",FurnitureData,5,0)+(2*VLOOKUP("Bin (42L Anthracite)",FurnitureData,5,0)),IF(ISERROR(FIND("larder",A149))=FALSE,VLOOKUP("Pull out larder unit 600mm",FurnitureData,5,0),IF(AND(ISERROR(FIND("drawer box",A149))=FALSE,ISERROR(FIND("internal",A149))=TRUE),VLOOKUP("Drawer runners and clip set (550) Dynapro",FurnitureData,5,0),IF(ISERROR(FIND("internal drawer box",A149))=FALSE,VLOOKUP("Drawer runners and clip set (450) Dynapro",FurnitureData,5,0),IF(ISERROR(FIND("table",A149))=FALSE,VLOOKUP("Hairpin Leg (12mm Black "&amp;MID(A149,FIND("(",A149)+1,LEN(A149)-(FIND("(",A149))-1)&amp;"mm)",ExceptionalData,4,FALSE),""))))))</f>
        <v/>
      </c>
      <c r="L149" s="152" t="str">
        <f t="shared" si="3"/>
        <v/>
      </c>
      <c r="M149" s="154" t="str">
        <f>IF(A149="","",IF(AND(ISERROR(FIND("drawer front",A149))=FALSE,WardrobeDoorStyle="Flat"),(((B149/1000)*(C149/1000))*2)+((((B149+C149)/1000)*2)*0.022),IF(AND(ISERROR(FIND("drawer front",A149))=FALSE,LEFT(WardrobeDoorStyle,5)="Panel"),(((B149/1000)*(C149/1000))*2)+((((B149+C149)/1000)*2)*0.022)+((((C149/1000)-0.16)*0.013)*2)+((((D149/1000)-0.16)*0.013)*2),IF(AND(ISERROR(FIND("drawer front",A149))=FALSE,WardrobeDoorStyle="In-frame flat"),((((B149-76)/1000)*((C149-38)/1000))*2)+(MID(WardrobeDoorMaterial,FIND("(",WardrobeDoorMaterial)+1,2)/1000)*((((B149-76)+(C149-38))/1000)*2)+(((B149/1000)*0.032)*2)+((((B149-76)/1000)*0.032)*2)+(((B149/1000)*0.019)*4)+(((C149/1000)*0.032)*2)+((((C149-38)/1000)*0.032)*2)+(((C149/1000)*0.038)*4),IF(AND(ISERROR(FIND("drawer front",A149))=FALSE,LEFT(WardrobeDoorStyle,14)="In-frame panel"),((((B149-76)/1000)*((C149-38)/1000))*2)+((MID(WardrobeDoorMaterial,FIND("(",WardrobeDoorMaterial)+1,2)/1000)*((((B149-76)+(C149-38))/1000)*2))+((((B149-236)/1000)+((C149-198)/1000)*2)*0.013)+(((B149/1000)*0.032)*2)+((((B149-76)/1000)*0.032)*2)+(((B149/1000)*0.019)*4)+(((C149/1000)*0.032)*2)+((((C149-38)/1000)*0.032)*2)+(((C149/1000)*0.038)*4),IF(ISERROR(FIND("drawer box",A149))=FALSE,((((B149/1000)*(D149/1000))+((B149/1000)*(C149/1000)))*4)+((((D149/1000)+(C149/1000))*0.016)*4)+(((C149/1000)*(D149/1000))*2),IF(OR(ISERROR(FIND("shelf",A149))=FALSE,ISERROR(FIND("Filler panel",A149))=FALSE),(((C149/1000)*(D149/1000))*2)+((((C149+D149)*2)/1000)*0.022),IF(ISERROR(FIND("Fireplace",A149))=FALSE,((B149/1000)*(C149/1000)),IF(ISERROR(FIND("Worktop",A149))=FALSE,(B149/1000)*(C149/1000),IF(ISERROR(FIND("table",A149))=FALSE,(B149/1000)*0.6,IF(ISERROR(FIND("arcass",A149))=FALSE,(((C149/1000)*(D149/1000))*2)+(((B149/1000)*(D149/1000))*2)+((B149/1000)*(C149/1000))+((((B149/1000)*0.025)+((C149/1000)*0.025))*2),IF(AND(ISERROR(FIND("door",A149))=FALSE,WardrobeDoorStyle="Flat"),(((B149/1000)*(C149/1000))*2)+(MID(WardrobeDoorMaterial,FIND("(",WardrobeDoorMaterial)+1,2)/1000)*(((B149+C149)/1000)*2),IF(AND(ISERROR(FIND("door",A149))=FALSE,LEFT(WardrobeDoorStyle,5)="Panel"),(((B149/1000)*(C149/1000))*2)+((MID(WardrobeDoorMaterial,FIND("(",WardrobeDoorMaterial)+1,2)/1000)*(((B149+C149)/1000)*2))+(((((B149-160)+(C149-160))*2)/1000)*(0.013)),IF(AND(ISERROR(FIND("door",A149))=FALSE,WardrobeDoorStyle="In-frame flat"),((((B149-76)/1000)*((C149-38)/1000))*2)+(MID(WardrobeDoorMaterial,FIND("(",WardrobeDoorMaterial)+1,2)/1000)*((((B149-76)+(C149-38))/1000)*2)+(((B149/1000)*0.032)*2)+((((B149-76)/1000)*0.032)*2)+(((B149/1000)*0.019)*4)+(((C149/1000)*0.032)*2)+((((C149-38)/1000)*0.032)*2)+(((C149/1000)*0.038)*4),IF(AND(ISERROR(FIND("door",A149))=FALSE,LEFT(WardrobeDoorStyle,14)="In-frame panel"),((((B149-76)/1000)*((C149-38)/1000))*2)+((MID(WardrobeDoorMaterial,FIND("(",WardrobeDoorMaterial)+1,2)/1000)*((((B149-76)+(C149-38))/1000)*2))+((((B149-236)/1000)+((C149-198)/1000)*2)*0.013)+(((B149/1000)*0.032)*2)+((((B149-76)/1000)*0.032)*2)+(((B149/1000)*0.019)*4)+(((C149/1000)*0.032)*2)+((((C149-38)/1000)*0.032)*2)+(((C149/1000)*0.038)*4),IF(ISERROR(FIND("Plinth",A149))=FALSE,((B149/1000)*(C149/1000))+(((C149/1000)*0.018)*2)+(((B149/1000)*0.018)*2),IF(ISERROR(FIND("Cornice",A149))=FALSE,(((C149/1000)*0.1)*2)+(((C149/1000)*0.044)*2)+(((B149/1000)*0.08)*2),IF(ISERROR(FIND("Office pod",A149))=FALSE,((2400/1000)*(1200/1000))*6,IF(ISERROR(FIND("panel",A149))=FALSE,((B149/1000)*(C149/1000))+(0.022*((B149/1000)+((C149/1000)*2)))+((B149/1000)*0.05),IF(ISERROR(FIND("Fillers",A149))=FALSE,((C149/1000)*0.06)+((C149/1000)*0.069)+((0.06*0.018)*2)+((0.06*0.009)*2)+((C149/1000)*0.009)+((C149/1000)*0.018),IF(ISERROR(FIND("Pelmet",A149))=FALSE,((C149/1000)*0.05)+((C149/1000)*0.068)+((0.05*0.018)*4)+(((C149/1000)*0.018))*2)))))))))))))))))))))</f>
        <v/>
      </c>
      <c r="N149" s="152" t="str">
        <f>IF(M149="","",IF(AND(ISERROR(FIND("carcass",A149))=TRUE,ISERROR(FIND("unit",A149))=TRUE,ISERROR(FIND("insert",A149))=TRUE,ISERROR(FIND("rack",A149))=TRUE,ISERROR(FIND("box",A149))=TRUE,ISERROR(FIND("shelf",A149))=TRUE),VLOOKUP(WardrobeDoorFinish,Finishing!$A$2:$K$10,9,0)*M149,IF(ISERROR(FIND("table",A149))=FALSE,VLOOKUP("Sayerlack AF0072 Interior Clear Self-Sealer",FinishingData,9,FALSE)*M149,VLOOKUP(WardrobeCarcassFinish,Finishing!$A$2:$K$40,9,0)*M149)))</f>
        <v/>
      </c>
      <c r="O149" s="159"/>
      <c r="P149" s="159"/>
      <c r="Q149" s="152" t="str">
        <f>IF(OR(O149="",P149=""),"",((O149*X149)*(VLOOKUP("Workshop",Labour!$A$3:$E$20,4,0)/8))+((P149*AE149)*(VLOOKUP("Finishing",Labour!$A$3:$E$20,4,0)/8)))</f>
        <v/>
      </c>
      <c r="R149" s="152" t="str">
        <f t="shared" si="4"/>
        <v/>
      </c>
      <c r="S149" s="156" t="str">
        <f>IF(OR(O149="",P149=""),"",IF(OR(ISERROR(FIND("carcass",$A149))=FALSE,ISERROR(FIND("unit",$A149))=FALSE),VLOOKUP(WardrobeCarcassMaterial,FixedListsCarcassMaterial,2,0),0))</f>
        <v/>
      </c>
      <c r="T149" s="156" t="str">
        <f>IF(OR(O149="",P149=""),"",IF(ISERROR(FIND("door",$A149))=FALSE,VLOOKUP(WardrobeDoorStyle,FixedListsDoorStyle,2,0),0))</f>
        <v/>
      </c>
      <c r="U149" s="156" t="str">
        <f>IF(OR(O149="",P149=""),"",IF(ISERROR(FIND("door",$A149))=FALSE,VLOOKUP(WardrobeDoorMaterial,FixedListsDoorMaterial,2,0),0))</f>
        <v/>
      </c>
      <c r="V149" s="156" t="str">
        <f>IF(OR(O149="",P149=""),"",IF(ISERROR(FIND("drawer",$A149))=FALSE,VLOOKUP(WardrobeDrawerType,FixedListsDrawerType,2,0),0))</f>
        <v/>
      </c>
      <c r="W149" s="156" t="str">
        <f>IF(OR(O149="",P149=""),"",IF(S149&gt;0,VLOOKUP(WardrobeHandleType,FixedListsHandleType,2,FALSE),0))</f>
        <v/>
      </c>
      <c r="X149" s="156" t="str">
        <f t="shared" si="5"/>
        <v/>
      </c>
      <c r="Y149" s="156" t="str">
        <f>IF(OR(O149="",P149=""),"",IF(OR(ISERROR(FIND("carcass",$A149))=FALSE,ISERROR(FIND("unit",$A149))=FALSE),VLOOKUP(WardrobeCarcassMaterial,FixedListsCarcassMaterial,3,0),0))</f>
        <v/>
      </c>
      <c r="Z149" s="156" t="str">
        <f>IF(OR(O149="",P149=""),"",IF(ISERROR(FIND("door",$A149))=FALSE,VLOOKUP(WardrobeDoorStyle,FixedListsDoorStyle,3,0),0))</f>
        <v/>
      </c>
      <c r="AA149" s="156" t="str">
        <f>IF(OR(O149="",P149=""),"",IF(ISERROR(FIND("door",$A149))=FALSE,VLOOKUP(WardrobeDoorMaterial,FixedListsDoorMaterial,3,0),0))</f>
        <v/>
      </c>
      <c r="AB149" s="156" t="str">
        <f>IF(OR(O149="",P149=""),"",IF(ISERROR(FIND("drawer",$A149))=FALSE,VLOOKUP(WardrobeDrawerType,FixedListsDrawerType,3,0),0))</f>
        <v/>
      </c>
      <c r="AC149" s="156" t="str">
        <f>IF(OR(O149="",P149=""),"",IF(S149&gt;0,VLOOKUP(WardrobeHandleType,FixedListsHandleType,3,FALSE),0))</f>
        <v/>
      </c>
      <c r="AD149" s="156" t="str">
        <f>IF(OR(O149="",P149=""),"",IF(OR(ISERROR(FIND("carcass",$A149))=FALSE,ISERROR(FIND("unit",$A149))=FALSE),VLOOKUP(WardrobeCarcassFinish,FixedListsFinishes,3,0),IF(OR(ISERROR(FIND("door",$A149))=FALSE,ISERROR(FIND("Plinth",$A149))=FALSE,ISERROR(FIND("Cornice",$A149))=FALSE,ISERROR(FIND("Fillers",$A149))=FALSE,ISERROR(FIND("Pelmet",$A149))=FALSE,ISERROR(FIND("panel",$A149))=FALSE,ISERROR(FIND("post",$A149))=FALSE),VLOOKUP(WardrobeDoorFinish,FixedListsFinishes,3,0),IF(OR(ISERROR(FIND("drawer",$A149))=FALSE,ISERROR(FIND("insert",$A149))=FALSE,ISERROR(FIND("rck",$A149))=FALSE),VLOOKUP(WardrobeCarcassFinish,FixedListsFinishes,3,0),0))))</f>
        <v/>
      </c>
      <c r="AE149" s="156" t="str">
        <f t="shared" si="6"/>
        <v/>
      </c>
      <c r="AF149" s="157" t="str">
        <f>IF(AND(WardrobeHandleType="Channel",OR(ISERROR(FIND("arcass",$A149))=FALSE,ISERROR(FIND("unit",$A149))=FALSE)),IF(ISERROR(FIND("Tower",$A149))=TRUE,IF(WardrobeHandleFinish="Match carcass",IF(ISERROR(FIND("Walnut",WardrobeCarcassMaterial))=FALSE,(0.035*0.075*($C149/1000))*VLOOKUP("Walnut (solid m3)",SolidData,4,FALSE),IF(ISERROR(FIND("Oak",WardrobeCarcassMaterial))=FALSE,(0.035*0.075*($C149/1000))*VLOOKUP("Oak (solid m3)",SolidData,4,FALSE),IF(ISERROR(FIND("ply",WardrobeCarcassMaterial))=FALSE,(0.1*($C149/1000))*VLOOKUP("Birch ply (24mm)",SheetsData,7,FALSE),IF(ISERROR(FIND("H/F",WardrobeCarcassMaterial))=FALSE,(0.1*($C149/1000))*VLOOKUP("H/F (22mm)",SheetsData,7,FALSE),"Carcass - not tower - new material")))),IF(WardrobeHandleFinish="Match door",IF(ISERROR(FIND("Walnut",WardrobeDoorMaterial))=FALSE,(0.035*0.075*($C149/1000))*VLOOKUP("Walnut (solid m3)",SolidData,4,FALSE),IF(ISERROR(FIND("Oak",WardrobeDoorMaterial))=FALSE,(0.035*0.075*($C149/1000))*VLOOKUP("Oak (solid m3)",SolidData,4,FALSE),IF(ISERROR(FIND("ply",WardrobeDoorMaterial))=FALSE,(0.1*($C149/1000))*VLOOKUP("Birch ply (24mm)",SheetsData,7,FALSE),IF(ISERROR(FIND("H/F",WardrobeCarcassMaterial))=FALSE,(0.1*($C149/1000))*VLOOKUP("H/F (22mm)",SheetsData,7,FALSE),"Door - not tower - new material")))),"Channel - not tower - handle set to other")),IF(ISERROR(FIND("Tower",$A149))=FALSE,IF(WardrobeHandleFinish="Match carcass",IF(ISERROR(FIND("Walnut",WardrobeCarcassMaterial))=FALSE,(0.035*0.075*($B149/1000))*VLOOKUP("Walnut (solid m3)",SolidData,4,FALSE),IF(ISERROR(FIND("Oak",WardrobeCarcassMaterial))=FALSE,(0.035*0.075*($B149/1000))*VLOOKUP("Oak (solid m3)",SolidData,4,FALSE),IF(ISERROR(FIND("ply",WardrobeCarcassMaterial))=FALSE,(0.1*($B149/1000))*VLOOKUP("Birch ply (24mm)",SheetsData,7,FALSE),IF(ISERROR(FIND("H/F",WardrobeCarcassMaterial))=FALSE,(0.1*($C149/1000))*VLOOKUP("H/F (22mm)",SheetsData,7,FALSE),"Carcass - tower - new material")))),IF(WardrobeHandleFinish="Match door",IF(ISERROR(FIND("Walnut",WardrobeDoorMaterial))=FALSE,(0.035*0.075*($B149/1000))*VLOOKUP("Walnut (solid m3)",SolidData,4,FALSE),IF(ISERROR(FIND("Oak",WardrobeDoorMaterial))=FALSE,(0.035*0.075*($B149/1000))*VLOOKUP("Oak (solid m3)",SolidData,4,FALSE),IF(ISERROR(FIND("ply",WardrobeDoorMaterial))=FALSE,(0.1*($B149/1000))*VLOOKUP("Birch ply (24mm)",SheetData,7,FALSE),IF(ISERROR(FIND("H/F",WardrobeCarcassMaterial))=FALSE,(0.1*($C149/1000))*VLOOKUP("H/F (22mm)",SheetsData,7,FALSE),"Door - tower - new material")))),"Channel - tower - handle set to other")))),"")</f>
        <v/>
      </c>
    </row>
    <row r="150">
      <c r="A150" s="150"/>
      <c r="B150" s="160" t="str">
        <f t="shared" si="1"/>
        <v/>
      </c>
      <c r="C150" s="160" t="str">
        <f>IFERROR(__xludf.DUMMYFUNCTION("IF(A150="""","""",IF(ISERROR(FIND(""arcass"",A150))=FALSE,MID(A150,FIND(""*"",A150)+1,FIND(""*"",A150,FIND(""*"",A150)+1)-FIND(""*"",A150)-1),IF(ISERROR(FIND(""End panel"",A150))=FALSE,RIGHT(A150,3),IF(OR(ISERROR(FIND(""drawer"",A150))=FALSE,ISERROR(FIND("&amp;"""door"",A150))=FALSE,ISERROR(FIND(""shelf"",A150))=FALSE,ISERROR(FIND(""panel"",A150))=FALSE,ISERROR(FIND(""Plinth"",A150))=FALSE,ISERROR(FIND(""Cornice"",A150))=FALSE,ISERROR(FIND(""Fillers"",A150))=FALSE,ISERROR(FIND(""Pelmet"",A150))=FALSE,ISERROR(FIN"&amp;"D(""Fireplace up to 1600"",A150))=FALSE),RIGHT(A150,LEN(A150)-LEN(regexextract(A150,"".* ""))),IF(ISERROR(FIND(""table"",A150))=FALSE,""560"",IF(ISERROR(FIND(""Office pod"",A150))=FALSE,""1600"",IF(ISERROR(FIND(""Fireplace over 1600"",A150))=FALSE,""2400"&amp;""",IF(ISERROR(FIND(""Worktop"",A150))=FALSE,""650"",""Whoops""))))))))"),"")</f>
        <v/>
      </c>
      <c r="D150" s="161" t="str">
        <f t="shared" si="2"/>
        <v/>
      </c>
      <c r="E150" s="152" t="str">
        <f>IF(OR(A150="",AND(ISERROR(FIND("drawer",A150))=FALSE,WardrobeDrawerType="")),"",IF(ISERROR(FIND("door",A150))=FALSE,IF(WardrobeDoorStyle="Flat",((B150/1000)*(C150/1000))*VLOOKUP(WardrobeDoorMaterial,SheetsData,8,0),IF(LEFT(WardrobeDoorStyle,5)="Panel",(((((B150/1000)*2)*0.08)+((((C150/1000)-0.16)*2)*0.08))*VLOOKUP("H/F (22mm)",SheetsData,8,0))+(((B150/1000)-0.14)*((C150/1000)-0.14)*VLOOKUP("H/F (9mm)",SheetsData,8,0)),IF(WardrobeDoorStyle="In-frame flat",((((((B150/1000)*0.019)*0.038)+((((C150-38)/1000)*0.038)*0.038))*2)*VLOOKUP("Tulip (solid m3)",SolidData,4,0))+(((B150-76)/1000)*((C150-38)/1000))*VLOOKUP("H/F (22mm)",SheetsData,8,0),IF(LEFT(WardrobeDoorStyle,14)="In-frame panel",(((((((B150/1000)*0.019)*0.038)+((((C150-38)/1000)*0.038)*0.038))*2)*VLOOKUP("Tulip (solid m3)",SolidData,4,0))+(((((((B150-76)/1000)*2)*0.08)+(((((C150-198)/1000)*2)*0.08)))*VLOOKUP("H/F (22mm)",SheetsData,8,0))+(((B150-216)/1000)*((C150-178)/1000)*VLOOKUP("H/F (9mm)",SheetsData,8,0)))))))),IF(AND(ISERROR(FIND("arcass",A150))=FALSE,ISERROR(FIND("ost corner",A150))=TRUE),IF(AND(VALUE(B150)&lt;1211,VALUE(C150)&lt;1211,VALUE(D150)&lt;606),1*VLOOKUP(WardrobeCarcassMaterial,SheetsData,5,FALSE),IF(AND(VALUE(B150)&lt;2421,VALUE(C150)&lt;2421,VALUE(D150)&lt;606),2*VLOOKUP(WardrobeCarcassMaterial,SheetsData,5,FALSE),IF(AND(VALUE(B150)&lt;2421,VALUE(C150)&lt;1211,VALUE(D150)&lt;1211),3*VLOOKUP(WardrobeCarcassMaterial,SheetsData,5,FALSE),IF(AND(VALUE(B150)&lt;2421,VALUE(C150)&lt;2421,VALUE(D150)&lt;1211),4*VLOOKUP(WardrobeCarcassMaterial,SheetsData,5,FALSE))))),IF(AND(ISERROR(FIND("arcass",A150))=FALSE,ISERROR(FIND("ost corner",A150))=FALSE),IF(AND(VALUE(B150)&lt;1211,VALUE(C150)&lt;1211,VALUE(D150)&lt;606),(1*VLOOKUP(WardrobeCarcassMaterial,SheetsData,5,FALSE))+(VLOOKUP("H/F (22mm)",SheetsData,7,FALSE)*1.44),IF(AND(VALUE(B150)&lt;2421,VALUE(C150)&lt;2421,VALUE(D150)&lt;606),(2*VLOOKUP(WardrobeCarcassMaterial,SheetsData,5,FALSE))+(VLOOKUP("H/F (22mm)",SheetsData,7,FALSE)*1.44),IF(AND(VALUE(B150)&lt;2421,VALUE(C150)&lt;1211,VALUE(D150)&lt;1211),(3*VLOOKUP(WardrobeCarcassMaterial,SheetsData,5,FALSE))+(VLOOKUP("H/F (22mm)",SheetsData,7,FALSE)*1.44),IF(AND(VALUE(B150)&lt;2421,VALUE(C150)&lt;2421,VALUE(D150)&lt;1211),(4*VLOOKUP(WardrobeCarcassMaterial,SheetsData,5,FALSE))+(VLOOKUP("H/F (22mm)",SheetsData,7,FALSE)*1.44))))),IF(ISERROR(FIND("drawer front",A150))=FALSE,((B150/1000)*(C150/1000))*VLOOKUP(WardrobeDoorMaterial,SheetsData,8,0),IF(AND(WardrobeDrawerType="Match carcass",ISERROR(FIND("drawer box",A150))=FALSE),(((((B150/1000)*(C150/1000))+((B150/1000)*(D150/1000)))*2)*VLOOKUP(WardrobeCarcassMaterial,SheetsData,8,0))+(((C150/1000)*(D150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box",A150))=FALSE),(((((B150/1000)*(C150/1000))+((B150/1000)*(D150/1000)))*2)*(16/1000)*VLOOKUP(LEFT(WardrobeCarcassMaterial,FIND(" ",WardrobeCarcassMaterial))&amp;"(solid m3)",SolidData,4,0))+(((C150/1000)*(D150/1000))*VLOOKUP(LEFT(WardrobeCarcassMaterial,FIND("(",WardrobeCarcassMaterial)-1)&amp;IF(OR(ISERROR(FIND("ply",WardrobeCarcassMaterial))=FALSE,ISERROR(FIND("H/F",WardrobeCarcassMaterial))=FALSE),"(9mm)","(10mm)"),SheetsData,8,0)),IF(ISERROR(FIND("shelf",A150))=FALSE,((C150/1000)*(D150/1000))*VLOOKUP(WardrobeCarcassMaterial,SheetsData,7,FALSE),IF(ISERROR(FIND("Office pod",A150))=FALSE,3*VLOOKUP(WardrobeCarcassMaterial,SheetsData,5,0),IF(ISERROR(FIND(" panel",A150))=FALSE,((B150/1000)*(C150/1000))*VLOOKUP(WardrobeDoorMaterial,SheetsData,8,0),IF(ISERROR(FIND("Fillers",A150))=FALSE,(((0.06*(C150/1000))*2)*VLOOKUP("H/F (18mm)",SheetsData,8,0))+(((0.06*(C150/1000))*2)*VLOOKUP("H/F (9mm)",SheetsData,8,0)),IF(ISERROR(FIND("Cornice (stacked)",A150))=FALSE,((0.08*(C150/1000))*2)*VLOOKUP("H/F (22mm)",SheetsData,8,0),IF(OR(ISERROR(FIND("Plinth",A150))=FALSE,ISERROR(FIND("Cornice (flat)",A150))=FALSE),((B150/1000)*(C150/1000))*VLOOKUP("H/F (18mm)",SheetsData,8,0),IF(ISERROR(FIND("Pelmet",A150))=FALSE,((((B150/1000)*(C150/1000))*2)*VLOOKUP("H/F (18mm)",SheetsData,8,0)),IF(ISERROR(FIND("Fireplace",A150))=FALSE,IF(ISERROR(FIND("over 1600",A150))=FALSE,2*VLOOKUP(WardrobeCarcassMaterial,SheetsData,5,FALSE),VLOOKUP(WardrobeCarcassMaterial,SheetsData,5,FALSE)),IF(ISERROR(FIND("table",A150))=FALSE,((B150/1000)*0.6)*VLOOKUP("Birch ply (24mm)",SheetsData,7,FALSE),IF(ISERROR(FIND("Worktop",A150))=FALSE,((B150/1000)*(C150/1000))*VLOOKUP(WardrobeDoorMaterial,SheetsData,7,FALSE),"Check formula")))))))))))))))))</f>
        <v/>
      </c>
      <c r="F150" s="152" t="str">
        <f>IFERROR(__xludf.DUMMYFUNCTION("IF(OR(A150="""",AND(ISERROR(FIND(""drawer box"",A150))=FALSE,WardrobeDrawerType=""Solid dovetail"")),"""",IF(ISERROR(FIND(""bins"",A150))=FALSE,VLOOKUP(""Base carcass 600"",Wardrobes_etcData,6,0),IF(OR(ISERROR(FIND(""larder"",A150))=FALSE,ISERROR(FIND(""u"&amp;"nit"",A150))=FALSE),VLOOKUP(LEFT(A150,FIND("" "",A150))&amp;""carcass ""&amp;RIGHT(A150,LEN(A150)-len(regexextract(A150,"".* ""))),Wardrobes_etcData,6,0),IF(ISERROR(FIND(""drawer front"",A150))=FALSE,IF(ISERROR(FIND(""veneer"",WardrobeCarcassMaterial))=TRUE,0,((("&amp;"B150+C150)/1000)*2)*VLOOKUP(""Edge banding (per M)"",SheetsData,5,0)),IF(ISERROR(FIND(""drawer box"",A150))=FALSE,IF(ISERROR(FIND(""veneer"",WardrobeCarcassMaterial))=TRUE,0,(((C150+D150)/1000)*2)*VLOOKUP(""Edge banding (per M)"",SheetsData,5,0)),IF(ISERR"&amp;"OR(FIND(""shelf"",A150))=FALSE,IF(ISERROR(FIND(""veneer"",WardrobeCarcassMaterial))=TRUE,0,(C150/1000)*VLOOKUP(""Edge banding (per M)"",SheetsData,5,0)),IF(AND(OR(ISERROR(FIND(""arcass"",A150))=FALSE,ISERROR(FIND(""Fireplace"",A150))=FALSE),ISERROR(FIND("&amp;"""shelf"",A150))=TRUE),IF(ISERROR(FIND(""veneer"",WardrobeCarcassMaterial))=TRUE,0,((2*(B150+C150))/1000)*VLOOKUP(""Edge banding (per M)"",SheetsData,5,0)),IF(ISERROR(FIND(""door"",A150))=TRUE,"""",IF(ISERROR(FIND(""veneer"",WardrobeDoorMaterial))=TRUE,"""&amp;""",((2*(B150+C150))/1000)*VLOOKUP(""Edge banding (per M)"",SheetsData,5,0))))))))))"),"")</f>
        <v/>
      </c>
      <c r="G150" s="153" t="str">
        <f>IF(A150="","",IF(AND(ISERROR(FIND("arcass",A150))=TRUE,ISERROR(FIND("Fireplace",A150))=TRUE),"",IF(VALUE(C150)&lt;606,4*VLOOKUP("Plinth foot (2 Parts 80mm)",FurnitureData,5,FALSE),IF(VALUE(C150)&lt;1211,6*VLOOKUP("Plinth foot (2 Parts 80mm)",FurnitureData,5,FALSE),8*VLOOKUP("Plinth foot (2 Parts 80mm)",FurnitureData,5,FALSE)))))</f>
        <v/>
      </c>
      <c r="H150" s="115" t="str">
        <f>IF(OR(A150="",ISERROR(FIND("door",A150))=TRUE),"",VLOOKUP("Hinges &amp; plates (Hettich thick door)",FurnitureData,5,0)*5)</f>
        <v/>
      </c>
      <c r="I150" s="115" t="str">
        <f>IF(ISERROR(FIND("shelf",A150))=FALSE,(VLOOKUP("Shelf pegs",FurnitureData,5,0)/100)*4,"")</f>
        <v/>
      </c>
      <c r="J150" s="152" t="str">
        <f>IF(OR(ISERROR(FIND("fridge/freezer",A150))=FALSE,ISERROR(FIND("sink",A150))=FALSE,ISERROR(FIND("larder",A150))=FALSE),VLOOKUP("Deep shelf "&amp;C150,Wardrobes_etcData,18,0),IF(OR(ISERROR(FIND("single oven",A150))=FALSE,ISERROR(FIND("Base carcass",A150))=FALSE),2*VLOOKUP("Deep shelf "&amp;C150,Wardrobes_etcData,18,0),IF(AND(ISERROR(FIND("wall carcass",A150))=FALSE,ISERROR(FIND("Boiler",A150))=TRUE),2*VLOOKUP("Shallow shelf "&amp;C150,Wardrobes_etcData,18,0),IF(ISERROR(FIND("double oven",A150))=FALSE,3*VLOOKUP("Deep shelf "&amp;C150,Wardrobes_etcData,18,0),IF(ISERROR(FIND("Tower carcass",A150))=FALSE,6*VLOOKUP("Deep shelf "&amp;C150,Wardrobes_etcData,18,0),"")))))</f>
        <v/>
      </c>
      <c r="K150" s="152" t="str">
        <f>IF(ISERROR(FIND("sink",A150))=FALSE,VLOOKUP("Sink liner - Aluminium "&amp;RIGHT(A150,LEN(A150)-22)&amp;"mm",ExceptionalData,5,0),IF(ISERROR(FIND("bins",A150))=FALSE,VLOOKUP("Drawer runners and clip set for bin unit (500) Dynapro",FurnitureData,5,0)+(2*VLOOKUP("Bin (42L Anthracite)",FurnitureData,5,0)),IF(ISERROR(FIND("larder",A150))=FALSE,VLOOKUP("Pull out larder unit 600mm",FurnitureData,5,0),IF(AND(ISERROR(FIND("drawer box",A150))=FALSE,ISERROR(FIND("internal",A150))=TRUE),VLOOKUP("Drawer runners and clip set (550) Dynapro",FurnitureData,5,0),IF(ISERROR(FIND("internal drawer box",A150))=FALSE,VLOOKUP("Drawer runners and clip set (450) Dynapro",FurnitureData,5,0),IF(ISERROR(FIND("table",A150))=FALSE,VLOOKUP("Hairpin Leg (12mm Black "&amp;MID(A150,FIND("(",A150)+1,LEN(A150)-(FIND("(",A150))-1)&amp;"mm)",ExceptionalData,4,FALSE),""))))))</f>
        <v/>
      </c>
      <c r="L150" s="152" t="str">
        <f t="shared" si="3"/>
        <v/>
      </c>
      <c r="M150" s="154" t="str">
        <f>IF(A150="","",IF(AND(ISERROR(FIND("drawer front",A150))=FALSE,WardrobeDoorStyle="Flat"),(((B150/1000)*(C150/1000))*2)+((((B150+C150)/1000)*2)*0.022),IF(AND(ISERROR(FIND("drawer front",A150))=FALSE,LEFT(WardrobeDoorStyle,5)="Panel"),(((B150/1000)*(C150/1000))*2)+((((B150+C150)/1000)*2)*0.022)+((((C150/1000)-0.16)*0.013)*2)+((((D150/1000)-0.16)*0.013)*2),IF(AND(ISERROR(FIND("drawer front",A150))=FALSE,WardrobeDoorStyle="In-frame flat"),((((B150-76)/1000)*((C150-38)/1000))*2)+(MID(WardrobeDoorMaterial,FIND("(",WardrobeDoorMaterial)+1,2)/1000)*((((B150-76)+(C150-38))/1000)*2)+(((B150/1000)*0.032)*2)+((((B150-76)/1000)*0.032)*2)+(((B150/1000)*0.019)*4)+(((C150/1000)*0.032)*2)+((((C150-38)/1000)*0.032)*2)+(((C150/1000)*0.038)*4),IF(AND(ISERROR(FIND("drawer front",A150))=FALSE,LEFT(WardrobeDoorStyle,14)="In-frame panel"),((((B150-76)/1000)*((C150-38)/1000))*2)+((MID(WardrobeDoorMaterial,FIND("(",WardrobeDoorMaterial)+1,2)/1000)*((((B150-76)+(C150-38))/1000)*2))+((((B150-236)/1000)+((C150-198)/1000)*2)*0.013)+(((B150/1000)*0.032)*2)+((((B150-76)/1000)*0.032)*2)+(((B150/1000)*0.019)*4)+(((C150/1000)*0.032)*2)+((((C150-38)/1000)*0.032)*2)+(((C150/1000)*0.038)*4),IF(ISERROR(FIND("drawer box",A150))=FALSE,((((B150/1000)*(D150/1000))+((B150/1000)*(C150/1000)))*4)+((((D150/1000)+(C150/1000))*0.016)*4)+(((C150/1000)*(D150/1000))*2),IF(OR(ISERROR(FIND("shelf",A150))=FALSE,ISERROR(FIND("Filler panel",A150))=FALSE),(((C150/1000)*(D150/1000))*2)+((((C150+D150)*2)/1000)*0.022),IF(ISERROR(FIND("Fireplace",A150))=FALSE,((B150/1000)*(C150/1000)),IF(ISERROR(FIND("Worktop",A150))=FALSE,(B150/1000)*(C150/1000),IF(ISERROR(FIND("table",A150))=FALSE,(B150/1000)*0.6,IF(ISERROR(FIND("arcass",A150))=FALSE,(((C150/1000)*(D150/1000))*2)+(((B150/1000)*(D150/1000))*2)+((B150/1000)*(C150/1000))+((((B150/1000)*0.025)+((C150/1000)*0.025))*2),IF(AND(ISERROR(FIND("door",A150))=FALSE,WardrobeDoorStyle="Flat"),(((B150/1000)*(C150/1000))*2)+(MID(WardrobeDoorMaterial,FIND("(",WardrobeDoorMaterial)+1,2)/1000)*(((B150+C150)/1000)*2),IF(AND(ISERROR(FIND("door",A150))=FALSE,LEFT(WardrobeDoorStyle,5)="Panel"),(((B150/1000)*(C150/1000))*2)+((MID(WardrobeDoorMaterial,FIND("(",WardrobeDoorMaterial)+1,2)/1000)*(((B150+C150)/1000)*2))+(((((B150-160)+(C150-160))*2)/1000)*(0.013)),IF(AND(ISERROR(FIND("door",A150))=FALSE,WardrobeDoorStyle="In-frame flat"),((((B150-76)/1000)*((C150-38)/1000))*2)+(MID(WardrobeDoorMaterial,FIND("(",WardrobeDoorMaterial)+1,2)/1000)*((((B150-76)+(C150-38))/1000)*2)+(((B150/1000)*0.032)*2)+((((B150-76)/1000)*0.032)*2)+(((B150/1000)*0.019)*4)+(((C150/1000)*0.032)*2)+((((C150-38)/1000)*0.032)*2)+(((C150/1000)*0.038)*4),IF(AND(ISERROR(FIND("door",A150))=FALSE,LEFT(WardrobeDoorStyle,14)="In-frame panel"),((((B150-76)/1000)*((C150-38)/1000))*2)+((MID(WardrobeDoorMaterial,FIND("(",WardrobeDoorMaterial)+1,2)/1000)*((((B150-76)+(C150-38))/1000)*2))+((((B150-236)/1000)+((C150-198)/1000)*2)*0.013)+(((B150/1000)*0.032)*2)+((((B150-76)/1000)*0.032)*2)+(((B150/1000)*0.019)*4)+(((C150/1000)*0.032)*2)+((((C150-38)/1000)*0.032)*2)+(((C150/1000)*0.038)*4),IF(ISERROR(FIND("Plinth",A150))=FALSE,((B150/1000)*(C150/1000))+(((C150/1000)*0.018)*2)+(((B150/1000)*0.018)*2),IF(ISERROR(FIND("Cornice",A150))=FALSE,(((C150/1000)*0.1)*2)+(((C150/1000)*0.044)*2)+(((B150/1000)*0.08)*2),IF(ISERROR(FIND("Office pod",A150))=FALSE,((2400/1000)*(1200/1000))*6,IF(ISERROR(FIND("panel",A150))=FALSE,((B150/1000)*(C150/1000))+(0.022*((B150/1000)+((C150/1000)*2)))+((B150/1000)*0.05),IF(ISERROR(FIND("Fillers",A150))=FALSE,((C150/1000)*0.06)+((C150/1000)*0.069)+((0.06*0.018)*2)+((0.06*0.009)*2)+((C150/1000)*0.009)+((C150/1000)*0.018),IF(ISERROR(FIND("Pelmet",A150))=FALSE,((C150/1000)*0.05)+((C150/1000)*0.068)+((0.05*0.018)*4)+(((C150/1000)*0.018))*2)))))))))))))))))))))</f>
        <v/>
      </c>
      <c r="N150" s="152" t="str">
        <f>IF(M150="","",IF(AND(ISERROR(FIND("carcass",A150))=TRUE,ISERROR(FIND("unit",A150))=TRUE,ISERROR(FIND("insert",A150))=TRUE,ISERROR(FIND("rack",A150))=TRUE,ISERROR(FIND("box",A150))=TRUE,ISERROR(FIND("shelf",A150))=TRUE),VLOOKUP(WardrobeDoorFinish,Finishing!$A$2:$K$10,9,0)*M150,IF(ISERROR(FIND("table",A150))=FALSE,VLOOKUP("Sayerlack AF0072 Interior Clear Self-Sealer",FinishingData,9,FALSE)*M150,VLOOKUP(WardrobeCarcassFinish,Finishing!$A$2:$K$40,9,0)*M150)))</f>
        <v/>
      </c>
      <c r="O150" s="159"/>
      <c r="P150" s="159"/>
      <c r="Q150" s="152" t="str">
        <f>IF(OR(O150="",P150=""),"",((O150*X150)*(VLOOKUP("Workshop",Labour!$A$3:$E$20,4,0)/8))+((P150*AE150)*(VLOOKUP("Finishing",Labour!$A$3:$E$20,4,0)/8)))</f>
        <v/>
      </c>
      <c r="R150" s="152" t="str">
        <f t="shared" si="4"/>
        <v/>
      </c>
      <c r="S150" s="156" t="str">
        <f>IF(OR(O150="",P150=""),"",IF(OR(ISERROR(FIND("carcass",$A150))=FALSE,ISERROR(FIND("unit",$A150))=FALSE),VLOOKUP(WardrobeCarcassMaterial,FixedListsCarcassMaterial,2,0),0))</f>
        <v/>
      </c>
      <c r="T150" s="156" t="str">
        <f>IF(OR(O150="",P150=""),"",IF(ISERROR(FIND("door",$A150))=FALSE,VLOOKUP(WardrobeDoorStyle,FixedListsDoorStyle,2,0),0))</f>
        <v/>
      </c>
      <c r="U150" s="156" t="str">
        <f>IF(OR(O150="",P150=""),"",IF(ISERROR(FIND("door",$A150))=FALSE,VLOOKUP(WardrobeDoorMaterial,FixedListsDoorMaterial,2,0),0))</f>
        <v/>
      </c>
      <c r="V150" s="156" t="str">
        <f>IF(OR(O150="",P150=""),"",IF(ISERROR(FIND("drawer",$A150))=FALSE,VLOOKUP(WardrobeDrawerType,FixedListsDrawerType,2,0),0))</f>
        <v/>
      </c>
      <c r="W150" s="156" t="str">
        <f>IF(OR(O150="",P150=""),"",IF(S150&gt;0,VLOOKUP(WardrobeHandleType,FixedListsHandleType,2,FALSE),0))</f>
        <v/>
      </c>
      <c r="X150" s="156" t="str">
        <f t="shared" si="5"/>
        <v/>
      </c>
      <c r="Y150" s="156" t="str">
        <f>IF(OR(O150="",P150=""),"",IF(OR(ISERROR(FIND("carcass",$A150))=FALSE,ISERROR(FIND("unit",$A150))=FALSE),VLOOKUP(WardrobeCarcassMaterial,FixedListsCarcassMaterial,3,0),0))</f>
        <v/>
      </c>
      <c r="Z150" s="156" t="str">
        <f>IF(OR(O150="",P150=""),"",IF(ISERROR(FIND("door",$A150))=FALSE,VLOOKUP(WardrobeDoorStyle,FixedListsDoorStyle,3,0),0))</f>
        <v/>
      </c>
      <c r="AA150" s="156" t="str">
        <f>IF(OR(O150="",P150=""),"",IF(ISERROR(FIND("door",$A150))=FALSE,VLOOKUP(WardrobeDoorMaterial,FixedListsDoorMaterial,3,0),0))</f>
        <v/>
      </c>
      <c r="AB150" s="156" t="str">
        <f>IF(OR(O150="",P150=""),"",IF(ISERROR(FIND("drawer",$A150))=FALSE,VLOOKUP(WardrobeDrawerType,FixedListsDrawerType,3,0),0))</f>
        <v/>
      </c>
      <c r="AC150" s="156" t="str">
        <f>IF(OR(O150="",P150=""),"",IF(S150&gt;0,VLOOKUP(WardrobeHandleType,FixedListsHandleType,3,FALSE),0))</f>
        <v/>
      </c>
      <c r="AD150" s="156" t="str">
        <f>IF(OR(O150="",P150=""),"",IF(OR(ISERROR(FIND("carcass",$A150))=FALSE,ISERROR(FIND("unit",$A150))=FALSE),VLOOKUP(WardrobeCarcassFinish,FixedListsFinishes,3,0),IF(OR(ISERROR(FIND("door",$A150))=FALSE,ISERROR(FIND("Plinth",$A150))=FALSE,ISERROR(FIND("Cornice",$A150))=FALSE,ISERROR(FIND("Fillers",$A150))=FALSE,ISERROR(FIND("Pelmet",$A150))=FALSE,ISERROR(FIND("panel",$A150))=FALSE,ISERROR(FIND("post",$A150))=FALSE),VLOOKUP(WardrobeDoorFinish,FixedListsFinishes,3,0),IF(OR(ISERROR(FIND("drawer",$A150))=FALSE,ISERROR(FIND("insert",$A150))=FALSE,ISERROR(FIND("rck",$A150))=FALSE),VLOOKUP(WardrobeCarcassFinish,FixedListsFinishes,3,0),0))))</f>
        <v/>
      </c>
      <c r="AE150" s="156" t="str">
        <f t="shared" si="6"/>
        <v/>
      </c>
      <c r="AF150" s="157" t="str">
        <f>IF(AND(WardrobeHandleType="Channel",OR(ISERROR(FIND("arcass",$A150))=FALSE,ISERROR(FIND("unit",$A150))=FALSE)),IF(ISERROR(FIND("Tower",$A150))=TRUE,IF(WardrobeHandleFinish="Match carcass",IF(ISERROR(FIND("Walnut",WardrobeCarcassMaterial))=FALSE,(0.035*0.075*($C150/1000))*VLOOKUP("Walnut (solid m3)",SolidData,4,FALSE),IF(ISERROR(FIND("Oak",WardrobeCarcassMaterial))=FALSE,(0.035*0.075*($C150/1000))*VLOOKUP("Oak (solid m3)",SolidData,4,FALSE),IF(ISERROR(FIND("ply",WardrobeCarcassMaterial))=FALSE,(0.1*($C150/1000))*VLOOKUP("Birch ply (24mm)",SheetsData,7,FALSE),IF(ISERROR(FIND("H/F",WardrobeCarcassMaterial))=FALSE,(0.1*($C150/1000))*VLOOKUP("H/F (22mm)",SheetsData,7,FALSE),"Carcass - not tower - new material")))),IF(WardrobeHandleFinish="Match door",IF(ISERROR(FIND("Walnut",WardrobeDoorMaterial))=FALSE,(0.035*0.075*($C150/1000))*VLOOKUP("Walnut (solid m3)",SolidData,4,FALSE),IF(ISERROR(FIND("Oak",WardrobeDoorMaterial))=FALSE,(0.035*0.075*($C150/1000))*VLOOKUP("Oak (solid m3)",SolidData,4,FALSE),IF(ISERROR(FIND("ply",WardrobeDoorMaterial))=FALSE,(0.1*($C150/1000))*VLOOKUP("Birch ply (24mm)",SheetsData,7,FALSE),IF(ISERROR(FIND("H/F",WardrobeCarcassMaterial))=FALSE,(0.1*($C150/1000))*VLOOKUP("H/F (22mm)",SheetsData,7,FALSE),"Door - not tower - new material")))),"Channel - not tower - handle set to other")),IF(ISERROR(FIND("Tower",$A150))=FALSE,IF(WardrobeHandleFinish="Match carcass",IF(ISERROR(FIND("Walnut",WardrobeCarcassMaterial))=FALSE,(0.035*0.075*($B150/1000))*VLOOKUP("Walnut (solid m3)",SolidData,4,FALSE),IF(ISERROR(FIND("Oak",WardrobeCarcassMaterial))=FALSE,(0.035*0.075*($B150/1000))*VLOOKUP("Oak (solid m3)",SolidData,4,FALSE),IF(ISERROR(FIND("ply",WardrobeCarcassMaterial))=FALSE,(0.1*($B150/1000))*VLOOKUP("Birch ply (24mm)",SheetsData,7,FALSE),IF(ISERROR(FIND("H/F",WardrobeCarcassMaterial))=FALSE,(0.1*($C150/1000))*VLOOKUP("H/F (22mm)",SheetsData,7,FALSE),"Carcass - tower - new material")))),IF(WardrobeHandleFinish="Match door",IF(ISERROR(FIND("Walnut",WardrobeDoorMaterial))=FALSE,(0.035*0.075*($B150/1000))*VLOOKUP("Walnut (solid m3)",SolidData,4,FALSE),IF(ISERROR(FIND("Oak",WardrobeDoorMaterial))=FALSE,(0.035*0.075*($B150/1000))*VLOOKUP("Oak (solid m3)",SolidData,4,FALSE),IF(ISERROR(FIND("ply",WardrobeDoorMaterial))=FALSE,(0.1*($B150/1000))*VLOOKUP("Birch ply (24mm)",SheetData,7,FALSE),IF(ISERROR(FIND("H/F",WardrobeCarcassMaterial))=FALSE,(0.1*($C150/1000))*VLOOKUP("H/F (22mm)",SheetsData,7,FALSE),"Door - tower - new material")))),"Channel - tower - handle set to other")))),"")</f>
        <v/>
      </c>
    </row>
    <row r="151">
      <c r="A151" s="150"/>
      <c r="B151" s="160" t="str">
        <f t="shared" si="1"/>
        <v/>
      </c>
      <c r="C151" s="160" t="str">
        <f>IFERROR(__xludf.DUMMYFUNCTION("IF(A151="""","""",IF(ISERROR(FIND(""arcass"",A151))=FALSE,MID(A151,FIND(""*"",A151)+1,FIND(""*"",A151,FIND(""*"",A151)+1)-FIND(""*"",A151)-1),IF(ISERROR(FIND(""End panel"",A151))=FALSE,RIGHT(A151,3),IF(OR(ISERROR(FIND(""drawer"",A151))=FALSE,ISERROR(FIND("&amp;"""door"",A151))=FALSE,ISERROR(FIND(""shelf"",A151))=FALSE,ISERROR(FIND(""panel"",A151))=FALSE,ISERROR(FIND(""Plinth"",A151))=FALSE,ISERROR(FIND(""Cornice"",A151))=FALSE,ISERROR(FIND(""Fillers"",A151))=FALSE,ISERROR(FIND(""Pelmet"",A151))=FALSE,ISERROR(FIN"&amp;"D(""Fireplace up to 1600"",A151))=FALSE),RIGHT(A151,LEN(A151)-LEN(regexextract(A151,"".* ""))),IF(ISERROR(FIND(""table"",A151))=FALSE,""560"",IF(ISERROR(FIND(""Office pod"",A151))=FALSE,""1600"",IF(ISERROR(FIND(""Fireplace over 1600"",A151))=FALSE,""2400"&amp;""",IF(ISERROR(FIND(""Worktop"",A151))=FALSE,""650"",""Whoops""))))))))"),"")</f>
        <v/>
      </c>
      <c r="D151" s="161" t="str">
        <f t="shared" si="2"/>
        <v/>
      </c>
      <c r="E151" s="152" t="str">
        <f>IF(OR(A151="",AND(ISERROR(FIND("drawer",A151))=FALSE,WardrobeDrawerType="")),"",IF(ISERROR(FIND("door",A151))=FALSE,IF(WardrobeDoorStyle="Flat",((B151/1000)*(C151/1000))*VLOOKUP(WardrobeDoorMaterial,SheetsData,8,0),IF(LEFT(WardrobeDoorStyle,5)="Panel",(((((B151/1000)*2)*0.08)+((((C151/1000)-0.16)*2)*0.08))*VLOOKUP("H/F (22mm)",SheetsData,8,0))+(((B151/1000)-0.14)*((C151/1000)-0.14)*VLOOKUP("H/F (9mm)",SheetsData,8,0)),IF(WardrobeDoorStyle="In-frame flat",((((((B151/1000)*0.019)*0.038)+((((C151-38)/1000)*0.038)*0.038))*2)*VLOOKUP("Tulip (solid m3)",SolidData,4,0))+(((B151-76)/1000)*((C151-38)/1000))*VLOOKUP("H/F (22mm)",SheetsData,8,0),IF(LEFT(WardrobeDoorStyle,14)="In-frame panel",(((((((B151/1000)*0.019)*0.038)+((((C151-38)/1000)*0.038)*0.038))*2)*VLOOKUP("Tulip (solid m3)",SolidData,4,0))+(((((((B151-76)/1000)*2)*0.08)+(((((C151-198)/1000)*2)*0.08)))*VLOOKUP("H/F (22mm)",SheetsData,8,0))+(((B151-216)/1000)*((C151-178)/1000)*VLOOKUP("H/F (9mm)",SheetsData,8,0)))))))),IF(AND(ISERROR(FIND("arcass",A151))=FALSE,ISERROR(FIND("ost corner",A151))=TRUE),IF(AND(VALUE(B151)&lt;1211,VALUE(C151)&lt;1211,VALUE(D151)&lt;606),1*VLOOKUP(WardrobeCarcassMaterial,SheetsData,5,FALSE),IF(AND(VALUE(B151)&lt;2421,VALUE(C151)&lt;2421,VALUE(D151)&lt;606),2*VLOOKUP(WardrobeCarcassMaterial,SheetsData,5,FALSE),IF(AND(VALUE(B151)&lt;2421,VALUE(C151)&lt;1211,VALUE(D151)&lt;1211),3*VLOOKUP(WardrobeCarcassMaterial,SheetsData,5,FALSE),IF(AND(VALUE(B151)&lt;2421,VALUE(C151)&lt;2421,VALUE(D151)&lt;1211),4*VLOOKUP(WardrobeCarcassMaterial,SheetsData,5,FALSE))))),IF(AND(ISERROR(FIND("arcass",A151))=FALSE,ISERROR(FIND("ost corner",A151))=FALSE),IF(AND(VALUE(B151)&lt;1211,VALUE(C151)&lt;1211,VALUE(D151)&lt;606),(1*VLOOKUP(WardrobeCarcassMaterial,SheetsData,5,FALSE))+(VLOOKUP("H/F (22mm)",SheetsData,7,FALSE)*1.44),IF(AND(VALUE(B151)&lt;2421,VALUE(C151)&lt;2421,VALUE(D151)&lt;606),(2*VLOOKUP(WardrobeCarcassMaterial,SheetsData,5,FALSE))+(VLOOKUP("H/F (22mm)",SheetsData,7,FALSE)*1.44),IF(AND(VALUE(B151)&lt;2421,VALUE(C151)&lt;1211,VALUE(D151)&lt;1211),(3*VLOOKUP(WardrobeCarcassMaterial,SheetsData,5,FALSE))+(VLOOKUP("H/F (22mm)",SheetsData,7,FALSE)*1.44),IF(AND(VALUE(B151)&lt;2421,VALUE(C151)&lt;2421,VALUE(D151)&lt;1211),(4*VLOOKUP(WardrobeCarcassMaterial,SheetsData,5,FALSE))+(VLOOKUP("H/F (22mm)",SheetsData,7,FALSE)*1.44))))),IF(ISERROR(FIND("drawer front",A151))=FALSE,((B151/1000)*(C151/1000))*VLOOKUP(WardrobeDoorMaterial,SheetsData,8,0),IF(AND(WardrobeDrawerType="Match carcass",ISERROR(FIND("drawer box",A151))=FALSE),(((((B151/1000)*(C151/1000))+((B151/1000)*(D151/1000)))*2)*VLOOKUP(WardrobeCarcassMaterial,SheetsData,8,0))+(((C151/1000)*(D151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box",A151))=FALSE),(((((B151/1000)*(C151/1000))+((B151/1000)*(D151/1000)))*2)*(16/1000)*VLOOKUP(LEFT(WardrobeCarcassMaterial,FIND(" ",WardrobeCarcassMaterial))&amp;"(solid m3)",SolidData,4,0))+(((C151/1000)*(D151/1000))*VLOOKUP(LEFT(WardrobeCarcassMaterial,FIND("(",WardrobeCarcassMaterial)-1)&amp;IF(OR(ISERROR(FIND("ply",WardrobeCarcassMaterial))=FALSE,ISERROR(FIND("H/F",WardrobeCarcassMaterial))=FALSE),"(9mm)","(10mm)"),SheetsData,8,0)),IF(ISERROR(FIND("shelf",A151))=FALSE,((C151/1000)*(D151/1000))*VLOOKUP(WardrobeCarcassMaterial,SheetsData,7,FALSE),IF(ISERROR(FIND("Office pod",A151))=FALSE,3*VLOOKUP(WardrobeCarcassMaterial,SheetsData,5,0),IF(ISERROR(FIND(" panel",A151))=FALSE,((B151/1000)*(C151/1000))*VLOOKUP(WardrobeDoorMaterial,SheetsData,8,0),IF(ISERROR(FIND("Fillers",A151))=FALSE,(((0.06*(C151/1000))*2)*VLOOKUP("H/F (18mm)",SheetsData,8,0))+(((0.06*(C151/1000))*2)*VLOOKUP("H/F (9mm)",SheetsData,8,0)),IF(ISERROR(FIND("Cornice (stacked)",A151))=FALSE,((0.08*(C151/1000))*2)*VLOOKUP("H/F (22mm)",SheetsData,8,0),IF(OR(ISERROR(FIND("Plinth",A151))=FALSE,ISERROR(FIND("Cornice (flat)",A151))=FALSE),((B151/1000)*(C151/1000))*VLOOKUP("H/F (18mm)",SheetsData,8,0),IF(ISERROR(FIND("Pelmet",A151))=FALSE,((((B151/1000)*(C151/1000))*2)*VLOOKUP("H/F (18mm)",SheetsData,8,0)),IF(ISERROR(FIND("Fireplace",A151))=FALSE,IF(ISERROR(FIND("over 1600",A151))=FALSE,2*VLOOKUP(WardrobeCarcassMaterial,SheetsData,5,FALSE),VLOOKUP(WardrobeCarcassMaterial,SheetsData,5,FALSE)),IF(ISERROR(FIND("table",A151))=FALSE,((B151/1000)*0.6)*VLOOKUP("Birch ply (24mm)",SheetsData,7,FALSE),IF(ISERROR(FIND("Worktop",A151))=FALSE,((B151/1000)*(C151/1000))*VLOOKUP(WardrobeDoorMaterial,SheetsData,7,FALSE),"Check formula")))))))))))))))))</f>
        <v/>
      </c>
      <c r="F151" s="152" t="str">
        <f>IFERROR(__xludf.DUMMYFUNCTION("IF(OR(A151="""",AND(ISERROR(FIND(""drawer box"",A151))=FALSE,WardrobeDrawerType=""Solid dovetail"")),"""",IF(ISERROR(FIND(""bins"",A151))=FALSE,VLOOKUP(""Base carcass 600"",Wardrobes_etcData,6,0),IF(OR(ISERROR(FIND(""larder"",A151))=FALSE,ISERROR(FIND(""u"&amp;"nit"",A151))=FALSE),VLOOKUP(LEFT(A151,FIND("" "",A151))&amp;""carcass ""&amp;RIGHT(A151,LEN(A151)-len(regexextract(A151,"".* ""))),Wardrobes_etcData,6,0),IF(ISERROR(FIND(""drawer front"",A151))=FALSE,IF(ISERROR(FIND(""veneer"",WardrobeCarcassMaterial))=TRUE,0,((("&amp;"B151+C151)/1000)*2)*VLOOKUP(""Edge banding (per M)"",SheetsData,5,0)),IF(ISERROR(FIND(""drawer box"",A151))=FALSE,IF(ISERROR(FIND(""veneer"",WardrobeCarcassMaterial))=TRUE,0,(((C151+D151)/1000)*2)*VLOOKUP(""Edge banding (per M)"",SheetsData,5,0)),IF(ISERR"&amp;"OR(FIND(""shelf"",A151))=FALSE,IF(ISERROR(FIND(""veneer"",WardrobeCarcassMaterial))=TRUE,0,(C151/1000)*VLOOKUP(""Edge banding (per M)"",SheetsData,5,0)),IF(AND(OR(ISERROR(FIND(""arcass"",A151))=FALSE,ISERROR(FIND(""Fireplace"",A151))=FALSE),ISERROR(FIND("&amp;"""shelf"",A151))=TRUE),IF(ISERROR(FIND(""veneer"",WardrobeCarcassMaterial))=TRUE,0,((2*(B151+C151))/1000)*VLOOKUP(""Edge banding (per M)"",SheetsData,5,0)),IF(ISERROR(FIND(""door"",A151))=TRUE,"""",IF(ISERROR(FIND(""veneer"",WardrobeDoorMaterial))=TRUE,"""&amp;""",((2*(B151+C151))/1000)*VLOOKUP(""Edge banding (per M)"",SheetsData,5,0))))))))))"),"")</f>
        <v/>
      </c>
      <c r="G151" s="153" t="str">
        <f>IF(A151="","",IF(AND(ISERROR(FIND("arcass",A151))=TRUE,ISERROR(FIND("Fireplace",A151))=TRUE),"",IF(VALUE(C151)&lt;606,4*VLOOKUP("Plinth foot (2 Parts 80mm)",FurnitureData,5,FALSE),IF(VALUE(C151)&lt;1211,6*VLOOKUP("Plinth foot (2 Parts 80mm)",FurnitureData,5,FALSE),8*VLOOKUP("Plinth foot (2 Parts 80mm)",FurnitureData,5,FALSE)))))</f>
        <v/>
      </c>
      <c r="H151" s="115" t="str">
        <f>IF(OR(A151="",ISERROR(FIND("door",A151))=TRUE),"",VLOOKUP("Hinges &amp; plates (Hettich thick door)",FurnitureData,5,0)*5)</f>
        <v/>
      </c>
      <c r="I151" s="115" t="str">
        <f>IF(ISERROR(FIND("shelf",A151))=FALSE,(VLOOKUP("Shelf pegs",FurnitureData,5,0)/100)*4,"")</f>
        <v/>
      </c>
      <c r="J151" s="152" t="str">
        <f>IF(OR(ISERROR(FIND("fridge/freezer",A151))=FALSE,ISERROR(FIND("sink",A151))=FALSE,ISERROR(FIND("larder",A151))=FALSE),VLOOKUP("Deep shelf "&amp;C151,Wardrobes_etcData,18,0),IF(OR(ISERROR(FIND("single oven",A151))=FALSE,ISERROR(FIND("Base carcass",A151))=FALSE),2*VLOOKUP("Deep shelf "&amp;C151,Wardrobes_etcData,18,0),IF(AND(ISERROR(FIND("wall carcass",A151))=FALSE,ISERROR(FIND("Boiler",A151))=TRUE),2*VLOOKUP("Shallow shelf "&amp;C151,Wardrobes_etcData,18,0),IF(ISERROR(FIND("double oven",A151))=FALSE,3*VLOOKUP("Deep shelf "&amp;C151,Wardrobes_etcData,18,0),IF(ISERROR(FIND("Tower carcass",A151))=FALSE,6*VLOOKUP("Deep shelf "&amp;C151,Wardrobes_etcData,18,0),"")))))</f>
        <v/>
      </c>
      <c r="K151" s="152" t="str">
        <f>IF(ISERROR(FIND("sink",A151))=FALSE,VLOOKUP("Sink liner - Aluminium "&amp;RIGHT(A151,LEN(A151)-22)&amp;"mm",ExceptionalData,5,0),IF(ISERROR(FIND("bins",A151))=FALSE,VLOOKUP("Drawer runners and clip set for bin unit (500) Dynapro",FurnitureData,5,0)+(2*VLOOKUP("Bin (42L Anthracite)",FurnitureData,5,0)),IF(ISERROR(FIND("larder",A151))=FALSE,VLOOKUP("Pull out larder unit 600mm",FurnitureData,5,0),IF(AND(ISERROR(FIND("drawer box",A151))=FALSE,ISERROR(FIND("internal",A151))=TRUE),VLOOKUP("Drawer runners and clip set (550) Dynapro",FurnitureData,5,0),IF(ISERROR(FIND("internal drawer box",A151))=FALSE,VLOOKUP("Drawer runners and clip set (450) Dynapro",FurnitureData,5,0),IF(ISERROR(FIND("table",A151))=FALSE,VLOOKUP("Hairpin Leg (12mm Black "&amp;MID(A151,FIND("(",A151)+1,LEN(A151)-(FIND("(",A151))-1)&amp;"mm)",ExceptionalData,4,FALSE),""))))))</f>
        <v/>
      </c>
      <c r="L151" s="152" t="str">
        <f t="shared" si="3"/>
        <v/>
      </c>
      <c r="M151" s="154" t="str">
        <f>IF(A151="","",IF(AND(ISERROR(FIND("drawer front",A151))=FALSE,WardrobeDoorStyle="Flat"),(((B151/1000)*(C151/1000))*2)+((((B151+C151)/1000)*2)*0.022),IF(AND(ISERROR(FIND("drawer front",A151))=FALSE,LEFT(WardrobeDoorStyle,5)="Panel"),(((B151/1000)*(C151/1000))*2)+((((B151+C151)/1000)*2)*0.022)+((((C151/1000)-0.16)*0.013)*2)+((((D151/1000)-0.16)*0.013)*2),IF(AND(ISERROR(FIND("drawer front",A151))=FALSE,WardrobeDoorStyle="In-frame flat"),((((B151-76)/1000)*((C151-38)/1000))*2)+(MID(WardrobeDoorMaterial,FIND("(",WardrobeDoorMaterial)+1,2)/1000)*((((B151-76)+(C151-38))/1000)*2)+(((B151/1000)*0.032)*2)+((((B151-76)/1000)*0.032)*2)+(((B151/1000)*0.019)*4)+(((C151/1000)*0.032)*2)+((((C151-38)/1000)*0.032)*2)+(((C151/1000)*0.038)*4),IF(AND(ISERROR(FIND("drawer front",A151))=FALSE,LEFT(WardrobeDoorStyle,14)="In-frame panel"),((((B151-76)/1000)*((C151-38)/1000))*2)+((MID(WardrobeDoorMaterial,FIND("(",WardrobeDoorMaterial)+1,2)/1000)*((((B151-76)+(C151-38))/1000)*2))+((((B151-236)/1000)+((C151-198)/1000)*2)*0.013)+(((B151/1000)*0.032)*2)+((((B151-76)/1000)*0.032)*2)+(((B151/1000)*0.019)*4)+(((C151/1000)*0.032)*2)+((((C151-38)/1000)*0.032)*2)+(((C151/1000)*0.038)*4),IF(ISERROR(FIND("drawer box",A151))=FALSE,((((B151/1000)*(D151/1000))+((B151/1000)*(C151/1000)))*4)+((((D151/1000)+(C151/1000))*0.016)*4)+(((C151/1000)*(D151/1000))*2),IF(OR(ISERROR(FIND("shelf",A151))=FALSE,ISERROR(FIND("Filler panel",A151))=FALSE),(((C151/1000)*(D151/1000))*2)+((((C151+D151)*2)/1000)*0.022),IF(ISERROR(FIND("Fireplace",A151))=FALSE,((B151/1000)*(C151/1000)),IF(ISERROR(FIND("Worktop",A151))=FALSE,(B151/1000)*(C151/1000),IF(ISERROR(FIND("table",A151))=FALSE,(B151/1000)*0.6,IF(ISERROR(FIND("arcass",A151))=FALSE,(((C151/1000)*(D151/1000))*2)+(((B151/1000)*(D151/1000))*2)+((B151/1000)*(C151/1000))+((((B151/1000)*0.025)+((C151/1000)*0.025))*2),IF(AND(ISERROR(FIND("door",A151))=FALSE,WardrobeDoorStyle="Flat"),(((B151/1000)*(C151/1000))*2)+(MID(WardrobeDoorMaterial,FIND("(",WardrobeDoorMaterial)+1,2)/1000)*(((B151+C151)/1000)*2),IF(AND(ISERROR(FIND("door",A151))=FALSE,LEFT(WardrobeDoorStyle,5)="Panel"),(((B151/1000)*(C151/1000))*2)+((MID(WardrobeDoorMaterial,FIND("(",WardrobeDoorMaterial)+1,2)/1000)*(((B151+C151)/1000)*2))+(((((B151-160)+(C151-160))*2)/1000)*(0.013)),IF(AND(ISERROR(FIND("door",A151))=FALSE,WardrobeDoorStyle="In-frame flat"),((((B151-76)/1000)*((C151-38)/1000))*2)+(MID(WardrobeDoorMaterial,FIND("(",WardrobeDoorMaterial)+1,2)/1000)*((((B151-76)+(C151-38))/1000)*2)+(((B151/1000)*0.032)*2)+((((B151-76)/1000)*0.032)*2)+(((B151/1000)*0.019)*4)+(((C151/1000)*0.032)*2)+((((C151-38)/1000)*0.032)*2)+(((C151/1000)*0.038)*4),IF(AND(ISERROR(FIND("door",A151))=FALSE,LEFT(WardrobeDoorStyle,14)="In-frame panel"),((((B151-76)/1000)*((C151-38)/1000))*2)+((MID(WardrobeDoorMaterial,FIND("(",WardrobeDoorMaterial)+1,2)/1000)*((((B151-76)+(C151-38))/1000)*2))+((((B151-236)/1000)+((C151-198)/1000)*2)*0.013)+(((B151/1000)*0.032)*2)+((((B151-76)/1000)*0.032)*2)+(((B151/1000)*0.019)*4)+(((C151/1000)*0.032)*2)+((((C151-38)/1000)*0.032)*2)+(((C151/1000)*0.038)*4),IF(ISERROR(FIND("Plinth",A151))=FALSE,((B151/1000)*(C151/1000))+(((C151/1000)*0.018)*2)+(((B151/1000)*0.018)*2),IF(ISERROR(FIND("Cornice",A151))=FALSE,(((C151/1000)*0.1)*2)+(((C151/1000)*0.044)*2)+(((B151/1000)*0.08)*2),IF(ISERROR(FIND("Office pod",A151))=FALSE,((2400/1000)*(1200/1000))*6,IF(ISERROR(FIND("panel",A151))=FALSE,((B151/1000)*(C151/1000))+(0.022*((B151/1000)+((C151/1000)*2)))+((B151/1000)*0.05),IF(ISERROR(FIND("Fillers",A151))=FALSE,((C151/1000)*0.06)+((C151/1000)*0.069)+((0.06*0.018)*2)+((0.06*0.009)*2)+((C151/1000)*0.009)+((C151/1000)*0.018),IF(ISERROR(FIND("Pelmet",A151))=FALSE,((C151/1000)*0.05)+((C151/1000)*0.068)+((0.05*0.018)*4)+(((C151/1000)*0.018))*2)))))))))))))))))))))</f>
        <v/>
      </c>
      <c r="N151" s="152" t="str">
        <f>IF(M151="","",IF(AND(ISERROR(FIND("carcass",A151))=TRUE,ISERROR(FIND("unit",A151))=TRUE,ISERROR(FIND("insert",A151))=TRUE,ISERROR(FIND("rack",A151))=TRUE,ISERROR(FIND("box",A151))=TRUE,ISERROR(FIND("shelf",A151))=TRUE),VLOOKUP(WardrobeDoorFinish,Finishing!$A$2:$K$10,9,0)*M151,IF(ISERROR(FIND("table",A151))=FALSE,VLOOKUP("Sayerlack AF0072 Interior Clear Self-Sealer",FinishingData,9,FALSE)*M151,VLOOKUP(WardrobeCarcassFinish,Finishing!$A$2:$K$40,9,0)*M151)))</f>
        <v/>
      </c>
      <c r="O151" s="159"/>
      <c r="P151" s="159"/>
      <c r="Q151" s="152" t="str">
        <f>IF(OR(O151="",P151=""),"",((O151*X151)*(VLOOKUP("Workshop",Labour!$A$3:$E$20,4,0)/8))+((P151*AE151)*(VLOOKUP("Finishing",Labour!$A$3:$E$20,4,0)/8)))</f>
        <v/>
      </c>
      <c r="R151" s="152" t="str">
        <f t="shared" si="4"/>
        <v/>
      </c>
      <c r="S151" s="156" t="str">
        <f>IF(OR(O151="",P151=""),"",IF(OR(ISERROR(FIND("carcass",$A151))=FALSE,ISERROR(FIND("unit",$A151))=FALSE),VLOOKUP(WardrobeCarcassMaterial,FixedListsCarcassMaterial,2,0),0))</f>
        <v/>
      </c>
      <c r="T151" s="156" t="str">
        <f>IF(OR(O151="",P151=""),"",IF(ISERROR(FIND("door",$A151))=FALSE,VLOOKUP(WardrobeDoorStyle,FixedListsDoorStyle,2,0),0))</f>
        <v/>
      </c>
      <c r="U151" s="156" t="str">
        <f>IF(OR(O151="",P151=""),"",IF(ISERROR(FIND("door",$A151))=FALSE,VLOOKUP(WardrobeDoorMaterial,FixedListsDoorMaterial,2,0),0))</f>
        <v/>
      </c>
      <c r="V151" s="156" t="str">
        <f>IF(OR(O151="",P151=""),"",IF(ISERROR(FIND("drawer",$A151))=FALSE,VLOOKUP(WardrobeDrawerType,FixedListsDrawerType,2,0),0))</f>
        <v/>
      </c>
      <c r="W151" s="156" t="str">
        <f>IF(OR(O151="",P151=""),"",IF(S151&gt;0,VLOOKUP(WardrobeHandleType,FixedListsHandleType,2,FALSE),0))</f>
        <v/>
      </c>
      <c r="X151" s="156" t="str">
        <f t="shared" si="5"/>
        <v/>
      </c>
      <c r="Y151" s="156" t="str">
        <f>IF(OR(O151="",P151=""),"",IF(OR(ISERROR(FIND("carcass",$A151))=FALSE,ISERROR(FIND("unit",$A151))=FALSE),VLOOKUP(WardrobeCarcassMaterial,FixedListsCarcassMaterial,3,0),0))</f>
        <v/>
      </c>
      <c r="Z151" s="156" t="str">
        <f>IF(OR(O151="",P151=""),"",IF(ISERROR(FIND("door",$A151))=FALSE,VLOOKUP(WardrobeDoorStyle,FixedListsDoorStyle,3,0),0))</f>
        <v/>
      </c>
      <c r="AA151" s="156" t="str">
        <f>IF(OR(O151="",P151=""),"",IF(ISERROR(FIND("door",$A151))=FALSE,VLOOKUP(WardrobeDoorMaterial,FixedListsDoorMaterial,3,0),0))</f>
        <v/>
      </c>
      <c r="AB151" s="156" t="str">
        <f>IF(OR(O151="",P151=""),"",IF(ISERROR(FIND("drawer",$A151))=FALSE,VLOOKUP(WardrobeDrawerType,FixedListsDrawerType,3,0),0))</f>
        <v/>
      </c>
      <c r="AC151" s="156" t="str">
        <f>IF(OR(O151="",P151=""),"",IF(S151&gt;0,VLOOKUP(WardrobeHandleType,FixedListsHandleType,3,FALSE),0))</f>
        <v/>
      </c>
      <c r="AD151" s="156" t="str">
        <f>IF(OR(O151="",P151=""),"",IF(OR(ISERROR(FIND("carcass",$A151))=FALSE,ISERROR(FIND("unit",$A151))=FALSE),VLOOKUP(WardrobeCarcassFinish,FixedListsFinishes,3,0),IF(OR(ISERROR(FIND("door",$A151))=FALSE,ISERROR(FIND("Plinth",$A151))=FALSE,ISERROR(FIND("Cornice",$A151))=FALSE,ISERROR(FIND("Fillers",$A151))=FALSE,ISERROR(FIND("Pelmet",$A151))=FALSE,ISERROR(FIND("panel",$A151))=FALSE,ISERROR(FIND("post",$A151))=FALSE),VLOOKUP(WardrobeDoorFinish,FixedListsFinishes,3,0),IF(OR(ISERROR(FIND("drawer",$A151))=FALSE,ISERROR(FIND("insert",$A151))=FALSE,ISERROR(FIND("rck",$A151))=FALSE),VLOOKUP(WardrobeCarcassFinish,FixedListsFinishes,3,0),0))))</f>
        <v/>
      </c>
      <c r="AE151" s="156" t="str">
        <f t="shared" si="6"/>
        <v/>
      </c>
      <c r="AF151" s="157" t="str">
        <f>IF(AND(WardrobeHandleType="Channel",OR(ISERROR(FIND("arcass",$A151))=FALSE,ISERROR(FIND("unit",$A151))=FALSE)),IF(ISERROR(FIND("Tower",$A151))=TRUE,IF(WardrobeHandleFinish="Match carcass",IF(ISERROR(FIND("Walnut",WardrobeCarcassMaterial))=FALSE,(0.035*0.075*($C151/1000))*VLOOKUP("Walnut (solid m3)",SolidData,4,FALSE),IF(ISERROR(FIND("Oak",WardrobeCarcassMaterial))=FALSE,(0.035*0.075*($C151/1000))*VLOOKUP("Oak (solid m3)",SolidData,4,FALSE),IF(ISERROR(FIND("ply",WardrobeCarcassMaterial))=FALSE,(0.1*($C151/1000))*VLOOKUP("Birch ply (24mm)",SheetsData,7,FALSE),IF(ISERROR(FIND("H/F",WardrobeCarcassMaterial))=FALSE,(0.1*($C151/1000))*VLOOKUP("H/F (22mm)",SheetsData,7,FALSE),"Carcass - not tower - new material")))),IF(WardrobeHandleFinish="Match door",IF(ISERROR(FIND("Walnut",WardrobeDoorMaterial))=FALSE,(0.035*0.075*($C151/1000))*VLOOKUP("Walnut (solid m3)",SolidData,4,FALSE),IF(ISERROR(FIND("Oak",WardrobeDoorMaterial))=FALSE,(0.035*0.075*($C151/1000))*VLOOKUP("Oak (solid m3)",SolidData,4,FALSE),IF(ISERROR(FIND("ply",WardrobeDoorMaterial))=FALSE,(0.1*($C151/1000))*VLOOKUP("Birch ply (24mm)",SheetsData,7,FALSE),IF(ISERROR(FIND("H/F",WardrobeCarcassMaterial))=FALSE,(0.1*($C151/1000))*VLOOKUP("H/F (22mm)",SheetsData,7,FALSE),"Door - not tower - new material")))),"Channel - not tower - handle set to other")),IF(ISERROR(FIND("Tower",$A151))=FALSE,IF(WardrobeHandleFinish="Match carcass",IF(ISERROR(FIND("Walnut",WardrobeCarcassMaterial))=FALSE,(0.035*0.075*($B151/1000))*VLOOKUP("Walnut (solid m3)",SolidData,4,FALSE),IF(ISERROR(FIND("Oak",WardrobeCarcassMaterial))=FALSE,(0.035*0.075*($B151/1000))*VLOOKUP("Oak (solid m3)",SolidData,4,FALSE),IF(ISERROR(FIND("ply",WardrobeCarcassMaterial))=FALSE,(0.1*($B151/1000))*VLOOKUP("Birch ply (24mm)",SheetsData,7,FALSE),IF(ISERROR(FIND("H/F",WardrobeCarcassMaterial))=FALSE,(0.1*($C151/1000))*VLOOKUP("H/F (22mm)",SheetsData,7,FALSE),"Carcass - tower - new material")))),IF(WardrobeHandleFinish="Match door",IF(ISERROR(FIND("Walnut",WardrobeDoorMaterial))=FALSE,(0.035*0.075*($B151/1000))*VLOOKUP("Walnut (solid m3)",SolidData,4,FALSE),IF(ISERROR(FIND("Oak",WardrobeDoorMaterial))=FALSE,(0.035*0.075*($B151/1000))*VLOOKUP("Oak (solid m3)",SolidData,4,FALSE),IF(ISERROR(FIND("ply",WardrobeDoorMaterial))=FALSE,(0.1*($B151/1000))*VLOOKUP("Birch ply (24mm)",SheetData,7,FALSE),IF(ISERROR(FIND("H/F",WardrobeCarcassMaterial))=FALSE,(0.1*($C151/1000))*VLOOKUP("H/F (22mm)",SheetsData,7,FALSE),"Door - tower - new material")))),"Channel - tower - handle set to other")))),"")</f>
        <v/>
      </c>
    </row>
    <row r="152">
      <c r="A152" s="150"/>
      <c r="B152" s="160" t="str">
        <f t="shared" si="1"/>
        <v/>
      </c>
      <c r="C152" s="160" t="str">
        <f>IFERROR(__xludf.DUMMYFUNCTION("IF(A152="""","""",IF(ISERROR(FIND(""arcass"",A152))=FALSE,MID(A152,FIND(""*"",A152)+1,FIND(""*"",A152,FIND(""*"",A152)+1)-FIND(""*"",A152)-1),IF(ISERROR(FIND(""End panel"",A152))=FALSE,RIGHT(A152,3),IF(OR(ISERROR(FIND(""drawer"",A152))=FALSE,ISERROR(FIND("&amp;"""door"",A152))=FALSE,ISERROR(FIND(""shelf"",A152))=FALSE,ISERROR(FIND(""panel"",A152))=FALSE,ISERROR(FIND(""Plinth"",A152))=FALSE,ISERROR(FIND(""Cornice"",A152))=FALSE,ISERROR(FIND(""Fillers"",A152))=FALSE,ISERROR(FIND(""Pelmet"",A152))=FALSE,ISERROR(FIN"&amp;"D(""Fireplace up to 1600"",A152))=FALSE),RIGHT(A152,LEN(A152)-LEN(regexextract(A152,"".* ""))),IF(ISERROR(FIND(""table"",A152))=FALSE,""560"",IF(ISERROR(FIND(""Office pod"",A152))=FALSE,""1600"",IF(ISERROR(FIND(""Fireplace over 1600"",A152))=FALSE,""2400"&amp;""",IF(ISERROR(FIND(""Worktop"",A152))=FALSE,""650"",""Whoops""))))))))"),"")</f>
        <v/>
      </c>
      <c r="D152" s="161" t="str">
        <f t="shared" si="2"/>
        <v/>
      </c>
      <c r="E152" s="152" t="str">
        <f>IF(OR(A152="",AND(ISERROR(FIND("drawer",A152))=FALSE,WardrobeDrawerType="")),"",IF(ISERROR(FIND("door",A152))=FALSE,IF(WardrobeDoorStyle="Flat",((B152/1000)*(C152/1000))*VLOOKUP(WardrobeDoorMaterial,SheetsData,8,0),IF(LEFT(WardrobeDoorStyle,5)="Panel",(((((B152/1000)*2)*0.08)+((((C152/1000)-0.16)*2)*0.08))*VLOOKUP("H/F (22mm)",SheetsData,8,0))+(((B152/1000)-0.14)*((C152/1000)-0.14)*VLOOKUP("H/F (9mm)",SheetsData,8,0)),IF(WardrobeDoorStyle="In-frame flat",((((((B152/1000)*0.019)*0.038)+((((C152-38)/1000)*0.038)*0.038))*2)*VLOOKUP("Tulip (solid m3)",SolidData,4,0))+(((B152-76)/1000)*((C152-38)/1000))*VLOOKUP("H/F (22mm)",SheetsData,8,0),IF(LEFT(WardrobeDoorStyle,14)="In-frame panel",(((((((B152/1000)*0.019)*0.038)+((((C152-38)/1000)*0.038)*0.038))*2)*VLOOKUP("Tulip (solid m3)",SolidData,4,0))+(((((((B152-76)/1000)*2)*0.08)+(((((C152-198)/1000)*2)*0.08)))*VLOOKUP("H/F (22mm)",SheetsData,8,0))+(((B152-216)/1000)*((C152-178)/1000)*VLOOKUP("H/F (9mm)",SheetsData,8,0)))))))),IF(AND(ISERROR(FIND("arcass",A152))=FALSE,ISERROR(FIND("ost corner",A152))=TRUE),IF(AND(VALUE(B152)&lt;1211,VALUE(C152)&lt;1211,VALUE(D152)&lt;606),1*VLOOKUP(WardrobeCarcassMaterial,SheetsData,5,FALSE),IF(AND(VALUE(B152)&lt;2421,VALUE(C152)&lt;2421,VALUE(D152)&lt;606),2*VLOOKUP(WardrobeCarcassMaterial,SheetsData,5,FALSE),IF(AND(VALUE(B152)&lt;2421,VALUE(C152)&lt;1211,VALUE(D152)&lt;1211),3*VLOOKUP(WardrobeCarcassMaterial,SheetsData,5,FALSE),IF(AND(VALUE(B152)&lt;2421,VALUE(C152)&lt;2421,VALUE(D152)&lt;1211),4*VLOOKUP(WardrobeCarcassMaterial,SheetsData,5,FALSE))))),IF(AND(ISERROR(FIND("arcass",A152))=FALSE,ISERROR(FIND("ost corner",A152))=FALSE),IF(AND(VALUE(B152)&lt;1211,VALUE(C152)&lt;1211,VALUE(D152)&lt;606),(1*VLOOKUP(WardrobeCarcassMaterial,SheetsData,5,FALSE))+(VLOOKUP("H/F (22mm)",SheetsData,7,FALSE)*1.44),IF(AND(VALUE(B152)&lt;2421,VALUE(C152)&lt;2421,VALUE(D152)&lt;606),(2*VLOOKUP(WardrobeCarcassMaterial,SheetsData,5,FALSE))+(VLOOKUP("H/F (22mm)",SheetsData,7,FALSE)*1.44),IF(AND(VALUE(B152)&lt;2421,VALUE(C152)&lt;1211,VALUE(D152)&lt;1211),(3*VLOOKUP(WardrobeCarcassMaterial,SheetsData,5,FALSE))+(VLOOKUP("H/F (22mm)",SheetsData,7,FALSE)*1.44),IF(AND(VALUE(B152)&lt;2421,VALUE(C152)&lt;2421,VALUE(D152)&lt;1211),(4*VLOOKUP(WardrobeCarcassMaterial,SheetsData,5,FALSE))+(VLOOKUP("H/F (22mm)",SheetsData,7,FALSE)*1.44))))),IF(ISERROR(FIND("drawer front",A152))=FALSE,((B152/1000)*(C152/1000))*VLOOKUP(WardrobeDoorMaterial,SheetsData,8,0),IF(AND(WardrobeDrawerType="Match carcass",ISERROR(FIND("drawer box",A152))=FALSE),(((((B152/1000)*(C152/1000))+((B152/1000)*(D152/1000)))*2)*VLOOKUP(WardrobeCarcassMaterial,SheetsData,8,0))+(((C152/1000)*(D152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box",A152))=FALSE),(((((B152/1000)*(C152/1000))+((B152/1000)*(D152/1000)))*2)*(16/1000)*VLOOKUP(LEFT(WardrobeCarcassMaterial,FIND(" ",WardrobeCarcassMaterial))&amp;"(solid m3)",SolidData,4,0))+(((C152/1000)*(D152/1000))*VLOOKUP(LEFT(WardrobeCarcassMaterial,FIND("(",WardrobeCarcassMaterial)-1)&amp;IF(OR(ISERROR(FIND("ply",WardrobeCarcassMaterial))=FALSE,ISERROR(FIND("H/F",WardrobeCarcassMaterial))=FALSE),"(9mm)","(10mm)"),SheetsData,8,0)),IF(ISERROR(FIND("shelf",A152))=FALSE,((C152/1000)*(D152/1000))*VLOOKUP(WardrobeCarcassMaterial,SheetsData,7,FALSE),IF(ISERROR(FIND("Office pod",A152))=FALSE,3*VLOOKUP(WardrobeCarcassMaterial,SheetsData,5,0),IF(ISERROR(FIND(" panel",A152))=FALSE,((B152/1000)*(C152/1000))*VLOOKUP(WardrobeDoorMaterial,SheetsData,8,0),IF(ISERROR(FIND("Fillers",A152))=FALSE,(((0.06*(C152/1000))*2)*VLOOKUP("H/F (18mm)",SheetsData,8,0))+(((0.06*(C152/1000))*2)*VLOOKUP("H/F (9mm)",SheetsData,8,0)),IF(ISERROR(FIND("Cornice (stacked)",A152))=FALSE,((0.08*(C152/1000))*2)*VLOOKUP("H/F (22mm)",SheetsData,8,0),IF(OR(ISERROR(FIND("Plinth",A152))=FALSE,ISERROR(FIND("Cornice (flat)",A152))=FALSE),((B152/1000)*(C152/1000))*VLOOKUP("H/F (18mm)",SheetsData,8,0),IF(ISERROR(FIND("Pelmet",A152))=FALSE,((((B152/1000)*(C152/1000))*2)*VLOOKUP("H/F (18mm)",SheetsData,8,0)),IF(ISERROR(FIND("Fireplace",A152))=FALSE,IF(ISERROR(FIND("over 1600",A152))=FALSE,2*VLOOKUP(WardrobeCarcassMaterial,SheetsData,5,FALSE),VLOOKUP(WardrobeCarcassMaterial,SheetsData,5,FALSE)),IF(ISERROR(FIND("table",A152))=FALSE,((B152/1000)*0.6)*VLOOKUP("Birch ply (24mm)",SheetsData,7,FALSE),IF(ISERROR(FIND("Worktop",A152))=FALSE,((B152/1000)*(C152/1000))*VLOOKUP(WardrobeDoorMaterial,SheetsData,7,FALSE),"Check formula")))))))))))))))))</f>
        <v/>
      </c>
      <c r="F152" s="152" t="str">
        <f>IFERROR(__xludf.DUMMYFUNCTION("IF(OR(A152="""",AND(ISERROR(FIND(""drawer box"",A152))=FALSE,WardrobeDrawerType=""Solid dovetail"")),"""",IF(ISERROR(FIND(""bins"",A152))=FALSE,VLOOKUP(""Base carcass 600"",Wardrobes_etcData,6,0),IF(OR(ISERROR(FIND(""larder"",A152))=FALSE,ISERROR(FIND(""u"&amp;"nit"",A152))=FALSE),VLOOKUP(LEFT(A152,FIND("" "",A152))&amp;""carcass ""&amp;RIGHT(A152,LEN(A152)-len(regexextract(A152,"".* ""))),Wardrobes_etcData,6,0),IF(ISERROR(FIND(""drawer front"",A152))=FALSE,IF(ISERROR(FIND(""veneer"",WardrobeCarcassMaterial))=TRUE,0,((("&amp;"B152+C152)/1000)*2)*VLOOKUP(""Edge banding (per M)"",SheetsData,5,0)),IF(ISERROR(FIND(""drawer box"",A152))=FALSE,IF(ISERROR(FIND(""veneer"",WardrobeCarcassMaterial))=TRUE,0,(((C152+D152)/1000)*2)*VLOOKUP(""Edge banding (per M)"",SheetsData,5,0)),IF(ISERR"&amp;"OR(FIND(""shelf"",A152))=FALSE,IF(ISERROR(FIND(""veneer"",WardrobeCarcassMaterial))=TRUE,0,(C152/1000)*VLOOKUP(""Edge banding (per M)"",SheetsData,5,0)),IF(AND(OR(ISERROR(FIND(""arcass"",A152))=FALSE,ISERROR(FIND(""Fireplace"",A152))=FALSE),ISERROR(FIND("&amp;"""shelf"",A152))=TRUE),IF(ISERROR(FIND(""veneer"",WardrobeCarcassMaterial))=TRUE,0,((2*(B152+C152))/1000)*VLOOKUP(""Edge banding (per M)"",SheetsData,5,0)),IF(ISERROR(FIND(""door"",A152))=TRUE,"""",IF(ISERROR(FIND(""veneer"",WardrobeDoorMaterial))=TRUE,"""&amp;""",((2*(B152+C152))/1000)*VLOOKUP(""Edge banding (per M)"",SheetsData,5,0))))))))))"),"")</f>
        <v/>
      </c>
      <c r="G152" s="153" t="str">
        <f>IF(A152="","",IF(AND(ISERROR(FIND("arcass",A152))=TRUE,ISERROR(FIND("Fireplace",A152))=TRUE),"",IF(VALUE(C152)&lt;606,4*VLOOKUP("Plinth foot (2 Parts 80mm)",FurnitureData,5,FALSE),IF(VALUE(C152)&lt;1211,6*VLOOKUP("Plinth foot (2 Parts 80mm)",FurnitureData,5,FALSE),8*VLOOKUP("Plinth foot (2 Parts 80mm)",FurnitureData,5,FALSE)))))</f>
        <v/>
      </c>
      <c r="H152" s="115" t="str">
        <f>IF(OR(A152="",ISERROR(FIND("door",A152))=TRUE),"",VLOOKUP("Hinges &amp; plates (Hettich thick door)",FurnitureData,5,0)*5)</f>
        <v/>
      </c>
      <c r="I152" s="115" t="str">
        <f>IF(ISERROR(FIND("shelf",A152))=FALSE,(VLOOKUP("Shelf pegs",FurnitureData,5,0)/100)*4,"")</f>
        <v/>
      </c>
      <c r="J152" s="152" t="str">
        <f>IF(OR(ISERROR(FIND("fridge/freezer",A152))=FALSE,ISERROR(FIND("sink",A152))=FALSE,ISERROR(FIND("larder",A152))=FALSE),VLOOKUP("Deep shelf "&amp;C152,Wardrobes_etcData,18,0),IF(OR(ISERROR(FIND("single oven",A152))=FALSE,ISERROR(FIND("Base carcass",A152))=FALSE),2*VLOOKUP("Deep shelf "&amp;C152,Wardrobes_etcData,18,0),IF(AND(ISERROR(FIND("wall carcass",A152))=FALSE,ISERROR(FIND("Boiler",A152))=TRUE),2*VLOOKUP("Shallow shelf "&amp;C152,Wardrobes_etcData,18,0),IF(ISERROR(FIND("double oven",A152))=FALSE,3*VLOOKUP("Deep shelf "&amp;C152,Wardrobes_etcData,18,0),IF(ISERROR(FIND("Tower carcass",A152))=FALSE,6*VLOOKUP("Deep shelf "&amp;C152,Wardrobes_etcData,18,0),"")))))</f>
        <v/>
      </c>
      <c r="K152" s="152" t="str">
        <f>IF(ISERROR(FIND("sink",A152))=FALSE,VLOOKUP("Sink liner - Aluminium "&amp;RIGHT(A152,LEN(A152)-22)&amp;"mm",ExceptionalData,5,0),IF(ISERROR(FIND("bins",A152))=FALSE,VLOOKUP("Drawer runners and clip set for bin unit (500) Dynapro",FurnitureData,5,0)+(2*VLOOKUP("Bin (42L Anthracite)",FurnitureData,5,0)),IF(ISERROR(FIND("larder",A152))=FALSE,VLOOKUP("Pull out larder unit 600mm",FurnitureData,5,0),IF(AND(ISERROR(FIND("drawer box",A152))=FALSE,ISERROR(FIND("internal",A152))=TRUE),VLOOKUP("Drawer runners and clip set (550) Dynapro",FurnitureData,5,0),IF(ISERROR(FIND("internal drawer box",A152))=FALSE,VLOOKUP("Drawer runners and clip set (450) Dynapro",FurnitureData,5,0),IF(ISERROR(FIND("table",A152))=FALSE,VLOOKUP("Hairpin Leg (12mm Black "&amp;MID(A152,FIND("(",A152)+1,LEN(A152)-(FIND("(",A152))-1)&amp;"mm)",ExceptionalData,4,FALSE),""))))))</f>
        <v/>
      </c>
      <c r="L152" s="152" t="str">
        <f t="shared" si="3"/>
        <v/>
      </c>
      <c r="M152" s="154" t="str">
        <f>IF(A152="","",IF(AND(ISERROR(FIND("drawer front",A152))=FALSE,WardrobeDoorStyle="Flat"),(((B152/1000)*(C152/1000))*2)+((((B152+C152)/1000)*2)*0.022),IF(AND(ISERROR(FIND("drawer front",A152))=FALSE,LEFT(WardrobeDoorStyle,5)="Panel"),(((B152/1000)*(C152/1000))*2)+((((B152+C152)/1000)*2)*0.022)+((((C152/1000)-0.16)*0.013)*2)+((((D152/1000)-0.16)*0.013)*2),IF(AND(ISERROR(FIND("drawer front",A152))=FALSE,WardrobeDoorStyle="In-frame flat"),((((B152-76)/1000)*((C152-38)/1000))*2)+(MID(WardrobeDoorMaterial,FIND("(",WardrobeDoorMaterial)+1,2)/1000)*((((B152-76)+(C152-38))/1000)*2)+(((B152/1000)*0.032)*2)+((((B152-76)/1000)*0.032)*2)+(((B152/1000)*0.019)*4)+(((C152/1000)*0.032)*2)+((((C152-38)/1000)*0.032)*2)+(((C152/1000)*0.038)*4),IF(AND(ISERROR(FIND("drawer front",A152))=FALSE,LEFT(WardrobeDoorStyle,14)="In-frame panel"),((((B152-76)/1000)*((C152-38)/1000))*2)+((MID(WardrobeDoorMaterial,FIND("(",WardrobeDoorMaterial)+1,2)/1000)*((((B152-76)+(C152-38))/1000)*2))+((((B152-236)/1000)+((C152-198)/1000)*2)*0.013)+(((B152/1000)*0.032)*2)+((((B152-76)/1000)*0.032)*2)+(((B152/1000)*0.019)*4)+(((C152/1000)*0.032)*2)+((((C152-38)/1000)*0.032)*2)+(((C152/1000)*0.038)*4),IF(ISERROR(FIND("drawer box",A152))=FALSE,((((B152/1000)*(D152/1000))+((B152/1000)*(C152/1000)))*4)+((((D152/1000)+(C152/1000))*0.016)*4)+(((C152/1000)*(D152/1000))*2),IF(OR(ISERROR(FIND("shelf",A152))=FALSE,ISERROR(FIND("Filler panel",A152))=FALSE),(((C152/1000)*(D152/1000))*2)+((((C152+D152)*2)/1000)*0.022),IF(ISERROR(FIND("Fireplace",A152))=FALSE,((B152/1000)*(C152/1000)),IF(ISERROR(FIND("Worktop",A152))=FALSE,(B152/1000)*(C152/1000),IF(ISERROR(FIND("table",A152))=FALSE,(B152/1000)*0.6,IF(ISERROR(FIND("arcass",A152))=FALSE,(((C152/1000)*(D152/1000))*2)+(((B152/1000)*(D152/1000))*2)+((B152/1000)*(C152/1000))+((((B152/1000)*0.025)+((C152/1000)*0.025))*2),IF(AND(ISERROR(FIND("door",A152))=FALSE,WardrobeDoorStyle="Flat"),(((B152/1000)*(C152/1000))*2)+(MID(WardrobeDoorMaterial,FIND("(",WardrobeDoorMaterial)+1,2)/1000)*(((B152+C152)/1000)*2),IF(AND(ISERROR(FIND("door",A152))=FALSE,LEFT(WardrobeDoorStyle,5)="Panel"),(((B152/1000)*(C152/1000))*2)+((MID(WardrobeDoorMaterial,FIND("(",WardrobeDoorMaterial)+1,2)/1000)*(((B152+C152)/1000)*2))+(((((B152-160)+(C152-160))*2)/1000)*(0.013)),IF(AND(ISERROR(FIND("door",A152))=FALSE,WardrobeDoorStyle="In-frame flat"),((((B152-76)/1000)*((C152-38)/1000))*2)+(MID(WardrobeDoorMaterial,FIND("(",WardrobeDoorMaterial)+1,2)/1000)*((((B152-76)+(C152-38))/1000)*2)+(((B152/1000)*0.032)*2)+((((B152-76)/1000)*0.032)*2)+(((B152/1000)*0.019)*4)+(((C152/1000)*0.032)*2)+((((C152-38)/1000)*0.032)*2)+(((C152/1000)*0.038)*4),IF(AND(ISERROR(FIND("door",A152))=FALSE,LEFT(WardrobeDoorStyle,14)="In-frame panel"),((((B152-76)/1000)*((C152-38)/1000))*2)+((MID(WardrobeDoorMaterial,FIND("(",WardrobeDoorMaterial)+1,2)/1000)*((((B152-76)+(C152-38))/1000)*2))+((((B152-236)/1000)+((C152-198)/1000)*2)*0.013)+(((B152/1000)*0.032)*2)+((((B152-76)/1000)*0.032)*2)+(((B152/1000)*0.019)*4)+(((C152/1000)*0.032)*2)+((((C152-38)/1000)*0.032)*2)+(((C152/1000)*0.038)*4),IF(ISERROR(FIND("Plinth",A152))=FALSE,((B152/1000)*(C152/1000))+(((C152/1000)*0.018)*2)+(((B152/1000)*0.018)*2),IF(ISERROR(FIND("Cornice",A152))=FALSE,(((C152/1000)*0.1)*2)+(((C152/1000)*0.044)*2)+(((B152/1000)*0.08)*2),IF(ISERROR(FIND("Office pod",A152))=FALSE,((2400/1000)*(1200/1000))*6,IF(ISERROR(FIND("panel",A152))=FALSE,((B152/1000)*(C152/1000))+(0.022*((B152/1000)+((C152/1000)*2)))+((B152/1000)*0.05),IF(ISERROR(FIND("Fillers",A152))=FALSE,((C152/1000)*0.06)+((C152/1000)*0.069)+((0.06*0.018)*2)+((0.06*0.009)*2)+((C152/1000)*0.009)+((C152/1000)*0.018),IF(ISERROR(FIND("Pelmet",A152))=FALSE,((C152/1000)*0.05)+((C152/1000)*0.068)+((0.05*0.018)*4)+(((C152/1000)*0.018))*2)))))))))))))))))))))</f>
        <v/>
      </c>
      <c r="N152" s="152" t="str">
        <f>IF(M152="","",IF(AND(ISERROR(FIND("carcass",A152))=TRUE,ISERROR(FIND("unit",A152))=TRUE,ISERROR(FIND("insert",A152))=TRUE,ISERROR(FIND("rack",A152))=TRUE,ISERROR(FIND("box",A152))=TRUE,ISERROR(FIND("shelf",A152))=TRUE),VLOOKUP(WardrobeDoorFinish,Finishing!$A$2:$K$10,9,0)*M152,IF(ISERROR(FIND("table",A152))=FALSE,VLOOKUP("Sayerlack AF0072 Interior Clear Self-Sealer",FinishingData,9,FALSE)*M152,VLOOKUP(WardrobeCarcassFinish,Finishing!$A$2:$K$40,9,0)*M152)))</f>
        <v/>
      </c>
      <c r="O152" s="159"/>
      <c r="P152" s="159"/>
      <c r="Q152" s="152" t="str">
        <f>IF(OR(O152="",P152=""),"",((O152*X152)*(VLOOKUP("Workshop",Labour!$A$3:$E$20,4,0)/8))+((P152*AE152)*(VLOOKUP("Finishing",Labour!$A$3:$E$20,4,0)/8)))</f>
        <v/>
      </c>
      <c r="R152" s="152" t="str">
        <f t="shared" si="4"/>
        <v/>
      </c>
      <c r="S152" s="156" t="str">
        <f>IF(OR(O152="",P152=""),"",IF(OR(ISERROR(FIND("carcass",$A152))=FALSE,ISERROR(FIND("unit",$A152))=FALSE),VLOOKUP(WardrobeCarcassMaterial,FixedListsCarcassMaterial,2,0),0))</f>
        <v/>
      </c>
      <c r="T152" s="156" t="str">
        <f>IF(OR(O152="",P152=""),"",IF(ISERROR(FIND("door",$A152))=FALSE,VLOOKUP(WardrobeDoorStyle,FixedListsDoorStyle,2,0),0))</f>
        <v/>
      </c>
      <c r="U152" s="156" t="str">
        <f>IF(OR(O152="",P152=""),"",IF(ISERROR(FIND("door",$A152))=FALSE,VLOOKUP(WardrobeDoorMaterial,FixedListsDoorMaterial,2,0),0))</f>
        <v/>
      </c>
      <c r="V152" s="156" t="str">
        <f>IF(OR(O152="",P152=""),"",IF(ISERROR(FIND("drawer",$A152))=FALSE,VLOOKUP(WardrobeDrawerType,FixedListsDrawerType,2,0),0))</f>
        <v/>
      </c>
      <c r="W152" s="156" t="str">
        <f>IF(OR(O152="",P152=""),"",IF(S152&gt;0,VLOOKUP(WardrobeHandleType,FixedListsHandleType,2,FALSE),0))</f>
        <v/>
      </c>
      <c r="X152" s="156" t="str">
        <f t="shared" si="5"/>
        <v/>
      </c>
      <c r="Y152" s="156" t="str">
        <f>IF(OR(O152="",P152=""),"",IF(OR(ISERROR(FIND("carcass",$A152))=FALSE,ISERROR(FIND("unit",$A152))=FALSE),VLOOKUP(WardrobeCarcassMaterial,FixedListsCarcassMaterial,3,0),0))</f>
        <v/>
      </c>
      <c r="Z152" s="156" t="str">
        <f>IF(OR(O152="",P152=""),"",IF(ISERROR(FIND("door",$A152))=FALSE,VLOOKUP(WardrobeDoorStyle,FixedListsDoorStyle,3,0),0))</f>
        <v/>
      </c>
      <c r="AA152" s="156" t="str">
        <f>IF(OR(O152="",P152=""),"",IF(ISERROR(FIND("door",$A152))=FALSE,VLOOKUP(WardrobeDoorMaterial,FixedListsDoorMaterial,3,0),0))</f>
        <v/>
      </c>
      <c r="AB152" s="156" t="str">
        <f>IF(OR(O152="",P152=""),"",IF(ISERROR(FIND("drawer",$A152))=FALSE,VLOOKUP(WardrobeDrawerType,FixedListsDrawerType,3,0),0))</f>
        <v/>
      </c>
      <c r="AC152" s="156" t="str">
        <f>IF(OR(O152="",P152=""),"",IF(S152&gt;0,VLOOKUP(WardrobeHandleType,FixedListsHandleType,3,FALSE),0))</f>
        <v/>
      </c>
      <c r="AD152" s="156" t="str">
        <f>IF(OR(O152="",P152=""),"",IF(OR(ISERROR(FIND("carcass",$A152))=FALSE,ISERROR(FIND("unit",$A152))=FALSE),VLOOKUP(WardrobeCarcassFinish,FixedListsFinishes,3,0),IF(OR(ISERROR(FIND("door",$A152))=FALSE,ISERROR(FIND("Plinth",$A152))=FALSE,ISERROR(FIND("Cornice",$A152))=FALSE,ISERROR(FIND("Fillers",$A152))=FALSE,ISERROR(FIND("Pelmet",$A152))=FALSE,ISERROR(FIND("panel",$A152))=FALSE,ISERROR(FIND("post",$A152))=FALSE),VLOOKUP(WardrobeDoorFinish,FixedListsFinishes,3,0),IF(OR(ISERROR(FIND("drawer",$A152))=FALSE,ISERROR(FIND("insert",$A152))=FALSE,ISERROR(FIND("rck",$A152))=FALSE),VLOOKUP(WardrobeCarcassFinish,FixedListsFinishes,3,0),0))))</f>
        <v/>
      </c>
      <c r="AE152" s="156" t="str">
        <f t="shared" si="6"/>
        <v/>
      </c>
      <c r="AF152" s="157" t="str">
        <f>IF(AND(WardrobeHandleType="Channel",OR(ISERROR(FIND("arcass",$A152))=FALSE,ISERROR(FIND("unit",$A152))=FALSE)),IF(ISERROR(FIND("Tower",$A152))=TRUE,IF(WardrobeHandleFinish="Match carcass",IF(ISERROR(FIND("Walnut",WardrobeCarcassMaterial))=FALSE,(0.035*0.075*($C152/1000))*VLOOKUP("Walnut (solid m3)",SolidData,4,FALSE),IF(ISERROR(FIND("Oak",WardrobeCarcassMaterial))=FALSE,(0.035*0.075*($C152/1000))*VLOOKUP("Oak (solid m3)",SolidData,4,FALSE),IF(ISERROR(FIND("ply",WardrobeCarcassMaterial))=FALSE,(0.1*($C152/1000))*VLOOKUP("Birch ply (24mm)",SheetsData,7,FALSE),IF(ISERROR(FIND("H/F",WardrobeCarcassMaterial))=FALSE,(0.1*($C152/1000))*VLOOKUP("H/F (22mm)",SheetsData,7,FALSE),"Carcass - not tower - new material")))),IF(WardrobeHandleFinish="Match door",IF(ISERROR(FIND("Walnut",WardrobeDoorMaterial))=FALSE,(0.035*0.075*($C152/1000))*VLOOKUP("Walnut (solid m3)",SolidData,4,FALSE),IF(ISERROR(FIND("Oak",WardrobeDoorMaterial))=FALSE,(0.035*0.075*($C152/1000))*VLOOKUP("Oak (solid m3)",SolidData,4,FALSE),IF(ISERROR(FIND("ply",WardrobeDoorMaterial))=FALSE,(0.1*($C152/1000))*VLOOKUP("Birch ply (24mm)",SheetsData,7,FALSE),IF(ISERROR(FIND("H/F",WardrobeCarcassMaterial))=FALSE,(0.1*($C152/1000))*VLOOKUP("H/F (22mm)",SheetsData,7,FALSE),"Door - not tower - new material")))),"Channel - not tower - handle set to other")),IF(ISERROR(FIND("Tower",$A152))=FALSE,IF(WardrobeHandleFinish="Match carcass",IF(ISERROR(FIND("Walnut",WardrobeCarcassMaterial))=FALSE,(0.035*0.075*($B152/1000))*VLOOKUP("Walnut (solid m3)",SolidData,4,FALSE),IF(ISERROR(FIND("Oak",WardrobeCarcassMaterial))=FALSE,(0.035*0.075*($B152/1000))*VLOOKUP("Oak (solid m3)",SolidData,4,FALSE),IF(ISERROR(FIND("ply",WardrobeCarcassMaterial))=FALSE,(0.1*($B152/1000))*VLOOKUP("Birch ply (24mm)",SheetsData,7,FALSE),IF(ISERROR(FIND("H/F",WardrobeCarcassMaterial))=FALSE,(0.1*($C152/1000))*VLOOKUP("H/F (22mm)",SheetsData,7,FALSE),"Carcass - tower - new material")))),IF(WardrobeHandleFinish="Match door",IF(ISERROR(FIND("Walnut",WardrobeDoorMaterial))=FALSE,(0.035*0.075*($B152/1000))*VLOOKUP("Walnut (solid m3)",SolidData,4,FALSE),IF(ISERROR(FIND("Oak",WardrobeDoorMaterial))=FALSE,(0.035*0.075*($B152/1000))*VLOOKUP("Oak (solid m3)",SolidData,4,FALSE),IF(ISERROR(FIND("ply",WardrobeDoorMaterial))=FALSE,(0.1*($B152/1000))*VLOOKUP("Birch ply (24mm)",SheetData,7,FALSE),IF(ISERROR(FIND("H/F",WardrobeCarcassMaterial))=FALSE,(0.1*($C152/1000))*VLOOKUP("H/F (22mm)",SheetsData,7,FALSE),"Door - tower - new material")))),"Channel - tower - handle set to other")))),"")</f>
        <v/>
      </c>
    </row>
    <row r="153">
      <c r="A153" s="150"/>
      <c r="B153" s="160" t="str">
        <f t="shared" si="1"/>
        <v/>
      </c>
      <c r="C153" s="160" t="str">
        <f>IFERROR(__xludf.DUMMYFUNCTION("IF(A153="""","""",IF(ISERROR(FIND(""arcass"",A153))=FALSE,MID(A153,FIND(""*"",A153)+1,FIND(""*"",A153,FIND(""*"",A153)+1)-FIND(""*"",A153)-1),IF(ISERROR(FIND(""End panel"",A153))=FALSE,RIGHT(A153,3),IF(OR(ISERROR(FIND(""drawer"",A153))=FALSE,ISERROR(FIND("&amp;"""door"",A153))=FALSE,ISERROR(FIND(""shelf"",A153))=FALSE,ISERROR(FIND(""panel"",A153))=FALSE,ISERROR(FIND(""Plinth"",A153))=FALSE,ISERROR(FIND(""Cornice"",A153))=FALSE,ISERROR(FIND(""Fillers"",A153))=FALSE,ISERROR(FIND(""Pelmet"",A153))=FALSE,ISERROR(FIN"&amp;"D(""Fireplace up to 1600"",A153))=FALSE),RIGHT(A153,LEN(A153)-LEN(regexextract(A153,"".* ""))),IF(ISERROR(FIND(""table"",A153))=FALSE,""560"",IF(ISERROR(FIND(""Office pod"",A153))=FALSE,""1600"",IF(ISERROR(FIND(""Fireplace over 1600"",A153))=FALSE,""2400"&amp;""",IF(ISERROR(FIND(""Worktop"",A153))=FALSE,""650"",""Whoops""))))))))"),"")</f>
        <v/>
      </c>
      <c r="D153" s="161" t="str">
        <f t="shared" si="2"/>
        <v/>
      </c>
      <c r="E153" s="152" t="str">
        <f>IF(OR(A153="",AND(ISERROR(FIND("drawer",A153))=FALSE,WardrobeDrawerType="")),"",IF(ISERROR(FIND("door",A153))=FALSE,IF(WardrobeDoorStyle="Flat",((B153/1000)*(C153/1000))*VLOOKUP(WardrobeDoorMaterial,SheetsData,8,0),IF(LEFT(WardrobeDoorStyle,5)="Panel",(((((B153/1000)*2)*0.08)+((((C153/1000)-0.16)*2)*0.08))*VLOOKUP("H/F (22mm)",SheetsData,8,0))+(((B153/1000)-0.14)*((C153/1000)-0.14)*VLOOKUP("H/F (9mm)",SheetsData,8,0)),IF(WardrobeDoorStyle="In-frame flat",((((((B153/1000)*0.019)*0.038)+((((C153-38)/1000)*0.038)*0.038))*2)*VLOOKUP("Tulip (solid m3)",SolidData,4,0))+(((B153-76)/1000)*((C153-38)/1000))*VLOOKUP("H/F (22mm)",SheetsData,8,0),IF(LEFT(WardrobeDoorStyle,14)="In-frame panel",(((((((B153/1000)*0.019)*0.038)+((((C153-38)/1000)*0.038)*0.038))*2)*VLOOKUP("Tulip (solid m3)",SolidData,4,0))+(((((((B153-76)/1000)*2)*0.08)+(((((C153-198)/1000)*2)*0.08)))*VLOOKUP("H/F (22mm)",SheetsData,8,0))+(((B153-216)/1000)*((C153-178)/1000)*VLOOKUP("H/F (9mm)",SheetsData,8,0)))))))),IF(AND(ISERROR(FIND("arcass",A153))=FALSE,ISERROR(FIND("ost corner",A153))=TRUE),IF(AND(VALUE(B153)&lt;1211,VALUE(C153)&lt;1211,VALUE(D153)&lt;606),1*VLOOKUP(WardrobeCarcassMaterial,SheetsData,5,FALSE),IF(AND(VALUE(B153)&lt;2421,VALUE(C153)&lt;2421,VALUE(D153)&lt;606),2*VLOOKUP(WardrobeCarcassMaterial,SheetsData,5,FALSE),IF(AND(VALUE(B153)&lt;2421,VALUE(C153)&lt;1211,VALUE(D153)&lt;1211),3*VLOOKUP(WardrobeCarcassMaterial,SheetsData,5,FALSE),IF(AND(VALUE(B153)&lt;2421,VALUE(C153)&lt;2421,VALUE(D153)&lt;1211),4*VLOOKUP(WardrobeCarcassMaterial,SheetsData,5,FALSE))))),IF(AND(ISERROR(FIND("arcass",A153))=FALSE,ISERROR(FIND("ost corner",A153))=FALSE),IF(AND(VALUE(B153)&lt;1211,VALUE(C153)&lt;1211,VALUE(D153)&lt;606),(1*VLOOKUP(WardrobeCarcassMaterial,SheetsData,5,FALSE))+(VLOOKUP("H/F (22mm)",SheetsData,7,FALSE)*1.44),IF(AND(VALUE(B153)&lt;2421,VALUE(C153)&lt;2421,VALUE(D153)&lt;606),(2*VLOOKUP(WardrobeCarcassMaterial,SheetsData,5,FALSE))+(VLOOKUP("H/F (22mm)",SheetsData,7,FALSE)*1.44),IF(AND(VALUE(B153)&lt;2421,VALUE(C153)&lt;1211,VALUE(D153)&lt;1211),(3*VLOOKUP(WardrobeCarcassMaterial,SheetsData,5,FALSE))+(VLOOKUP("H/F (22mm)",SheetsData,7,FALSE)*1.44),IF(AND(VALUE(B153)&lt;2421,VALUE(C153)&lt;2421,VALUE(D153)&lt;1211),(4*VLOOKUP(WardrobeCarcassMaterial,SheetsData,5,FALSE))+(VLOOKUP("H/F (22mm)",SheetsData,7,FALSE)*1.44))))),IF(ISERROR(FIND("drawer front",A153))=FALSE,((B153/1000)*(C153/1000))*VLOOKUP(WardrobeDoorMaterial,SheetsData,8,0),IF(AND(WardrobeDrawerType="Match carcass",ISERROR(FIND("drawer box",A153))=FALSE),(((((B153/1000)*(C153/1000))+((B153/1000)*(D153/1000)))*2)*VLOOKUP(WardrobeCarcassMaterial,SheetsData,8,0))+(((C153/1000)*(D153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box",A153))=FALSE),(((((B153/1000)*(C153/1000))+((B153/1000)*(D153/1000)))*2)*(16/1000)*VLOOKUP(LEFT(WardrobeCarcassMaterial,FIND(" ",WardrobeCarcassMaterial))&amp;"(solid m3)",SolidData,4,0))+(((C153/1000)*(D153/1000))*VLOOKUP(LEFT(WardrobeCarcassMaterial,FIND("(",WardrobeCarcassMaterial)-1)&amp;IF(OR(ISERROR(FIND("ply",WardrobeCarcassMaterial))=FALSE,ISERROR(FIND("H/F",WardrobeCarcassMaterial))=FALSE),"(9mm)","(10mm)"),SheetsData,8,0)),IF(ISERROR(FIND("shelf",A153))=FALSE,((C153/1000)*(D153/1000))*VLOOKUP(WardrobeCarcassMaterial,SheetsData,7,FALSE),IF(ISERROR(FIND("Office pod",A153))=FALSE,3*VLOOKUP(WardrobeCarcassMaterial,SheetsData,5,0),IF(ISERROR(FIND(" panel",A153))=FALSE,((B153/1000)*(C153/1000))*VLOOKUP(WardrobeDoorMaterial,SheetsData,8,0),IF(ISERROR(FIND("Fillers",A153))=FALSE,(((0.06*(C153/1000))*2)*VLOOKUP("H/F (18mm)",SheetsData,8,0))+(((0.06*(C153/1000))*2)*VLOOKUP("H/F (9mm)",SheetsData,8,0)),IF(ISERROR(FIND("Cornice (stacked)",A153))=FALSE,((0.08*(C153/1000))*2)*VLOOKUP("H/F (22mm)",SheetsData,8,0),IF(OR(ISERROR(FIND("Plinth",A153))=FALSE,ISERROR(FIND("Cornice (flat)",A153))=FALSE),((B153/1000)*(C153/1000))*VLOOKUP("H/F (18mm)",SheetsData,8,0),IF(ISERROR(FIND("Pelmet",A153))=FALSE,((((B153/1000)*(C153/1000))*2)*VLOOKUP("H/F (18mm)",SheetsData,8,0)),IF(ISERROR(FIND("Fireplace",A153))=FALSE,IF(ISERROR(FIND("over 1600",A153))=FALSE,2*VLOOKUP(WardrobeCarcassMaterial,SheetsData,5,FALSE),VLOOKUP(WardrobeCarcassMaterial,SheetsData,5,FALSE)),IF(ISERROR(FIND("table",A153))=FALSE,((B153/1000)*0.6)*VLOOKUP("Birch ply (24mm)",SheetsData,7,FALSE),IF(ISERROR(FIND("Worktop",A153))=FALSE,((B153/1000)*(C153/1000))*VLOOKUP(WardrobeDoorMaterial,SheetsData,7,FALSE),"Check formula")))))))))))))))))</f>
        <v/>
      </c>
      <c r="F153" s="152" t="str">
        <f>IFERROR(__xludf.DUMMYFUNCTION("IF(OR(A153="""",AND(ISERROR(FIND(""drawer box"",A153))=FALSE,WardrobeDrawerType=""Solid dovetail"")),"""",IF(ISERROR(FIND(""bins"",A153))=FALSE,VLOOKUP(""Base carcass 600"",Wardrobes_etcData,6,0),IF(OR(ISERROR(FIND(""larder"",A153))=FALSE,ISERROR(FIND(""u"&amp;"nit"",A153))=FALSE),VLOOKUP(LEFT(A153,FIND("" "",A153))&amp;""carcass ""&amp;RIGHT(A153,LEN(A153)-len(regexextract(A153,"".* ""))),Wardrobes_etcData,6,0),IF(ISERROR(FIND(""drawer front"",A153))=FALSE,IF(ISERROR(FIND(""veneer"",WardrobeCarcassMaterial))=TRUE,0,((("&amp;"B153+C153)/1000)*2)*VLOOKUP(""Edge banding (per M)"",SheetsData,5,0)),IF(ISERROR(FIND(""drawer box"",A153))=FALSE,IF(ISERROR(FIND(""veneer"",WardrobeCarcassMaterial))=TRUE,0,(((C153+D153)/1000)*2)*VLOOKUP(""Edge banding (per M)"",SheetsData,5,0)),IF(ISERR"&amp;"OR(FIND(""shelf"",A153))=FALSE,IF(ISERROR(FIND(""veneer"",WardrobeCarcassMaterial))=TRUE,0,(C153/1000)*VLOOKUP(""Edge banding (per M)"",SheetsData,5,0)),IF(AND(OR(ISERROR(FIND(""arcass"",A153))=FALSE,ISERROR(FIND(""Fireplace"",A153))=FALSE),ISERROR(FIND("&amp;"""shelf"",A153))=TRUE),IF(ISERROR(FIND(""veneer"",WardrobeCarcassMaterial))=TRUE,0,((2*(B153+C153))/1000)*VLOOKUP(""Edge banding (per M)"",SheetsData,5,0)),IF(ISERROR(FIND(""door"",A153))=TRUE,"""",IF(ISERROR(FIND(""veneer"",WardrobeDoorMaterial))=TRUE,"""&amp;""",((2*(B153+C153))/1000)*VLOOKUP(""Edge banding (per M)"",SheetsData,5,0))))))))))"),"")</f>
        <v/>
      </c>
      <c r="G153" s="153" t="str">
        <f>IF(A153="","",IF(AND(ISERROR(FIND("arcass",A153))=TRUE,ISERROR(FIND("Fireplace",A153))=TRUE),"",IF(VALUE(C153)&lt;606,4*VLOOKUP("Plinth foot (2 Parts 80mm)",FurnitureData,5,FALSE),IF(VALUE(C153)&lt;1211,6*VLOOKUP("Plinth foot (2 Parts 80mm)",FurnitureData,5,FALSE),8*VLOOKUP("Plinth foot (2 Parts 80mm)",FurnitureData,5,FALSE)))))</f>
        <v/>
      </c>
      <c r="H153" s="115" t="str">
        <f>IF(OR(A153="",ISERROR(FIND("door",A153))=TRUE),"",VLOOKUP("Hinges &amp; plates (Hettich thick door)",FurnitureData,5,0)*5)</f>
        <v/>
      </c>
      <c r="I153" s="115" t="str">
        <f>IF(ISERROR(FIND("shelf",A153))=FALSE,(VLOOKUP("Shelf pegs",FurnitureData,5,0)/100)*4,"")</f>
        <v/>
      </c>
      <c r="J153" s="152" t="str">
        <f>IF(OR(ISERROR(FIND("fridge/freezer",A153))=FALSE,ISERROR(FIND("sink",A153))=FALSE,ISERROR(FIND("larder",A153))=FALSE),VLOOKUP("Deep shelf "&amp;C153,Wardrobes_etcData,18,0),IF(OR(ISERROR(FIND("single oven",A153))=FALSE,ISERROR(FIND("Base carcass",A153))=FALSE),2*VLOOKUP("Deep shelf "&amp;C153,Wardrobes_etcData,18,0),IF(AND(ISERROR(FIND("wall carcass",A153))=FALSE,ISERROR(FIND("Boiler",A153))=TRUE),2*VLOOKUP("Shallow shelf "&amp;C153,Wardrobes_etcData,18,0),IF(ISERROR(FIND("double oven",A153))=FALSE,3*VLOOKUP("Deep shelf "&amp;C153,Wardrobes_etcData,18,0),IF(ISERROR(FIND("Tower carcass",A153))=FALSE,6*VLOOKUP("Deep shelf "&amp;C153,Wardrobes_etcData,18,0),"")))))</f>
        <v/>
      </c>
      <c r="K153" s="152" t="str">
        <f>IF(ISERROR(FIND("sink",A153))=FALSE,VLOOKUP("Sink liner - Aluminium "&amp;RIGHT(A153,LEN(A153)-22)&amp;"mm",ExceptionalData,5,0),IF(ISERROR(FIND("bins",A153))=FALSE,VLOOKUP("Drawer runners and clip set for bin unit (500) Dynapro",FurnitureData,5,0)+(2*VLOOKUP("Bin (42L Anthracite)",FurnitureData,5,0)),IF(ISERROR(FIND("larder",A153))=FALSE,VLOOKUP("Pull out larder unit 600mm",FurnitureData,5,0),IF(AND(ISERROR(FIND("drawer box",A153))=FALSE,ISERROR(FIND("internal",A153))=TRUE),VLOOKUP("Drawer runners and clip set (550) Dynapro",FurnitureData,5,0),IF(ISERROR(FIND("internal drawer box",A153))=FALSE,VLOOKUP("Drawer runners and clip set (450) Dynapro",FurnitureData,5,0),IF(ISERROR(FIND("table",A153))=FALSE,VLOOKUP("Hairpin Leg (12mm Black "&amp;MID(A153,FIND("(",A153)+1,LEN(A153)-(FIND("(",A153))-1)&amp;"mm)",ExceptionalData,4,FALSE),""))))))</f>
        <v/>
      </c>
      <c r="L153" s="152" t="str">
        <f t="shared" si="3"/>
        <v/>
      </c>
      <c r="M153" s="154" t="str">
        <f>IF(A153="","",IF(AND(ISERROR(FIND("drawer front",A153))=FALSE,WardrobeDoorStyle="Flat"),(((B153/1000)*(C153/1000))*2)+((((B153+C153)/1000)*2)*0.022),IF(AND(ISERROR(FIND("drawer front",A153))=FALSE,LEFT(WardrobeDoorStyle,5)="Panel"),(((B153/1000)*(C153/1000))*2)+((((B153+C153)/1000)*2)*0.022)+((((C153/1000)-0.16)*0.013)*2)+((((D153/1000)-0.16)*0.013)*2),IF(AND(ISERROR(FIND("drawer front",A153))=FALSE,WardrobeDoorStyle="In-frame flat"),((((B153-76)/1000)*((C153-38)/1000))*2)+(MID(WardrobeDoorMaterial,FIND("(",WardrobeDoorMaterial)+1,2)/1000)*((((B153-76)+(C153-38))/1000)*2)+(((B153/1000)*0.032)*2)+((((B153-76)/1000)*0.032)*2)+(((B153/1000)*0.019)*4)+(((C153/1000)*0.032)*2)+((((C153-38)/1000)*0.032)*2)+(((C153/1000)*0.038)*4),IF(AND(ISERROR(FIND("drawer front",A153))=FALSE,LEFT(WardrobeDoorStyle,14)="In-frame panel"),((((B153-76)/1000)*((C153-38)/1000))*2)+((MID(WardrobeDoorMaterial,FIND("(",WardrobeDoorMaterial)+1,2)/1000)*((((B153-76)+(C153-38))/1000)*2))+((((B153-236)/1000)+((C153-198)/1000)*2)*0.013)+(((B153/1000)*0.032)*2)+((((B153-76)/1000)*0.032)*2)+(((B153/1000)*0.019)*4)+(((C153/1000)*0.032)*2)+((((C153-38)/1000)*0.032)*2)+(((C153/1000)*0.038)*4),IF(ISERROR(FIND("drawer box",A153))=FALSE,((((B153/1000)*(D153/1000))+((B153/1000)*(C153/1000)))*4)+((((D153/1000)+(C153/1000))*0.016)*4)+(((C153/1000)*(D153/1000))*2),IF(OR(ISERROR(FIND("shelf",A153))=FALSE,ISERROR(FIND("Filler panel",A153))=FALSE),(((C153/1000)*(D153/1000))*2)+((((C153+D153)*2)/1000)*0.022),IF(ISERROR(FIND("Fireplace",A153))=FALSE,((B153/1000)*(C153/1000)),IF(ISERROR(FIND("Worktop",A153))=FALSE,(B153/1000)*(C153/1000),IF(ISERROR(FIND("table",A153))=FALSE,(B153/1000)*0.6,IF(ISERROR(FIND("arcass",A153))=FALSE,(((C153/1000)*(D153/1000))*2)+(((B153/1000)*(D153/1000))*2)+((B153/1000)*(C153/1000))+((((B153/1000)*0.025)+((C153/1000)*0.025))*2),IF(AND(ISERROR(FIND("door",A153))=FALSE,WardrobeDoorStyle="Flat"),(((B153/1000)*(C153/1000))*2)+(MID(WardrobeDoorMaterial,FIND("(",WardrobeDoorMaterial)+1,2)/1000)*(((B153+C153)/1000)*2),IF(AND(ISERROR(FIND("door",A153))=FALSE,LEFT(WardrobeDoorStyle,5)="Panel"),(((B153/1000)*(C153/1000))*2)+((MID(WardrobeDoorMaterial,FIND("(",WardrobeDoorMaterial)+1,2)/1000)*(((B153+C153)/1000)*2))+(((((B153-160)+(C153-160))*2)/1000)*(0.013)),IF(AND(ISERROR(FIND("door",A153))=FALSE,WardrobeDoorStyle="In-frame flat"),((((B153-76)/1000)*((C153-38)/1000))*2)+(MID(WardrobeDoorMaterial,FIND("(",WardrobeDoorMaterial)+1,2)/1000)*((((B153-76)+(C153-38))/1000)*2)+(((B153/1000)*0.032)*2)+((((B153-76)/1000)*0.032)*2)+(((B153/1000)*0.019)*4)+(((C153/1000)*0.032)*2)+((((C153-38)/1000)*0.032)*2)+(((C153/1000)*0.038)*4),IF(AND(ISERROR(FIND("door",A153))=FALSE,LEFT(WardrobeDoorStyle,14)="In-frame panel"),((((B153-76)/1000)*((C153-38)/1000))*2)+((MID(WardrobeDoorMaterial,FIND("(",WardrobeDoorMaterial)+1,2)/1000)*((((B153-76)+(C153-38))/1000)*2))+((((B153-236)/1000)+((C153-198)/1000)*2)*0.013)+(((B153/1000)*0.032)*2)+((((B153-76)/1000)*0.032)*2)+(((B153/1000)*0.019)*4)+(((C153/1000)*0.032)*2)+((((C153-38)/1000)*0.032)*2)+(((C153/1000)*0.038)*4),IF(ISERROR(FIND("Plinth",A153))=FALSE,((B153/1000)*(C153/1000))+(((C153/1000)*0.018)*2)+(((B153/1000)*0.018)*2),IF(ISERROR(FIND("Cornice",A153))=FALSE,(((C153/1000)*0.1)*2)+(((C153/1000)*0.044)*2)+(((B153/1000)*0.08)*2),IF(ISERROR(FIND("Office pod",A153))=FALSE,((2400/1000)*(1200/1000))*6,IF(ISERROR(FIND("panel",A153))=FALSE,((B153/1000)*(C153/1000))+(0.022*((B153/1000)+((C153/1000)*2)))+((B153/1000)*0.05),IF(ISERROR(FIND("Fillers",A153))=FALSE,((C153/1000)*0.06)+((C153/1000)*0.069)+((0.06*0.018)*2)+((0.06*0.009)*2)+((C153/1000)*0.009)+((C153/1000)*0.018),IF(ISERROR(FIND("Pelmet",A153))=FALSE,((C153/1000)*0.05)+((C153/1000)*0.068)+((0.05*0.018)*4)+(((C153/1000)*0.018))*2)))))))))))))))))))))</f>
        <v/>
      </c>
      <c r="N153" s="152" t="str">
        <f>IF(M153="","",IF(AND(ISERROR(FIND("carcass",A153))=TRUE,ISERROR(FIND("unit",A153))=TRUE,ISERROR(FIND("insert",A153))=TRUE,ISERROR(FIND("rack",A153))=TRUE,ISERROR(FIND("box",A153))=TRUE,ISERROR(FIND("shelf",A153))=TRUE),VLOOKUP(WardrobeDoorFinish,Finishing!$A$2:$K$10,9,0)*M153,IF(ISERROR(FIND("table",A153))=FALSE,VLOOKUP("Sayerlack AF0072 Interior Clear Self-Sealer",FinishingData,9,FALSE)*M153,VLOOKUP(WardrobeCarcassFinish,Finishing!$A$2:$K$40,9,0)*M153)))</f>
        <v/>
      </c>
      <c r="O153" s="159"/>
      <c r="P153" s="159"/>
      <c r="Q153" s="152" t="str">
        <f>IF(OR(O153="",P153=""),"",((O153*X153)*(VLOOKUP("Workshop",Labour!$A$3:$E$20,4,0)/8))+((P153*AE153)*(VLOOKUP("Finishing",Labour!$A$3:$E$20,4,0)/8)))</f>
        <v/>
      </c>
      <c r="R153" s="152" t="str">
        <f t="shared" si="4"/>
        <v/>
      </c>
      <c r="S153" s="156" t="str">
        <f>IF(OR(O153="",P153=""),"",IF(OR(ISERROR(FIND("carcass",$A153))=FALSE,ISERROR(FIND("unit",$A153))=FALSE),VLOOKUP(WardrobeCarcassMaterial,FixedListsCarcassMaterial,2,0),0))</f>
        <v/>
      </c>
      <c r="T153" s="156" t="str">
        <f>IF(OR(O153="",P153=""),"",IF(ISERROR(FIND("door",$A153))=FALSE,VLOOKUP(WardrobeDoorStyle,FixedListsDoorStyle,2,0),0))</f>
        <v/>
      </c>
      <c r="U153" s="156" t="str">
        <f>IF(OR(O153="",P153=""),"",IF(ISERROR(FIND("door",$A153))=FALSE,VLOOKUP(WardrobeDoorMaterial,FixedListsDoorMaterial,2,0),0))</f>
        <v/>
      </c>
      <c r="V153" s="156" t="str">
        <f>IF(OR(O153="",P153=""),"",IF(ISERROR(FIND("drawer",$A153))=FALSE,VLOOKUP(WardrobeDrawerType,FixedListsDrawerType,2,0),0))</f>
        <v/>
      </c>
      <c r="W153" s="156" t="str">
        <f>IF(OR(O153="",P153=""),"",IF(S153&gt;0,VLOOKUP(WardrobeHandleType,FixedListsHandleType,2,FALSE),0))</f>
        <v/>
      </c>
      <c r="X153" s="156" t="str">
        <f t="shared" si="5"/>
        <v/>
      </c>
      <c r="Y153" s="156" t="str">
        <f>IF(OR(O153="",P153=""),"",IF(OR(ISERROR(FIND("carcass",$A153))=FALSE,ISERROR(FIND("unit",$A153))=FALSE),VLOOKUP(WardrobeCarcassMaterial,FixedListsCarcassMaterial,3,0),0))</f>
        <v/>
      </c>
      <c r="Z153" s="156" t="str">
        <f>IF(OR(O153="",P153=""),"",IF(ISERROR(FIND("door",$A153))=FALSE,VLOOKUP(WardrobeDoorStyle,FixedListsDoorStyle,3,0),0))</f>
        <v/>
      </c>
      <c r="AA153" s="156" t="str">
        <f>IF(OR(O153="",P153=""),"",IF(ISERROR(FIND("door",$A153))=FALSE,VLOOKUP(WardrobeDoorMaterial,FixedListsDoorMaterial,3,0),0))</f>
        <v/>
      </c>
      <c r="AB153" s="156" t="str">
        <f>IF(OR(O153="",P153=""),"",IF(ISERROR(FIND("drawer",$A153))=FALSE,VLOOKUP(WardrobeDrawerType,FixedListsDrawerType,3,0),0))</f>
        <v/>
      </c>
      <c r="AC153" s="156" t="str">
        <f>IF(OR(O153="",P153=""),"",IF(S153&gt;0,VLOOKUP(WardrobeHandleType,FixedListsHandleType,3,FALSE),0))</f>
        <v/>
      </c>
      <c r="AD153" s="156" t="str">
        <f>IF(OR(O153="",P153=""),"",IF(OR(ISERROR(FIND("carcass",$A153))=FALSE,ISERROR(FIND("unit",$A153))=FALSE),VLOOKUP(WardrobeCarcassFinish,FixedListsFinishes,3,0),IF(OR(ISERROR(FIND("door",$A153))=FALSE,ISERROR(FIND("Plinth",$A153))=FALSE,ISERROR(FIND("Cornice",$A153))=FALSE,ISERROR(FIND("Fillers",$A153))=FALSE,ISERROR(FIND("Pelmet",$A153))=FALSE,ISERROR(FIND("panel",$A153))=FALSE,ISERROR(FIND("post",$A153))=FALSE),VLOOKUP(WardrobeDoorFinish,FixedListsFinishes,3,0),IF(OR(ISERROR(FIND("drawer",$A153))=FALSE,ISERROR(FIND("insert",$A153))=FALSE,ISERROR(FIND("rck",$A153))=FALSE),VLOOKUP(WardrobeCarcassFinish,FixedListsFinishes,3,0),0))))</f>
        <v/>
      </c>
      <c r="AE153" s="156" t="str">
        <f t="shared" si="6"/>
        <v/>
      </c>
      <c r="AF153" s="157" t="str">
        <f>IF(AND(WardrobeHandleType="Channel",OR(ISERROR(FIND("arcass",$A153))=FALSE,ISERROR(FIND("unit",$A153))=FALSE)),IF(ISERROR(FIND("Tower",$A153))=TRUE,IF(WardrobeHandleFinish="Match carcass",IF(ISERROR(FIND("Walnut",WardrobeCarcassMaterial))=FALSE,(0.035*0.075*($C153/1000))*VLOOKUP("Walnut (solid m3)",SolidData,4,FALSE),IF(ISERROR(FIND("Oak",WardrobeCarcassMaterial))=FALSE,(0.035*0.075*($C153/1000))*VLOOKUP("Oak (solid m3)",SolidData,4,FALSE),IF(ISERROR(FIND("ply",WardrobeCarcassMaterial))=FALSE,(0.1*($C153/1000))*VLOOKUP("Birch ply (24mm)",SheetsData,7,FALSE),IF(ISERROR(FIND("H/F",WardrobeCarcassMaterial))=FALSE,(0.1*($C153/1000))*VLOOKUP("H/F (22mm)",SheetsData,7,FALSE),"Carcass - not tower - new material")))),IF(WardrobeHandleFinish="Match door",IF(ISERROR(FIND("Walnut",WardrobeDoorMaterial))=FALSE,(0.035*0.075*($C153/1000))*VLOOKUP("Walnut (solid m3)",SolidData,4,FALSE),IF(ISERROR(FIND("Oak",WardrobeDoorMaterial))=FALSE,(0.035*0.075*($C153/1000))*VLOOKUP("Oak (solid m3)",SolidData,4,FALSE),IF(ISERROR(FIND("ply",WardrobeDoorMaterial))=FALSE,(0.1*($C153/1000))*VLOOKUP("Birch ply (24mm)",SheetsData,7,FALSE),IF(ISERROR(FIND("H/F",WardrobeCarcassMaterial))=FALSE,(0.1*($C153/1000))*VLOOKUP("H/F (22mm)",SheetsData,7,FALSE),"Door - not tower - new material")))),"Channel - not tower - handle set to other")),IF(ISERROR(FIND("Tower",$A153))=FALSE,IF(WardrobeHandleFinish="Match carcass",IF(ISERROR(FIND("Walnut",WardrobeCarcassMaterial))=FALSE,(0.035*0.075*($B153/1000))*VLOOKUP("Walnut (solid m3)",SolidData,4,FALSE),IF(ISERROR(FIND("Oak",WardrobeCarcassMaterial))=FALSE,(0.035*0.075*($B153/1000))*VLOOKUP("Oak (solid m3)",SolidData,4,FALSE),IF(ISERROR(FIND("ply",WardrobeCarcassMaterial))=FALSE,(0.1*($B153/1000))*VLOOKUP("Birch ply (24mm)",SheetsData,7,FALSE),IF(ISERROR(FIND("H/F",WardrobeCarcassMaterial))=FALSE,(0.1*($C153/1000))*VLOOKUP("H/F (22mm)",SheetsData,7,FALSE),"Carcass - tower - new material")))),IF(WardrobeHandleFinish="Match door",IF(ISERROR(FIND("Walnut",WardrobeDoorMaterial))=FALSE,(0.035*0.075*($B153/1000))*VLOOKUP("Walnut (solid m3)",SolidData,4,FALSE),IF(ISERROR(FIND("Oak",WardrobeDoorMaterial))=FALSE,(0.035*0.075*($B153/1000))*VLOOKUP("Oak (solid m3)",SolidData,4,FALSE),IF(ISERROR(FIND("ply",WardrobeDoorMaterial))=FALSE,(0.1*($B153/1000))*VLOOKUP("Birch ply (24mm)",SheetData,7,FALSE),IF(ISERROR(FIND("H/F",WardrobeCarcassMaterial))=FALSE,(0.1*($C153/1000))*VLOOKUP("H/F (22mm)",SheetsData,7,FALSE),"Door - tower - new material")))),"Channel - tower - handle set to other")))),"")</f>
        <v/>
      </c>
    </row>
    <row r="154">
      <c r="A154" s="150"/>
      <c r="B154" s="160" t="str">
        <f t="shared" si="1"/>
        <v/>
      </c>
      <c r="C154" s="160" t="str">
        <f>IFERROR(__xludf.DUMMYFUNCTION("IF(A154="""","""",IF(ISERROR(FIND(""arcass"",A154))=FALSE,MID(A154,FIND(""*"",A154)+1,FIND(""*"",A154,FIND(""*"",A154)+1)-FIND(""*"",A154)-1),IF(ISERROR(FIND(""End panel"",A154))=FALSE,RIGHT(A154,3),IF(OR(ISERROR(FIND(""drawer"",A154))=FALSE,ISERROR(FIND("&amp;"""door"",A154))=FALSE,ISERROR(FIND(""shelf"",A154))=FALSE,ISERROR(FIND(""panel"",A154))=FALSE,ISERROR(FIND(""Plinth"",A154))=FALSE,ISERROR(FIND(""Cornice"",A154))=FALSE,ISERROR(FIND(""Fillers"",A154))=FALSE,ISERROR(FIND(""Pelmet"",A154))=FALSE,ISERROR(FIN"&amp;"D(""Fireplace up to 1600"",A154))=FALSE),RIGHT(A154,LEN(A154)-LEN(regexextract(A154,"".* ""))),IF(ISERROR(FIND(""table"",A154))=FALSE,""560"",IF(ISERROR(FIND(""Office pod"",A154))=FALSE,""1600"",IF(ISERROR(FIND(""Fireplace over 1600"",A154))=FALSE,""2400"&amp;""",IF(ISERROR(FIND(""Worktop"",A154))=FALSE,""650"",""Whoops""))))))))"),"")</f>
        <v/>
      </c>
      <c r="D154" s="161" t="str">
        <f t="shared" si="2"/>
        <v/>
      </c>
      <c r="E154" s="152" t="str">
        <f>IF(OR(A154="",AND(ISERROR(FIND("drawer",A154))=FALSE,WardrobeDrawerType="")),"",IF(ISERROR(FIND("door",A154))=FALSE,IF(WardrobeDoorStyle="Flat",((B154/1000)*(C154/1000))*VLOOKUP(WardrobeDoorMaterial,SheetsData,8,0),IF(LEFT(WardrobeDoorStyle,5)="Panel",(((((B154/1000)*2)*0.08)+((((C154/1000)-0.16)*2)*0.08))*VLOOKUP("H/F (22mm)",SheetsData,8,0))+(((B154/1000)-0.14)*((C154/1000)-0.14)*VLOOKUP("H/F (9mm)",SheetsData,8,0)),IF(WardrobeDoorStyle="In-frame flat",((((((B154/1000)*0.019)*0.038)+((((C154-38)/1000)*0.038)*0.038))*2)*VLOOKUP("Tulip (solid m3)",SolidData,4,0))+(((B154-76)/1000)*((C154-38)/1000))*VLOOKUP("H/F (22mm)",SheetsData,8,0),IF(LEFT(WardrobeDoorStyle,14)="In-frame panel",(((((((B154/1000)*0.019)*0.038)+((((C154-38)/1000)*0.038)*0.038))*2)*VLOOKUP("Tulip (solid m3)",SolidData,4,0))+(((((((B154-76)/1000)*2)*0.08)+(((((C154-198)/1000)*2)*0.08)))*VLOOKUP("H/F (22mm)",SheetsData,8,0))+(((B154-216)/1000)*((C154-178)/1000)*VLOOKUP("H/F (9mm)",SheetsData,8,0)))))))),IF(AND(ISERROR(FIND("arcass",A154))=FALSE,ISERROR(FIND("ost corner",A154))=TRUE),IF(AND(VALUE(B154)&lt;1211,VALUE(C154)&lt;1211,VALUE(D154)&lt;606),1*VLOOKUP(WardrobeCarcassMaterial,SheetsData,5,FALSE),IF(AND(VALUE(B154)&lt;2421,VALUE(C154)&lt;2421,VALUE(D154)&lt;606),2*VLOOKUP(WardrobeCarcassMaterial,SheetsData,5,FALSE),IF(AND(VALUE(B154)&lt;2421,VALUE(C154)&lt;1211,VALUE(D154)&lt;1211),3*VLOOKUP(WardrobeCarcassMaterial,SheetsData,5,FALSE),IF(AND(VALUE(B154)&lt;2421,VALUE(C154)&lt;2421,VALUE(D154)&lt;1211),4*VLOOKUP(WardrobeCarcassMaterial,SheetsData,5,FALSE))))),IF(AND(ISERROR(FIND("arcass",A154))=FALSE,ISERROR(FIND("ost corner",A154))=FALSE),IF(AND(VALUE(B154)&lt;1211,VALUE(C154)&lt;1211,VALUE(D154)&lt;606),(1*VLOOKUP(WardrobeCarcassMaterial,SheetsData,5,FALSE))+(VLOOKUP("H/F (22mm)",SheetsData,7,FALSE)*1.44),IF(AND(VALUE(B154)&lt;2421,VALUE(C154)&lt;2421,VALUE(D154)&lt;606),(2*VLOOKUP(WardrobeCarcassMaterial,SheetsData,5,FALSE))+(VLOOKUP("H/F (22mm)",SheetsData,7,FALSE)*1.44),IF(AND(VALUE(B154)&lt;2421,VALUE(C154)&lt;1211,VALUE(D154)&lt;1211),(3*VLOOKUP(WardrobeCarcassMaterial,SheetsData,5,FALSE))+(VLOOKUP("H/F (22mm)",SheetsData,7,FALSE)*1.44),IF(AND(VALUE(B154)&lt;2421,VALUE(C154)&lt;2421,VALUE(D154)&lt;1211),(4*VLOOKUP(WardrobeCarcassMaterial,SheetsData,5,FALSE))+(VLOOKUP("H/F (22mm)",SheetsData,7,FALSE)*1.44))))),IF(ISERROR(FIND("drawer front",A154))=FALSE,((B154/1000)*(C154/1000))*VLOOKUP(WardrobeDoorMaterial,SheetsData,8,0),IF(AND(WardrobeDrawerType="Match carcass",ISERROR(FIND("drawer box",A154))=FALSE),(((((B154/1000)*(C154/1000))+((B154/1000)*(D154/1000)))*2)*VLOOKUP(WardrobeCarcassMaterial,SheetsData,8,0))+(((C154/1000)*(D154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box",A154))=FALSE),(((((B154/1000)*(C154/1000))+((B154/1000)*(D154/1000)))*2)*(16/1000)*VLOOKUP(LEFT(WardrobeCarcassMaterial,FIND(" ",WardrobeCarcassMaterial))&amp;"(solid m3)",SolidData,4,0))+(((C154/1000)*(D154/1000))*VLOOKUP(LEFT(WardrobeCarcassMaterial,FIND("(",WardrobeCarcassMaterial)-1)&amp;IF(OR(ISERROR(FIND("ply",WardrobeCarcassMaterial))=FALSE,ISERROR(FIND("H/F",WardrobeCarcassMaterial))=FALSE),"(9mm)","(10mm)"),SheetsData,8,0)),IF(ISERROR(FIND("shelf",A154))=FALSE,((C154/1000)*(D154/1000))*VLOOKUP(WardrobeCarcassMaterial,SheetsData,7,FALSE),IF(ISERROR(FIND("Office pod",A154))=FALSE,3*VLOOKUP(WardrobeCarcassMaterial,SheetsData,5,0),IF(ISERROR(FIND(" panel",A154))=FALSE,((B154/1000)*(C154/1000))*VLOOKUP(WardrobeDoorMaterial,SheetsData,8,0),IF(ISERROR(FIND("Fillers",A154))=FALSE,(((0.06*(C154/1000))*2)*VLOOKUP("H/F (18mm)",SheetsData,8,0))+(((0.06*(C154/1000))*2)*VLOOKUP("H/F (9mm)",SheetsData,8,0)),IF(ISERROR(FIND("Cornice (stacked)",A154))=FALSE,((0.08*(C154/1000))*2)*VLOOKUP("H/F (22mm)",SheetsData,8,0),IF(OR(ISERROR(FIND("Plinth",A154))=FALSE,ISERROR(FIND("Cornice (flat)",A154))=FALSE),((B154/1000)*(C154/1000))*VLOOKUP("H/F (18mm)",SheetsData,8,0),IF(ISERROR(FIND("Pelmet",A154))=FALSE,((((B154/1000)*(C154/1000))*2)*VLOOKUP("H/F (18mm)",SheetsData,8,0)),IF(ISERROR(FIND("Fireplace",A154))=FALSE,IF(ISERROR(FIND("over 1600",A154))=FALSE,2*VLOOKUP(WardrobeCarcassMaterial,SheetsData,5,FALSE),VLOOKUP(WardrobeCarcassMaterial,SheetsData,5,FALSE)),IF(ISERROR(FIND("table",A154))=FALSE,((B154/1000)*0.6)*VLOOKUP("Birch ply (24mm)",SheetsData,7,FALSE),IF(ISERROR(FIND("Worktop",A154))=FALSE,((B154/1000)*(C154/1000))*VLOOKUP(WardrobeDoorMaterial,SheetsData,7,FALSE),"Check formula")))))))))))))))))</f>
        <v/>
      </c>
      <c r="F154" s="152" t="str">
        <f>IFERROR(__xludf.DUMMYFUNCTION("IF(OR(A154="""",AND(ISERROR(FIND(""drawer box"",A154))=FALSE,WardrobeDrawerType=""Solid dovetail"")),"""",IF(ISERROR(FIND(""bins"",A154))=FALSE,VLOOKUP(""Base carcass 600"",Wardrobes_etcData,6,0),IF(OR(ISERROR(FIND(""larder"",A154))=FALSE,ISERROR(FIND(""u"&amp;"nit"",A154))=FALSE),VLOOKUP(LEFT(A154,FIND("" "",A154))&amp;""carcass ""&amp;RIGHT(A154,LEN(A154)-len(regexextract(A154,"".* ""))),Wardrobes_etcData,6,0),IF(ISERROR(FIND(""drawer front"",A154))=FALSE,IF(ISERROR(FIND(""veneer"",WardrobeCarcassMaterial))=TRUE,0,((("&amp;"B154+C154)/1000)*2)*VLOOKUP(""Edge banding (per M)"",SheetsData,5,0)),IF(ISERROR(FIND(""drawer box"",A154))=FALSE,IF(ISERROR(FIND(""veneer"",WardrobeCarcassMaterial))=TRUE,0,(((C154+D154)/1000)*2)*VLOOKUP(""Edge banding (per M)"",SheetsData,5,0)),IF(ISERR"&amp;"OR(FIND(""shelf"",A154))=FALSE,IF(ISERROR(FIND(""veneer"",WardrobeCarcassMaterial))=TRUE,0,(C154/1000)*VLOOKUP(""Edge banding (per M)"",SheetsData,5,0)),IF(AND(OR(ISERROR(FIND(""arcass"",A154))=FALSE,ISERROR(FIND(""Fireplace"",A154))=FALSE),ISERROR(FIND("&amp;"""shelf"",A154))=TRUE),IF(ISERROR(FIND(""veneer"",WardrobeCarcassMaterial))=TRUE,0,((2*(B154+C154))/1000)*VLOOKUP(""Edge banding (per M)"",SheetsData,5,0)),IF(ISERROR(FIND(""door"",A154))=TRUE,"""",IF(ISERROR(FIND(""veneer"",WardrobeDoorMaterial))=TRUE,"""&amp;""",((2*(B154+C154))/1000)*VLOOKUP(""Edge banding (per M)"",SheetsData,5,0))))))))))"),"")</f>
        <v/>
      </c>
      <c r="G154" s="153" t="str">
        <f>IF(A154="","",IF(AND(ISERROR(FIND("arcass",A154))=TRUE,ISERROR(FIND("Fireplace",A154))=TRUE),"",IF(VALUE(C154)&lt;606,4*VLOOKUP("Plinth foot (2 Parts 80mm)",FurnitureData,5,FALSE),IF(VALUE(C154)&lt;1211,6*VLOOKUP("Plinth foot (2 Parts 80mm)",FurnitureData,5,FALSE),8*VLOOKUP("Plinth foot (2 Parts 80mm)",FurnitureData,5,FALSE)))))</f>
        <v/>
      </c>
      <c r="H154" s="115" t="str">
        <f>IF(OR(A154="",ISERROR(FIND("door",A154))=TRUE),"",VLOOKUP("Hinges &amp; plates (Hettich thick door)",FurnitureData,5,0)*5)</f>
        <v/>
      </c>
      <c r="I154" s="115" t="str">
        <f>IF(ISERROR(FIND("shelf",A154))=FALSE,(VLOOKUP("Shelf pegs",FurnitureData,5,0)/100)*4,"")</f>
        <v/>
      </c>
      <c r="J154" s="152" t="str">
        <f>IF(OR(ISERROR(FIND("fridge/freezer",A154))=FALSE,ISERROR(FIND("sink",A154))=FALSE,ISERROR(FIND("larder",A154))=FALSE),VLOOKUP("Deep shelf "&amp;C154,Wardrobes_etcData,18,0),IF(OR(ISERROR(FIND("single oven",A154))=FALSE,ISERROR(FIND("Base carcass",A154))=FALSE),2*VLOOKUP("Deep shelf "&amp;C154,Wardrobes_etcData,18,0),IF(AND(ISERROR(FIND("wall carcass",A154))=FALSE,ISERROR(FIND("Boiler",A154))=TRUE),2*VLOOKUP("Shallow shelf "&amp;C154,Wardrobes_etcData,18,0),IF(ISERROR(FIND("double oven",A154))=FALSE,3*VLOOKUP("Deep shelf "&amp;C154,Wardrobes_etcData,18,0),IF(ISERROR(FIND("Tower carcass",A154))=FALSE,6*VLOOKUP("Deep shelf "&amp;C154,Wardrobes_etcData,18,0),"")))))</f>
        <v/>
      </c>
      <c r="K154" s="152" t="str">
        <f>IF(ISERROR(FIND("sink",A154))=FALSE,VLOOKUP("Sink liner - Aluminium "&amp;RIGHT(A154,LEN(A154)-22)&amp;"mm",ExceptionalData,5,0),IF(ISERROR(FIND("bins",A154))=FALSE,VLOOKUP("Drawer runners and clip set for bin unit (500) Dynapro",FurnitureData,5,0)+(2*VLOOKUP("Bin (42L Anthracite)",FurnitureData,5,0)),IF(ISERROR(FIND("larder",A154))=FALSE,VLOOKUP("Pull out larder unit 600mm",FurnitureData,5,0),IF(AND(ISERROR(FIND("drawer box",A154))=FALSE,ISERROR(FIND("internal",A154))=TRUE),VLOOKUP("Drawer runners and clip set (550) Dynapro",FurnitureData,5,0),IF(ISERROR(FIND("internal drawer box",A154))=FALSE,VLOOKUP("Drawer runners and clip set (450) Dynapro",FurnitureData,5,0),IF(ISERROR(FIND("table",A154))=FALSE,VLOOKUP("Hairpin Leg (12mm Black "&amp;MID(A154,FIND("(",A154)+1,LEN(A154)-(FIND("(",A154))-1)&amp;"mm)",ExceptionalData,4,FALSE),""))))))</f>
        <v/>
      </c>
      <c r="L154" s="152" t="str">
        <f t="shared" si="3"/>
        <v/>
      </c>
      <c r="M154" s="154" t="str">
        <f>IF(A154="","",IF(AND(ISERROR(FIND("drawer front",A154))=FALSE,WardrobeDoorStyle="Flat"),(((B154/1000)*(C154/1000))*2)+((((B154+C154)/1000)*2)*0.022),IF(AND(ISERROR(FIND("drawer front",A154))=FALSE,LEFT(WardrobeDoorStyle,5)="Panel"),(((B154/1000)*(C154/1000))*2)+((((B154+C154)/1000)*2)*0.022)+((((C154/1000)-0.16)*0.013)*2)+((((D154/1000)-0.16)*0.013)*2),IF(AND(ISERROR(FIND("drawer front",A154))=FALSE,WardrobeDoorStyle="In-frame flat"),((((B154-76)/1000)*((C154-38)/1000))*2)+(MID(WardrobeDoorMaterial,FIND("(",WardrobeDoorMaterial)+1,2)/1000)*((((B154-76)+(C154-38))/1000)*2)+(((B154/1000)*0.032)*2)+((((B154-76)/1000)*0.032)*2)+(((B154/1000)*0.019)*4)+(((C154/1000)*0.032)*2)+((((C154-38)/1000)*0.032)*2)+(((C154/1000)*0.038)*4),IF(AND(ISERROR(FIND("drawer front",A154))=FALSE,LEFT(WardrobeDoorStyle,14)="In-frame panel"),((((B154-76)/1000)*((C154-38)/1000))*2)+((MID(WardrobeDoorMaterial,FIND("(",WardrobeDoorMaterial)+1,2)/1000)*((((B154-76)+(C154-38))/1000)*2))+((((B154-236)/1000)+((C154-198)/1000)*2)*0.013)+(((B154/1000)*0.032)*2)+((((B154-76)/1000)*0.032)*2)+(((B154/1000)*0.019)*4)+(((C154/1000)*0.032)*2)+((((C154-38)/1000)*0.032)*2)+(((C154/1000)*0.038)*4),IF(ISERROR(FIND("drawer box",A154))=FALSE,((((B154/1000)*(D154/1000))+((B154/1000)*(C154/1000)))*4)+((((D154/1000)+(C154/1000))*0.016)*4)+(((C154/1000)*(D154/1000))*2),IF(OR(ISERROR(FIND("shelf",A154))=FALSE,ISERROR(FIND("Filler panel",A154))=FALSE),(((C154/1000)*(D154/1000))*2)+((((C154+D154)*2)/1000)*0.022),IF(ISERROR(FIND("Fireplace",A154))=FALSE,((B154/1000)*(C154/1000)),IF(ISERROR(FIND("Worktop",A154))=FALSE,(B154/1000)*(C154/1000),IF(ISERROR(FIND("table",A154))=FALSE,(B154/1000)*0.6,IF(ISERROR(FIND("arcass",A154))=FALSE,(((C154/1000)*(D154/1000))*2)+(((B154/1000)*(D154/1000))*2)+((B154/1000)*(C154/1000))+((((B154/1000)*0.025)+((C154/1000)*0.025))*2),IF(AND(ISERROR(FIND("door",A154))=FALSE,WardrobeDoorStyle="Flat"),(((B154/1000)*(C154/1000))*2)+(MID(WardrobeDoorMaterial,FIND("(",WardrobeDoorMaterial)+1,2)/1000)*(((B154+C154)/1000)*2),IF(AND(ISERROR(FIND("door",A154))=FALSE,LEFT(WardrobeDoorStyle,5)="Panel"),(((B154/1000)*(C154/1000))*2)+((MID(WardrobeDoorMaterial,FIND("(",WardrobeDoorMaterial)+1,2)/1000)*(((B154+C154)/1000)*2))+(((((B154-160)+(C154-160))*2)/1000)*(0.013)),IF(AND(ISERROR(FIND("door",A154))=FALSE,WardrobeDoorStyle="In-frame flat"),((((B154-76)/1000)*((C154-38)/1000))*2)+(MID(WardrobeDoorMaterial,FIND("(",WardrobeDoorMaterial)+1,2)/1000)*((((B154-76)+(C154-38))/1000)*2)+(((B154/1000)*0.032)*2)+((((B154-76)/1000)*0.032)*2)+(((B154/1000)*0.019)*4)+(((C154/1000)*0.032)*2)+((((C154-38)/1000)*0.032)*2)+(((C154/1000)*0.038)*4),IF(AND(ISERROR(FIND("door",A154))=FALSE,LEFT(WardrobeDoorStyle,14)="In-frame panel"),((((B154-76)/1000)*((C154-38)/1000))*2)+((MID(WardrobeDoorMaterial,FIND("(",WardrobeDoorMaterial)+1,2)/1000)*((((B154-76)+(C154-38))/1000)*2))+((((B154-236)/1000)+((C154-198)/1000)*2)*0.013)+(((B154/1000)*0.032)*2)+((((B154-76)/1000)*0.032)*2)+(((B154/1000)*0.019)*4)+(((C154/1000)*0.032)*2)+((((C154-38)/1000)*0.032)*2)+(((C154/1000)*0.038)*4),IF(ISERROR(FIND("Plinth",A154))=FALSE,((B154/1000)*(C154/1000))+(((C154/1000)*0.018)*2)+(((B154/1000)*0.018)*2),IF(ISERROR(FIND("Cornice",A154))=FALSE,(((C154/1000)*0.1)*2)+(((C154/1000)*0.044)*2)+(((B154/1000)*0.08)*2),IF(ISERROR(FIND("Office pod",A154))=FALSE,((2400/1000)*(1200/1000))*6,IF(ISERROR(FIND("panel",A154))=FALSE,((B154/1000)*(C154/1000))+(0.022*((B154/1000)+((C154/1000)*2)))+((B154/1000)*0.05),IF(ISERROR(FIND("Fillers",A154))=FALSE,((C154/1000)*0.06)+((C154/1000)*0.069)+((0.06*0.018)*2)+((0.06*0.009)*2)+((C154/1000)*0.009)+((C154/1000)*0.018),IF(ISERROR(FIND("Pelmet",A154))=FALSE,((C154/1000)*0.05)+((C154/1000)*0.068)+((0.05*0.018)*4)+(((C154/1000)*0.018))*2)))))))))))))))))))))</f>
        <v/>
      </c>
      <c r="N154" s="152" t="str">
        <f>IF(M154="","",IF(AND(ISERROR(FIND("carcass",A154))=TRUE,ISERROR(FIND("unit",A154))=TRUE,ISERROR(FIND("insert",A154))=TRUE,ISERROR(FIND("rack",A154))=TRUE,ISERROR(FIND("box",A154))=TRUE,ISERROR(FIND("shelf",A154))=TRUE),VLOOKUP(WardrobeDoorFinish,Finishing!$A$2:$K$10,9,0)*M154,IF(ISERROR(FIND("table",A154))=FALSE,VLOOKUP("Sayerlack AF0072 Interior Clear Self-Sealer",FinishingData,9,FALSE)*M154,VLOOKUP(WardrobeCarcassFinish,Finishing!$A$2:$K$40,9,0)*M154)))</f>
        <v/>
      </c>
      <c r="O154" s="159"/>
      <c r="P154" s="159"/>
      <c r="Q154" s="152" t="str">
        <f>IF(OR(O154="",P154=""),"",((O154*X154)*(VLOOKUP("Workshop",Labour!$A$3:$E$20,4,0)/8))+((P154*AE154)*(VLOOKUP("Finishing",Labour!$A$3:$E$20,4,0)/8)))</f>
        <v/>
      </c>
      <c r="R154" s="152" t="str">
        <f t="shared" si="4"/>
        <v/>
      </c>
      <c r="S154" s="156" t="str">
        <f>IF(OR(O154="",P154=""),"",IF(OR(ISERROR(FIND("carcass",$A154))=FALSE,ISERROR(FIND("unit",$A154))=FALSE),VLOOKUP(WardrobeCarcassMaterial,FixedListsCarcassMaterial,2,0),0))</f>
        <v/>
      </c>
      <c r="T154" s="156" t="str">
        <f>IF(OR(O154="",P154=""),"",IF(ISERROR(FIND("door",$A154))=FALSE,VLOOKUP(WardrobeDoorStyle,FixedListsDoorStyle,2,0),0))</f>
        <v/>
      </c>
      <c r="U154" s="156" t="str">
        <f>IF(OR(O154="",P154=""),"",IF(ISERROR(FIND("door",$A154))=FALSE,VLOOKUP(WardrobeDoorMaterial,FixedListsDoorMaterial,2,0),0))</f>
        <v/>
      </c>
      <c r="V154" s="156" t="str">
        <f>IF(OR(O154="",P154=""),"",IF(ISERROR(FIND("drawer",$A154))=FALSE,VLOOKUP(WardrobeDrawerType,FixedListsDrawerType,2,0),0))</f>
        <v/>
      </c>
      <c r="W154" s="156" t="str">
        <f>IF(OR(O154="",P154=""),"",IF(S154&gt;0,VLOOKUP(WardrobeHandleType,FixedListsHandleType,2,FALSE),0))</f>
        <v/>
      </c>
      <c r="X154" s="156" t="str">
        <f t="shared" si="5"/>
        <v/>
      </c>
      <c r="Y154" s="156" t="str">
        <f>IF(OR(O154="",P154=""),"",IF(OR(ISERROR(FIND("carcass",$A154))=FALSE,ISERROR(FIND("unit",$A154))=FALSE),VLOOKUP(WardrobeCarcassMaterial,FixedListsCarcassMaterial,3,0),0))</f>
        <v/>
      </c>
      <c r="Z154" s="156" t="str">
        <f>IF(OR(O154="",P154=""),"",IF(ISERROR(FIND("door",$A154))=FALSE,VLOOKUP(WardrobeDoorStyle,FixedListsDoorStyle,3,0),0))</f>
        <v/>
      </c>
      <c r="AA154" s="156" t="str">
        <f>IF(OR(O154="",P154=""),"",IF(ISERROR(FIND("door",$A154))=FALSE,VLOOKUP(WardrobeDoorMaterial,FixedListsDoorMaterial,3,0),0))</f>
        <v/>
      </c>
      <c r="AB154" s="156" t="str">
        <f>IF(OR(O154="",P154=""),"",IF(ISERROR(FIND("drawer",$A154))=FALSE,VLOOKUP(WardrobeDrawerType,FixedListsDrawerType,3,0),0))</f>
        <v/>
      </c>
      <c r="AC154" s="156" t="str">
        <f>IF(OR(O154="",P154=""),"",IF(S154&gt;0,VLOOKUP(WardrobeHandleType,FixedListsHandleType,3,FALSE),0))</f>
        <v/>
      </c>
      <c r="AD154" s="156" t="str">
        <f>IF(OR(O154="",P154=""),"",IF(OR(ISERROR(FIND("carcass",$A154))=FALSE,ISERROR(FIND("unit",$A154))=FALSE),VLOOKUP(WardrobeCarcassFinish,FixedListsFinishes,3,0),IF(OR(ISERROR(FIND("door",$A154))=FALSE,ISERROR(FIND("Plinth",$A154))=FALSE,ISERROR(FIND("Cornice",$A154))=FALSE,ISERROR(FIND("Fillers",$A154))=FALSE,ISERROR(FIND("Pelmet",$A154))=FALSE,ISERROR(FIND("panel",$A154))=FALSE,ISERROR(FIND("post",$A154))=FALSE),VLOOKUP(WardrobeDoorFinish,FixedListsFinishes,3,0),IF(OR(ISERROR(FIND("drawer",$A154))=FALSE,ISERROR(FIND("insert",$A154))=FALSE,ISERROR(FIND("rck",$A154))=FALSE),VLOOKUP(WardrobeCarcassFinish,FixedListsFinishes,3,0),0))))</f>
        <v/>
      </c>
      <c r="AE154" s="156" t="str">
        <f t="shared" si="6"/>
        <v/>
      </c>
      <c r="AF154" s="157" t="str">
        <f>IF(AND(WardrobeHandleType="Channel",OR(ISERROR(FIND("arcass",$A154))=FALSE,ISERROR(FIND("unit",$A154))=FALSE)),IF(ISERROR(FIND("Tower",$A154))=TRUE,IF(WardrobeHandleFinish="Match carcass",IF(ISERROR(FIND("Walnut",WardrobeCarcassMaterial))=FALSE,(0.035*0.075*($C154/1000))*VLOOKUP("Walnut (solid m3)",SolidData,4,FALSE),IF(ISERROR(FIND("Oak",WardrobeCarcassMaterial))=FALSE,(0.035*0.075*($C154/1000))*VLOOKUP("Oak (solid m3)",SolidData,4,FALSE),IF(ISERROR(FIND("ply",WardrobeCarcassMaterial))=FALSE,(0.1*($C154/1000))*VLOOKUP("Birch ply (24mm)",SheetsData,7,FALSE),IF(ISERROR(FIND("H/F",WardrobeCarcassMaterial))=FALSE,(0.1*($C154/1000))*VLOOKUP("H/F (22mm)",SheetsData,7,FALSE),"Carcass - not tower - new material")))),IF(WardrobeHandleFinish="Match door",IF(ISERROR(FIND("Walnut",WardrobeDoorMaterial))=FALSE,(0.035*0.075*($C154/1000))*VLOOKUP("Walnut (solid m3)",SolidData,4,FALSE),IF(ISERROR(FIND("Oak",WardrobeDoorMaterial))=FALSE,(0.035*0.075*($C154/1000))*VLOOKUP("Oak (solid m3)",SolidData,4,FALSE),IF(ISERROR(FIND("ply",WardrobeDoorMaterial))=FALSE,(0.1*($C154/1000))*VLOOKUP("Birch ply (24mm)",SheetsData,7,FALSE),IF(ISERROR(FIND("H/F",WardrobeCarcassMaterial))=FALSE,(0.1*($C154/1000))*VLOOKUP("H/F (22mm)",SheetsData,7,FALSE),"Door - not tower - new material")))),"Channel - not tower - handle set to other")),IF(ISERROR(FIND("Tower",$A154))=FALSE,IF(WardrobeHandleFinish="Match carcass",IF(ISERROR(FIND("Walnut",WardrobeCarcassMaterial))=FALSE,(0.035*0.075*($B154/1000))*VLOOKUP("Walnut (solid m3)",SolidData,4,FALSE),IF(ISERROR(FIND("Oak",WardrobeCarcassMaterial))=FALSE,(0.035*0.075*($B154/1000))*VLOOKUP("Oak (solid m3)",SolidData,4,FALSE),IF(ISERROR(FIND("ply",WardrobeCarcassMaterial))=FALSE,(0.1*($B154/1000))*VLOOKUP("Birch ply (24mm)",SheetsData,7,FALSE),IF(ISERROR(FIND("H/F",WardrobeCarcassMaterial))=FALSE,(0.1*($C154/1000))*VLOOKUP("H/F (22mm)",SheetsData,7,FALSE),"Carcass - tower - new material")))),IF(WardrobeHandleFinish="Match door",IF(ISERROR(FIND("Walnut",WardrobeDoorMaterial))=FALSE,(0.035*0.075*($B154/1000))*VLOOKUP("Walnut (solid m3)",SolidData,4,FALSE),IF(ISERROR(FIND("Oak",WardrobeDoorMaterial))=FALSE,(0.035*0.075*($B154/1000))*VLOOKUP("Oak (solid m3)",SolidData,4,FALSE),IF(ISERROR(FIND("ply",WardrobeDoorMaterial))=FALSE,(0.1*($B154/1000))*VLOOKUP("Birch ply (24mm)",SheetData,7,FALSE),IF(ISERROR(FIND("H/F",WardrobeCarcassMaterial))=FALSE,(0.1*($C154/1000))*VLOOKUP("H/F (22mm)",SheetsData,7,FALSE),"Door - tower - new material")))),"Channel - tower - handle set to other")))),"")</f>
        <v/>
      </c>
    </row>
    <row r="155">
      <c r="A155" s="150"/>
      <c r="B155" s="160" t="str">
        <f t="shared" si="1"/>
        <v/>
      </c>
      <c r="C155" s="160" t="str">
        <f>IFERROR(__xludf.DUMMYFUNCTION("IF(A155="""","""",IF(ISERROR(FIND(""arcass"",A155))=FALSE,MID(A155,FIND(""*"",A155)+1,FIND(""*"",A155,FIND(""*"",A155)+1)-FIND(""*"",A155)-1),IF(ISERROR(FIND(""End panel"",A155))=FALSE,RIGHT(A155,3),IF(OR(ISERROR(FIND(""drawer"",A155))=FALSE,ISERROR(FIND("&amp;"""door"",A155))=FALSE,ISERROR(FIND(""shelf"",A155))=FALSE,ISERROR(FIND(""panel"",A155))=FALSE,ISERROR(FIND(""Plinth"",A155))=FALSE,ISERROR(FIND(""Cornice"",A155))=FALSE,ISERROR(FIND(""Fillers"",A155))=FALSE,ISERROR(FIND(""Pelmet"",A155))=FALSE,ISERROR(FIN"&amp;"D(""Fireplace up to 1600"",A155))=FALSE),RIGHT(A155,LEN(A155)-LEN(regexextract(A155,"".* ""))),IF(ISERROR(FIND(""table"",A155))=FALSE,""560"",IF(ISERROR(FIND(""Office pod"",A155))=FALSE,""1600"",IF(ISERROR(FIND(""Fireplace over 1600"",A155))=FALSE,""2400"&amp;""",IF(ISERROR(FIND(""Worktop"",A155))=FALSE,""650"",""Whoops""))))))))"),"")</f>
        <v/>
      </c>
      <c r="D155" s="161" t="str">
        <f t="shared" si="2"/>
        <v/>
      </c>
      <c r="E155" s="152" t="str">
        <f>IF(OR(A155="",AND(ISERROR(FIND("drawer",A155))=FALSE,WardrobeDrawerType="")),"",IF(ISERROR(FIND("door",A155))=FALSE,IF(WardrobeDoorStyle="Flat",((B155/1000)*(C155/1000))*VLOOKUP(WardrobeDoorMaterial,SheetsData,8,0),IF(LEFT(WardrobeDoorStyle,5)="Panel",(((((B155/1000)*2)*0.08)+((((C155/1000)-0.16)*2)*0.08))*VLOOKUP("H/F (22mm)",SheetsData,8,0))+(((B155/1000)-0.14)*((C155/1000)-0.14)*VLOOKUP("H/F (9mm)",SheetsData,8,0)),IF(WardrobeDoorStyle="In-frame flat",((((((B155/1000)*0.019)*0.038)+((((C155-38)/1000)*0.038)*0.038))*2)*VLOOKUP("Tulip (solid m3)",SolidData,4,0))+(((B155-76)/1000)*((C155-38)/1000))*VLOOKUP("H/F (22mm)",SheetsData,8,0),IF(LEFT(WardrobeDoorStyle,14)="In-frame panel",(((((((B155/1000)*0.019)*0.038)+((((C155-38)/1000)*0.038)*0.038))*2)*VLOOKUP("Tulip (solid m3)",SolidData,4,0))+(((((((B155-76)/1000)*2)*0.08)+(((((C155-198)/1000)*2)*0.08)))*VLOOKUP("H/F (22mm)",SheetsData,8,0))+(((B155-216)/1000)*((C155-178)/1000)*VLOOKUP("H/F (9mm)",SheetsData,8,0)))))))),IF(AND(ISERROR(FIND("arcass",A155))=FALSE,ISERROR(FIND("ost corner",A155))=TRUE),IF(AND(VALUE(B155)&lt;1211,VALUE(C155)&lt;1211,VALUE(D155)&lt;606),1*VLOOKUP(WardrobeCarcassMaterial,SheetsData,5,FALSE),IF(AND(VALUE(B155)&lt;2421,VALUE(C155)&lt;2421,VALUE(D155)&lt;606),2*VLOOKUP(WardrobeCarcassMaterial,SheetsData,5,FALSE),IF(AND(VALUE(B155)&lt;2421,VALUE(C155)&lt;1211,VALUE(D155)&lt;1211),3*VLOOKUP(WardrobeCarcassMaterial,SheetsData,5,FALSE),IF(AND(VALUE(B155)&lt;2421,VALUE(C155)&lt;2421,VALUE(D155)&lt;1211),4*VLOOKUP(WardrobeCarcassMaterial,SheetsData,5,FALSE))))),IF(AND(ISERROR(FIND("arcass",A155))=FALSE,ISERROR(FIND("ost corner",A155))=FALSE),IF(AND(VALUE(B155)&lt;1211,VALUE(C155)&lt;1211,VALUE(D155)&lt;606),(1*VLOOKUP(WardrobeCarcassMaterial,SheetsData,5,FALSE))+(VLOOKUP("H/F (22mm)",SheetsData,7,FALSE)*1.44),IF(AND(VALUE(B155)&lt;2421,VALUE(C155)&lt;2421,VALUE(D155)&lt;606),(2*VLOOKUP(WardrobeCarcassMaterial,SheetsData,5,FALSE))+(VLOOKUP("H/F (22mm)",SheetsData,7,FALSE)*1.44),IF(AND(VALUE(B155)&lt;2421,VALUE(C155)&lt;1211,VALUE(D155)&lt;1211),(3*VLOOKUP(WardrobeCarcassMaterial,SheetsData,5,FALSE))+(VLOOKUP("H/F (22mm)",SheetsData,7,FALSE)*1.44),IF(AND(VALUE(B155)&lt;2421,VALUE(C155)&lt;2421,VALUE(D155)&lt;1211),(4*VLOOKUP(WardrobeCarcassMaterial,SheetsData,5,FALSE))+(VLOOKUP("H/F (22mm)",SheetsData,7,FALSE)*1.44))))),IF(ISERROR(FIND("drawer front",A155))=FALSE,((B155/1000)*(C155/1000))*VLOOKUP(WardrobeDoorMaterial,SheetsData,8,0),IF(AND(WardrobeDrawerType="Match carcass",ISERROR(FIND("drawer box",A155))=FALSE),(((((B155/1000)*(C155/1000))+((B155/1000)*(D155/1000)))*2)*VLOOKUP(WardrobeCarcassMaterial,SheetsData,8,0))+(((C155/1000)*(D155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box",A155))=FALSE),(((((B155/1000)*(C155/1000))+((B155/1000)*(D155/1000)))*2)*(16/1000)*VLOOKUP(LEFT(WardrobeCarcassMaterial,FIND(" ",WardrobeCarcassMaterial))&amp;"(solid m3)",SolidData,4,0))+(((C155/1000)*(D155/1000))*VLOOKUP(LEFT(WardrobeCarcassMaterial,FIND("(",WardrobeCarcassMaterial)-1)&amp;IF(OR(ISERROR(FIND("ply",WardrobeCarcassMaterial))=FALSE,ISERROR(FIND("H/F",WardrobeCarcassMaterial))=FALSE),"(9mm)","(10mm)"),SheetsData,8,0)),IF(ISERROR(FIND("shelf",A155))=FALSE,((C155/1000)*(D155/1000))*VLOOKUP(WardrobeCarcassMaterial,SheetsData,7,FALSE),IF(ISERROR(FIND("Office pod",A155))=FALSE,3*VLOOKUP(WardrobeCarcassMaterial,SheetsData,5,0),IF(ISERROR(FIND(" panel",A155))=FALSE,((B155/1000)*(C155/1000))*VLOOKUP(WardrobeDoorMaterial,SheetsData,8,0),IF(ISERROR(FIND("Fillers",A155))=FALSE,(((0.06*(C155/1000))*2)*VLOOKUP("H/F (18mm)",SheetsData,8,0))+(((0.06*(C155/1000))*2)*VLOOKUP("H/F (9mm)",SheetsData,8,0)),IF(ISERROR(FIND("Cornice (stacked)",A155))=FALSE,((0.08*(C155/1000))*2)*VLOOKUP("H/F (22mm)",SheetsData,8,0),IF(OR(ISERROR(FIND("Plinth",A155))=FALSE,ISERROR(FIND("Cornice (flat)",A155))=FALSE),((B155/1000)*(C155/1000))*VLOOKUP("H/F (18mm)",SheetsData,8,0),IF(ISERROR(FIND("Pelmet",A155))=FALSE,((((B155/1000)*(C155/1000))*2)*VLOOKUP("H/F (18mm)",SheetsData,8,0)),IF(ISERROR(FIND("Fireplace",A155))=FALSE,IF(ISERROR(FIND("over 1600",A155))=FALSE,2*VLOOKUP(WardrobeCarcassMaterial,SheetsData,5,FALSE),VLOOKUP(WardrobeCarcassMaterial,SheetsData,5,FALSE)),IF(ISERROR(FIND("table",A155))=FALSE,((B155/1000)*0.6)*VLOOKUP("Birch ply (24mm)",SheetsData,7,FALSE),IF(ISERROR(FIND("Worktop",A155))=FALSE,((B155/1000)*(C155/1000))*VLOOKUP(WardrobeDoorMaterial,SheetsData,7,FALSE),"Check formula")))))))))))))))))</f>
        <v/>
      </c>
      <c r="F155" s="152" t="str">
        <f>IFERROR(__xludf.DUMMYFUNCTION("IF(OR(A155="""",AND(ISERROR(FIND(""drawer box"",A155))=FALSE,WardrobeDrawerType=""Solid dovetail"")),"""",IF(ISERROR(FIND(""bins"",A155))=FALSE,VLOOKUP(""Base carcass 600"",Wardrobes_etcData,6,0),IF(OR(ISERROR(FIND(""larder"",A155))=FALSE,ISERROR(FIND(""u"&amp;"nit"",A155))=FALSE),VLOOKUP(LEFT(A155,FIND("" "",A155))&amp;""carcass ""&amp;RIGHT(A155,LEN(A155)-len(regexextract(A155,"".* ""))),Wardrobes_etcData,6,0),IF(ISERROR(FIND(""drawer front"",A155))=FALSE,IF(ISERROR(FIND(""veneer"",WardrobeCarcassMaterial))=TRUE,0,((("&amp;"B155+C155)/1000)*2)*VLOOKUP(""Edge banding (per M)"",SheetsData,5,0)),IF(ISERROR(FIND(""drawer box"",A155))=FALSE,IF(ISERROR(FIND(""veneer"",WardrobeCarcassMaterial))=TRUE,0,(((C155+D155)/1000)*2)*VLOOKUP(""Edge banding (per M)"",SheetsData,5,0)),IF(ISERR"&amp;"OR(FIND(""shelf"",A155))=FALSE,IF(ISERROR(FIND(""veneer"",WardrobeCarcassMaterial))=TRUE,0,(C155/1000)*VLOOKUP(""Edge banding (per M)"",SheetsData,5,0)),IF(AND(OR(ISERROR(FIND(""arcass"",A155))=FALSE,ISERROR(FIND(""Fireplace"",A155))=FALSE),ISERROR(FIND("&amp;"""shelf"",A155))=TRUE),IF(ISERROR(FIND(""veneer"",WardrobeCarcassMaterial))=TRUE,0,((2*(B155+C155))/1000)*VLOOKUP(""Edge banding (per M)"",SheetsData,5,0)),IF(ISERROR(FIND(""door"",A155))=TRUE,"""",IF(ISERROR(FIND(""veneer"",WardrobeDoorMaterial))=TRUE,"""&amp;""",((2*(B155+C155))/1000)*VLOOKUP(""Edge banding (per M)"",SheetsData,5,0))))))))))"),"")</f>
        <v/>
      </c>
      <c r="G155" s="153" t="str">
        <f>IF(A155="","",IF(AND(ISERROR(FIND("arcass",A155))=TRUE,ISERROR(FIND("Fireplace",A155))=TRUE),"",IF(VALUE(C155)&lt;606,4*VLOOKUP("Plinth foot (2 Parts 80mm)",FurnitureData,5,FALSE),IF(VALUE(C155)&lt;1211,6*VLOOKUP("Plinth foot (2 Parts 80mm)",FurnitureData,5,FALSE),8*VLOOKUP("Plinth foot (2 Parts 80mm)",FurnitureData,5,FALSE)))))</f>
        <v/>
      </c>
      <c r="H155" s="115" t="str">
        <f>IF(OR(A155="",ISERROR(FIND("door",A155))=TRUE),"",VLOOKUP("Hinges &amp; plates (Hettich thick door)",FurnitureData,5,0)*5)</f>
        <v/>
      </c>
      <c r="I155" s="115" t="str">
        <f>IF(ISERROR(FIND("shelf",A155))=FALSE,(VLOOKUP("Shelf pegs",FurnitureData,5,0)/100)*4,"")</f>
        <v/>
      </c>
      <c r="J155" s="152" t="str">
        <f>IF(OR(ISERROR(FIND("fridge/freezer",A155))=FALSE,ISERROR(FIND("sink",A155))=FALSE,ISERROR(FIND("larder",A155))=FALSE),VLOOKUP("Deep shelf "&amp;C155,Wardrobes_etcData,18,0),IF(OR(ISERROR(FIND("single oven",A155))=FALSE,ISERROR(FIND("Base carcass",A155))=FALSE),2*VLOOKUP("Deep shelf "&amp;C155,Wardrobes_etcData,18,0),IF(AND(ISERROR(FIND("wall carcass",A155))=FALSE,ISERROR(FIND("Boiler",A155))=TRUE),2*VLOOKUP("Shallow shelf "&amp;C155,Wardrobes_etcData,18,0),IF(ISERROR(FIND("double oven",A155))=FALSE,3*VLOOKUP("Deep shelf "&amp;C155,Wardrobes_etcData,18,0),IF(ISERROR(FIND("Tower carcass",A155))=FALSE,6*VLOOKUP("Deep shelf "&amp;C155,Wardrobes_etcData,18,0),"")))))</f>
        <v/>
      </c>
      <c r="K155" s="152" t="str">
        <f>IF(ISERROR(FIND("sink",A155))=FALSE,VLOOKUP("Sink liner - Aluminium "&amp;RIGHT(A155,LEN(A155)-22)&amp;"mm",ExceptionalData,5,0),IF(ISERROR(FIND("bins",A155))=FALSE,VLOOKUP("Drawer runners and clip set for bin unit (500) Dynapro",FurnitureData,5,0)+(2*VLOOKUP("Bin (42L Anthracite)",FurnitureData,5,0)),IF(ISERROR(FIND("larder",A155))=FALSE,VLOOKUP("Pull out larder unit 600mm",FurnitureData,5,0),IF(AND(ISERROR(FIND("drawer box",A155))=FALSE,ISERROR(FIND("internal",A155))=TRUE),VLOOKUP("Drawer runners and clip set (550) Dynapro",FurnitureData,5,0),IF(ISERROR(FIND("internal drawer box",A155))=FALSE,VLOOKUP("Drawer runners and clip set (450) Dynapro",FurnitureData,5,0),IF(ISERROR(FIND("table",A155))=FALSE,VLOOKUP("Hairpin Leg (12mm Black "&amp;MID(A155,FIND("(",A155)+1,LEN(A155)-(FIND("(",A155))-1)&amp;"mm)",ExceptionalData,4,FALSE),""))))))</f>
        <v/>
      </c>
      <c r="L155" s="152" t="str">
        <f t="shared" si="3"/>
        <v/>
      </c>
      <c r="M155" s="154" t="str">
        <f>IF(A155="","",IF(AND(ISERROR(FIND("drawer front",A155))=FALSE,WardrobeDoorStyle="Flat"),(((B155/1000)*(C155/1000))*2)+((((B155+C155)/1000)*2)*0.022),IF(AND(ISERROR(FIND("drawer front",A155))=FALSE,LEFT(WardrobeDoorStyle,5)="Panel"),(((B155/1000)*(C155/1000))*2)+((((B155+C155)/1000)*2)*0.022)+((((C155/1000)-0.16)*0.013)*2)+((((D155/1000)-0.16)*0.013)*2),IF(AND(ISERROR(FIND("drawer front",A155))=FALSE,WardrobeDoorStyle="In-frame flat"),((((B155-76)/1000)*((C155-38)/1000))*2)+(MID(WardrobeDoorMaterial,FIND("(",WardrobeDoorMaterial)+1,2)/1000)*((((B155-76)+(C155-38))/1000)*2)+(((B155/1000)*0.032)*2)+((((B155-76)/1000)*0.032)*2)+(((B155/1000)*0.019)*4)+(((C155/1000)*0.032)*2)+((((C155-38)/1000)*0.032)*2)+(((C155/1000)*0.038)*4),IF(AND(ISERROR(FIND("drawer front",A155))=FALSE,LEFT(WardrobeDoorStyle,14)="In-frame panel"),((((B155-76)/1000)*((C155-38)/1000))*2)+((MID(WardrobeDoorMaterial,FIND("(",WardrobeDoorMaterial)+1,2)/1000)*((((B155-76)+(C155-38))/1000)*2))+((((B155-236)/1000)+((C155-198)/1000)*2)*0.013)+(((B155/1000)*0.032)*2)+((((B155-76)/1000)*0.032)*2)+(((B155/1000)*0.019)*4)+(((C155/1000)*0.032)*2)+((((C155-38)/1000)*0.032)*2)+(((C155/1000)*0.038)*4),IF(ISERROR(FIND("drawer box",A155))=FALSE,((((B155/1000)*(D155/1000))+((B155/1000)*(C155/1000)))*4)+((((D155/1000)+(C155/1000))*0.016)*4)+(((C155/1000)*(D155/1000))*2),IF(OR(ISERROR(FIND("shelf",A155))=FALSE,ISERROR(FIND("Filler panel",A155))=FALSE),(((C155/1000)*(D155/1000))*2)+((((C155+D155)*2)/1000)*0.022),IF(ISERROR(FIND("Fireplace",A155))=FALSE,((B155/1000)*(C155/1000)),IF(ISERROR(FIND("Worktop",A155))=FALSE,(B155/1000)*(C155/1000),IF(ISERROR(FIND("table",A155))=FALSE,(B155/1000)*0.6,IF(ISERROR(FIND("arcass",A155))=FALSE,(((C155/1000)*(D155/1000))*2)+(((B155/1000)*(D155/1000))*2)+((B155/1000)*(C155/1000))+((((B155/1000)*0.025)+((C155/1000)*0.025))*2),IF(AND(ISERROR(FIND("door",A155))=FALSE,WardrobeDoorStyle="Flat"),(((B155/1000)*(C155/1000))*2)+(MID(WardrobeDoorMaterial,FIND("(",WardrobeDoorMaterial)+1,2)/1000)*(((B155+C155)/1000)*2),IF(AND(ISERROR(FIND("door",A155))=FALSE,LEFT(WardrobeDoorStyle,5)="Panel"),(((B155/1000)*(C155/1000))*2)+((MID(WardrobeDoorMaterial,FIND("(",WardrobeDoorMaterial)+1,2)/1000)*(((B155+C155)/1000)*2))+(((((B155-160)+(C155-160))*2)/1000)*(0.013)),IF(AND(ISERROR(FIND("door",A155))=FALSE,WardrobeDoorStyle="In-frame flat"),((((B155-76)/1000)*((C155-38)/1000))*2)+(MID(WardrobeDoorMaterial,FIND("(",WardrobeDoorMaterial)+1,2)/1000)*((((B155-76)+(C155-38))/1000)*2)+(((B155/1000)*0.032)*2)+((((B155-76)/1000)*0.032)*2)+(((B155/1000)*0.019)*4)+(((C155/1000)*0.032)*2)+((((C155-38)/1000)*0.032)*2)+(((C155/1000)*0.038)*4),IF(AND(ISERROR(FIND("door",A155))=FALSE,LEFT(WardrobeDoorStyle,14)="In-frame panel"),((((B155-76)/1000)*((C155-38)/1000))*2)+((MID(WardrobeDoorMaterial,FIND("(",WardrobeDoorMaterial)+1,2)/1000)*((((B155-76)+(C155-38))/1000)*2))+((((B155-236)/1000)+((C155-198)/1000)*2)*0.013)+(((B155/1000)*0.032)*2)+((((B155-76)/1000)*0.032)*2)+(((B155/1000)*0.019)*4)+(((C155/1000)*0.032)*2)+((((C155-38)/1000)*0.032)*2)+(((C155/1000)*0.038)*4),IF(ISERROR(FIND("Plinth",A155))=FALSE,((B155/1000)*(C155/1000))+(((C155/1000)*0.018)*2)+(((B155/1000)*0.018)*2),IF(ISERROR(FIND("Cornice",A155))=FALSE,(((C155/1000)*0.1)*2)+(((C155/1000)*0.044)*2)+(((B155/1000)*0.08)*2),IF(ISERROR(FIND("Office pod",A155))=FALSE,((2400/1000)*(1200/1000))*6,IF(ISERROR(FIND("panel",A155))=FALSE,((B155/1000)*(C155/1000))+(0.022*((B155/1000)+((C155/1000)*2)))+((B155/1000)*0.05),IF(ISERROR(FIND("Fillers",A155))=FALSE,((C155/1000)*0.06)+((C155/1000)*0.069)+((0.06*0.018)*2)+((0.06*0.009)*2)+((C155/1000)*0.009)+((C155/1000)*0.018),IF(ISERROR(FIND("Pelmet",A155))=FALSE,((C155/1000)*0.05)+((C155/1000)*0.068)+((0.05*0.018)*4)+(((C155/1000)*0.018))*2)))))))))))))))))))))</f>
        <v/>
      </c>
      <c r="N155" s="152" t="str">
        <f>IF(M155="","",IF(AND(ISERROR(FIND("carcass",A155))=TRUE,ISERROR(FIND("unit",A155))=TRUE,ISERROR(FIND("insert",A155))=TRUE,ISERROR(FIND("rack",A155))=TRUE,ISERROR(FIND("box",A155))=TRUE,ISERROR(FIND("shelf",A155))=TRUE),VLOOKUP(WardrobeDoorFinish,Finishing!$A$2:$K$10,9,0)*M155,IF(ISERROR(FIND("table",A155))=FALSE,VLOOKUP("Sayerlack AF0072 Interior Clear Self-Sealer",FinishingData,9,FALSE)*M155,VLOOKUP(WardrobeCarcassFinish,Finishing!$A$2:$K$40,9,0)*M155)))</f>
        <v/>
      </c>
      <c r="O155" s="159"/>
      <c r="P155" s="159"/>
      <c r="Q155" s="152" t="str">
        <f>IF(OR(O155="",P155=""),"",((O155*X155)*(VLOOKUP("Workshop",Labour!$A$3:$E$20,4,0)/8))+((P155*AE155)*(VLOOKUP("Finishing",Labour!$A$3:$E$20,4,0)/8)))</f>
        <v/>
      </c>
      <c r="R155" s="152" t="str">
        <f t="shared" si="4"/>
        <v/>
      </c>
      <c r="S155" s="156" t="str">
        <f>IF(OR(O155="",P155=""),"",IF(OR(ISERROR(FIND("carcass",$A155))=FALSE,ISERROR(FIND("unit",$A155))=FALSE),VLOOKUP(WardrobeCarcassMaterial,FixedListsCarcassMaterial,2,0),0))</f>
        <v/>
      </c>
      <c r="T155" s="156" t="str">
        <f>IF(OR(O155="",P155=""),"",IF(ISERROR(FIND("door",$A155))=FALSE,VLOOKUP(WardrobeDoorStyle,FixedListsDoorStyle,2,0),0))</f>
        <v/>
      </c>
      <c r="U155" s="156" t="str">
        <f>IF(OR(O155="",P155=""),"",IF(ISERROR(FIND("door",$A155))=FALSE,VLOOKUP(WardrobeDoorMaterial,FixedListsDoorMaterial,2,0),0))</f>
        <v/>
      </c>
      <c r="V155" s="156" t="str">
        <f>IF(OR(O155="",P155=""),"",IF(ISERROR(FIND("drawer",$A155))=FALSE,VLOOKUP(WardrobeDrawerType,FixedListsDrawerType,2,0),0))</f>
        <v/>
      </c>
      <c r="W155" s="156" t="str">
        <f>IF(OR(O155="",P155=""),"",IF(S155&gt;0,VLOOKUP(WardrobeHandleType,FixedListsHandleType,2,FALSE),0))</f>
        <v/>
      </c>
      <c r="X155" s="156" t="str">
        <f t="shared" si="5"/>
        <v/>
      </c>
      <c r="Y155" s="156" t="str">
        <f>IF(OR(O155="",P155=""),"",IF(OR(ISERROR(FIND("carcass",$A155))=FALSE,ISERROR(FIND("unit",$A155))=FALSE),VLOOKUP(WardrobeCarcassMaterial,FixedListsCarcassMaterial,3,0),0))</f>
        <v/>
      </c>
      <c r="Z155" s="156" t="str">
        <f>IF(OR(O155="",P155=""),"",IF(ISERROR(FIND("door",$A155))=FALSE,VLOOKUP(WardrobeDoorStyle,FixedListsDoorStyle,3,0),0))</f>
        <v/>
      </c>
      <c r="AA155" s="156" t="str">
        <f>IF(OR(O155="",P155=""),"",IF(ISERROR(FIND("door",$A155))=FALSE,VLOOKUP(WardrobeDoorMaterial,FixedListsDoorMaterial,3,0),0))</f>
        <v/>
      </c>
      <c r="AB155" s="156" t="str">
        <f>IF(OR(O155="",P155=""),"",IF(ISERROR(FIND("drawer",$A155))=FALSE,VLOOKUP(WardrobeDrawerType,FixedListsDrawerType,3,0),0))</f>
        <v/>
      </c>
      <c r="AC155" s="156" t="str">
        <f>IF(OR(O155="",P155=""),"",IF(S155&gt;0,VLOOKUP(WardrobeHandleType,FixedListsHandleType,3,FALSE),0))</f>
        <v/>
      </c>
      <c r="AD155" s="156" t="str">
        <f>IF(OR(O155="",P155=""),"",IF(OR(ISERROR(FIND("carcass",$A155))=FALSE,ISERROR(FIND("unit",$A155))=FALSE),VLOOKUP(WardrobeCarcassFinish,FixedListsFinishes,3,0),IF(OR(ISERROR(FIND("door",$A155))=FALSE,ISERROR(FIND("Plinth",$A155))=FALSE,ISERROR(FIND("Cornice",$A155))=FALSE,ISERROR(FIND("Fillers",$A155))=FALSE,ISERROR(FIND("Pelmet",$A155))=FALSE,ISERROR(FIND("panel",$A155))=FALSE,ISERROR(FIND("post",$A155))=FALSE),VLOOKUP(WardrobeDoorFinish,FixedListsFinishes,3,0),IF(OR(ISERROR(FIND("drawer",$A155))=FALSE,ISERROR(FIND("insert",$A155))=FALSE,ISERROR(FIND("rck",$A155))=FALSE),VLOOKUP(WardrobeCarcassFinish,FixedListsFinishes,3,0),0))))</f>
        <v/>
      </c>
      <c r="AE155" s="156" t="str">
        <f t="shared" si="6"/>
        <v/>
      </c>
      <c r="AF155" s="157" t="str">
        <f>IF(AND(WardrobeHandleType="Channel",OR(ISERROR(FIND("arcass",$A155))=FALSE,ISERROR(FIND("unit",$A155))=FALSE)),IF(ISERROR(FIND("Tower",$A155))=TRUE,IF(WardrobeHandleFinish="Match carcass",IF(ISERROR(FIND("Walnut",WardrobeCarcassMaterial))=FALSE,(0.035*0.075*($C155/1000))*VLOOKUP("Walnut (solid m3)",SolidData,4,FALSE),IF(ISERROR(FIND("Oak",WardrobeCarcassMaterial))=FALSE,(0.035*0.075*($C155/1000))*VLOOKUP("Oak (solid m3)",SolidData,4,FALSE),IF(ISERROR(FIND("ply",WardrobeCarcassMaterial))=FALSE,(0.1*($C155/1000))*VLOOKUP("Birch ply (24mm)",SheetsData,7,FALSE),IF(ISERROR(FIND("H/F",WardrobeCarcassMaterial))=FALSE,(0.1*($C155/1000))*VLOOKUP("H/F (22mm)",SheetsData,7,FALSE),"Carcass - not tower - new material")))),IF(WardrobeHandleFinish="Match door",IF(ISERROR(FIND("Walnut",WardrobeDoorMaterial))=FALSE,(0.035*0.075*($C155/1000))*VLOOKUP("Walnut (solid m3)",SolidData,4,FALSE),IF(ISERROR(FIND("Oak",WardrobeDoorMaterial))=FALSE,(0.035*0.075*($C155/1000))*VLOOKUP("Oak (solid m3)",SolidData,4,FALSE),IF(ISERROR(FIND("ply",WardrobeDoorMaterial))=FALSE,(0.1*($C155/1000))*VLOOKUP("Birch ply (24mm)",SheetsData,7,FALSE),IF(ISERROR(FIND("H/F",WardrobeCarcassMaterial))=FALSE,(0.1*($C155/1000))*VLOOKUP("H/F (22mm)",SheetsData,7,FALSE),"Door - not tower - new material")))),"Channel - not tower - handle set to other")),IF(ISERROR(FIND("Tower",$A155))=FALSE,IF(WardrobeHandleFinish="Match carcass",IF(ISERROR(FIND("Walnut",WardrobeCarcassMaterial))=FALSE,(0.035*0.075*($B155/1000))*VLOOKUP("Walnut (solid m3)",SolidData,4,FALSE),IF(ISERROR(FIND("Oak",WardrobeCarcassMaterial))=FALSE,(0.035*0.075*($B155/1000))*VLOOKUP("Oak (solid m3)",SolidData,4,FALSE),IF(ISERROR(FIND("ply",WardrobeCarcassMaterial))=FALSE,(0.1*($B155/1000))*VLOOKUP("Birch ply (24mm)",SheetsData,7,FALSE),IF(ISERROR(FIND("H/F",WardrobeCarcassMaterial))=FALSE,(0.1*($C155/1000))*VLOOKUP("H/F (22mm)",SheetsData,7,FALSE),"Carcass - tower - new material")))),IF(WardrobeHandleFinish="Match door",IF(ISERROR(FIND("Walnut",WardrobeDoorMaterial))=FALSE,(0.035*0.075*($B155/1000))*VLOOKUP("Walnut (solid m3)",SolidData,4,FALSE),IF(ISERROR(FIND("Oak",WardrobeDoorMaterial))=FALSE,(0.035*0.075*($B155/1000))*VLOOKUP("Oak (solid m3)",SolidData,4,FALSE),IF(ISERROR(FIND("ply",WardrobeDoorMaterial))=FALSE,(0.1*($B155/1000))*VLOOKUP("Birch ply (24mm)",SheetData,7,FALSE),IF(ISERROR(FIND("H/F",WardrobeCarcassMaterial))=FALSE,(0.1*($C155/1000))*VLOOKUP("H/F (22mm)",SheetsData,7,FALSE),"Door - tower - new material")))),"Channel - tower - handle set to other")))),"")</f>
        <v/>
      </c>
    </row>
    <row r="156">
      <c r="A156" s="150"/>
      <c r="B156" s="160" t="str">
        <f t="shared" si="1"/>
        <v/>
      </c>
      <c r="C156" s="160" t="str">
        <f>IFERROR(__xludf.DUMMYFUNCTION("IF(A156="""","""",IF(ISERROR(FIND(""arcass"",A156))=FALSE,MID(A156,FIND(""*"",A156)+1,FIND(""*"",A156,FIND(""*"",A156)+1)-FIND(""*"",A156)-1),IF(ISERROR(FIND(""End panel"",A156))=FALSE,RIGHT(A156,3),IF(OR(ISERROR(FIND(""drawer"",A156))=FALSE,ISERROR(FIND("&amp;"""door"",A156))=FALSE,ISERROR(FIND(""shelf"",A156))=FALSE,ISERROR(FIND(""panel"",A156))=FALSE,ISERROR(FIND(""Plinth"",A156))=FALSE,ISERROR(FIND(""Cornice"",A156))=FALSE,ISERROR(FIND(""Fillers"",A156))=FALSE,ISERROR(FIND(""Pelmet"",A156))=FALSE,ISERROR(FIN"&amp;"D(""Fireplace up to 1600"",A156))=FALSE),RIGHT(A156,LEN(A156)-LEN(regexextract(A156,"".* ""))),IF(ISERROR(FIND(""table"",A156))=FALSE,""560"",IF(ISERROR(FIND(""Office pod"",A156))=FALSE,""1600"",IF(ISERROR(FIND(""Fireplace over 1600"",A156))=FALSE,""2400"&amp;""",IF(ISERROR(FIND(""Worktop"",A156))=FALSE,""650"",""Whoops""))))))))"),"")</f>
        <v/>
      </c>
      <c r="D156" s="161" t="str">
        <f t="shared" si="2"/>
        <v/>
      </c>
      <c r="E156" s="152" t="str">
        <f>IF(OR(A156="",AND(ISERROR(FIND("drawer",A156))=FALSE,WardrobeDrawerType="")),"",IF(ISERROR(FIND("door",A156))=FALSE,IF(WardrobeDoorStyle="Flat",((B156/1000)*(C156/1000))*VLOOKUP(WardrobeDoorMaterial,SheetsData,8,0),IF(LEFT(WardrobeDoorStyle,5)="Panel",(((((B156/1000)*2)*0.08)+((((C156/1000)-0.16)*2)*0.08))*VLOOKUP("H/F (22mm)",SheetsData,8,0))+(((B156/1000)-0.14)*((C156/1000)-0.14)*VLOOKUP("H/F (9mm)",SheetsData,8,0)),IF(WardrobeDoorStyle="In-frame flat",((((((B156/1000)*0.019)*0.038)+((((C156-38)/1000)*0.038)*0.038))*2)*VLOOKUP("Tulip (solid m3)",SolidData,4,0))+(((B156-76)/1000)*((C156-38)/1000))*VLOOKUP("H/F (22mm)",SheetsData,8,0),IF(LEFT(WardrobeDoorStyle,14)="In-frame panel",(((((((B156/1000)*0.019)*0.038)+((((C156-38)/1000)*0.038)*0.038))*2)*VLOOKUP("Tulip (solid m3)",SolidData,4,0))+(((((((B156-76)/1000)*2)*0.08)+(((((C156-198)/1000)*2)*0.08)))*VLOOKUP("H/F (22mm)",SheetsData,8,0))+(((B156-216)/1000)*((C156-178)/1000)*VLOOKUP("H/F (9mm)",SheetsData,8,0)))))))),IF(AND(ISERROR(FIND("arcass",A156))=FALSE,ISERROR(FIND("ost corner",A156))=TRUE),IF(AND(VALUE(B156)&lt;1211,VALUE(C156)&lt;1211,VALUE(D156)&lt;606),1*VLOOKUP(WardrobeCarcassMaterial,SheetsData,5,FALSE),IF(AND(VALUE(B156)&lt;2421,VALUE(C156)&lt;2421,VALUE(D156)&lt;606),2*VLOOKUP(WardrobeCarcassMaterial,SheetsData,5,FALSE),IF(AND(VALUE(B156)&lt;2421,VALUE(C156)&lt;1211,VALUE(D156)&lt;1211),3*VLOOKUP(WardrobeCarcassMaterial,SheetsData,5,FALSE),IF(AND(VALUE(B156)&lt;2421,VALUE(C156)&lt;2421,VALUE(D156)&lt;1211),4*VLOOKUP(WardrobeCarcassMaterial,SheetsData,5,FALSE))))),IF(AND(ISERROR(FIND("arcass",A156))=FALSE,ISERROR(FIND("ost corner",A156))=FALSE),IF(AND(VALUE(B156)&lt;1211,VALUE(C156)&lt;1211,VALUE(D156)&lt;606),(1*VLOOKUP(WardrobeCarcassMaterial,SheetsData,5,FALSE))+(VLOOKUP("H/F (22mm)",SheetsData,7,FALSE)*1.44),IF(AND(VALUE(B156)&lt;2421,VALUE(C156)&lt;2421,VALUE(D156)&lt;606),(2*VLOOKUP(WardrobeCarcassMaterial,SheetsData,5,FALSE))+(VLOOKUP("H/F (22mm)",SheetsData,7,FALSE)*1.44),IF(AND(VALUE(B156)&lt;2421,VALUE(C156)&lt;1211,VALUE(D156)&lt;1211),(3*VLOOKUP(WardrobeCarcassMaterial,SheetsData,5,FALSE))+(VLOOKUP("H/F (22mm)",SheetsData,7,FALSE)*1.44),IF(AND(VALUE(B156)&lt;2421,VALUE(C156)&lt;2421,VALUE(D156)&lt;1211),(4*VLOOKUP(WardrobeCarcassMaterial,SheetsData,5,FALSE))+(VLOOKUP("H/F (22mm)",SheetsData,7,FALSE)*1.44))))),IF(ISERROR(FIND("drawer front",A156))=FALSE,((B156/1000)*(C156/1000))*VLOOKUP(WardrobeDoorMaterial,SheetsData,8,0),IF(AND(WardrobeDrawerType="Match carcass",ISERROR(FIND("drawer box",A156))=FALSE),(((((B156/1000)*(C156/1000))+((B156/1000)*(D156/1000)))*2)*VLOOKUP(WardrobeCarcassMaterial,SheetsData,8,0))+(((C156/1000)*(D156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box",A156))=FALSE),(((((B156/1000)*(C156/1000))+((B156/1000)*(D156/1000)))*2)*(16/1000)*VLOOKUP(LEFT(WardrobeCarcassMaterial,FIND(" ",WardrobeCarcassMaterial))&amp;"(solid m3)",SolidData,4,0))+(((C156/1000)*(D156/1000))*VLOOKUP(LEFT(WardrobeCarcassMaterial,FIND("(",WardrobeCarcassMaterial)-1)&amp;IF(OR(ISERROR(FIND("ply",WardrobeCarcassMaterial))=FALSE,ISERROR(FIND("H/F",WardrobeCarcassMaterial))=FALSE),"(9mm)","(10mm)"),SheetsData,8,0)),IF(ISERROR(FIND("shelf",A156))=FALSE,((C156/1000)*(D156/1000))*VLOOKUP(WardrobeCarcassMaterial,SheetsData,7,FALSE),IF(ISERROR(FIND("Office pod",A156))=FALSE,3*VLOOKUP(WardrobeCarcassMaterial,SheetsData,5,0),IF(ISERROR(FIND(" panel",A156))=FALSE,((B156/1000)*(C156/1000))*VLOOKUP(WardrobeDoorMaterial,SheetsData,8,0),IF(ISERROR(FIND("Fillers",A156))=FALSE,(((0.06*(C156/1000))*2)*VLOOKUP("H/F (18mm)",SheetsData,8,0))+(((0.06*(C156/1000))*2)*VLOOKUP("H/F (9mm)",SheetsData,8,0)),IF(ISERROR(FIND("Cornice (stacked)",A156))=FALSE,((0.08*(C156/1000))*2)*VLOOKUP("H/F (22mm)",SheetsData,8,0),IF(OR(ISERROR(FIND("Plinth",A156))=FALSE,ISERROR(FIND("Cornice (flat)",A156))=FALSE),((B156/1000)*(C156/1000))*VLOOKUP("H/F (18mm)",SheetsData,8,0),IF(ISERROR(FIND("Pelmet",A156))=FALSE,((((B156/1000)*(C156/1000))*2)*VLOOKUP("H/F (18mm)",SheetsData,8,0)),IF(ISERROR(FIND("Fireplace",A156))=FALSE,IF(ISERROR(FIND("over 1600",A156))=FALSE,2*VLOOKUP(WardrobeCarcassMaterial,SheetsData,5,FALSE),VLOOKUP(WardrobeCarcassMaterial,SheetsData,5,FALSE)),IF(ISERROR(FIND("table",A156))=FALSE,((B156/1000)*0.6)*VLOOKUP("Birch ply (24mm)",SheetsData,7,FALSE),IF(ISERROR(FIND("Worktop",A156))=FALSE,((B156/1000)*(C156/1000))*VLOOKUP(WardrobeDoorMaterial,SheetsData,7,FALSE),"Check formula")))))))))))))))))</f>
        <v/>
      </c>
      <c r="F156" s="152" t="str">
        <f>IFERROR(__xludf.DUMMYFUNCTION("IF(OR(A156="""",AND(ISERROR(FIND(""drawer box"",A156))=FALSE,WardrobeDrawerType=""Solid dovetail"")),"""",IF(ISERROR(FIND(""bins"",A156))=FALSE,VLOOKUP(""Base carcass 600"",Wardrobes_etcData,6,0),IF(OR(ISERROR(FIND(""larder"",A156))=FALSE,ISERROR(FIND(""u"&amp;"nit"",A156))=FALSE),VLOOKUP(LEFT(A156,FIND("" "",A156))&amp;""carcass ""&amp;RIGHT(A156,LEN(A156)-len(regexextract(A156,"".* ""))),Wardrobes_etcData,6,0),IF(ISERROR(FIND(""drawer front"",A156))=FALSE,IF(ISERROR(FIND(""veneer"",WardrobeCarcassMaterial))=TRUE,0,((("&amp;"B156+C156)/1000)*2)*VLOOKUP(""Edge banding (per M)"",SheetsData,5,0)),IF(ISERROR(FIND(""drawer box"",A156))=FALSE,IF(ISERROR(FIND(""veneer"",WardrobeCarcassMaterial))=TRUE,0,(((C156+D156)/1000)*2)*VLOOKUP(""Edge banding (per M)"",SheetsData,5,0)),IF(ISERR"&amp;"OR(FIND(""shelf"",A156))=FALSE,IF(ISERROR(FIND(""veneer"",WardrobeCarcassMaterial))=TRUE,0,(C156/1000)*VLOOKUP(""Edge banding (per M)"",SheetsData,5,0)),IF(AND(OR(ISERROR(FIND(""arcass"",A156))=FALSE,ISERROR(FIND(""Fireplace"",A156))=FALSE),ISERROR(FIND("&amp;"""shelf"",A156))=TRUE),IF(ISERROR(FIND(""veneer"",WardrobeCarcassMaterial))=TRUE,0,((2*(B156+C156))/1000)*VLOOKUP(""Edge banding (per M)"",SheetsData,5,0)),IF(ISERROR(FIND(""door"",A156))=TRUE,"""",IF(ISERROR(FIND(""veneer"",WardrobeDoorMaterial))=TRUE,"""&amp;""",((2*(B156+C156))/1000)*VLOOKUP(""Edge banding (per M)"",SheetsData,5,0))))))))))"),"")</f>
        <v/>
      </c>
      <c r="G156" s="153" t="str">
        <f>IF(A156="","",IF(AND(ISERROR(FIND("arcass",A156))=TRUE,ISERROR(FIND("Fireplace",A156))=TRUE),"",IF(VALUE(C156)&lt;606,4*VLOOKUP("Plinth foot (2 Parts 80mm)",FurnitureData,5,FALSE),IF(VALUE(C156)&lt;1211,6*VLOOKUP("Plinth foot (2 Parts 80mm)",FurnitureData,5,FALSE),8*VLOOKUP("Plinth foot (2 Parts 80mm)",FurnitureData,5,FALSE)))))</f>
        <v/>
      </c>
      <c r="H156" s="115" t="str">
        <f>IF(OR(A156="",ISERROR(FIND("door",A156))=TRUE),"",VLOOKUP("Hinges &amp; plates (Hettich thick door)",FurnitureData,5,0)*5)</f>
        <v/>
      </c>
      <c r="I156" s="115" t="str">
        <f>IF(ISERROR(FIND("shelf",A156))=FALSE,(VLOOKUP("Shelf pegs",FurnitureData,5,0)/100)*4,"")</f>
        <v/>
      </c>
      <c r="J156" s="152" t="str">
        <f>IF(OR(ISERROR(FIND("fridge/freezer",A156))=FALSE,ISERROR(FIND("sink",A156))=FALSE,ISERROR(FIND("larder",A156))=FALSE),VLOOKUP("Deep shelf "&amp;C156,Wardrobes_etcData,18,0),IF(OR(ISERROR(FIND("single oven",A156))=FALSE,ISERROR(FIND("Base carcass",A156))=FALSE),2*VLOOKUP("Deep shelf "&amp;C156,Wardrobes_etcData,18,0),IF(AND(ISERROR(FIND("wall carcass",A156))=FALSE,ISERROR(FIND("Boiler",A156))=TRUE),2*VLOOKUP("Shallow shelf "&amp;C156,Wardrobes_etcData,18,0),IF(ISERROR(FIND("double oven",A156))=FALSE,3*VLOOKUP("Deep shelf "&amp;C156,Wardrobes_etcData,18,0),IF(ISERROR(FIND("Tower carcass",A156))=FALSE,6*VLOOKUP("Deep shelf "&amp;C156,Wardrobes_etcData,18,0),"")))))</f>
        <v/>
      </c>
      <c r="K156" s="152" t="str">
        <f>IF(ISERROR(FIND("sink",A156))=FALSE,VLOOKUP("Sink liner - Aluminium "&amp;RIGHT(A156,LEN(A156)-22)&amp;"mm",ExceptionalData,5,0),IF(ISERROR(FIND("bins",A156))=FALSE,VLOOKUP("Drawer runners and clip set for bin unit (500) Dynapro",FurnitureData,5,0)+(2*VLOOKUP("Bin (42L Anthracite)",FurnitureData,5,0)),IF(ISERROR(FIND("larder",A156))=FALSE,VLOOKUP("Pull out larder unit 600mm",FurnitureData,5,0),IF(AND(ISERROR(FIND("drawer box",A156))=FALSE,ISERROR(FIND("internal",A156))=TRUE),VLOOKUP("Drawer runners and clip set (550) Dynapro",FurnitureData,5,0),IF(ISERROR(FIND("internal drawer box",A156))=FALSE,VLOOKUP("Drawer runners and clip set (450) Dynapro",FurnitureData,5,0),IF(ISERROR(FIND("table",A156))=FALSE,VLOOKUP("Hairpin Leg (12mm Black "&amp;MID(A156,FIND("(",A156)+1,LEN(A156)-(FIND("(",A156))-1)&amp;"mm)",ExceptionalData,4,FALSE),""))))))</f>
        <v/>
      </c>
      <c r="L156" s="152" t="str">
        <f t="shared" si="3"/>
        <v/>
      </c>
      <c r="M156" s="154" t="str">
        <f>IF(A156="","",IF(AND(ISERROR(FIND("drawer front",A156))=FALSE,WardrobeDoorStyle="Flat"),(((B156/1000)*(C156/1000))*2)+((((B156+C156)/1000)*2)*0.022),IF(AND(ISERROR(FIND("drawer front",A156))=FALSE,LEFT(WardrobeDoorStyle,5)="Panel"),(((B156/1000)*(C156/1000))*2)+((((B156+C156)/1000)*2)*0.022)+((((C156/1000)-0.16)*0.013)*2)+((((D156/1000)-0.16)*0.013)*2),IF(AND(ISERROR(FIND("drawer front",A156))=FALSE,WardrobeDoorStyle="In-frame flat"),((((B156-76)/1000)*((C156-38)/1000))*2)+(MID(WardrobeDoorMaterial,FIND("(",WardrobeDoorMaterial)+1,2)/1000)*((((B156-76)+(C156-38))/1000)*2)+(((B156/1000)*0.032)*2)+((((B156-76)/1000)*0.032)*2)+(((B156/1000)*0.019)*4)+(((C156/1000)*0.032)*2)+((((C156-38)/1000)*0.032)*2)+(((C156/1000)*0.038)*4),IF(AND(ISERROR(FIND("drawer front",A156))=FALSE,LEFT(WardrobeDoorStyle,14)="In-frame panel"),((((B156-76)/1000)*((C156-38)/1000))*2)+((MID(WardrobeDoorMaterial,FIND("(",WardrobeDoorMaterial)+1,2)/1000)*((((B156-76)+(C156-38))/1000)*2))+((((B156-236)/1000)+((C156-198)/1000)*2)*0.013)+(((B156/1000)*0.032)*2)+((((B156-76)/1000)*0.032)*2)+(((B156/1000)*0.019)*4)+(((C156/1000)*0.032)*2)+((((C156-38)/1000)*0.032)*2)+(((C156/1000)*0.038)*4),IF(ISERROR(FIND("drawer box",A156))=FALSE,((((B156/1000)*(D156/1000))+((B156/1000)*(C156/1000)))*4)+((((D156/1000)+(C156/1000))*0.016)*4)+(((C156/1000)*(D156/1000))*2),IF(OR(ISERROR(FIND("shelf",A156))=FALSE,ISERROR(FIND("Filler panel",A156))=FALSE),(((C156/1000)*(D156/1000))*2)+((((C156+D156)*2)/1000)*0.022),IF(ISERROR(FIND("Fireplace",A156))=FALSE,((B156/1000)*(C156/1000)),IF(ISERROR(FIND("Worktop",A156))=FALSE,(B156/1000)*(C156/1000),IF(ISERROR(FIND("table",A156))=FALSE,(B156/1000)*0.6,IF(ISERROR(FIND("arcass",A156))=FALSE,(((C156/1000)*(D156/1000))*2)+(((B156/1000)*(D156/1000))*2)+((B156/1000)*(C156/1000))+((((B156/1000)*0.025)+((C156/1000)*0.025))*2),IF(AND(ISERROR(FIND("door",A156))=FALSE,WardrobeDoorStyle="Flat"),(((B156/1000)*(C156/1000))*2)+(MID(WardrobeDoorMaterial,FIND("(",WardrobeDoorMaterial)+1,2)/1000)*(((B156+C156)/1000)*2),IF(AND(ISERROR(FIND("door",A156))=FALSE,LEFT(WardrobeDoorStyle,5)="Panel"),(((B156/1000)*(C156/1000))*2)+((MID(WardrobeDoorMaterial,FIND("(",WardrobeDoorMaterial)+1,2)/1000)*(((B156+C156)/1000)*2))+(((((B156-160)+(C156-160))*2)/1000)*(0.013)),IF(AND(ISERROR(FIND("door",A156))=FALSE,WardrobeDoorStyle="In-frame flat"),((((B156-76)/1000)*((C156-38)/1000))*2)+(MID(WardrobeDoorMaterial,FIND("(",WardrobeDoorMaterial)+1,2)/1000)*((((B156-76)+(C156-38))/1000)*2)+(((B156/1000)*0.032)*2)+((((B156-76)/1000)*0.032)*2)+(((B156/1000)*0.019)*4)+(((C156/1000)*0.032)*2)+((((C156-38)/1000)*0.032)*2)+(((C156/1000)*0.038)*4),IF(AND(ISERROR(FIND("door",A156))=FALSE,LEFT(WardrobeDoorStyle,14)="In-frame panel"),((((B156-76)/1000)*((C156-38)/1000))*2)+((MID(WardrobeDoorMaterial,FIND("(",WardrobeDoorMaterial)+1,2)/1000)*((((B156-76)+(C156-38))/1000)*2))+((((B156-236)/1000)+((C156-198)/1000)*2)*0.013)+(((B156/1000)*0.032)*2)+((((B156-76)/1000)*0.032)*2)+(((B156/1000)*0.019)*4)+(((C156/1000)*0.032)*2)+((((C156-38)/1000)*0.032)*2)+(((C156/1000)*0.038)*4),IF(ISERROR(FIND("Plinth",A156))=FALSE,((B156/1000)*(C156/1000))+(((C156/1000)*0.018)*2)+(((B156/1000)*0.018)*2),IF(ISERROR(FIND("Cornice",A156))=FALSE,(((C156/1000)*0.1)*2)+(((C156/1000)*0.044)*2)+(((B156/1000)*0.08)*2),IF(ISERROR(FIND("Office pod",A156))=FALSE,((2400/1000)*(1200/1000))*6,IF(ISERROR(FIND("panel",A156))=FALSE,((B156/1000)*(C156/1000))+(0.022*((B156/1000)+((C156/1000)*2)))+((B156/1000)*0.05),IF(ISERROR(FIND("Fillers",A156))=FALSE,((C156/1000)*0.06)+((C156/1000)*0.069)+((0.06*0.018)*2)+((0.06*0.009)*2)+((C156/1000)*0.009)+((C156/1000)*0.018),IF(ISERROR(FIND("Pelmet",A156))=FALSE,((C156/1000)*0.05)+((C156/1000)*0.068)+((0.05*0.018)*4)+(((C156/1000)*0.018))*2)))))))))))))))))))))</f>
        <v/>
      </c>
      <c r="N156" s="152" t="str">
        <f>IF(M156="","",IF(AND(ISERROR(FIND("carcass",A156))=TRUE,ISERROR(FIND("unit",A156))=TRUE,ISERROR(FIND("insert",A156))=TRUE,ISERROR(FIND("rack",A156))=TRUE,ISERROR(FIND("box",A156))=TRUE,ISERROR(FIND("shelf",A156))=TRUE),VLOOKUP(WardrobeDoorFinish,Finishing!$A$2:$K$10,9,0)*M156,IF(ISERROR(FIND("table",A156))=FALSE,VLOOKUP("Sayerlack AF0072 Interior Clear Self-Sealer",FinishingData,9,FALSE)*M156,VLOOKUP(WardrobeCarcassFinish,Finishing!$A$2:$K$40,9,0)*M156)))</f>
        <v/>
      </c>
      <c r="O156" s="159"/>
      <c r="P156" s="159"/>
      <c r="Q156" s="152" t="str">
        <f>IF(OR(O156="",P156=""),"",((O156*X156)*(VLOOKUP("Workshop",Labour!$A$3:$E$20,4,0)/8))+((P156*AE156)*(VLOOKUP("Finishing",Labour!$A$3:$E$20,4,0)/8)))</f>
        <v/>
      </c>
      <c r="R156" s="152" t="str">
        <f t="shared" si="4"/>
        <v/>
      </c>
      <c r="S156" s="156" t="str">
        <f>IF(OR(O156="",P156=""),"",IF(OR(ISERROR(FIND("carcass",$A156))=FALSE,ISERROR(FIND("unit",$A156))=FALSE),VLOOKUP(WardrobeCarcassMaterial,FixedListsCarcassMaterial,2,0),0))</f>
        <v/>
      </c>
      <c r="T156" s="156" t="str">
        <f>IF(OR(O156="",P156=""),"",IF(ISERROR(FIND("door",$A156))=FALSE,VLOOKUP(WardrobeDoorStyle,FixedListsDoorStyle,2,0),0))</f>
        <v/>
      </c>
      <c r="U156" s="156" t="str">
        <f>IF(OR(O156="",P156=""),"",IF(ISERROR(FIND("door",$A156))=FALSE,VLOOKUP(WardrobeDoorMaterial,FixedListsDoorMaterial,2,0),0))</f>
        <v/>
      </c>
      <c r="V156" s="156" t="str">
        <f>IF(OR(O156="",P156=""),"",IF(ISERROR(FIND("drawer",$A156))=FALSE,VLOOKUP(WardrobeDrawerType,FixedListsDrawerType,2,0),0))</f>
        <v/>
      </c>
      <c r="W156" s="156" t="str">
        <f>IF(OR(O156="",P156=""),"",IF(S156&gt;0,VLOOKUP(WardrobeHandleType,FixedListsHandleType,2,FALSE),0))</f>
        <v/>
      </c>
      <c r="X156" s="156" t="str">
        <f t="shared" si="5"/>
        <v/>
      </c>
      <c r="Y156" s="156" t="str">
        <f>IF(OR(O156="",P156=""),"",IF(OR(ISERROR(FIND("carcass",$A156))=FALSE,ISERROR(FIND("unit",$A156))=FALSE),VLOOKUP(WardrobeCarcassMaterial,FixedListsCarcassMaterial,3,0),0))</f>
        <v/>
      </c>
      <c r="Z156" s="156" t="str">
        <f>IF(OR(O156="",P156=""),"",IF(ISERROR(FIND("door",$A156))=FALSE,VLOOKUP(WardrobeDoorStyle,FixedListsDoorStyle,3,0),0))</f>
        <v/>
      </c>
      <c r="AA156" s="156" t="str">
        <f>IF(OR(O156="",P156=""),"",IF(ISERROR(FIND("door",$A156))=FALSE,VLOOKUP(WardrobeDoorMaterial,FixedListsDoorMaterial,3,0),0))</f>
        <v/>
      </c>
      <c r="AB156" s="156" t="str">
        <f>IF(OR(O156="",P156=""),"",IF(ISERROR(FIND("drawer",$A156))=FALSE,VLOOKUP(WardrobeDrawerType,FixedListsDrawerType,3,0),0))</f>
        <v/>
      </c>
      <c r="AC156" s="156" t="str">
        <f>IF(OR(O156="",P156=""),"",IF(S156&gt;0,VLOOKUP(WardrobeHandleType,FixedListsHandleType,3,FALSE),0))</f>
        <v/>
      </c>
      <c r="AD156" s="156" t="str">
        <f>IF(OR(O156="",P156=""),"",IF(OR(ISERROR(FIND("carcass",$A156))=FALSE,ISERROR(FIND("unit",$A156))=FALSE),VLOOKUP(WardrobeCarcassFinish,FixedListsFinishes,3,0),IF(OR(ISERROR(FIND("door",$A156))=FALSE,ISERROR(FIND("Plinth",$A156))=FALSE,ISERROR(FIND("Cornice",$A156))=FALSE,ISERROR(FIND("Fillers",$A156))=FALSE,ISERROR(FIND("Pelmet",$A156))=FALSE,ISERROR(FIND("panel",$A156))=FALSE,ISERROR(FIND("post",$A156))=FALSE),VLOOKUP(WardrobeDoorFinish,FixedListsFinishes,3,0),IF(OR(ISERROR(FIND("drawer",$A156))=FALSE,ISERROR(FIND("insert",$A156))=FALSE,ISERROR(FIND("rck",$A156))=FALSE),VLOOKUP(WardrobeCarcassFinish,FixedListsFinishes,3,0),0))))</f>
        <v/>
      </c>
      <c r="AE156" s="156" t="str">
        <f t="shared" si="6"/>
        <v/>
      </c>
      <c r="AF156" s="157" t="str">
        <f>IF(AND(WardrobeHandleType="Channel",OR(ISERROR(FIND("arcass",$A156))=FALSE,ISERROR(FIND("unit",$A156))=FALSE)),IF(ISERROR(FIND("Tower",$A156))=TRUE,IF(WardrobeHandleFinish="Match carcass",IF(ISERROR(FIND("Walnut",WardrobeCarcassMaterial))=FALSE,(0.035*0.075*($C156/1000))*VLOOKUP("Walnut (solid m3)",SolidData,4,FALSE),IF(ISERROR(FIND("Oak",WardrobeCarcassMaterial))=FALSE,(0.035*0.075*($C156/1000))*VLOOKUP("Oak (solid m3)",SolidData,4,FALSE),IF(ISERROR(FIND("ply",WardrobeCarcassMaterial))=FALSE,(0.1*($C156/1000))*VLOOKUP("Birch ply (24mm)",SheetsData,7,FALSE),IF(ISERROR(FIND("H/F",WardrobeCarcassMaterial))=FALSE,(0.1*($C156/1000))*VLOOKUP("H/F (22mm)",SheetsData,7,FALSE),"Carcass - not tower - new material")))),IF(WardrobeHandleFinish="Match door",IF(ISERROR(FIND("Walnut",WardrobeDoorMaterial))=FALSE,(0.035*0.075*($C156/1000))*VLOOKUP("Walnut (solid m3)",SolidData,4,FALSE),IF(ISERROR(FIND("Oak",WardrobeDoorMaterial))=FALSE,(0.035*0.075*($C156/1000))*VLOOKUP("Oak (solid m3)",SolidData,4,FALSE),IF(ISERROR(FIND("ply",WardrobeDoorMaterial))=FALSE,(0.1*($C156/1000))*VLOOKUP("Birch ply (24mm)",SheetsData,7,FALSE),IF(ISERROR(FIND("H/F",WardrobeCarcassMaterial))=FALSE,(0.1*($C156/1000))*VLOOKUP("H/F (22mm)",SheetsData,7,FALSE),"Door - not tower - new material")))),"Channel - not tower - handle set to other")),IF(ISERROR(FIND("Tower",$A156))=FALSE,IF(WardrobeHandleFinish="Match carcass",IF(ISERROR(FIND("Walnut",WardrobeCarcassMaterial))=FALSE,(0.035*0.075*($B156/1000))*VLOOKUP("Walnut (solid m3)",SolidData,4,FALSE),IF(ISERROR(FIND("Oak",WardrobeCarcassMaterial))=FALSE,(0.035*0.075*($B156/1000))*VLOOKUP("Oak (solid m3)",SolidData,4,FALSE),IF(ISERROR(FIND("ply",WardrobeCarcassMaterial))=FALSE,(0.1*($B156/1000))*VLOOKUP("Birch ply (24mm)",SheetsData,7,FALSE),IF(ISERROR(FIND("H/F",WardrobeCarcassMaterial))=FALSE,(0.1*($C156/1000))*VLOOKUP("H/F (22mm)",SheetsData,7,FALSE),"Carcass - tower - new material")))),IF(WardrobeHandleFinish="Match door",IF(ISERROR(FIND("Walnut",WardrobeDoorMaterial))=FALSE,(0.035*0.075*($B156/1000))*VLOOKUP("Walnut (solid m3)",SolidData,4,FALSE),IF(ISERROR(FIND("Oak",WardrobeDoorMaterial))=FALSE,(0.035*0.075*($B156/1000))*VLOOKUP("Oak (solid m3)",SolidData,4,FALSE),IF(ISERROR(FIND("ply",WardrobeDoorMaterial))=FALSE,(0.1*($B156/1000))*VLOOKUP("Birch ply (24mm)",SheetData,7,FALSE),IF(ISERROR(FIND("H/F",WardrobeCarcassMaterial))=FALSE,(0.1*($C156/1000))*VLOOKUP("H/F (22mm)",SheetsData,7,FALSE),"Door - tower - new material")))),"Channel - tower - handle set to other")))),"")</f>
        <v/>
      </c>
    </row>
    <row r="157">
      <c r="A157" s="150"/>
      <c r="B157" s="160" t="str">
        <f t="shared" si="1"/>
        <v/>
      </c>
      <c r="C157" s="160" t="str">
        <f>IFERROR(__xludf.DUMMYFUNCTION("IF(A157="""","""",IF(ISERROR(FIND(""arcass"",A157))=FALSE,MID(A157,FIND(""*"",A157)+1,FIND(""*"",A157,FIND(""*"",A157)+1)-FIND(""*"",A157)-1),IF(ISERROR(FIND(""End panel"",A157))=FALSE,RIGHT(A157,3),IF(OR(ISERROR(FIND(""drawer"",A157))=FALSE,ISERROR(FIND("&amp;"""door"",A157))=FALSE,ISERROR(FIND(""shelf"",A157))=FALSE,ISERROR(FIND(""panel"",A157))=FALSE,ISERROR(FIND(""Plinth"",A157))=FALSE,ISERROR(FIND(""Cornice"",A157))=FALSE,ISERROR(FIND(""Fillers"",A157))=FALSE,ISERROR(FIND(""Pelmet"",A157))=FALSE,ISERROR(FIN"&amp;"D(""Fireplace up to 1600"",A157))=FALSE),RIGHT(A157,LEN(A157)-LEN(regexextract(A157,"".* ""))),IF(ISERROR(FIND(""table"",A157))=FALSE,""560"",IF(ISERROR(FIND(""Office pod"",A157))=FALSE,""1600"",IF(ISERROR(FIND(""Fireplace over 1600"",A157))=FALSE,""2400"&amp;""",IF(ISERROR(FIND(""Worktop"",A157))=FALSE,""650"",""Whoops""))))))))"),"")</f>
        <v/>
      </c>
      <c r="D157" s="161" t="str">
        <f t="shared" si="2"/>
        <v/>
      </c>
      <c r="E157" s="152" t="str">
        <f>IF(OR(A157="",AND(ISERROR(FIND("drawer",A157))=FALSE,WardrobeDrawerType="")),"",IF(ISERROR(FIND("door",A157))=FALSE,IF(WardrobeDoorStyle="Flat",((B157/1000)*(C157/1000))*VLOOKUP(WardrobeDoorMaterial,SheetsData,8,0),IF(LEFT(WardrobeDoorStyle,5)="Panel",(((((B157/1000)*2)*0.08)+((((C157/1000)-0.16)*2)*0.08))*VLOOKUP("H/F (22mm)",SheetsData,8,0))+(((B157/1000)-0.14)*((C157/1000)-0.14)*VLOOKUP("H/F (9mm)",SheetsData,8,0)),IF(WardrobeDoorStyle="In-frame flat",((((((B157/1000)*0.019)*0.038)+((((C157-38)/1000)*0.038)*0.038))*2)*VLOOKUP("Tulip (solid m3)",SolidData,4,0))+(((B157-76)/1000)*((C157-38)/1000))*VLOOKUP("H/F (22mm)",SheetsData,8,0),IF(LEFT(WardrobeDoorStyle,14)="In-frame panel",(((((((B157/1000)*0.019)*0.038)+((((C157-38)/1000)*0.038)*0.038))*2)*VLOOKUP("Tulip (solid m3)",SolidData,4,0))+(((((((B157-76)/1000)*2)*0.08)+(((((C157-198)/1000)*2)*0.08)))*VLOOKUP("H/F (22mm)",SheetsData,8,0))+(((B157-216)/1000)*((C157-178)/1000)*VLOOKUP("H/F (9mm)",SheetsData,8,0)))))))),IF(AND(ISERROR(FIND("arcass",A157))=FALSE,ISERROR(FIND("ost corner",A157))=TRUE),IF(AND(VALUE(B157)&lt;1211,VALUE(C157)&lt;1211,VALUE(D157)&lt;606),1*VLOOKUP(WardrobeCarcassMaterial,SheetsData,5,FALSE),IF(AND(VALUE(B157)&lt;2421,VALUE(C157)&lt;2421,VALUE(D157)&lt;606),2*VLOOKUP(WardrobeCarcassMaterial,SheetsData,5,FALSE),IF(AND(VALUE(B157)&lt;2421,VALUE(C157)&lt;1211,VALUE(D157)&lt;1211),3*VLOOKUP(WardrobeCarcassMaterial,SheetsData,5,FALSE),IF(AND(VALUE(B157)&lt;2421,VALUE(C157)&lt;2421,VALUE(D157)&lt;1211),4*VLOOKUP(WardrobeCarcassMaterial,SheetsData,5,FALSE))))),IF(AND(ISERROR(FIND("arcass",A157))=FALSE,ISERROR(FIND("ost corner",A157))=FALSE),IF(AND(VALUE(B157)&lt;1211,VALUE(C157)&lt;1211,VALUE(D157)&lt;606),(1*VLOOKUP(WardrobeCarcassMaterial,SheetsData,5,FALSE))+(VLOOKUP("H/F (22mm)",SheetsData,7,FALSE)*1.44),IF(AND(VALUE(B157)&lt;2421,VALUE(C157)&lt;2421,VALUE(D157)&lt;606),(2*VLOOKUP(WardrobeCarcassMaterial,SheetsData,5,FALSE))+(VLOOKUP("H/F (22mm)",SheetsData,7,FALSE)*1.44),IF(AND(VALUE(B157)&lt;2421,VALUE(C157)&lt;1211,VALUE(D157)&lt;1211),(3*VLOOKUP(WardrobeCarcassMaterial,SheetsData,5,FALSE))+(VLOOKUP("H/F (22mm)",SheetsData,7,FALSE)*1.44),IF(AND(VALUE(B157)&lt;2421,VALUE(C157)&lt;2421,VALUE(D157)&lt;1211),(4*VLOOKUP(WardrobeCarcassMaterial,SheetsData,5,FALSE))+(VLOOKUP("H/F (22mm)",SheetsData,7,FALSE)*1.44))))),IF(ISERROR(FIND("drawer front",A157))=FALSE,((B157/1000)*(C157/1000))*VLOOKUP(WardrobeDoorMaterial,SheetsData,8,0),IF(AND(WardrobeDrawerType="Match carcass",ISERROR(FIND("drawer box",A157))=FALSE),(((((B157/1000)*(C157/1000))+((B157/1000)*(D157/1000)))*2)*VLOOKUP(WardrobeCarcassMaterial,SheetsData,8,0))+(((C157/1000)*(D157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box",A157))=FALSE),(((((B157/1000)*(C157/1000))+((B157/1000)*(D157/1000)))*2)*(16/1000)*VLOOKUP(LEFT(WardrobeCarcassMaterial,FIND(" ",WardrobeCarcassMaterial))&amp;"(solid m3)",SolidData,4,0))+(((C157/1000)*(D157/1000))*VLOOKUP(LEFT(WardrobeCarcassMaterial,FIND("(",WardrobeCarcassMaterial)-1)&amp;IF(OR(ISERROR(FIND("ply",WardrobeCarcassMaterial))=FALSE,ISERROR(FIND("H/F",WardrobeCarcassMaterial))=FALSE),"(9mm)","(10mm)"),SheetsData,8,0)),IF(ISERROR(FIND("shelf",A157))=FALSE,((C157/1000)*(D157/1000))*VLOOKUP(WardrobeCarcassMaterial,SheetsData,7,FALSE),IF(ISERROR(FIND("Office pod",A157))=FALSE,3*VLOOKUP(WardrobeCarcassMaterial,SheetsData,5,0),IF(ISERROR(FIND(" panel",A157))=FALSE,((B157/1000)*(C157/1000))*VLOOKUP(WardrobeDoorMaterial,SheetsData,8,0),IF(ISERROR(FIND("Fillers",A157))=FALSE,(((0.06*(C157/1000))*2)*VLOOKUP("H/F (18mm)",SheetsData,8,0))+(((0.06*(C157/1000))*2)*VLOOKUP("H/F (9mm)",SheetsData,8,0)),IF(ISERROR(FIND("Cornice (stacked)",A157))=FALSE,((0.08*(C157/1000))*2)*VLOOKUP("H/F (22mm)",SheetsData,8,0),IF(OR(ISERROR(FIND("Plinth",A157))=FALSE,ISERROR(FIND("Cornice (flat)",A157))=FALSE),((B157/1000)*(C157/1000))*VLOOKUP("H/F (18mm)",SheetsData,8,0),IF(ISERROR(FIND("Pelmet",A157))=FALSE,((((B157/1000)*(C157/1000))*2)*VLOOKUP("H/F (18mm)",SheetsData,8,0)),IF(ISERROR(FIND("Fireplace",A157))=FALSE,IF(ISERROR(FIND("over 1600",A157))=FALSE,2*VLOOKUP(WardrobeCarcassMaterial,SheetsData,5,FALSE),VLOOKUP(WardrobeCarcassMaterial,SheetsData,5,FALSE)),IF(ISERROR(FIND("table",A157))=FALSE,((B157/1000)*0.6)*VLOOKUP("Birch ply (24mm)",SheetsData,7,FALSE),IF(ISERROR(FIND("Worktop",A157))=FALSE,((B157/1000)*(C157/1000))*VLOOKUP(WardrobeDoorMaterial,SheetsData,7,FALSE),"Check formula")))))))))))))))))</f>
        <v/>
      </c>
      <c r="F157" s="152" t="str">
        <f>IFERROR(__xludf.DUMMYFUNCTION("IF(OR(A157="""",AND(ISERROR(FIND(""drawer box"",A157))=FALSE,WardrobeDrawerType=""Solid dovetail"")),"""",IF(ISERROR(FIND(""bins"",A157))=FALSE,VLOOKUP(""Base carcass 600"",Wardrobes_etcData,6,0),IF(OR(ISERROR(FIND(""larder"",A157))=FALSE,ISERROR(FIND(""u"&amp;"nit"",A157))=FALSE),VLOOKUP(LEFT(A157,FIND("" "",A157))&amp;""carcass ""&amp;RIGHT(A157,LEN(A157)-len(regexextract(A157,"".* ""))),Wardrobes_etcData,6,0),IF(ISERROR(FIND(""drawer front"",A157))=FALSE,IF(ISERROR(FIND(""veneer"",WardrobeCarcassMaterial))=TRUE,0,((("&amp;"B157+C157)/1000)*2)*VLOOKUP(""Edge banding (per M)"",SheetsData,5,0)),IF(ISERROR(FIND(""drawer box"",A157))=FALSE,IF(ISERROR(FIND(""veneer"",WardrobeCarcassMaterial))=TRUE,0,(((C157+D157)/1000)*2)*VLOOKUP(""Edge banding (per M)"",SheetsData,5,0)),IF(ISERR"&amp;"OR(FIND(""shelf"",A157))=FALSE,IF(ISERROR(FIND(""veneer"",WardrobeCarcassMaterial))=TRUE,0,(C157/1000)*VLOOKUP(""Edge banding (per M)"",SheetsData,5,0)),IF(AND(OR(ISERROR(FIND(""arcass"",A157))=FALSE,ISERROR(FIND(""Fireplace"",A157))=FALSE),ISERROR(FIND("&amp;"""shelf"",A157))=TRUE),IF(ISERROR(FIND(""veneer"",WardrobeCarcassMaterial))=TRUE,0,((2*(B157+C157))/1000)*VLOOKUP(""Edge banding (per M)"",SheetsData,5,0)),IF(ISERROR(FIND(""door"",A157))=TRUE,"""",IF(ISERROR(FIND(""veneer"",WardrobeDoorMaterial))=TRUE,"""&amp;""",((2*(B157+C157))/1000)*VLOOKUP(""Edge banding (per M)"",SheetsData,5,0))))))))))"),"")</f>
        <v/>
      </c>
      <c r="G157" s="153" t="str">
        <f>IF(A157="","",IF(AND(ISERROR(FIND("arcass",A157))=TRUE,ISERROR(FIND("Fireplace",A157))=TRUE),"",IF(VALUE(C157)&lt;606,4*VLOOKUP("Plinth foot (2 Parts 80mm)",FurnitureData,5,FALSE),IF(VALUE(C157)&lt;1211,6*VLOOKUP("Plinth foot (2 Parts 80mm)",FurnitureData,5,FALSE),8*VLOOKUP("Plinth foot (2 Parts 80mm)",FurnitureData,5,FALSE)))))</f>
        <v/>
      </c>
      <c r="H157" s="115" t="str">
        <f>IF(OR(A157="",ISERROR(FIND("door",A157))=TRUE),"",VLOOKUP("Hinges &amp; plates (Hettich thick door)",FurnitureData,5,0)*5)</f>
        <v/>
      </c>
      <c r="I157" s="115" t="str">
        <f>IF(ISERROR(FIND("shelf",A157))=FALSE,(VLOOKUP("Shelf pegs",FurnitureData,5,0)/100)*4,"")</f>
        <v/>
      </c>
      <c r="J157" s="152" t="str">
        <f>IF(OR(ISERROR(FIND("fridge/freezer",A157))=FALSE,ISERROR(FIND("sink",A157))=FALSE,ISERROR(FIND("larder",A157))=FALSE),VLOOKUP("Deep shelf "&amp;C157,Wardrobes_etcData,18,0),IF(OR(ISERROR(FIND("single oven",A157))=FALSE,ISERROR(FIND("Base carcass",A157))=FALSE),2*VLOOKUP("Deep shelf "&amp;C157,Wardrobes_etcData,18,0),IF(AND(ISERROR(FIND("wall carcass",A157))=FALSE,ISERROR(FIND("Boiler",A157))=TRUE),2*VLOOKUP("Shallow shelf "&amp;C157,Wardrobes_etcData,18,0),IF(ISERROR(FIND("double oven",A157))=FALSE,3*VLOOKUP("Deep shelf "&amp;C157,Wardrobes_etcData,18,0),IF(ISERROR(FIND("Tower carcass",A157))=FALSE,6*VLOOKUP("Deep shelf "&amp;C157,Wardrobes_etcData,18,0),"")))))</f>
        <v/>
      </c>
      <c r="K157" s="152" t="str">
        <f>IF(ISERROR(FIND("sink",A157))=FALSE,VLOOKUP("Sink liner - Aluminium "&amp;RIGHT(A157,LEN(A157)-22)&amp;"mm",ExceptionalData,5,0),IF(ISERROR(FIND("bins",A157))=FALSE,VLOOKUP("Drawer runners and clip set for bin unit (500) Dynapro",FurnitureData,5,0)+(2*VLOOKUP("Bin (42L Anthracite)",FurnitureData,5,0)),IF(ISERROR(FIND("larder",A157))=FALSE,VLOOKUP("Pull out larder unit 600mm",FurnitureData,5,0),IF(AND(ISERROR(FIND("drawer box",A157))=FALSE,ISERROR(FIND("internal",A157))=TRUE),VLOOKUP("Drawer runners and clip set (550) Dynapro",FurnitureData,5,0),IF(ISERROR(FIND("internal drawer box",A157))=FALSE,VLOOKUP("Drawer runners and clip set (450) Dynapro",FurnitureData,5,0),IF(ISERROR(FIND("table",A157))=FALSE,VLOOKUP("Hairpin Leg (12mm Black "&amp;MID(A157,FIND("(",A157)+1,LEN(A157)-(FIND("(",A157))-1)&amp;"mm)",ExceptionalData,4,FALSE),""))))))</f>
        <v/>
      </c>
      <c r="L157" s="152" t="str">
        <f t="shared" si="3"/>
        <v/>
      </c>
      <c r="M157" s="154" t="str">
        <f>IF(A157="","",IF(AND(ISERROR(FIND("drawer front",A157))=FALSE,WardrobeDoorStyle="Flat"),(((B157/1000)*(C157/1000))*2)+((((B157+C157)/1000)*2)*0.022),IF(AND(ISERROR(FIND("drawer front",A157))=FALSE,LEFT(WardrobeDoorStyle,5)="Panel"),(((B157/1000)*(C157/1000))*2)+((((B157+C157)/1000)*2)*0.022)+((((C157/1000)-0.16)*0.013)*2)+((((D157/1000)-0.16)*0.013)*2),IF(AND(ISERROR(FIND("drawer front",A157))=FALSE,WardrobeDoorStyle="In-frame flat"),((((B157-76)/1000)*((C157-38)/1000))*2)+(MID(WardrobeDoorMaterial,FIND("(",WardrobeDoorMaterial)+1,2)/1000)*((((B157-76)+(C157-38))/1000)*2)+(((B157/1000)*0.032)*2)+((((B157-76)/1000)*0.032)*2)+(((B157/1000)*0.019)*4)+(((C157/1000)*0.032)*2)+((((C157-38)/1000)*0.032)*2)+(((C157/1000)*0.038)*4),IF(AND(ISERROR(FIND("drawer front",A157))=FALSE,LEFT(WardrobeDoorStyle,14)="In-frame panel"),((((B157-76)/1000)*((C157-38)/1000))*2)+((MID(WardrobeDoorMaterial,FIND("(",WardrobeDoorMaterial)+1,2)/1000)*((((B157-76)+(C157-38))/1000)*2))+((((B157-236)/1000)+((C157-198)/1000)*2)*0.013)+(((B157/1000)*0.032)*2)+((((B157-76)/1000)*0.032)*2)+(((B157/1000)*0.019)*4)+(((C157/1000)*0.032)*2)+((((C157-38)/1000)*0.032)*2)+(((C157/1000)*0.038)*4),IF(ISERROR(FIND("drawer box",A157))=FALSE,((((B157/1000)*(D157/1000))+((B157/1000)*(C157/1000)))*4)+((((D157/1000)+(C157/1000))*0.016)*4)+(((C157/1000)*(D157/1000))*2),IF(OR(ISERROR(FIND("shelf",A157))=FALSE,ISERROR(FIND("Filler panel",A157))=FALSE),(((C157/1000)*(D157/1000))*2)+((((C157+D157)*2)/1000)*0.022),IF(ISERROR(FIND("Fireplace",A157))=FALSE,((B157/1000)*(C157/1000)),IF(ISERROR(FIND("Worktop",A157))=FALSE,(B157/1000)*(C157/1000),IF(ISERROR(FIND("table",A157))=FALSE,(B157/1000)*0.6,IF(ISERROR(FIND("arcass",A157))=FALSE,(((C157/1000)*(D157/1000))*2)+(((B157/1000)*(D157/1000))*2)+((B157/1000)*(C157/1000))+((((B157/1000)*0.025)+((C157/1000)*0.025))*2),IF(AND(ISERROR(FIND("door",A157))=FALSE,WardrobeDoorStyle="Flat"),(((B157/1000)*(C157/1000))*2)+(MID(WardrobeDoorMaterial,FIND("(",WardrobeDoorMaterial)+1,2)/1000)*(((B157+C157)/1000)*2),IF(AND(ISERROR(FIND("door",A157))=FALSE,LEFT(WardrobeDoorStyle,5)="Panel"),(((B157/1000)*(C157/1000))*2)+((MID(WardrobeDoorMaterial,FIND("(",WardrobeDoorMaterial)+1,2)/1000)*(((B157+C157)/1000)*2))+(((((B157-160)+(C157-160))*2)/1000)*(0.013)),IF(AND(ISERROR(FIND("door",A157))=FALSE,WardrobeDoorStyle="In-frame flat"),((((B157-76)/1000)*((C157-38)/1000))*2)+(MID(WardrobeDoorMaterial,FIND("(",WardrobeDoorMaterial)+1,2)/1000)*((((B157-76)+(C157-38))/1000)*2)+(((B157/1000)*0.032)*2)+((((B157-76)/1000)*0.032)*2)+(((B157/1000)*0.019)*4)+(((C157/1000)*0.032)*2)+((((C157-38)/1000)*0.032)*2)+(((C157/1000)*0.038)*4),IF(AND(ISERROR(FIND("door",A157))=FALSE,LEFT(WardrobeDoorStyle,14)="In-frame panel"),((((B157-76)/1000)*((C157-38)/1000))*2)+((MID(WardrobeDoorMaterial,FIND("(",WardrobeDoorMaterial)+1,2)/1000)*((((B157-76)+(C157-38))/1000)*2))+((((B157-236)/1000)+((C157-198)/1000)*2)*0.013)+(((B157/1000)*0.032)*2)+((((B157-76)/1000)*0.032)*2)+(((B157/1000)*0.019)*4)+(((C157/1000)*0.032)*2)+((((C157-38)/1000)*0.032)*2)+(((C157/1000)*0.038)*4),IF(ISERROR(FIND("Plinth",A157))=FALSE,((B157/1000)*(C157/1000))+(((C157/1000)*0.018)*2)+(((B157/1000)*0.018)*2),IF(ISERROR(FIND("Cornice",A157))=FALSE,(((C157/1000)*0.1)*2)+(((C157/1000)*0.044)*2)+(((B157/1000)*0.08)*2),IF(ISERROR(FIND("Office pod",A157))=FALSE,((2400/1000)*(1200/1000))*6,IF(ISERROR(FIND("panel",A157))=FALSE,((B157/1000)*(C157/1000))+(0.022*((B157/1000)+((C157/1000)*2)))+((B157/1000)*0.05),IF(ISERROR(FIND("Fillers",A157))=FALSE,((C157/1000)*0.06)+((C157/1000)*0.069)+((0.06*0.018)*2)+((0.06*0.009)*2)+((C157/1000)*0.009)+((C157/1000)*0.018),IF(ISERROR(FIND("Pelmet",A157))=FALSE,((C157/1000)*0.05)+((C157/1000)*0.068)+((0.05*0.018)*4)+(((C157/1000)*0.018))*2)))))))))))))))))))))</f>
        <v/>
      </c>
      <c r="N157" s="152" t="str">
        <f>IF(M157="","",IF(AND(ISERROR(FIND("carcass",A157))=TRUE,ISERROR(FIND("unit",A157))=TRUE,ISERROR(FIND("insert",A157))=TRUE,ISERROR(FIND("rack",A157))=TRUE,ISERROR(FIND("box",A157))=TRUE,ISERROR(FIND("shelf",A157))=TRUE),VLOOKUP(WardrobeDoorFinish,Finishing!$A$2:$K$10,9,0)*M157,IF(ISERROR(FIND("table",A157))=FALSE,VLOOKUP("Sayerlack AF0072 Interior Clear Self-Sealer",FinishingData,9,FALSE)*M157,VLOOKUP(WardrobeCarcassFinish,Finishing!$A$2:$K$40,9,0)*M157)))</f>
        <v/>
      </c>
      <c r="O157" s="159"/>
      <c r="P157" s="159"/>
      <c r="Q157" s="152" t="str">
        <f>IF(OR(O157="",P157=""),"",((O157*X157)*(VLOOKUP("Workshop",Labour!$A$3:$E$20,4,0)/8))+((P157*AE157)*(VLOOKUP("Finishing",Labour!$A$3:$E$20,4,0)/8)))</f>
        <v/>
      </c>
      <c r="R157" s="152" t="str">
        <f t="shared" si="4"/>
        <v/>
      </c>
      <c r="S157" s="156" t="str">
        <f>IF(OR(O157="",P157=""),"",IF(OR(ISERROR(FIND("carcass",$A157))=FALSE,ISERROR(FIND("unit",$A157))=FALSE),VLOOKUP(WardrobeCarcassMaterial,FixedListsCarcassMaterial,2,0),0))</f>
        <v/>
      </c>
      <c r="T157" s="156" t="str">
        <f>IF(OR(O157="",P157=""),"",IF(ISERROR(FIND("door",$A157))=FALSE,VLOOKUP(WardrobeDoorStyle,FixedListsDoorStyle,2,0),0))</f>
        <v/>
      </c>
      <c r="U157" s="156" t="str">
        <f>IF(OR(O157="",P157=""),"",IF(ISERROR(FIND("door",$A157))=FALSE,VLOOKUP(WardrobeDoorMaterial,FixedListsDoorMaterial,2,0),0))</f>
        <v/>
      </c>
      <c r="V157" s="156" t="str">
        <f>IF(OR(O157="",P157=""),"",IF(ISERROR(FIND("drawer",$A157))=FALSE,VLOOKUP(WardrobeDrawerType,FixedListsDrawerType,2,0),0))</f>
        <v/>
      </c>
      <c r="W157" s="156" t="str">
        <f>IF(OR(O157="",P157=""),"",IF(S157&gt;0,VLOOKUP(WardrobeHandleType,FixedListsHandleType,2,FALSE),0))</f>
        <v/>
      </c>
      <c r="X157" s="156" t="str">
        <f t="shared" si="5"/>
        <v/>
      </c>
      <c r="Y157" s="156" t="str">
        <f>IF(OR(O157="",P157=""),"",IF(OR(ISERROR(FIND("carcass",$A157))=FALSE,ISERROR(FIND("unit",$A157))=FALSE),VLOOKUP(WardrobeCarcassMaterial,FixedListsCarcassMaterial,3,0),0))</f>
        <v/>
      </c>
      <c r="Z157" s="156" t="str">
        <f>IF(OR(O157="",P157=""),"",IF(ISERROR(FIND("door",$A157))=FALSE,VLOOKUP(WardrobeDoorStyle,FixedListsDoorStyle,3,0),0))</f>
        <v/>
      </c>
      <c r="AA157" s="156" t="str">
        <f>IF(OR(O157="",P157=""),"",IF(ISERROR(FIND("door",$A157))=FALSE,VLOOKUP(WardrobeDoorMaterial,FixedListsDoorMaterial,3,0),0))</f>
        <v/>
      </c>
      <c r="AB157" s="156" t="str">
        <f>IF(OR(O157="",P157=""),"",IF(ISERROR(FIND("drawer",$A157))=FALSE,VLOOKUP(WardrobeDrawerType,FixedListsDrawerType,3,0),0))</f>
        <v/>
      </c>
      <c r="AC157" s="156" t="str">
        <f>IF(OR(O157="",P157=""),"",IF(S157&gt;0,VLOOKUP(WardrobeHandleType,FixedListsHandleType,3,FALSE),0))</f>
        <v/>
      </c>
      <c r="AD157" s="156" t="str">
        <f>IF(OR(O157="",P157=""),"",IF(OR(ISERROR(FIND("carcass",$A157))=FALSE,ISERROR(FIND("unit",$A157))=FALSE),VLOOKUP(WardrobeCarcassFinish,FixedListsFinishes,3,0),IF(OR(ISERROR(FIND("door",$A157))=FALSE,ISERROR(FIND("Plinth",$A157))=FALSE,ISERROR(FIND("Cornice",$A157))=FALSE,ISERROR(FIND("Fillers",$A157))=FALSE,ISERROR(FIND("Pelmet",$A157))=FALSE,ISERROR(FIND("panel",$A157))=FALSE,ISERROR(FIND("post",$A157))=FALSE),VLOOKUP(WardrobeDoorFinish,FixedListsFinishes,3,0),IF(OR(ISERROR(FIND("drawer",$A157))=FALSE,ISERROR(FIND("insert",$A157))=FALSE,ISERROR(FIND("rck",$A157))=FALSE),VLOOKUP(WardrobeCarcassFinish,FixedListsFinishes,3,0),0))))</f>
        <v/>
      </c>
      <c r="AE157" s="156" t="str">
        <f t="shared" si="6"/>
        <v/>
      </c>
      <c r="AF157" s="157" t="str">
        <f>IF(AND(WardrobeHandleType="Channel",OR(ISERROR(FIND("arcass",$A157))=FALSE,ISERROR(FIND("unit",$A157))=FALSE)),IF(ISERROR(FIND("Tower",$A157))=TRUE,IF(WardrobeHandleFinish="Match carcass",IF(ISERROR(FIND("Walnut",WardrobeCarcassMaterial))=FALSE,(0.035*0.075*($C157/1000))*VLOOKUP("Walnut (solid m3)",SolidData,4,FALSE),IF(ISERROR(FIND("Oak",WardrobeCarcassMaterial))=FALSE,(0.035*0.075*($C157/1000))*VLOOKUP("Oak (solid m3)",SolidData,4,FALSE),IF(ISERROR(FIND("ply",WardrobeCarcassMaterial))=FALSE,(0.1*($C157/1000))*VLOOKUP("Birch ply (24mm)",SheetsData,7,FALSE),IF(ISERROR(FIND("H/F",WardrobeCarcassMaterial))=FALSE,(0.1*($C157/1000))*VLOOKUP("H/F (22mm)",SheetsData,7,FALSE),"Carcass - not tower - new material")))),IF(WardrobeHandleFinish="Match door",IF(ISERROR(FIND("Walnut",WardrobeDoorMaterial))=FALSE,(0.035*0.075*($C157/1000))*VLOOKUP("Walnut (solid m3)",SolidData,4,FALSE),IF(ISERROR(FIND("Oak",WardrobeDoorMaterial))=FALSE,(0.035*0.075*($C157/1000))*VLOOKUP("Oak (solid m3)",SolidData,4,FALSE),IF(ISERROR(FIND("ply",WardrobeDoorMaterial))=FALSE,(0.1*($C157/1000))*VLOOKUP("Birch ply (24mm)",SheetsData,7,FALSE),IF(ISERROR(FIND("H/F",WardrobeCarcassMaterial))=FALSE,(0.1*($C157/1000))*VLOOKUP("H/F (22mm)",SheetsData,7,FALSE),"Door - not tower - new material")))),"Channel - not tower - handle set to other")),IF(ISERROR(FIND("Tower",$A157))=FALSE,IF(WardrobeHandleFinish="Match carcass",IF(ISERROR(FIND("Walnut",WardrobeCarcassMaterial))=FALSE,(0.035*0.075*($B157/1000))*VLOOKUP("Walnut (solid m3)",SolidData,4,FALSE),IF(ISERROR(FIND("Oak",WardrobeCarcassMaterial))=FALSE,(0.035*0.075*($B157/1000))*VLOOKUP("Oak (solid m3)",SolidData,4,FALSE),IF(ISERROR(FIND("ply",WardrobeCarcassMaterial))=FALSE,(0.1*($B157/1000))*VLOOKUP("Birch ply (24mm)",SheetsData,7,FALSE),IF(ISERROR(FIND("H/F",WardrobeCarcassMaterial))=FALSE,(0.1*($C157/1000))*VLOOKUP("H/F (22mm)",SheetsData,7,FALSE),"Carcass - tower - new material")))),IF(WardrobeHandleFinish="Match door",IF(ISERROR(FIND("Walnut",WardrobeDoorMaterial))=FALSE,(0.035*0.075*($B157/1000))*VLOOKUP("Walnut (solid m3)",SolidData,4,FALSE),IF(ISERROR(FIND("Oak",WardrobeDoorMaterial))=FALSE,(0.035*0.075*($B157/1000))*VLOOKUP("Oak (solid m3)",SolidData,4,FALSE),IF(ISERROR(FIND("ply",WardrobeDoorMaterial))=FALSE,(0.1*($B157/1000))*VLOOKUP("Birch ply (24mm)",SheetData,7,FALSE),IF(ISERROR(FIND("H/F",WardrobeCarcassMaterial))=FALSE,(0.1*($C157/1000))*VLOOKUP("H/F (22mm)",SheetsData,7,FALSE),"Door - tower - new material")))),"Channel - tower - handle set to other")))),"")</f>
        <v/>
      </c>
    </row>
    <row r="158">
      <c r="A158" s="151"/>
      <c r="B158" s="160" t="str">
        <f t="shared" si="1"/>
        <v/>
      </c>
      <c r="C158" s="160" t="str">
        <f>IFERROR(__xludf.DUMMYFUNCTION("IF(A158="""","""",IF(ISERROR(FIND(""arcass"",A158))=FALSE,MID(A158,FIND(""*"",A158)+1,FIND(""*"",A158,FIND(""*"",A158)+1)-FIND(""*"",A158)-1),IF(ISERROR(FIND(""End panel"",A158))=FALSE,RIGHT(A158,3),IF(OR(ISERROR(FIND(""drawer"",A158))=FALSE,ISERROR(FIND("&amp;"""door"",A158))=FALSE,ISERROR(FIND(""shelf"",A158))=FALSE,ISERROR(FIND(""panel"",A158))=FALSE,ISERROR(FIND(""Plinth"",A158))=FALSE,ISERROR(FIND(""Cornice"",A158))=FALSE,ISERROR(FIND(""Fillers"",A158))=FALSE,ISERROR(FIND(""Pelmet"",A158))=FALSE,ISERROR(FIN"&amp;"D(""Fireplace up to 1600"",A158))=FALSE),RIGHT(A158,LEN(A158)-LEN(regexextract(A158,"".* ""))),IF(ISERROR(FIND(""table"",A158))=FALSE,""560"",IF(ISERROR(FIND(""Office pod"",A158))=FALSE,""1600"",IF(ISERROR(FIND(""Fireplace over 1600"",A158))=FALSE,""2400"&amp;""",IF(ISERROR(FIND(""Worktop"",A158))=FALSE,""650"",""Whoops""))))))))"),"")</f>
        <v/>
      </c>
      <c r="D158" s="161" t="str">
        <f t="shared" si="2"/>
        <v/>
      </c>
      <c r="E158" s="152" t="str">
        <f>IF(OR(A158="",AND(ISERROR(FIND("drawer",A158))=FALSE,WardrobeDrawerType="")),"",IF(ISERROR(FIND("door",A158))=FALSE,IF(WardrobeDoorStyle="Flat",((B158/1000)*(C158/1000))*VLOOKUP(WardrobeDoorMaterial,SheetsData,8,0),IF(LEFT(WardrobeDoorStyle,5)="Panel",(((((B158/1000)*2)*0.08)+((((C158/1000)-0.16)*2)*0.08))*VLOOKUP("H/F (22mm)",SheetsData,8,0))+(((B158/1000)-0.14)*((C158/1000)-0.14)*VLOOKUP("H/F (9mm)",SheetsData,8,0)),IF(WardrobeDoorStyle="In-frame flat",((((((B158/1000)*0.019)*0.038)+((((C158-38)/1000)*0.038)*0.038))*2)*VLOOKUP("Tulip (solid m3)",SolidData,4,0))+(((B158-76)/1000)*((C158-38)/1000))*VLOOKUP("H/F (22mm)",SheetsData,8,0),IF(LEFT(WardrobeDoorStyle,14)="In-frame panel",(((((((B158/1000)*0.019)*0.038)+((((C158-38)/1000)*0.038)*0.038))*2)*VLOOKUP("Tulip (solid m3)",SolidData,4,0))+(((((((B158-76)/1000)*2)*0.08)+(((((C158-198)/1000)*2)*0.08)))*VLOOKUP("H/F (22mm)",SheetsData,8,0))+(((B158-216)/1000)*((C158-178)/1000)*VLOOKUP("H/F (9mm)",SheetsData,8,0)))))))),IF(AND(ISERROR(FIND("arcass",A158))=FALSE,ISERROR(FIND("ost corner",A158))=TRUE),IF(AND(VALUE(B158)&lt;1211,VALUE(C158)&lt;1211,VALUE(D158)&lt;606),1*VLOOKUP(WardrobeCarcassMaterial,SheetsData,5,FALSE),IF(AND(VALUE(B158)&lt;2421,VALUE(C158)&lt;2421,VALUE(D158)&lt;606),2*VLOOKUP(WardrobeCarcassMaterial,SheetsData,5,FALSE),IF(AND(VALUE(B158)&lt;2421,VALUE(C158)&lt;1211,VALUE(D158)&lt;1211),3*VLOOKUP(WardrobeCarcassMaterial,SheetsData,5,FALSE),IF(AND(VALUE(B158)&lt;2421,VALUE(C158)&lt;2421,VALUE(D158)&lt;1211),4*VLOOKUP(WardrobeCarcassMaterial,SheetsData,5,FALSE))))),IF(AND(ISERROR(FIND("arcass",A158))=FALSE,ISERROR(FIND("ost corner",A158))=FALSE),IF(AND(VALUE(B158)&lt;1211,VALUE(C158)&lt;1211,VALUE(D158)&lt;606),(1*VLOOKUP(WardrobeCarcassMaterial,SheetsData,5,FALSE))+(VLOOKUP("H/F (22mm)",SheetsData,7,FALSE)*1.44),IF(AND(VALUE(B158)&lt;2421,VALUE(C158)&lt;2421,VALUE(D158)&lt;606),(2*VLOOKUP(WardrobeCarcassMaterial,SheetsData,5,FALSE))+(VLOOKUP("H/F (22mm)",SheetsData,7,FALSE)*1.44),IF(AND(VALUE(B158)&lt;2421,VALUE(C158)&lt;1211,VALUE(D158)&lt;1211),(3*VLOOKUP(WardrobeCarcassMaterial,SheetsData,5,FALSE))+(VLOOKUP("H/F (22mm)",SheetsData,7,FALSE)*1.44),IF(AND(VALUE(B158)&lt;2421,VALUE(C158)&lt;2421,VALUE(D158)&lt;1211),(4*VLOOKUP(WardrobeCarcassMaterial,SheetsData,5,FALSE))+(VLOOKUP("H/F (22mm)",SheetsData,7,FALSE)*1.44))))),IF(ISERROR(FIND("drawer front",A158))=FALSE,((B158/1000)*(C158/1000))*VLOOKUP(WardrobeDoorMaterial,SheetsData,8,0),IF(AND(WardrobeDrawerType="Match carcass",ISERROR(FIND("drawer box",A158))=FALSE),(((((B158/1000)*(C158/1000))+((B158/1000)*(D158/1000)))*2)*VLOOKUP(WardrobeCarcassMaterial,SheetsData,8,0))+(((C158/1000)*(D158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box",A158))=FALSE),(((((B158/1000)*(C158/1000))+((B158/1000)*(D158/1000)))*2)*(16/1000)*VLOOKUP(LEFT(WardrobeCarcassMaterial,FIND(" ",WardrobeCarcassMaterial))&amp;"(solid m3)",SolidData,4,0))+(((C158/1000)*(D158/1000))*VLOOKUP(LEFT(WardrobeCarcassMaterial,FIND("(",WardrobeCarcassMaterial)-1)&amp;IF(OR(ISERROR(FIND("ply",WardrobeCarcassMaterial))=FALSE,ISERROR(FIND("H/F",WardrobeCarcassMaterial))=FALSE),"(9mm)","(10mm)"),SheetsData,8,0)),IF(ISERROR(FIND("shelf",A158))=FALSE,((C158/1000)*(D158/1000))*VLOOKUP(WardrobeCarcassMaterial,SheetsData,7,FALSE),IF(ISERROR(FIND("Office pod",A158))=FALSE,3*VLOOKUP(WardrobeCarcassMaterial,SheetsData,5,0),IF(ISERROR(FIND(" panel",A158))=FALSE,((B158/1000)*(C158/1000))*VLOOKUP(WardrobeDoorMaterial,SheetsData,8,0),IF(ISERROR(FIND("Fillers",A158))=FALSE,(((0.06*(C158/1000))*2)*VLOOKUP("H/F (18mm)",SheetsData,8,0))+(((0.06*(C158/1000))*2)*VLOOKUP("H/F (9mm)",SheetsData,8,0)),IF(ISERROR(FIND("Cornice (stacked)",A158))=FALSE,((0.08*(C158/1000))*2)*VLOOKUP("H/F (22mm)",SheetsData,8,0),IF(OR(ISERROR(FIND("Plinth",A158))=FALSE,ISERROR(FIND("Cornice (flat)",A158))=FALSE),((B158/1000)*(C158/1000))*VLOOKUP("H/F (18mm)",SheetsData,8,0),IF(ISERROR(FIND("Pelmet",A158))=FALSE,((((B158/1000)*(C158/1000))*2)*VLOOKUP("H/F (18mm)",SheetsData,8,0)),IF(ISERROR(FIND("Fireplace",A158))=FALSE,IF(ISERROR(FIND("over 1600",A158))=FALSE,2*VLOOKUP(WardrobeCarcassMaterial,SheetsData,5,FALSE),VLOOKUP(WardrobeCarcassMaterial,SheetsData,5,FALSE)),IF(ISERROR(FIND("table",A158))=FALSE,((B158/1000)*0.6)*VLOOKUP("Birch ply (24mm)",SheetsData,7,FALSE),IF(ISERROR(FIND("Worktop",A158))=FALSE,((B158/1000)*(C158/1000))*VLOOKUP(WardrobeDoorMaterial,SheetsData,7,FALSE),"Check formula")))))))))))))))))</f>
        <v/>
      </c>
      <c r="F158" s="152" t="str">
        <f>IFERROR(__xludf.DUMMYFUNCTION("IF(OR(A158="""",AND(ISERROR(FIND(""drawer box"",A158))=FALSE,WardrobeDrawerType=""Solid dovetail"")),"""",IF(ISERROR(FIND(""bins"",A158))=FALSE,VLOOKUP(""Base carcass 600"",Wardrobes_etcData,6,0),IF(OR(ISERROR(FIND(""larder"",A158))=FALSE,ISERROR(FIND(""u"&amp;"nit"",A158))=FALSE),VLOOKUP(LEFT(A158,FIND("" "",A158))&amp;""carcass ""&amp;RIGHT(A158,LEN(A158)-len(regexextract(A158,"".* ""))),Wardrobes_etcData,6,0),IF(ISERROR(FIND(""drawer front"",A158))=FALSE,IF(ISERROR(FIND(""veneer"",WardrobeCarcassMaterial))=TRUE,0,((("&amp;"B158+C158)/1000)*2)*VLOOKUP(""Edge banding (per M)"",SheetsData,5,0)),IF(ISERROR(FIND(""drawer box"",A158))=FALSE,IF(ISERROR(FIND(""veneer"",WardrobeCarcassMaterial))=TRUE,0,(((C158+D158)/1000)*2)*VLOOKUP(""Edge banding (per M)"",SheetsData,5,0)),IF(ISERR"&amp;"OR(FIND(""shelf"",A158))=FALSE,IF(ISERROR(FIND(""veneer"",WardrobeCarcassMaterial))=TRUE,0,(C158/1000)*VLOOKUP(""Edge banding (per M)"",SheetsData,5,0)),IF(AND(OR(ISERROR(FIND(""arcass"",A158))=FALSE,ISERROR(FIND(""Fireplace"",A158))=FALSE),ISERROR(FIND("&amp;"""shelf"",A158))=TRUE),IF(ISERROR(FIND(""veneer"",WardrobeCarcassMaterial))=TRUE,0,((2*(B158+C158))/1000)*VLOOKUP(""Edge banding (per M)"",SheetsData,5,0)),IF(ISERROR(FIND(""door"",A158))=TRUE,"""",IF(ISERROR(FIND(""veneer"",WardrobeDoorMaterial))=TRUE,"""&amp;""",((2*(B158+C158))/1000)*VLOOKUP(""Edge banding (per M)"",SheetsData,5,0))))))))))"),"")</f>
        <v/>
      </c>
      <c r="G158" s="153" t="str">
        <f>IF(A158="","",IF(AND(ISERROR(FIND("arcass",A158))=TRUE,ISERROR(FIND("Fireplace",A158))=TRUE),"",IF(VALUE(C158)&lt;606,4*VLOOKUP("Plinth foot (2 Parts 80mm)",FurnitureData,5,FALSE),IF(VALUE(C158)&lt;1211,6*VLOOKUP("Plinth foot (2 Parts 80mm)",FurnitureData,5,FALSE),8*VLOOKUP("Plinth foot (2 Parts 80mm)",FurnitureData,5,FALSE)))))</f>
        <v/>
      </c>
      <c r="H158" s="115" t="str">
        <f>IF(OR(A158="",ISERROR(FIND("door",A158))=TRUE),"",VLOOKUP("Hinges &amp; plates (Hettich thick door)",FurnitureData,5,0)*5)</f>
        <v/>
      </c>
      <c r="I158" s="115" t="str">
        <f>IF(ISERROR(FIND("shelf",A158))=FALSE,(VLOOKUP("Shelf pegs",FurnitureData,5,0)/100)*4,"")</f>
        <v/>
      </c>
      <c r="J158" s="152" t="str">
        <f>IF(OR(ISERROR(FIND("fridge/freezer",A158))=FALSE,ISERROR(FIND("sink",A158))=FALSE,ISERROR(FIND("larder",A158))=FALSE),VLOOKUP("Deep shelf "&amp;C158,Wardrobes_etcData,18,0),IF(OR(ISERROR(FIND("single oven",A158))=FALSE,ISERROR(FIND("Base carcass",A158))=FALSE),2*VLOOKUP("Deep shelf "&amp;C158,Wardrobes_etcData,18,0),IF(AND(ISERROR(FIND("wall carcass",A158))=FALSE,ISERROR(FIND("Boiler",A158))=TRUE),2*VLOOKUP("Shallow shelf "&amp;C158,Wardrobes_etcData,18,0),IF(ISERROR(FIND("double oven",A158))=FALSE,3*VLOOKUP("Deep shelf "&amp;C158,Wardrobes_etcData,18,0),IF(ISERROR(FIND("Tower carcass",A158))=FALSE,6*VLOOKUP("Deep shelf "&amp;C158,Wardrobes_etcData,18,0),"")))))</f>
        <v/>
      </c>
      <c r="K158" s="152" t="str">
        <f>IF(ISERROR(FIND("sink",A158))=FALSE,VLOOKUP("Sink liner - Aluminium "&amp;RIGHT(A158,LEN(A158)-22)&amp;"mm",ExceptionalData,5,0),IF(ISERROR(FIND("bins",A158))=FALSE,VLOOKUP("Drawer runners and clip set for bin unit (500) Dynapro",FurnitureData,5,0)+(2*VLOOKUP("Bin (42L Anthracite)",FurnitureData,5,0)),IF(ISERROR(FIND("larder",A158))=FALSE,VLOOKUP("Pull out larder unit 600mm",FurnitureData,5,0),IF(AND(ISERROR(FIND("drawer box",A158))=FALSE,ISERROR(FIND("internal",A158))=TRUE),VLOOKUP("Drawer runners and clip set (550) Dynapro",FurnitureData,5,0),IF(ISERROR(FIND("internal drawer box",A158))=FALSE,VLOOKUP("Drawer runners and clip set (450) Dynapro",FurnitureData,5,0),IF(ISERROR(FIND("table",A158))=FALSE,VLOOKUP("Hairpin Leg (12mm Black "&amp;MID(A158,FIND("(",A158)+1,LEN(A158)-(FIND("(",A158))-1)&amp;"mm)",ExceptionalData,4,FALSE),""))))))</f>
        <v/>
      </c>
      <c r="L158" s="152" t="str">
        <f t="shared" si="3"/>
        <v/>
      </c>
      <c r="M158" s="154" t="str">
        <f>IF(A158="","",IF(AND(ISERROR(FIND("drawer front",A158))=FALSE,WardrobeDoorStyle="Flat"),(((B158/1000)*(C158/1000))*2)+((((B158+C158)/1000)*2)*0.022),IF(AND(ISERROR(FIND("drawer front",A158))=FALSE,LEFT(WardrobeDoorStyle,5)="Panel"),(((B158/1000)*(C158/1000))*2)+((((B158+C158)/1000)*2)*0.022)+((((C158/1000)-0.16)*0.013)*2)+((((D158/1000)-0.16)*0.013)*2),IF(AND(ISERROR(FIND("drawer front",A158))=FALSE,WardrobeDoorStyle="In-frame flat"),((((B158-76)/1000)*((C158-38)/1000))*2)+(MID(WardrobeDoorMaterial,FIND("(",WardrobeDoorMaterial)+1,2)/1000)*((((B158-76)+(C158-38))/1000)*2)+(((B158/1000)*0.032)*2)+((((B158-76)/1000)*0.032)*2)+(((B158/1000)*0.019)*4)+(((C158/1000)*0.032)*2)+((((C158-38)/1000)*0.032)*2)+(((C158/1000)*0.038)*4),IF(AND(ISERROR(FIND("drawer front",A158))=FALSE,LEFT(WardrobeDoorStyle,14)="In-frame panel"),((((B158-76)/1000)*((C158-38)/1000))*2)+((MID(WardrobeDoorMaterial,FIND("(",WardrobeDoorMaterial)+1,2)/1000)*((((B158-76)+(C158-38))/1000)*2))+((((B158-236)/1000)+((C158-198)/1000)*2)*0.013)+(((B158/1000)*0.032)*2)+((((B158-76)/1000)*0.032)*2)+(((B158/1000)*0.019)*4)+(((C158/1000)*0.032)*2)+((((C158-38)/1000)*0.032)*2)+(((C158/1000)*0.038)*4),IF(ISERROR(FIND("drawer box",A158))=FALSE,((((B158/1000)*(D158/1000))+((B158/1000)*(C158/1000)))*4)+((((D158/1000)+(C158/1000))*0.016)*4)+(((C158/1000)*(D158/1000))*2),IF(OR(ISERROR(FIND("shelf",A158))=FALSE,ISERROR(FIND("Filler panel",A158))=FALSE),(((C158/1000)*(D158/1000))*2)+((((C158+D158)*2)/1000)*0.022),IF(ISERROR(FIND("Fireplace",A158))=FALSE,((B158/1000)*(C158/1000)),IF(ISERROR(FIND("Worktop",A158))=FALSE,(B158/1000)*(C158/1000),IF(ISERROR(FIND("table",A158))=FALSE,(B158/1000)*0.6,IF(ISERROR(FIND("arcass",A158))=FALSE,(((C158/1000)*(D158/1000))*2)+(((B158/1000)*(D158/1000))*2)+((B158/1000)*(C158/1000))+((((B158/1000)*0.025)+((C158/1000)*0.025))*2),IF(AND(ISERROR(FIND("door",A158))=FALSE,WardrobeDoorStyle="Flat"),(((B158/1000)*(C158/1000))*2)+(MID(WardrobeDoorMaterial,FIND("(",WardrobeDoorMaterial)+1,2)/1000)*(((B158+C158)/1000)*2),IF(AND(ISERROR(FIND("door",A158))=FALSE,LEFT(WardrobeDoorStyle,5)="Panel"),(((B158/1000)*(C158/1000))*2)+((MID(WardrobeDoorMaterial,FIND("(",WardrobeDoorMaterial)+1,2)/1000)*(((B158+C158)/1000)*2))+(((((B158-160)+(C158-160))*2)/1000)*(0.013)),IF(AND(ISERROR(FIND("door",A158))=FALSE,WardrobeDoorStyle="In-frame flat"),((((B158-76)/1000)*((C158-38)/1000))*2)+(MID(WardrobeDoorMaterial,FIND("(",WardrobeDoorMaterial)+1,2)/1000)*((((B158-76)+(C158-38))/1000)*2)+(((B158/1000)*0.032)*2)+((((B158-76)/1000)*0.032)*2)+(((B158/1000)*0.019)*4)+(((C158/1000)*0.032)*2)+((((C158-38)/1000)*0.032)*2)+(((C158/1000)*0.038)*4),IF(AND(ISERROR(FIND("door",A158))=FALSE,LEFT(WardrobeDoorStyle,14)="In-frame panel"),((((B158-76)/1000)*((C158-38)/1000))*2)+((MID(WardrobeDoorMaterial,FIND("(",WardrobeDoorMaterial)+1,2)/1000)*((((B158-76)+(C158-38))/1000)*2))+((((B158-236)/1000)+((C158-198)/1000)*2)*0.013)+(((B158/1000)*0.032)*2)+((((B158-76)/1000)*0.032)*2)+(((B158/1000)*0.019)*4)+(((C158/1000)*0.032)*2)+((((C158-38)/1000)*0.032)*2)+(((C158/1000)*0.038)*4),IF(ISERROR(FIND("Plinth",A158))=FALSE,((B158/1000)*(C158/1000))+(((C158/1000)*0.018)*2)+(((B158/1000)*0.018)*2),IF(ISERROR(FIND("Cornice",A158))=FALSE,(((C158/1000)*0.1)*2)+(((C158/1000)*0.044)*2)+(((B158/1000)*0.08)*2),IF(ISERROR(FIND("Office pod",A158))=FALSE,((2400/1000)*(1200/1000))*6,IF(ISERROR(FIND("panel",A158))=FALSE,((B158/1000)*(C158/1000))+(0.022*((B158/1000)+((C158/1000)*2)))+((B158/1000)*0.05),IF(ISERROR(FIND("Fillers",A158))=FALSE,((C158/1000)*0.06)+((C158/1000)*0.069)+((0.06*0.018)*2)+((0.06*0.009)*2)+((C158/1000)*0.009)+((C158/1000)*0.018),IF(ISERROR(FIND("Pelmet",A158))=FALSE,((C158/1000)*0.05)+((C158/1000)*0.068)+((0.05*0.018)*4)+(((C158/1000)*0.018))*2)))))))))))))))))))))</f>
        <v/>
      </c>
      <c r="N158" s="152" t="str">
        <f>IF(M158="","",IF(AND(ISERROR(FIND("carcass",A158))=TRUE,ISERROR(FIND("unit",A158))=TRUE,ISERROR(FIND("insert",A158))=TRUE,ISERROR(FIND("rack",A158))=TRUE,ISERROR(FIND("box",A158))=TRUE,ISERROR(FIND("shelf",A158))=TRUE),VLOOKUP(WardrobeDoorFinish,Finishing!$A$2:$K$10,9,0)*M158,IF(ISERROR(FIND("table",A158))=FALSE,VLOOKUP("Sayerlack AF0072 Interior Clear Self-Sealer",FinishingData,9,FALSE)*M158,VLOOKUP(WardrobeCarcassFinish,Finishing!$A$2:$K$40,9,0)*M158)))</f>
        <v/>
      </c>
      <c r="O158" s="159"/>
      <c r="P158" s="159"/>
      <c r="Q158" s="152" t="str">
        <f>IF(OR(O158="",P158=""),"",((O158*X158)*(VLOOKUP("Workshop",Labour!$A$3:$E$20,4,0)/8))+((P158*AE158)*(VLOOKUP("Finishing",Labour!$A$3:$E$20,4,0)/8)))</f>
        <v/>
      </c>
      <c r="R158" s="152" t="str">
        <f t="shared" si="4"/>
        <v/>
      </c>
      <c r="S158" s="156" t="str">
        <f>IF(OR(O158="",P158=""),"",IF(OR(ISERROR(FIND("carcass",$A158))=FALSE,ISERROR(FIND("unit",$A158))=FALSE),VLOOKUP(WardrobeCarcassMaterial,FixedListsCarcassMaterial,2,0),0))</f>
        <v/>
      </c>
      <c r="T158" s="156" t="str">
        <f>IF(OR(O158="",P158=""),"",IF(ISERROR(FIND("door",$A158))=FALSE,VLOOKUP(WardrobeDoorStyle,FixedListsDoorStyle,2,0),0))</f>
        <v/>
      </c>
      <c r="U158" s="156" t="str">
        <f>IF(OR(O158="",P158=""),"",IF(ISERROR(FIND("door",$A158))=FALSE,VLOOKUP(WardrobeDoorMaterial,FixedListsDoorMaterial,2,0),0))</f>
        <v/>
      </c>
      <c r="V158" s="156" t="str">
        <f>IF(OR(O158="",P158=""),"",IF(ISERROR(FIND("drawer",$A158))=FALSE,VLOOKUP(WardrobeDrawerType,FixedListsDrawerType,2,0),0))</f>
        <v/>
      </c>
      <c r="W158" s="156" t="str">
        <f>IF(OR(O158="",P158=""),"",IF(S158&gt;0,VLOOKUP(WardrobeHandleType,FixedListsHandleType,2,FALSE),0))</f>
        <v/>
      </c>
      <c r="X158" s="156" t="str">
        <f t="shared" si="5"/>
        <v/>
      </c>
      <c r="Y158" s="156" t="str">
        <f>IF(OR(O158="",P158=""),"",IF(OR(ISERROR(FIND("carcass",$A158))=FALSE,ISERROR(FIND("unit",$A158))=FALSE),VLOOKUP(WardrobeCarcassMaterial,FixedListsCarcassMaterial,3,0),0))</f>
        <v/>
      </c>
      <c r="Z158" s="156" t="str">
        <f>IF(OR(O158="",P158=""),"",IF(ISERROR(FIND("door",$A158))=FALSE,VLOOKUP(WardrobeDoorStyle,FixedListsDoorStyle,3,0),0))</f>
        <v/>
      </c>
      <c r="AA158" s="156" t="str">
        <f>IF(OR(O158="",P158=""),"",IF(ISERROR(FIND("door",$A158))=FALSE,VLOOKUP(WardrobeDoorMaterial,FixedListsDoorMaterial,3,0),0))</f>
        <v/>
      </c>
      <c r="AB158" s="156" t="str">
        <f>IF(OR(O158="",P158=""),"",IF(ISERROR(FIND("drawer",$A158))=FALSE,VLOOKUP(WardrobeDrawerType,FixedListsDrawerType,3,0),0))</f>
        <v/>
      </c>
      <c r="AC158" s="156" t="str">
        <f>IF(OR(O158="",P158=""),"",IF(S158&gt;0,VLOOKUP(WardrobeHandleType,FixedListsHandleType,3,FALSE),0))</f>
        <v/>
      </c>
      <c r="AD158" s="156" t="str">
        <f>IF(OR(O158="",P158=""),"",IF(OR(ISERROR(FIND("carcass",$A158))=FALSE,ISERROR(FIND("unit",$A158))=FALSE),VLOOKUP(WardrobeCarcassFinish,FixedListsFinishes,3,0),IF(OR(ISERROR(FIND("door",$A158))=FALSE,ISERROR(FIND("Plinth",$A158))=FALSE,ISERROR(FIND("Cornice",$A158))=FALSE,ISERROR(FIND("Fillers",$A158))=FALSE,ISERROR(FIND("Pelmet",$A158))=FALSE,ISERROR(FIND("panel",$A158))=FALSE,ISERROR(FIND("post",$A158))=FALSE),VLOOKUP(WardrobeDoorFinish,FixedListsFinishes,3,0),IF(OR(ISERROR(FIND("drawer",$A158))=FALSE,ISERROR(FIND("insert",$A158))=FALSE,ISERROR(FIND("rck",$A158))=FALSE),VLOOKUP(WardrobeCarcassFinish,FixedListsFinishes,3,0),0))))</f>
        <v/>
      </c>
      <c r="AE158" s="156" t="str">
        <f t="shared" si="6"/>
        <v/>
      </c>
      <c r="AF158" s="157" t="str">
        <f>IF(AND(WardrobeHandleType="Channel",OR(ISERROR(FIND("arcass",$A158))=FALSE,ISERROR(FIND("unit",$A158))=FALSE)),IF(ISERROR(FIND("Tower",$A158))=TRUE,IF(WardrobeHandleFinish="Match carcass",IF(ISERROR(FIND("Walnut",WardrobeCarcassMaterial))=FALSE,(0.035*0.075*($C158/1000))*VLOOKUP("Walnut (solid m3)",SolidData,4,FALSE),IF(ISERROR(FIND("Oak",WardrobeCarcassMaterial))=FALSE,(0.035*0.075*($C158/1000))*VLOOKUP("Oak (solid m3)",SolidData,4,FALSE),IF(ISERROR(FIND("ply",WardrobeCarcassMaterial))=FALSE,(0.1*($C158/1000))*VLOOKUP("Birch ply (24mm)",SheetsData,7,FALSE),IF(ISERROR(FIND("H/F",WardrobeCarcassMaterial))=FALSE,(0.1*($C158/1000))*VLOOKUP("H/F (22mm)",SheetsData,7,FALSE),"Carcass - not tower - new material")))),IF(WardrobeHandleFinish="Match door",IF(ISERROR(FIND("Walnut",WardrobeDoorMaterial))=FALSE,(0.035*0.075*($C158/1000))*VLOOKUP("Walnut (solid m3)",SolidData,4,FALSE),IF(ISERROR(FIND("Oak",WardrobeDoorMaterial))=FALSE,(0.035*0.075*($C158/1000))*VLOOKUP("Oak (solid m3)",SolidData,4,FALSE),IF(ISERROR(FIND("ply",WardrobeDoorMaterial))=FALSE,(0.1*($C158/1000))*VLOOKUP("Birch ply (24mm)",SheetsData,7,FALSE),IF(ISERROR(FIND("H/F",WardrobeCarcassMaterial))=FALSE,(0.1*($C158/1000))*VLOOKUP("H/F (22mm)",SheetsData,7,FALSE),"Door - not tower - new material")))),"Channel - not tower - handle set to other")),IF(ISERROR(FIND("Tower",$A158))=FALSE,IF(WardrobeHandleFinish="Match carcass",IF(ISERROR(FIND("Walnut",WardrobeCarcassMaterial))=FALSE,(0.035*0.075*($B158/1000))*VLOOKUP("Walnut (solid m3)",SolidData,4,FALSE),IF(ISERROR(FIND("Oak",WardrobeCarcassMaterial))=FALSE,(0.035*0.075*($B158/1000))*VLOOKUP("Oak (solid m3)",SolidData,4,FALSE),IF(ISERROR(FIND("ply",WardrobeCarcassMaterial))=FALSE,(0.1*($B158/1000))*VLOOKUP("Birch ply (24mm)",SheetsData,7,FALSE),IF(ISERROR(FIND("H/F",WardrobeCarcassMaterial))=FALSE,(0.1*($C158/1000))*VLOOKUP("H/F (22mm)",SheetsData,7,FALSE),"Carcass - tower - new material")))),IF(WardrobeHandleFinish="Match door",IF(ISERROR(FIND("Walnut",WardrobeDoorMaterial))=FALSE,(0.035*0.075*($B158/1000))*VLOOKUP("Walnut (solid m3)",SolidData,4,FALSE),IF(ISERROR(FIND("Oak",WardrobeDoorMaterial))=FALSE,(0.035*0.075*($B158/1000))*VLOOKUP("Oak (solid m3)",SolidData,4,FALSE),IF(ISERROR(FIND("ply",WardrobeDoorMaterial))=FALSE,(0.1*($B158/1000))*VLOOKUP("Birch ply (24mm)",SheetData,7,FALSE),IF(ISERROR(FIND("H/F",WardrobeCarcassMaterial))=FALSE,(0.1*($C158/1000))*VLOOKUP("H/F (22mm)",SheetsData,7,FALSE),"Door - tower - new material")))),"Channel - tower - handle set to other")))),"")</f>
        <v/>
      </c>
    </row>
    <row r="159">
      <c r="A159" s="151"/>
      <c r="B159" s="160" t="str">
        <f t="shared" si="1"/>
        <v/>
      </c>
      <c r="C159" s="160" t="str">
        <f>IFERROR(__xludf.DUMMYFUNCTION("IF(A159="""","""",IF(ISERROR(FIND(""arcass"",A159))=FALSE,MID(A159,FIND(""*"",A159)+1,FIND(""*"",A159,FIND(""*"",A159)+1)-FIND(""*"",A159)-1),IF(ISERROR(FIND(""End panel"",A159))=FALSE,RIGHT(A159,3),IF(OR(ISERROR(FIND(""drawer"",A159))=FALSE,ISERROR(FIND("&amp;"""door"",A159))=FALSE,ISERROR(FIND(""shelf"",A159))=FALSE,ISERROR(FIND(""panel"",A159))=FALSE,ISERROR(FIND(""Plinth"",A159))=FALSE,ISERROR(FIND(""Cornice"",A159))=FALSE,ISERROR(FIND(""Fillers"",A159))=FALSE,ISERROR(FIND(""Pelmet"",A159))=FALSE,ISERROR(FIN"&amp;"D(""Fireplace up to 1600"",A159))=FALSE),RIGHT(A159,LEN(A159)-LEN(regexextract(A159,"".* ""))),IF(ISERROR(FIND(""table"",A159))=FALSE,""560"",IF(ISERROR(FIND(""Office pod"",A159))=FALSE,""1600"",IF(ISERROR(FIND(""Fireplace over 1600"",A159))=FALSE,""2400"&amp;""",IF(ISERROR(FIND(""Worktop"",A159))=FALSE,""650"",""Whoops""))))))))"),"")</f>
        <v/>
      </c>
      <c r="D159" s="161" t="str">
        <f t="shared" si="2"/>
        <v/>
      </c>
      <c r="E159" s="152" t="str">
        <f>IF(OR(A159="",AND(ISERROR(FIND("drawer",A159))=FALSE,WardrobeDrawerType="")),"",IF(ISERROR(FIND("door",A159))=FALSE,IF(WardrobeDoorStyle="Flat",((B159/1000)*(C159/1000))*VLOOKUP(WardrobeDoorMaterial,SheetsData,8,0),IF(LEFT(WardrobeDoorStyle,5)="Panel",(((((B159/1000)*2)*0.08)+((((C159/1000)-0.16)*2)*0.08))*VLOOKUP("H/F (22mm)",SheetsData,8,0))+(((B159/1000)-0.14)*((C159/1000)-0.14)*VLOOKUP("H/F (9mm)",SheetsData,8,0)),IF(WardrobeDoorStyle="In-frame flat",((((((B159/1000)*0.019)*0.038)+((((C159-38)/1000)*0.038)*0.038))*2)*VLOOKUP("Tulip (solid m3)",SolidData,4,0))+(((B159-76)/1000)*((C159-38)/1000))*VLOOKUP("H/F (22mm)",SheetsData,8,0),IF(LEFT(WardrobeDoorStyle,14)="In-frame panel",(((((((B159/1000)*0.019)*0.038)+((((C159-38)/1000)*0.038)*0.038))*2)*VLOOKUP("Tulip (solid m3)",SolidData,4,0))+(((((((B159-76)/1000)*2)*0.08)+(((((C159-198)/1000)*2)*0.08)))*VLOOKUP("H/F (22mm)",SheetsData,8,0))+(((B159-216)/1000)*((C159-178)/1000)*VLOOKUP("H/F (9mm)",SheetsData,8,0)))))))),IF(AND(ISERROR(FIND("arcass",A159))=FALSE,ISERROR(FIND("ost corner",A159))=TRUE),IF(AND(VALUE(B159)&lt;1211,VALUE(C159)&lt;1211,VALUE(D159)&lt;606),1*VLOOKUP(WardrobeCarcassMaterial,SheetsData,5,FALSE),IF(AND(VALUE(B159)&lt;2421,VALUE(C159)&lt;2421,VALUE(D159)&lt;606),2*VLOOKUP(WardrobeCarcassMaterial,SheetsData,5,FALSE),IF(AND(VALUE(B159)&lt;2421,VALUE(C159)&lt;1211,VALUE(D159)&lt;1211),3*VLOOKUP(WardrobeCarcassMaterial,SheetsData,5,FALSE),IF(AND(VALUE(B159)&lt;2421,VALUE(C159)&lt;2421,VALUE(D159)&lt;1211),4*VLOOKUP(WardrobeCarcassMaterial,SheetsData,5,FALSE))))),IF(AND(ISERROR(FIND("arcass",A159))=FALSE,ISERROR(FIND("ost corner",A159))=FALSE),IF(AND(VALUE(B159)&lt;1211,VALUE(C159)&lt;1211,VALUE(D159)&lt;606),(1*VLOOKUP(WardrobeCarcassMaterial,SheetsData,5,FALSE))+(VLOOKUP("H/F (22mm)",SheetsData,7,FALSE)*1.44),IF(AND(VALUE(B159)&lt;2421,VALUE(C159)&lt;2421,VALUE(D159)&lt;606),(2*VLOOKUP(WardrobeCarcassMaterial,SheetsData,5,FALSE))+(VLOOKUP("H/F (22mm)",SheetsData,7,FALSE)*1.44),IF(AND(VALUE(B159)&lt;2421,VALUE(C159)&lt;1211,VALUE(D159)&lt;1211),(3*VLOOKUP(WardrobeCarcassMaterial,SheetsData,5,FALSE))+(VLOOKUP("H/F (22mm)",SheetsData,7,FALSE)*1.44),IF(AND(VALUE(B159)&lt;2421,VALUE(C159)&lt;2421,VALUE(D159)&lt;1211),(4*VLOOKUP(WardrobeCarcassMaterial,SheetsData,5,FALSE))+(VLOOKUP("H/F (22mm)",SheetsData,7,FALSE)*1.44))))),IF(ISERROR(FIND("drawer front",A159))=FALSE,((B159/1000)*(C159/1000))*VLOOKUP(WardrobeDoorMaterial,SheetsData,8,0),IF(AND(WardrobeDrawerType="Match carcass",ISERROR(FIND("drawer box",A159))=FALSE),(((((B159/1000)*(C159/1000))+((B159/1000)*(D159/1000)))*2)*VLOOKUP(WardrobeCarcassMaterial,SheetsData,8,0))+(((C159/1000)*(D159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box",A159))=FALSE),(((((B159/1000)*(C159/1000))+((B159/1000)*(D159/1000)))*2)*(16/1000)*VLOOKUP(LEFT(WardrobeCarcassMaterial,FIND(" ",WardrobeCarcassMaterial))&amp;"(solid m3)",SolidData,4,0))+(((C159/1000)*(D159/1000))*VLOOKUP(LEFT(WardrobeCarcassMaterial,FIND("(",WardrobeCarcassMaterial)-1)&amp;IF(OR(ISERROR(FIND("ply",WardrobeCarcassMaterial))=FALSE,ISERROR(FIND("H/F",WardrobeCarcassMaterial))=FALSE),"(9mm)","(10mm)"),SheetsData,8,0)),IF(ISERROR(FIND("shelf",A159))=FALSE,((C159/1000)*(D159/1000))*VLOOKUP(WardrobeCarcassMaterial,SheetsData,7,FALSE),IF(ISERROR(FIND("Office pod",A159))=FALSE,3*VLOOKUP(WardrobeCarcassMaterial,SheetsData,5,0),IF(ISERROR(FIND(" panel",A159))=FALSE,((B159/1000)*(C159/1000))*VLOOKUP(WardrobeDoorMaterial,SheetsData,8,0),IF(ISERROR(FIND("Fillers",A159))=FALSE,(((0.06*(C159/1000))*2)*VLOOKUP("H/F (18mm)",SheetsData,8,0))+(((0.06*(C159/1000))*2)*VLOOKUP("H/F (9mm)",SheetsData,8,0)),IF(ISERROR(FIND("Cornice (stacked)",A159))=FALSE,((0.08*(C159/1000))*2)*VLOOKUP("H/F (22mm)",SheetsData,8,0),IF(OR(ISERROR(FIND("Plinth",A159))=FALSE,ISERROR(FIND("Cornice (flat)",A159))=FALSE),((B159/1000)*(C159/1000))*VLOOKUP("H/F (18mm)",SheetsData,8,0),IF(ISERROR(FIND("Pelmet",A159))=FALSE,((((B159/1000)*(C159/1000))*2)*VLOOKUP("H/F (18mm)",SheetsData,8,0)),IF(ISERROR(FIND("Fireplace",A159))=FALSE,IF(ISERROR(FIND("over 1600",A159))=FALSE,2*VLOOKUP(WardrobeCarcassMaterial,SheetsData,5,FALSE),VLOOKUP(WardrobeCarcassMaterial,SheetsData,5,FALSE)),IF(ISERROR(FIND("table",A159))=FALSE,((B159/1000)*0.6)*VLOOKUP("Birch ply (24mm)",SheetsData,7,FALSE),IF(ISERROR(FIND("Worktop",A159))=FALSE,((B159/1000)*(C159/1000))*VLOOKUP(WardrobeDoorMaterial,SheetsData,7,FALSE),"Check formula")))))))))))))))))</f>
        <v/>
      </c>
      <c r="F159" s="152" t="str">
        <f>IFERROR(__xludf.DUMMYFUNCTION("IF(OR(A159="""",AND(ISERROR(FIND(""drawer box"",A159))=FALSE,WardrobeDrawerType=""Solid dovetail"")),"""",IF(ISERROR(FIND(""bins"",A159))=FALSE,VLOOKUP(""Base carcass 600"",Wardrobes_etcData,6,0),IF(OR(ISERROR(FIND(""larder"",A159))=FALSE,ISERROR(FIND(""u"&amp;"nit"",A159))=FALSE),VLOOKUP(LEFT(A159,FIND("" "",A159))&amp;""carcass ""&amp;RIGHT(A159,LEN(A159)-len(regexextract(A159,"".* ""))),Wardrobes_etcData,6,0),IF(ISERROR(FIND(""drawer front"",A159))=FALSE,IF(ISERROR(FIND(""veneer"",WardrobeCarcassMaterial))=TRUE,0,((("&amp;"B159+C159)/1000)*2)*VLOOKUP(""Edge banding (per M)"",SheetsData,5,0)),IF(ISERROR(FIND(""drawer box"",A159))=FALSE,IF(ISERROR(FIND(""veneer"",WardrobeCarcassMaterial))=TRUE,0,(((C159+D159)/1000)*2)*VLOOKUP(""Edge banding (per M)"",SheetsData,5,0)),IF(ISERR"&amp;"OR(FIND(""shelf"",A159))=FALSE,IF(ISERROR(FIND(""veneer"",WardrobeCarcassMaterial))=TRUE,0,(C159/1000)*VLOOKUP(""Edge banding (per M)"",SheetsData,5,0)),IF(AND(OR(ISERROR(FIND(""arcass"",A159))=FALSE,ISERROR(FIND(""Fireplace"",A159))=FALSE),ISERROR(FIND("&amp;"""shelf"",A159))=TRUE),IF(ISERROR(FIND(""veneer"",WardrobeCarcassMaterial))=TRUE,0,((2*(B159+C159))/1000)*VLOOKUP(""Edge banding (per M)"",SheetsData,5,0)),IF(ISERROR(FIND(""door"",A159))=TRUE,"""",IF(ISERROR(FIND(""veneer"",WardrobeDoorMaterial))=TRUE,"""&amp;""",((2*(B159+C159))/1000)*VLOOKUP(""Edge banding (per M)"",SheetsData,5,0))))))))))"),"")</f>
        <v/>
      </c>
      <c r="G159" s="153" t="str">
        <f>IF(A159="","",IF(AND(ISERROR(FIND("arcass",A159))=TRUE,ISERROR(FIND("Fireplace",A159))=TRUE),"",IF(VALUE(C159)&lt;606,4*VLOOKUP("Plinth foot (2 Parts 80mm)",FurnitureData,5,FALSE),IF(VALUE(C159)&lt;1211,6*VLOOKUP("Plinth foot (2 Parts 80mm)",FurnitureData,5,FALSE),8*VLOOKUP("Plinth foot (2 Parts 80mm)",FurnitureData,5,FALSE)))))</f>
        <v/>
      </c>
      <c r="H159" s="115" t="str">
        <f>IF(OR(A159="",ISERROR(FIND("door",A159))=TRUE),"",VLOOKUP("Hinges &amp; plates (Hettich thick door)",FurnitureData,5,0)*5)</f>
        <v/>
      </c>
      <c r="I159" s="115" t="str">
        <f>IF(ISERROR(FIND("shelf",A159))=FALSE,(VLOOKUP("Shelf pegs",FurnitureData,5,0)/100)*4,"")</f>
        <v/>
      </c>
      <c r="J159" s="152" t="str">
        <f>IF(OR(ISERROR(FIND("fridge/freezer",A159))=FALSE,ISERROR(FIND("sink",A159))=FALSE,ISERROR(FIND("larder",A159))=FALSE),VLOOKUP("Deep shelf "&amp;C159,Wardrobes_etcData,18,0),IF(OR(ISERROR(FIND("single oven",A159))=FALSE,ISERROR(FIND("Base carcass",A159))=FALSE),2*VLOOKUP("Deep shelf "&amp;C159,Wardrobes_etcData,18,0),IF(AND(ISERROR(FIND("wall carcass",A159))=FALSE,ISERROR(FIND("Boiler",A159))=TRUE),2*VLOOKUP("Shallow shelf "&amp;C159,Wardrobes_etcData,18,0),IF(ISERROR(FIND("double oven",A159))=FALSE,3*VLOOKUP("Deep shelf "&amp;C159,Wardrobes_etcData,18,0),IF(ISERROR(FIND("Tower carcass",A159))=FALSE,6*VLOOKUP("Deep shelf "&amp;C159,Wardrobes_etcData,18,0),"")))))</f>
        <v/>
      </c>
      <c r="K159" s="152" t="str">
        <f>IF(ISERROR(FIND("sink",A159))=FALSE,VLOOKUP("Sink liner - Aluminium "&amp;RIGHT(A159,LEN(A159)-22)&amp;"mm",ExceptionalData,5,0),IF(ISERROR(FIND("bins",A159))=FALSE,VLOOKUP("Drawer runners and clip set for bin unit (500) Dynapro",FurnitureData,5,0)+(2*VLOOKUP("Bin (42L Anthracite)",FurnitureData,5,0)),IF(ISERROR(FIND("larder",A159))=FALSE,VLOOKUP("Pull out larder unit 600mm",FurnitureData,5,0),IF(AND(ISERROR(FIND("drawer box",A159))=FALSE,ISERROR(FIND("internal",A159))=TRUE),VLOOKUP("Drawer runners and clip set (550) Dynapro",FurnitureData,5,0),IF(ISERROR(FIND("internal drawer box",A159))=FALSE,VLOOKUP("Drawer runners and clip set (450) Dynapro",FurnitureData,5,0),IF(ISERROR(FIND("table",A159))=FALSE,VLOOKUP("Hairpin Leg (12mm Black "&amp;MID(A159,FIND("(",A159)+1,LEN(A159)-(FIND("(",A159))-1)&amp;"mm)",ExceptionalData,4,FALSE),""))))))</f>
        <v/>
      </c>
      <c r="L159" s="152" t="str">
        <f t="shared" si="3"/>
        <v/>
      </c>
      <c r="M159" s="154" t="str">
        <f>IF(A159="","",IF(AND(ISERROR(FIND("drawer front",A159))=FALSE,WardrobeDoorStyle="Flat"),(((B159/1000)*(C159/1000))*2)+((((B159+C159)/1000)*2)*0.022),IF(AND(ISERROR(FIND("drawer front",A159))=FALSE,LEFT(WardrobeDoorStyle,5)="Panel"),(((B159/1000)*(C159/1000))*2)+((((B159+C159)/1000)*2)*0.022)+((((C159/1000)-0.16)*0.013)*2)+((((D159/1000)-0.16)*0.013)*2),IF(AND(ISERROR(FIND("drawer front",A159))=FALSE,WardrobeDoorStyle="In-frame flat"),((((B159-76)/1000)*((C159-38)/1000))*2)+(MID(WardrobeDoorMaterial,FIND("(",WardrobeDoorMaterial)+1,2)/1000)*((((B159-76)+(C159-38))/1000)*2)+(((B159/1000)*0.032)*2)+((((B159-76)/1000)*0.032)*2)+(((B159/1000)*0.019)*4)+(((C159/1000)*0.032)*2)+((((C159-38)/1000)*0.032)*2)+(((C159/1000)*0.038)*4),IF(AND(ISERROR(FIND("drawer front",A159))=FALSE,LEFT(WardrobeDoorStyle,14)="In-frame panel"),((((B159-76)/1000)*((C159-38)/1000))*2)+((MID(WardrobeDoorMaterial,FIND("(",WardrobeDoorMaterial)+1,2)/1000)*((((B159-76)+(C159-38))/1000)*2))+((((B159-236)/1000)+((C159-198)/1000)*2)*0.013)+(((B159/1000)*0.032)*2)+((((B159-76)/1000)*0.032)*2)+(((B159/1000)*0.019)*4)+(((C159/1000)*0.032)*2)+((((C159-38)/1000)*0.032)*2)+(((C159/1000)*0.038)*4),IF(ISERROR(FIND("drawer box",A159))=FALSE,((((B159/1000)*(D159/1000))+((B159/1000)*(C159/1000)))*4)+((((D159/1000)+(C159/1000))*0.016)*4)+(((C159/1000)*(D159/1000))*2),IF(OR(ISERROR(FIND("shelf",A159))=FALSE,ISERROR(FIND("Filler panel",A159))=FALSE),(((C159/1000)*(D159/1000))*2)+((((C159+D159)*2)/1000)*0.022),IF(ISERROR(FIND("Fireplace",A159))=FALSE,((B159/1000)*(C159/1000)),IF(ISERROR(FIND("Worktop",A159))=FALSE,(B159/1000)*(C159/1000),IF(ISERROR(FIND("table",A159))=FALSE,(B159/1000)*0.6,IF(ISERROR(FIND("arcass",A159))=FALSE,(((C159/1000)*(D159/1000))*2)+(((B159/1000)*(D159/1000))*2)+((B159/1000)*(C159/1000))+((((B159/1000)*0.025)+((C159/1000)*0.025))*2),IF(AND(ISERROR(FIND("door",A159))=FALSE,WardrobeDoorStyle="Flat"),(((B159/1000)*(C159/1000))*2)+(MID(WardrobeDoorMaterial,FIND("(",WardrobeDoorMaterial)+1,2)/1000)*(((B159+C159)/1000)*2),IF(AND(ISERROR(FIND("door",A159))=FALSE,LEFT(WardrobeDoorStyle,5)="Panel"),(((B159/1000)*(C159/1000))*2)+((MID(WardrobeDoorMaterial,FIND("(",WardrobeDoorMaterial)+1,2)/1000)*(((B159+C159)/1000)*2))+(((((B159-160)+(C159-160))*2)/1000)*(0.013)),IF(AND(ISERROR(FIND("door",A159))=FALSE,WardrobeDoorStyle="In-frame flat"),((((B159-76)/1000)*((C159-38)/1000))*2)+(MID(WardrobeDoorMaterial,FIND("(",WardrobeDoorMaterial)+1,2)/1000)*((((B159-76)+(C159-38))/1000)*2)+(((B159/1000)*0.032)*2)+((((B159-76)/1000)*0.032)*2)+(((B159/1000)*0.019)*4)+(((C159/1000)*0.032)*2)+((((C159-38)/1000)*0.032)*2)+(((C159/1000)*0.038)*4),IF(AND(ISERROR(FIND("door",A159))=FALSE,LEFT(WardrobeDoorStyle,14)="In-frame panel"),((((B159-76)/1000)*((C159-38)/1000))*2)+((MID(WardrobeDoorMaterial,FIND("(",WardrobeDoorMaterial)+1,2)/1000)*((((B159-76)+(C159-38))/1000)*2))+((((B159-236)/1000)+((C159-198)/1000)*2)*0.013)+(((B159/1000)*0.032)*2)+((((B159-76)/1000)*0.032)*2)+(((B159/1000)*0.019)*4)+(((C159/1000)*0.032)*2)+((((C159-38)/1000)*0.032)*2)+(((C159/1000)*0.038)*4),IF(ISERROR(FIND("Plinth",A159))=FALSE,((B159/1000)*(C159/1000))+(((C159/1000)*0.018)*2)+(((B159/1000)*0.018)*2),IF(ISERROR(FIND("Cornice",A159))=FALSE,(((C159/1000)*0.1)*2)+(((C159/1000)*0.044)*2)+(((B159/1000)*0.08)*2),IF(ISERROR(FIND("Office pod",A159))=FALSE,((2400/1000)*(1200/1000))*6,IF(ISERROR(FIND("panel",A159))=FALSE,((B159/1000)*(C159/1000))+(0.022*((B159/1000)+((C159/1000)*2)))+((B159/1000)*0.05),IF(ISERROR(FIND("Fillers",A159))=FALSE,((C159/1000)*0.06)+((C159/1000)*0.069)+((0.06*0.018)*2)+((0.06*0.009)*2)+((C159/1000)*0.009)+((C159/1000)*0.018),IF(ISERROR(FIND("Pelmet",A159))=FALSE,((C159/1000)*0.05)+((C159/1000)*0.068)+((0.05*0.018)*4)+(((C159/1000)*0.018))*2)))))))))))))))))))))</f>
        <v/>
      </c>
      <c r="N159" s="152" t="str">
        <f>IF(M159="","",IF(AND(ISERROR(FIND("carcass",A159))=TRUE,ISERROR(FIND("unit",A159))=TRUE,ISERROR(FIND("insert",A159))=TRUE,ISERROR(FIND("rack",A159))=TRUE,ISERROR(FIND("box",A159))=TRUE,ISERROR(FIND("shelf",A159))=TRUE),VLOOKUP(WardrobeDoorFinish,Finishing!$A$2:$K$10,9,0)*M159,IF(ISERROR(FIND("table",A159))=FALSE,VLOOKUP("Sayerlack AF0072 Interior Clear Self-Sealer",FinishingData,9,FALSE)*M159,VLOOKUP(WardrobeCarcassFinish,Finishing!$A$2:$K$40,9,0)*M159)))</f>
        <v/>
      </c>
      <c r="O159" s="159"/>
      <c r="P159" s="159"/>
      <c r="Q159" s="152" t="str">
        <f>IF(OR(O159="",P159=""),"",((O159*X159)*(VLOOKUP("Workshop",Labour!$A$3:$E$20,4,0)/8))+((P159*AE159)*(VLOOKUP("Finishing",Labour!$A$3:$E$20,4,0)/8)))</f>
        <v/>
      </c>
      <c r="R159" s="152" t="str">
        <f t="shared" si="4"/>
        <v/>
      </c>
      <c r="S159" s="156" t="str">
        <f>IF(OR(O159="",P159=""),"",IF(OR(ISERROR(FIND("carcass",$A159))=FALSE,ISERROR(FIND("unit",$A159))=FALSE),VLOOKUP(WardrobeCarcassMaterial,FixedListsCarcassMaterial,2,0),0))</f>
        <v/>
      </c>
      <c r="T159" s="156" t="str">
        <f>IF(OR(O159="",P159=""),"",IF(ISERROR(FIND("door",$A159))=FALSE,VLOOKUP(WardrobeDoorStyle,FixedListsDoorStyle,2,0),0))</f>
        <v/>
      </c>
      <c r="U159" s="156" t="str">
        <f>IF(OR(O159="",P159=""),"",IF(ISERROR(FIND("door",$A159))=FALSE,VLOOKUP(WardrobeDoorMaterial,FixedListsDoorMaterial,2,0),0))</f>
        <v/>
      </c>
      <c r="V159" s="156" t="str">
        <f>IF(OR(O159="",P159=""),"",IF(ISERROR(FIND("drawer",$A159))=FALSE,VLOOKUP(WardrobeDrawerType,FixedListsDrawerType,2,0),0))</f>
        <v/>
      </c>
      <c r="W159" s="156" t="str">
        <f>IF(OR(O159="",P159=""),"",IF(S159&gt;0,VLOOKUP(WardrobeHandleType,FixedListsHandleType,2,FALSE),0))</f>
        <v/>
      </c>
      <c r="X159" s="156" t="str">
        <f t="shared" si="5"/>
        <v/>
      </c>
      <c r="Y159" s="156" t="str">
        <f>IF(OR(O159="",P159=""),"",IF(OR(ISERROR(FIND("carcass",$A159))=FALSE,ISERROR(FIND("unit",$A159))=FALSE),VLOOKUP(WardrobeCarcassMaterial,FixedListsCarcassMaterial,3,0),0))</f>
        <v/>
      </c>
      <c r="Z159" s="156" t="str">
        <f>IF(OR(O159="",P159=""),"",IF(ISERROR(FIND("door",$A159))=FALSE,VLOOKUP(WardrobeDoorStyle,FixedListsDoorStyle,3,0),0))</f>
        <v/>
      </c>
      <c r="AA159" s="156" t="str">
        <f>IF(OR(O159="",P159=""),"",IF(ISERROR(FIND("door",$A159))=FALSE,VLOOKUP(WardrobeDoorMaterial,FixedListsDoorMaterial,3,0),0))</f>
        <v/>
      </c>
      <c r="AB159" s="156" t="str">
        <f>IF(OR(O159="",P159=""),"",IF(ISERROR(FIND("drawer",$A159))=FALSE,VLOOKUP(WardrobeDrawerType,FixedListsDrawerType,3,0),0))</f>
        <v/>
      </c>
      <c r="AC159" s="156" t="str">
        <f>IF(OR(O159="",P159=""),"",IF(S159&gt;0,VLOOKUP(WardrobeHandleType,FixedListsHandleType,3,FALSE),0))</f>
        <v/>
      </c>
      <c r="AD159" s="156" t="str">
        <f>IF(OR(O159="",P159=""),"",IF(OR(ISERROR(FIND("carcass",$A159))=FALSE,ISERROR(FIND("unit",$A159))=FALSE),VLOOKUP(WardrobeCarcassFinish,FixedListsFinishes,3,0),IF(OR(ISERROR(FIND("door",$A159))=FALSE,ISERROR(FIND("Plinth",$A159))=FALSE,ISERROR(FIND("Cornice",$A159))=FALSE,ISERROR(FIND("Fillers",$A159))=FALSE,ISERROR(FIND("Pelmet",$A159))=FALSE,ISERROR(FIND("panel",$A159))=FALSE,ISERROR(FIND("post",$A159))=FALSE),VLOOKUP(WardrobeDoorFinish,FixedListsFinishes,3,0),IF(OR(ISERROR(FIND("drawer",$A159))=FALSE,ISERROR(FIND("insert",$A159))=FALSE,ISERROR(FIND("rck",$A159))=FALSE),VLOOKUP(WardrobeCarcassFinish,FixedListsFinishes,3,0),0))))</f>
        <v/>
      </c>
      <c r="AE159" s="156" t="str">
        <f t="shared" si="6"/>
        <v/>
      </c>
      <c r="AF159" s="157" t="str">
        <f>IF(AND(WardrobeHandleType="Channel",OR(ISERROR(FIND("arcass",$A159))=FALSE,ISERROR(FIND("unit",$A159))=FALSE)),IF(ISERROR(FIND("Tower",$A159))=TRUE,IF(WardrobeHandleFinish="Match carcass",IF(ISERROR(FIND("Walnut",WardrobeCarcassMaterial))=FALSE,(0.035*0.075*($C159/1000))*VLOOKUP("Walnut (solid m3)",SolidData,4,FALSE),IF(ISERROR(FIND("Oak",WardrobeCarcassMaterial))=FALSE,(0.035*0.075*($C159/1000))*VLOOKUP("Oak (solid m3)",SolidData,4,FALSE),IF(ISERROR(FIND("ply",WardrobeCarcassMaterial))=FALSE,(0.1*($C159/1000))*VLOOKUP("Birch ply (24mm)",SheetsData,7,FALSE),IF(ISERROR(FIND("H/F",WardrobeCarcassMaterial))=FALSE,(0.1*($C159/1000))*VLOOKUP("H/F (22mm)",SheetsData,7,FALSE),"Carcass - not tower - new material")))),IF(WardrobeHandleFinish="Match door",IF(ISERROR(FIND("Walnut",WardrobeDoorMaterial))=FALSE,(0.035*0.075*($C159/1000))*VLOOKUP("Walnut (solid m3)",SolidData,4,FALSE),IF(ISERROR(FIND("Oak",WardrobeDoorMaterial))=FALSE,(0.035*0.075*($C159/1000))*VLOOKUP("Oak (solid m3)",SolidData,4,FALSE),IF(ISERROR(FIND("ply",WardrobeDoorMaterial))=FALSE,(0.1*($C159/1000))*VLOOKUP("Birch ply (24mm)",SheetsData,7,FALSE),IF(ISERROR(FIND("H/F",WardrobeCarcassMaterial))=FALSE,(0.1*($C159/1000))*VLOOKUP("H/F (22mm)",SheetsData,7,FALSE),"Door - not tower - new material")))),"Channel - not tower - handle set to other")),IF(ISERROR(FIND("Tower",$A159))=FALSE,IF(WardrobeHandleFinish="Match carcass",IF(ISERROR(FIND("Walnut",WardrobeCarcassMaterial))=FALSE,(0.035*0.075*($B159/1000))*VLOOKUP("Walnut (solid m3)",SolidData,4,FALSE),IF(ISERROR(FIND("Oak",WardrobeCarcassMaterial))=FALSE,(0.035*0.075*($B159/1000))*VLOOKUP("Oak (solid m3)",SolidData,4,FALSE),IF(ISERROR(FIND("ply",WardrobeCarcassMaterial))=FALSE,(0.1*($B159/1000))*VLOOKUP("Birch ply (24mm)",SheetsData,7,FALSE),IF(ISERROR(FIND("H/F",WardrobeCarcassMaterial))=FALSE,(0.1*($C159/1000))*VLOOKUP("H/F (22mm)",SheetsData,7,FALSE),"Carcass - tower - new material")))),IF(WardrobeHandleFinish="Match door",IF(ISERROR(FIND("Walnut",WardrobeDoorMaterial))=FALSE,(0.035*0.075*($B159/1000))*VLOOKUP("Walnut (solid m3)",SolidData,4,FALSE),IF(ISERROR(FIND("Oak",WardrobeDoorMaterial))=FALSE,(0.035*0.075*($B159/1000))*VLOOKUP("Oak (solid m3)",SolidData,4,FALSE),IF(ISERROR(FIND("ply",WardrobeDoorMaterial))=FALSE,(0.1*($B159/1000))*VLOOKUP("Birch ply (24mm)",SheetData,7,FALSE),IF(ISERROR(FIND("H/F",WardrobeCarcassMaterial))=FALSE,(0.1*($C159/1000))*VLOOKUP("H/F (22mm)",SheetsData,7,FALSE),"Door - tower - new material")))),"Channel - tower - handle set to other")))),"")</f>
        <v/>
      </c>
    </row>
    <row r="160">
      <c r="A160" s="150"/>
      <c r="B160" s="160" t="str">
        <f t="shared" si="1"/>
        <v/>
      </c>
      <c r="C160" s="160" t="str">
        <f>IFERROR(__xludf.DUMMYFUNCTION("IF(A160="""","""",IF(ISERROR(FIND(""arcass"",A160))=FALSE,MID(A160,FIND(""*"",A160)+1,FIND(""*"",A160,FIND(""*"",A160)+1)-FIND(""*"",A160)-1),IF(ISERROR(FIND(""End panel"",A160))=FALSE,RIGHT(A160,3),IF(OR(ISERROR(FIND(""drawer"",A160))=FALSE,ISERROR(FIND("&amp;"""door"",A160))=FALSE,ISERROR(FIND(""shelf"",A160))=FALSE,ISERROR(FIND(""panel"",A160))=FALSE,ISERROR(FIND(""Plinth"",A160))=FALSE,ISERROR(FIND(""Cornice"",A160))=FALSE,ISERROR(FIND(""Fillers"",A160))=FALSE,ISERROR(FIND(""Pelmet"",A160))=FALSE,ISERROR(FIN"&amp;"D(""Fireplace up to 1600"",A160))=FALSE),RIGHT(A160,LEN(A160)-LEN(regexextract(A160,"".* ""))),IF(ISERROR(FIND(""table"",A160))=FALSE,""560"",IF(ISERROR(FIND(""Office pod"",A160))=FALSE,""1600"",IF(ISERROR(FIND(""Fireplace over 1600"",A160))=FALSE,""2400"&amp;""",IF(ISERROR(FIND(""Worktop"",A160))=FALSE,""650"",""Whoops""))))))))"),"")</f>
        <v/>
      </c>
      <c r="D160" s="161" t="str">
        <f t="shared" si="2"/>
        <v/>
      </c>
      <c r="E160" s="152" t="str">
        <f>IF(OR(A160="",AND(ISERROR(FIND("drawer",A160))=FALSE,WardrobeDrawerType="")),"",IF(ISERROR(FIND("door",A160))=FALSE,IF(WardrobeDoorStyle="Flat",((B160/1000)*(C160/1000))*VLOOKUP(WardrobeDoorMaterial,SheetsData,8,0),IF(LEFT(WardrobeDoorStyle,5)="Panel",(((((B160/1000)*2)*0.08)+((((C160/1000)-0.16)*2)*0.08))*VLOOKUP("H/F (22mm)",SheetsData,8,0))+(((B160/1000)-0.14)*((C160/1000)-0.14)*VLOOKUP("H/F (9mm)",SheetsData,8,0)),IF(WardrobeDoorStyle="In-frame flat",((((((B160/1000)*0.019)*0.038)+((((C160-38)/1000)*0.038)*0.038))*2)*VLOOKUP("Tulip (solid m3)",SolidData,4,0))+(((B160-76)/1000)*((C160-38)/1000))*VLOOKUP("H/F (22mm)",SheetsData,8,0),IF(LEFT(WardrobeDoorStyle,14)="In-frame panel",(((((((B160/1000)*0.019)*0.038)+((((C160-38)/1000)*0.038)*0.038))*2)*VLOOKUP("Tulip (solid m3)",SolidData,4,0))+(((((((B160-76)/1000)*2)*0.08)+(((((C160-198)/1000)*2)*0.08)))*VLOOKUP("H/F (22mm)",SheetsData,8,0))+(((B160-216)/1000)*((C160-178)/1000)*VLOOKUP("H/F (9mm)",SheetsData,8,0)))))))),IF(AND(ISERROR(FIND("arcass",A160))=FALSE,ISERROR(FIND("ost corner",A160))=TRUE),IF(AND(VALUE(B160)&lt;1211,VALUE(C160)&lt;1211,VALUE(D160)&lt;606),1*VLOOKUP(WardrobeCarcassMaterial,SheetsData,5,FALSE),IF(AND(VALUE(B160)&lt;2421,VALUE(C160)&lt;2421,VALUE(D160)&lt;606),2*VLOOKUP(WardrobeCarcassMaterial,SheetsData,5,FALSE),IF(AND(VALUE(B160)&lt;2421,VALUE(C160)&lt;1211,VALUE(D160)&lt;1211),3*VLOOKUP(WardrobeCarcassMaterial,SheetsData,5,FALSE),IF(AND(VALUE(B160)&lt;2421,VALUE(C160)&lt;2421,VALUE(D160)&lt;1211),4*VLOOKUP(WardrobeCarcassMaterial,SheetsData,5,FALSE))))),IF(AND(ISERROR(FIND("arcass",A160))=FALSE,ISERROR(FIND("ost corner",A160))=FALSE),IF(AND(VALUE(B160)&lt;1211,VALUE(C160)&lt;1211,VALUE(D160)&lt;606),(1*VLOOKUP(WardrobeCarcassMaterial,SheetsData,5,FALSE))+(VLOOKUP("H/F (22mm)",SheetsData,7,FALSE)*1.44),IF(AND(VALUE(B160)&lt;2421,VALUE(C160)&lt;2421,VALUE(D160)&lt;606),(2*VLOOKUP(WardrobeCarcassMaterial,SheetsData,5,FALSE))+(VLOOKUP("H/F (22mm)",SheetsData,7,FALSE)*1.44),IF(AND(VALUE(B160)&lt;2421,VALUE(C160)&lt;1211,VALUE(D160)&lt;1211),(3*VLOOKUP(WardrobeCarcassMaterial,SheetsData,5,FALSE))+(VLOOKUP("H/F (22mm)",SheetsData,7,FALSE)*1.44),IF(AND(VALUE(B160)&lt;2421,VALUE(C160)&lt;2421,VALUE(D160)&lt;1211),(4*VLOOKUP(WardrobeCarcassMaterial,SheetsData,5,FALSE))+(VLOOKUP("H/F (22mm)",SheetsData,7,FALSE)*1.44))))),IF(ISERROR(FIND("drawer front",A160))=FALSE,((B160/1000)*(C160/1000))*VLOOKUP(WardrobeDoorMaterial,SheetsData,8,0),IF(AND(WardrobeDrawerType="Match carcass",ISERROR(FIND("drawer box",A160))=FALSE),(((((B160/1000)*(C160/1000))+((B160/1000)*(D160/1000)))*2)*VLOOKUP(WardrobeCarcassMaterial,SheetsData,8,0))+(((C160/1000)*(D160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box",A160))=FALSE),(((((B160/1000)*(C160/1000))+((B160/1000)*(D160/1000)))*2)*(16/1000)*VLOOKUP(LEFT(WardrobeCarcassMaterial,FIND(" ",WardrobeCarcassMaterial))&amp;"(solid m3)",SolidData,4,0))+(((C160/1000)*(D160/1000))*VLOOKUP(LEFT(WardrobeCarcassMaterial,FIND("(",WardrobeCarcassMaterial)-1)&amp;IF(OR(ISERROR(FIND("ply",WardrobeCarcassMaterial))=FALSE,ISERROR(FIND("H/F",WardrobeCarcassMaterial))=FALSE),"(9mm)","(10mm)"),SheetsData,8,0)),IF(ISERROR(FIND("shelf",A160))=FALSE,((C160/1000)*(D160/1000))*VLOOKUP(WardrobeCarcassMaterial,SheetsData,7,FALSE),IF(ISERROR(FIND("Office pod",A160))=FALSE,3*VLOOKUP(WardrobeCarcassMaterial,SheetsData,5,0),IF(ISERROR(FIND(" panel",A160))=FALSE,((B160/1000)*(C160/1000))*VLOOKUP(WardrobeDoorMaterial,SheetsData,8,0),IF(ISERROR(FIND("Fillers",A160))=FALSE,(((0.06*(C160/1000))*2)*VLOOKUP("H/F (18mm)",SheetsData,8,0))+(((0.06*(C160/1000))*2)*VLOOKUP("H/F (9mm)",SheetsData,8,0)),IF(ISERROR(FIND("Cornice (stacked)",A160))=FALSE,((0.08*(C160/1000))*2)*VLOOKUP("H/F (22mm)",SheetsData,8,0),IF(OR(ISERROR(FIND("Plinth",A160))=FALSE,ISERROR(FIND("Cornice (flat)",A160))=FALSE),((B160/1000)*(C160/1000))*VLOOKUP("H/F (18mm)",SheetsData,8,0),IF(ISERROR(FIND("Pelmet",A160))=FALSE,((((B160/1000)*(C160/1000))*2)*VLOOKUP("H/F (18mm)",SheetsData,8,0)),IF(ISERROR(FIND("Fireplace",A160))=FALSE,IF(ISERROR(FIND("over 1600",A160))=FALSE,2*VLOOKUP(WardrobeCarcassMaterial,SheetsData,5,FALSE),VLOOKUP(WardrobeCarcassMaterial,SheetsData,5,FALSE)),IF(ISERROR(FIND("table",A160))=FALSE,((B160/1000)*0.6)*VLOOKUP("Birch ply (24mm)",SheetsData,7,FALSE),IF(ISERROR(FIND("Worktop",A160))=FALSE,((B160/1000)*(C160/1000))*VLOOKUP(WardrobeDoorMaterial,SheetsData,7,FALSE),"Check formula")))))))))))))))))</f>
        <v/>
      </c>
      <c r="F160" s="152" t="str">
        <f>IFERROR(__xludf.DUMMYFUNCTION("IF(OR(A160="""",AND(ISERROR(FIND(""drawer box"",A160))=FALSE,WardrobeDrawerType=""Solid dovetail"")),"""",IF(ISERROR(FIND(""bins"",A160))=FALSE,VLOOKUP(""Base carcass 600"",Wardrobes_etcData,6,0),IF(OR(ISERROR(FIND(""larder"",A160))=FALSE,ISERROR(FIND(""u"&amp;"nit"",A160))=FALSE),VLOOKUP(LEFT(A160,FIND("" "",A160))&amp;""carcass ""&amp;RIGHT(A160,LEN(A160)-len(regexextract(A160,"".* ""))),Wardrobes_etcData,6,0),IF(ISERROR(FIND(""drawer front"",A160))=FALSE,IF(ISERROR(FIND(""veneer"",WardrobeCarcassMaterial))=TRUE,0,((("&amp;"B160+C160)/1000)*2)*VLOOKUP(""Edge banding (per M)"",SheetsData,5,0)),IF(ISERROR(FIND(""drawer box"",A160))=FALSE,IF(ISERROR(FIND(""veneer"",WardrobeCarcassMaterial))=TRUE,0,(((C160+D160)/1000)*2)*VLOOKUP(""Edge banding (per M)"",SheetsData,5,0)),IF(ISERR"&amp;"OR(FIND(""shelf"",A160))=FALSE,IF(ISERROR(FIND(""veneer"",WardrobeCarcassMaterial))=TRUE,0,(C160/1000)*VLOOKUP(""Edge banding (per M)"",SheetsData,5,0)),IF(AND(OR(ISERROR(FIND(""arcass"",A160))=FALSE,ISERROR(FIND(""Fireplace"",A160))=FALSE),ISERROR(FIND("&amp;"""shelf"",A160))=TRUE),IF(ISERROR(FIND(""veneer"",WardrobeCarcassMaterial))=TRUE,0,((2*(B160+C160))/1000)*VLOOKUP(""Edge banding (per M)"",SheetsData,5,0)),IF(ISERROR(FIND(""door"",A160))=TRUE,"""",IF(ISERROR(FIND(""veneer"",WardrobeDoorMaterial))=TRUE,"""&amp;""",((2*(B160+C160))/1000)*VLOOKUP(""Edge banding (per M)"",SheetsData,5,0))))))))))"),"")</f>
        <v/>
      </c>
      <c r="G160" s="153" t="str">
        <f>IF(A160="","",IF(AND(ISERROR(FIND("arcass",A160))=TRUE,ISERROR(FIND("Fireplace",A160))=TRUE),"",IF(VALUE(C160)&lt;606,4*VLOOKUP("Plinth foot (2 Parts 80mm)",FurnitureData,5,FALSE),IF(VALUE(C160)&lt;1211,6*VLOOKUP("Plinth foot (2 Parts 80mm)",FurnitureData,5,FALSE),8*VLOOKUP("Plinth foot (2 Parts 80mm)",FurnitureData,5,FALSE)))))</f>
        <v/>
      </c>
      <c r="H160" s="115" t="str">
        <f>IF(OR(A160="",ISERROR(FIND("door",A160))=TRUE),"",VLOOKUP("Hinges &amp; plates (Hettich thick door)",FurnitureData,5,0)*5)</f>
        <v/>
      </c>
      <c r="I160" s="115" t="str">
        <f>IF(ISERROR(FIND("shelf",A160))=FALSE,(VLOOKUP("Shelf pegs",FurnitureData,5,0)/100)*4,"")</f>
        <v/>
      </c>
      <c r="J160" s="152" t="str">
        <f>IF(OR(ISERROR(FIND("fridge/freezer",A160))=FALSE,ISERROR(FIND("sink",A160))=FALSE,ISERROR(FIND("larder",A160))=FALSE),VLOOKUP("Deep shelf "&amp;C160,Wardrobes_etcData,18,0),IF(OR(ISERROR(FIND("single oven",A160))=FALSE,ISERROR(FIND("Base carcass",A160))=FALSE),2*VLOOKUP("Deep shelf "&amp;C160,Wardrobes_etcData,18,0),IF(AND(ISERROR(FIND("wall carcass",A160))=FALSE,ISERROR(FIND("Boiler",A160))=TRUE),2*VLOOKUP("Shallow shelf "&amp;C160,Wardrobes_etcData,18,0),IF(ISERROR(FIND("double oven",A160))=FALSE,3*VLOOKUP("Deep shelf "&amp;C160,Wardrobes_etcData,18,0),IF(ISERROR(FIND("Tower carcass",A160))=FALSE,6*VLOOKUP("Deep shelf "&amp;C160,Wardrobes_etcData,18,0),"")))))</f>
        <v/>
      </c>
      <c r="K160" s="152" t="str">
        <f>IF(ISERROR(FIND("sink",A160))=FALSE,VLOOKUP("Sink liner - Aluminium "&amp;RIGHT(A160,LEN(A160)-22)&amp;"mm",ExceptionalData,5,0),IF(ISERROR(FIND("bins",A160))=FALSE,VLOOKUP("Drawer runners and clip set for bin unit (500) Dynapro",FurnitureData,5,0)+(2*VLOOKUP("Bin (42L Anthracite)",FurnitureData,5,0)),IF(ISERROR(FIND("larder",A160))=FALSE,VLOOKUP("Pull out larder unit 600mm",FurnitureData,5,0),IF(AND(ISERROR(FIND("drawer box",A160))=FALSE,ISERROR(FIND("internal",A160))=TRUE),VLOOKUP("Drawer runners and clip set (550) Dynapro",FurnitureData,5,0),IF(ISERROR(FIND("internal drawer box",A160))=FALSE,VLOOKUP("Drawer runners and clip set (450) Dynapro",FurnitureData,5,0),IF(ISERROR(FIND("table",A160))=FALSE,VLOOKUP("Hairpin Leg (12mm Black "&amp;MID(A160,FIND("(",A160)+1,LEN(A160)-(FIND("(",A160))-1)&amp;"mm)",ExceptionalData,4,FALSE),""))))))</f>
        <v/>
      </c>
      <c r="L160" s="152" t="str">
        <f t="shared" si="3"/>
        <v/>
      </c>
      <c r="M160" s="154" t="str">
        <f>IF(A160="","",IF(AND(ISERROR(FIND("drawer front",A160))=FALSE,WardrobeDoorStyle="Flat"),(((B160/1000)*(C160/1000))*2)+((((B160+C160)/1000)*2)*0.022),IF(AND(ISERROR(FIND("drawer front",A160))=FALSE,LEFT(WardrobeDoorStyle,5)="Panel"),(((B160/1000)*(C160/1000))*2)+((((B160+C160)/1000)*2)*0.022)+((((C160/1000)-0.16)*0.013)*2)+((((D160/1000)-0.16)*0.013)*2),IF(AND(ISERROR(FIND("drawer front",A160))=FALSE,WardrobeDoorStyle="In-frame flat"),((((B160-76)/1000)*((C160-38)/1000))*2)+(MID(WardrobeDoorMaterial,FIND("(",WardrobeDoorMaterial)+1,2)/1000)*((((B160-76)+(C160-38))/1000)*2)+(((B160/1000)*0.032)*2)+((((B160-76)/1000)*0.032)*2)+(((B160/1000)*0.019)*4)+(((C160/1000)*0.032)*2)+((((C160-38)/1000)*0.032)*2)+(((C160/1000)*0.038)*4),IF(AND(ISERROR(FIND("drawer front",A160))=FALSE,LEFT(WardrobeDoorStyle,14)="In-frame panel"),((((B160-76)/1000)*((C160-38)/1000))*2)+((MID(WardrobeDoorMaterial,FIND("(",WardrobeDoorMaterial)+1,2)/1000)*((((B160-76)+(C160-38))/1000)*2))+((((B160-236)/1000)+((C160-198)/1000)*2)*0.013)+(((B160/1000)*0.032)*2)+((((B160-76)/1000)*0.032)*2)+(((B160/1000)*0.019)*4)+(((C160/1000)*0.032)*2)+((((C160-38)/1000)*0.032)*2)+(((C160/1000)*0.038)*4),IF(ISERROR(FIND("drawer box",A160))=FALSE,((((B160/1000)*(D160/1000))+((B160/1000)*(C160/1000)))*4)+((((D160/1000)+(C160/1000))*0.016)*4)+(((C160/1000)*(D160/1000))*2),IF(OR(ISERROR(FIND("shelf",A160))=FALSE,ISERROR(FIND("Filler panel",A160))=FALSE),(((C160/1000)*(D160/1000))*2)+((((C160+D160)*2)/1000)*0.022),IF(ISERROR(FIND("Fireplace",A160))=FALSE,((B160/1000)*(C160/1000)),IF(ISERROR(FIND("Worktop",A160))=FALSE,(B160/1000)*(C160/1000),IF(ISERROR(FIND("table",A160))=FALSE,(B160/1000)*0.6,IF(ISERROR(FIND("arcass",A160))=FALSE,(((C160/1000)*(D160/1000))*2)+(((B160/1000)*(D160/1000))*2)+((B160/1000)*(C160/1000))+((((B160/1000)*0.025)+((C160/1000)*0.025))*2),IF(AND(ISERROR(FIND("door",A160))=FALSE,WardrobeDoorStyle="Flat"),(((B160/1000)*(C160/1000))*2)+(MID(WardrobeDoorMaterial,FIND("(",WardrobeDoorMaterial)+1,2)/1000)*(((B160+C160)/1000)*2),IF(AND(ISERROR(FIND("door",A160))=FALSE,LEFT(WardrobeDoorStyle,5)="Panel"),(((B160/1000)*(C160/1000))*2)+((MID(WardrobeDoorMaterial,FIND("(",WardrobeDoorMaterial)+1,2)/1000)*(((B160+C160)/1000)*2))+(((((B160-160)+(C160-160))*2)/1000)*(0.013)),IF(AND(ISERROR(FIND("door",A160))=FALSE,WardrobeDoorStyle="In-frame flat"),((((B160-76)/1000)*((C160-38)/1000))*2)+(MID(WardrobeDoorMaterial,FIND("(",WardrobeDoorMaterial)+1,2)/1000)*((((B160-76)+(C160-38))/1000)*2)+(((B160/1000)*0.032)*2)+((((B160-76)/1000)*0.032)*2)+(((B160/1000)*0.019)*4)+(((C160/1000)*0.032)*2)+((((C160-38)/1000)*0.032)*2)+(((C160/1000)*0.038)*4),IF(AND(ISERROR(FIND("door",A160))=FALSE,LEFT(WardrobeDoorStyle,14)="In-frame panel"),((((B160-76)/1000)*((C160-38)/1000))*2)+((MID(WardrobeDoorMaterial,FIND("(",WardrobeDoorMaterial)+1,2)/1000)*((((B160-76)+(C160-38))/1000)*2))+((((B160-236)/1000)+((C160-198)/1000)*2)*0.013)+(((B160/1000)*0.032)*2)+((((B160-76)/1000)*0.032)*2)+(((B160/1000)*0.019)*4)+(((C160/1000)*0.032)*2)+((((C160-38)/1000)*0.032)*2)+(((C160/1000)*0.038)*4),IF(ISERROR(FIND("Plinth",A160))=FALSE,((B160/1000)*(C160/1000))+(((C160/1000)*0.018)*2)+(((B160/1000)*0.018)*2),IF(ISERROR(FIND("Cornice",A160))=FALSE,(((C160/1000)*0.1)*2)+(((C160/1000)*0.044)*2)+(((B160/1000)*0.08)*2),IF(ISERROR(FIND("Office pod",A160))=FALSE,((2400/1000)*(1200/1000))*6,IF(ISERROR(FIND("panel",A160))=FALSE,((B160/1000)*(C160/1000))+(0.022*((B160/1000)+((C160/1000)*2)))+((B160/1000)*0.05),IF(ISERROR(FIND("Fillers",A160))=FALSE,((C160/1000)*0.06)+((C160/1000)*0.069)+((0.06*0.018)*2)+((0.06*0.009)*2)+((C160/1000)*0.009)+((C160/1000)*0.018),IF(ISERROR(FIND("Pelmet",A160))=FALSE,((C160/1000)*0.05)+((C160/1000)*0.068)+((0.05*0.018)*4)+(((C160/1000)*0.018))*2)))))))))))))))))))))</f>
        <v/>
      </c>
      <c r="N160" s="152" t="str">
        <f>IF(M160="","",IF(AND(ISERROR(FIND("carcass",A160))=TRUE,ISERROR(FIND("unit",A160))=TRUE,ISERROR(FIND("insert",A160))=TRUE,ISERROR(FIND("rack",A160))=TRUE,ISERROR(FIND("box",A160))=TRUE,ISERROR(FIND("shelf",A160))=TRUE),VLOOKUP(WardrobeDoorFinish,Finishing!$A$2:$K$10,9,0)*M160,IF(ISERROR(FIND("table",A160))=FALSE,VLOOKUP("Sayerlack AF0072 Interior Clear Self-Sealer",FinishingData,9,FALSE)*M160,VLOOKUP(WardrobeCarcassFinish,Finishing!$A$2:$K$40,9,0)*M160)))</f>
        <v/>
      </c>
      <c r="O160" s="159"/>
      <c r="P160" s="159"/>
      <c r="Q160" s="152" t="str">
        <f>IF(OR(O160="",P160=""),"",((O160*X160)*(VLOOKUP("Workshop",Labour!$A$3:$E$20,4,0)/8))+((P160*AE160)*(VLOOKUP("Finishing",Labour!$A$3:$E$20,4,0)/8)))</f>
        <v/>
      </c>
      <c r="R160" s="152" t="str">
        <f t="shared" si="4"/>
        <v/>
      </c>
      <c r="S160" s="156" t="str">
        <f>IF(OR(O160="",P160=""),"",IF(OR(ISERROR(FIND("carcass",$A160))=FALSE,ISERROR(FIND("unit",$A160))=FALSE),VLOOKUP(WardrobeCarcassMaterial,FixedListsCarcassMaterial,2,0),0))</f>
        <v/>
      </c>
      <c r="T160" s="156" t="str">
        <f>IF(OR(O160="",P160=""),"",IF(ISERROR(FIND("door",$A160))=FALSE,VLOOKUP(WardrobeDoorStyle,FixedListsDoorStyle,2,0),0))</f>
        <v/>
      </c>
      <c r="U160" s="156" t="str">
        <f>IF(OR(O160="",P160=""),"",IF(ISERROR(FIND("door",$A160))=FALSE,VLOOKUP(WardrobeDoorMaterial,FixedListsDoorMaterial,2,0),0))</f>
        <v/>
      </c>
      <c r="V160" s="156" t="str">
        <f>IF(OR(O160="",P160=""),"",IF(ISERROR(FIND("drawer",$A160))=FALSE,VLOOKUP(WardrobeDrawerType,FixedListsDrawerType,2,0),0))</f>
        <v/>
      </c>
      <c r="W160" s="156" t="str">
        <f>IF(OR(O160="",P160=""),"",IF(S160&gt;0,VLOOKUP(WardrobeHandleType,FixedListsHandleType,2,FALSE),0))</f>
        <v/>
      </c>
      <c r="X160" s="156" t="str">
        <f t="shared" si="5"/>
        <v/>
      </c>
      <c r="Y160" s="156" t="str">
        <f>IF(OR(O160="",P160=""),"",IF(OR(ISERROR(FIND("carcass",$A160))=FALSE,ISERROR(FIND("unit",$A160))=FALSE),VLOOKUP(WardrobeCarcassMaterial,FixedListsCarcassMaterial,3,0),0))</f>
        <v/>
      </c>
      <c r="Z160" s="156" t="str">
        <f>IF(OR(O160="",P160=""),"",IF(ISERROR(FIND("door",$A160))=FALSE,VLOOKUP(WardrobeDoorStyle,FixedListsDoorStyle,3,0),0))</f>
        <v/>
      </c>
      <c r="AA160" s="156" t="str">
        <f>IF(OR(O160="",P160=""),"",IF(ISERROR(FIND("door",$A160))=FALSE,VLOOKUP(WardrobeDoorMaterial,FixedListsDoorMaterial,3,0),0))</f>
        <v/>
      </c>
      <c r="AB160" s="156" t="str">
        <f>IF(OR(O160="",P160=""),"",IF(ISERROR(FIND("drawer",$A160))=FALSE,VLOOKUP(WardrobeDrawerType,FixedListsDrawerType,3,0),0))</f>
        <v/>
      </c>
      <c r="AC160" s="156" t="str">
        <f>IF(OR(O160="",P160=""),"",IF(S160&gt;0,VLOOKUP(WardrobeHandleType,FixedListsHandleType,3,FALSE),0))</f>
        <v/>
      </c>
      <c r="AD160" s="156" t="str">
        <f>IF(OR(O160="",P160=""),"",IF(OR(ISERROR(FIND("carcass",$A160))=FALSE,ISERROR(FIND("unit",$A160))=FALSE),VLOOKUP(WardrobeCarcassFinish,FixedListsFinishes,3,0),IF(OR(ISERROR(FIND("door",$A160))=FALSE,ISERROR(FIND("Plinth",$A160))=FALSE,ISERROR(FIND("Cornice",$A160))=FALSE,ISERROR(FIND("Fillers",$A160))=FALSE,ISERROR(FIND("Pelmet",$A160))=FALSE,ISERROR(FIND("panel",$A160))=FALSE,ISERROR(FIND("post",$A160))=FALSE),VLOOKUP(WardrobeDoorFinish,FixedListsFinishes,3,0),IF(OR(ISERROR(FIND("drawer",$A160))=FALSE,ISERROR(FIND("insert",$A160))=FALSE,ISERROR(FIND("rck",$A160))=FALSE),VLOOKUP(WardrobeCarcassFinish,FixedListsFinishes,3,0),0))))</f>
        <v/>
      </c>
      <c r="AE160" s="156" t="str">
        <f t="shared" si="6"/>
        <v/>
      </c>
      <c r="AF160" s="157" t="str">
        <f>IF(AND(WardrobeHandleType="Channel",OR(ISERROR(FIND("arcass",$A160))=FALSE,ISERROR(FIND("unit",$A160))=FALSE)),IF(ISERROR(FIND("Tower",$A160))=TRUE,IF(WardrobeHandleFinish="Match carcass",IF(ISERROR(FIND("Walnut",WardrobeCarcassMaterial))=FALSE,(0.035*0.075*($C160/1000))*VLOOKUP("Walnut (solid m3)",SolidData,4,FALSE),IF(ISERROR(FIND("Oak",WardrobeCarcassMaterial))=FALSE,(0.035*0.075*($C160/1000))*VLOOKUP("Oak (solid m3)",SolidData,4,FALSE),IF(ISERROR(FIND("ply",WardrobeCarcassMaterial))=FALSE,(0.1*($C160/1000))*VLOOKUP("Birch ply (24mm)",SheetsData,7,FALSE),IF(ISERROR(FIND("H/F",WardrobeCarcassMaterial))=FALSE,(0.1*($C160/1000))*VLOOKUP("H/F (22mm)",SheetsData,7,FALSE),"Carcass - not tower - new material")))),IF(WardrobeHandleFinish="Match door",IF(ISERROR(FIND("Walnut",WardrobeDoorMaterial))=FALSE,(0.035*0.075*($C160/1000))*VLOOKUP("Walnut (solid m3)",SolidData,4,FALSE),IF(ISERROR(FIND("Oak",WardrobeDoorMaterial))=FALSE,(0.035*0.075*($C160/1000))*VLOOKUP("Oak (solid m3)",SolidData,4,FALSE),IF(ISERROR(FIND("ply",WardrobeDoorMaterial))=FALSE,(0.1*($C160/1000))*VLOOKUP("Birch ply (24mm)",SheetsData,7,FALSE),IF(ISERROR(FIND("H/F",WardrobeCarcassMaterial))=FALSE,(0.1*($C160/1000))*VLOOKUP("H/F (22mm)",SheetsData,7,FALSE),"Door - not tower - new material")))),"Channel - not tower - handle set to other")),IF(ISERROR(FIND("Tower",$A160))=FALSE,IF(WardrobeHandleFinish="Match carcass",IF(ISERROR(FIND("Walnut",WardrobeCarcassMaterial))=FALSE,(0.035*0.075*($B160/1000))*VLOOKUP("Walnut (solid m3)",SolidData,4,FALSE),IF(ISERROR(FIND("Oak",WardrobeCarcassMaterial))=FALSE,(0.035*0.075*($B160/1000))*VLOOKUP("Oak (solid m3)",SolidData,4,FALSE),IF(ISERROR(FIND("ply",WardrobeCarcassMaterial))=FALSE,(0.1*($B160/1000))*VLOOKUP("Birch ply (24mm)",SheetsData,7,FALSE),IF(ISERROR(FIND("H/F",WardrobeCarcassMaterial))=FALSE,(0.1*($C160/1000))*VLOOKUP("H/F (22mm)",SheetsData,7,FALSE),"Carcass - tower - new material")))),IF(WardrobeHandleFinish="Match door",IF(ISERROR(FIND("Walnut",WardrobeDoorMaterial))=FALSE,(0.035*0.075*($B160/1000))*VLOOKUP("Walnut (solid m3)",SolidData,4,FALSE),IF(ISERROR(FIND("Oak",WardrobeDoorMaterial))=FALSE,(0.035*0.075*($B160/1000))*VLOOKUP("Oak (solid m3)",SolidData,4,FALSE),IF(ISERROR(FIND("ply",WardrobeDoorMaterial))=FALSE,(0.1*($B160/1000))*VLOOKUP("Birch ply (24mm)",SheetData,7,FALSE),IF(ISERROR(FIND("H/F",WardrobeCarcassMaterial))=FALSE,(0.1*($C160/1000))*VLOOKUP("H/F (22mm)",SheetsData,7,FALSE),"Door - tower - new material")))),"Channel - tower - handle set to other")))),"")</f>
        <v/>
      </c>
    </row>
    <row r="161">
      <c r="A161" s="151"/>
      <c r="B161" s="160" t="str">
        <f t="shared" si="1"/>
        <v/>
      </c>
      <c r="C161" s="160" t="str">
        <f>IFERROR(__xludf.DUMMYFUNCTION("IF(A161="""","""",IF(ISERROR(FIND(""arcass"",A161))=FALSE,MID(A161,FIND(""*"",A161)+1,FIND(""*"",A161,FIND(""*"",A161)+1)-FIND(""*"",A161)-1),IF(ISERROR(FIND(""End panel"",A161))=FALSE,RIGHT(A161,3),IF(OR(ISERROR(FIND(""drawer"",A161))=FALSE,ISERROR(FIND("&amp;"""door"",A161))=FALSE,ISERROR(FIND(""shelf"",A161))=FALSE,ISERROR(FIND(""panel"",A161))=FALSE,ISERROR(FIND(""Plinth"",A161))=FALSE,ISERROR(FIND(""Cornice"",A161))=FALSE,ISERROR(FIND(""Fillers"",A161))=FALSE,ISERROR(FIND(""Pelmet"",A161))=FALSE,ISERROR(FIN"&amp;"D(""Fireplace up to 1600"",A161))=FALSE),RIGHT(A161,LEN(A161)-LEN(regexextract(A161,"".* ""))),IF(ISERROR(FIND(""table"",A161))=FALSE,""560"",IF(ISERROR(FIND(""Office pod"",A161))=FALSE,""1600"",IF(ISERROR(FIND(""Fireplace over 1600"",A161))=FALSE,""2400"&amp;""",IF(ISERROR(FIND(""Worktop"",A161))=FALSE,""650"",""Whoops""))))))))"),"")</f>
        <v/>
      </c>
      <c r="D161" s="161" t="str">
        <f t="shared" si="2"/>
        <v/>
      </c>
      <c r="E161" s="152" t="str">
        <f>IF(OR(A161="",AND(ISERROR(FIND("drawer",A161))=FALSE,WardrobeDrawerType="")),"",IF(ISERROR(FIND("door",A161))=FALSE,IF(WardrobeDoorStyle="Flat",((B161/1000)*(C161/1000))*VLOOKUP(WardrobeDoorMaterial,SheetsData,8,0),IF(LEFT(WardrobeDoorStyle,5)="Panel",(((((B161/1000)*2)*0.08)+((((C161/1000)-0.16)*2)*0.08))*VLOOKUP("H/F (22mm)",SheetsData,8,0))+(((B161/1000)-0.14)*((C161/1000)-0.14)*VLOOKUP("H/F (9mm)",SheetsData,8,0)),IF(WardrobeDoorStyle="In-frame flat",((((((B161/1000)*0.019)*0.038)+((((C161-38)/1000)*0.038)*0.038))*2)*VLOOKUP("Tulip (solid m3)",SolidData,4,0))+(((B161-76)/1000)*((C161-38)/1000))*VLOOKUP("H/F (22mm)",SheetsData,8,0),IF(LEFT(WardrobeDoorStyle,14)="In-frame panel",(((((((B161/1000)*0.019)*0.038)+((((C161-38)/1000)*0.038)*0.038))*2)*VLOOKUP("Tulip (solid m3)",SolidData,4,0))+(((((((B161-76)/1000)*2)*0.08)+(((((C161-198)/1000)*2)*0.08)))*VLOOKUP("H/F (22mm)",SheetsData,8,0))+(((B161-216)/1000)*((C161-178)/1000)*VLOOKUP("H/F (9mm)",SheetsData,8,0)))))))),IF(AND(ISERROR(FIND("arcass",A161))=FALSE,ISERROR(FIND("ost corner",A161))=TRUE),IF(AND(VALUE(B161)&lt;1211,VALUE(C161)&lt;1211,VALUE(D161)&lt;606),1*VLOOKUP(WardrobeCarcassMaterial,SheetsData,5,FALSE),IF(AND(VALUE(B161)&lt;2421,VALUE(C161)&lt;2421,VALUE(D161)&lt;606),2*VLOOKUP(WardrobeCarcassMaterial,SheetsData,5,FALSE),IF(AND(VALUE(B161)&lt;2421,VALUE(C161)&lt;1211,VALUE(D161)&lt;1211),3*VLOOKUP(WardrobeCarcassMaterial,SheetsData,5,FALSE),IF(AND(VALUE(B161)&lt;2421,VALUE(C161)&lt;2421,VALUE(D161)&lt;1211),4*VLOOKUP(WardrobeCarcassMaterial,SheetsData,5,FALSE))))),IF(AND(ISERROR(FIND("arcass",A161))=FALSE,ISERROR(FIND("ost corner",A161))=FALSE),IF(AND(VALUE(B161)&lt;1211,VALUE(C161)&lt;1211,VALUE(D161)&lt;606),(1*VLOOKUP(WardrobeCarcassMaterial,SheetsData,5,FALSE))+(VLOOKUP("H/F (22mm)",SheetsData,7,FALSE)*1.44),IF(AND(VALUE(B161)&lt;2421,VALUE(C161)&lt;2421,VALUE(D161)&lt;606),(2*VLOOKUP(WardrobeCarcassMaterial,SheetsData,5,FALSE))+(VLOOKUP("H/F (22mm)",SheetsData,7,FALSE)*1.44),IF(AND(VALUE(B161)&lt;2421,VALUE(C161)&lt;1211,VALUE(D161)&lt;1211),(3*VLOOKUP(WardrobeCarcassMaterial,SheetsData,5,FALSE))+(VLOOKUP("H/F (22mm)",SheetsData,7,FALSE)*1.44),IF(AND(VALUE(B161)&lt;2421,VALUE(C161)&lt;2421,VALUE(D161)&lt;1211),(4*VLOOKUP(WardrobeCarcassMaterial,SheetsData,5,FALSE))+(VLOOKUP("H/F (22mm)",SheetsData,7,FALSE)*1.44))))),IF(ISERROR(FIND("drawer front",A161))=FALSE,((B161/1000)*(C161/1000))*VLOOKUP(WardrobeDoorMaterial,SheetsData,8,0),IF(AND(WardrobeDrawerType="Match carcass",ISERROR(FIND("drawer box",A161))=FALSE),(((((B161/1000)*(C161/1000))+((B161/1000)*(D161/1000)))*2)*VLOOKUP(WardrobeCarcassMaterial,SheetsData,8,0))+(((C161/1000)*(D161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box",A161))=FALSE),(((((B161/1000)*(C161/1000))+((B161/1000)*(D161/1000)))*2)*(16/1000)*VLOOKUP(LEFT(WardrobeCarcassMaterial,FIND(" ",WardrobeCarcassMaterial))&amp;"(solid m3)",SolidData,4,0))+(((C161/1000)*(D161/1000))*VLOOKUP(LEFT(WardrobeCarcassMaterial,FIND("(",WardrobeCarcassMaterial)-1)&amp;IF(OR(ISERROR(FIND("ply",WardrobeCarcassMaterial))=FALSE,ISERROR(FIND("H/F",WardrobeCarcassMaterial))=FALSE),"(9mm)","(10mm)"),SheetsData,8,0)),IF(ISERROR(FIND("shelf",A161))=FALSE,((C161/1000)*(D161/1000))*VLOOKUP(WardrobeCarcassMaterial,SheetsData,7,FALSE),IF(ISERROR(FIND("Office pod",A161))=FALSE,3*VLOOKUP(WardrobeCarcassMaterial,SheetsData,5,0),IF(ISERROR(FIND(" panel",A161))=FALSE,((B161/1000)*(C161/1000))*VLOOKUP(WardrobeDoorMaterial,SheetsData,8,0),IF(ISERROR(FIND("Fillers",A161))=FALSE,(((0.06*(C161/1000))*2)*VLOOKUP("H/F (18mm)",SheetsData,8,0))+(((0.06*(C161/1000))*2)*VLOOKUP("H/F (9mm)",SheetsData,8,0)),IF(ISERROR(FIND("Cornice (stacked)",A161))=FALSE,((0.08*(C161/1000))*2)*VLOOKUP("H/F (22mm)",SheetsData,8,0),IF(OR(ISERROR(FIND("Plinth",A161))=FALSE,ISERROR(FIND("Cornice (flat)",A161))=FALSE),((B161/1000)*(C161/1000))*VLOOKUP("H/F (18mm)",SheetsData,8,0),IF(ISERROR(FIND("Pelmet",A161))=FALSE,((((B161/1000)*(C161/1000))*2)*VLOOKUP("H/F (18mm)",SheetsData,8,0)),IF(ISERROR(FIND("Fireplace",A161))=FALSE,IF(ISERROR(FIND("over 1600",A161))=FALSE,2*VLOOKUP(WardrobeCarcassMaterial,SheetsData,5,FALSE),VLOOKUP(WardrobeCarcassMaterial,SheetsData,5,FALSE)),IF(ISERROR(FIND("table",A161))=FALSE,((B161/1000)*0.6)*VLOOKUP("Birch ply (24mm)",SheetsData,7,FALSE),IF(ISERROR(FIND("Worktop",A161))=FALSE,((B161/1000)*(C161/1000))*VLOOKUP(WardrobeDoorMaterial,SheetsData,7,FALSE),"Check formula")))))))))))))))))</f>
        <v/>
      </c>
      <c r="F161" s="152" t="str">
        <f>IFERROR(__xludf.DUMMYFUNCTION("IF(OR(A161="""",AND(ISERROR(FIND(""drawer box"",A161))=FALSE,WardrobeDrawerType=""Solid dovetail"")),"""",IF(ISERROR(FIND(""bins"",A161))=FALSE,VLOOKUP(""Base carcass 600"",Wardrobes_etcData,6,0),IF(OR(ISERROR(FIND(""larder"",A161))=FALSE,ISERROR(FIND(""u"&amp;"nit"",A161))=FALSE),VLOOKUP(LEFT(A161,FIND("" "",A161))&amp;""carcass ""&amp;RIGHT(A161,LEN(A161)-len(regexextract(A161,"".* ""))),Wardrobes_etcData,6,0),IF(ISERROR(FIND(""drawer front"",A161))=FALSE,IF(ISERROR(FIND(""veneer"",WardrobeCarcassMaterial))=TRUE,0,((("&amp;"B161+C161)/1000)*2)*VLOOKUP(""Edge banding (per M)"",SheetsData,5,0)),IF(ISERROR(FIND(""drawer box"",A161))=FALSE,IF(ISERROR(FIND(""veneer"",WardrobeCarcassMaterial))=TRUE,0,(((C161+D161)/1000)*2)*VLOOKUP(""Edge banding (per M)"",SheetsData,5,0)),IF(ISERR"&amp;"OR(FIND(""shelf"",A161))=FALSE,IF(ISERROR(FIND(""veneer"",WardrobeCarcassMaterial))=TRUE,0,(C161/1000)*VLOOKUP(""Edge banding (per M)"",SheetsData,5,0)),IF(AND(OR(ISERROR(FIND(""arcass"",A161))=FALSE,ISERROR(FIND(""Fireplace"",A161))=FALSE),ISERROR(FIND("&amp;"""shelf"",A161))=TRUE),IF(ISERROR(FIND(""veneer"",WardrobeCarcassMaterial))=TRUE,0,((2*(B161+C161))/1000)*VLOOKUP(""Edge banding (per M)"",SheetsData,5,0)),IF(ISERROR(FIND(""door"",A161))=TRUE,"""",IF(ISERROR(FIND(""veneer"",WardrobeDoorMaterial))=TRUE,"""&amp;""",((2*(B161+C161))/1000)*VLOOKUP(""Edge banding (per M)"",SheetsData,5,0))))))))))"),"")</f>
        <v/>
      </c>
      <c r="G161" s="153" t="str">
        <f>IF(A161="","",IF(AND(ISERROR(FIND("arcass",A161))=TRUE,ISERROR(FIND("Fireplace",A161))=TRUE),"",IF(VALUE(C161)&lt;606,4*VLOOKUP("Plinth foot (2 Parts 80mm)",FurnitureData,5,FALSE),IF(VALUE(C161)&lt;1211,6*VLOOKUP("Plinth foot (2 Parts 80mm)",FurnitureData,5,FALSE),8*VLOOKUP("Plinth foot (2 Parts 80mm)",FurnitureData,5,FALSE)))))</f>
        <v/>
      </c>
      <c r="H161" s="115" t="str">
        <f>IF(OR(A161="",ISERROR(FIND("door",A161))=TRUE),"",VLOOKUP("Hinges &amp; plates (Hettich thick door)",FurnitureData,5,0)*5)</f>
        <v/>
      </c>
      <c r="I161" s="115" t="str">
        <f>IF(ISERROR(FIND("shelf",A161))=FALSE,(VLOOKUP("Shelf pegs",FurnitureData,5,0)/100)*4,"")</f>
        <v/>
      </c>
      <c r="J161" s="152" t="str">
        <f>IF(OR(ISERROR(FIND("fridge/freezer",A161))=FALSE,ISERROR(FIND("sink",A161))=FALSE,ISERROR(FIND("larder",A161))=FALSE),VLOOKUP("Deep shelf "&amp;C161,Wardrobes_etcData,18,0),IF(OR(ISERROR(FIND("single oven",A161))=FALSE,ISERROR(FIND("Base carcass",A161))=FALSE),2*VLOOKUP("Deep shelf "&amp;C161,Wardrobes_etcData,18,0),IF(AND(ISERROR(FIND("wall carcass",A161))=FALSE,ISERROR(FIND("Boiler",A161))=TRUE),2*VLOOKUP("Shallow shelf "&amp;C161,Wardrobes_etcData,18,0),IF(ISERROR(FIND("double oven",A161))=FALSE,3*VLOOKUP("Deep shelf "&amp;C161,Wardrobes_etcData,18,0),IF(ISERROR(FIND("Tower carcass",A161))=FALSE,6*VLOOKUP("Deep shelf "&amp;C161,Wardrobes_etcData,18,0),"")))))</f>
        <v/>
      </c>
      <c r="K161" s="152" t="str">
        <f>IF(ISERROR(FIND("sink",A161))=FALSE,VLOOKUP("Sink liner - Aluminium "&amp;RIGHT(A161,LEN(A161)-22)&amp;"mm",ExceptionalData,5,0),IF(ISERROR(FIND("bins",A161))=FALSE,VLOOKUP("Drawer runners and clip set for bin unit (500) Dynapro",FurnitureData,5,0)+(2*VLOOKUP("Bin (42L Anthracite)",FurnitureData,5,0)),IF(ISERROR(FIND("larder",A161))=FALSE,VLOOKUP("Pull out larder unit 600mm",FurnitureData,5,0),IF(AND(ISERROR(FIND("drawer box",A161))=FALSE,ISERROR(FIND("internal",A161))=TRUE),VLOOKUP("Drawer runners and clip set (550) Dynapro",FurnitureData,5,0),IF(ISERROR(FIND("internal drawer box",A161))=FALSE,VLOOKUP("Drawer runners and clip set (450) Dynapro",FurnitureData,5,0),IF(ISERROR(FIND("table",A161))=FALSE,VLOOKUP("Hairpin Leg (12mm Black "&amp;MID(A161,FIND("(",A161)+1,LEN(A161)-(FIND("(",A161))-1)&amp;"mm)",ExceptionalData,4,FALSE),""))))))</f>
        <v/>
      </c>
      <c r="L161" s="152" t="str">
        <f t="shared" si="3"/>
        <v/>
      </c>
      <c r="M161" s="154" t="str">
        <f>IF(A161="","",IF(AND(ISERROR(FIND("drawer front",A161))=FALSE,WardrobeDoorStyle="Flat"),(((B161/1000)*(C161/1000))*2)+((((B161+C161)/1000)*2)*0.022),IF(AND(ISERROR(FIND("drawer front",A161))=FALSE,LEFT(WardrobeDoorStyle,5)="Panel"),(((B161/1000)*(C161/1000))*2)+((((B161+C161)/1000)*2)*0.022)+((((C161/1000)-0.16)*0.013)*2)+((((D161/1000)-0.16)*0.013)*2),IF(AND(ISERROR(FIND("drawer front",A161))=FALSE,WardrobeDoorStyle="In-frame flat"),((((B161-76)/1000)*((C161-38)/1000))*2)+(MID(WardrobeDoorMaterial,FIND("(",WardrobeDoorMaterial)+1,2)/1000)*((((B161-76)+(C161-38))/1000)*2)+(((B161/1000)*0.032)*2)+((((B161-76)/1000)*0.032)*2)+(((B161/1000)*0.019)*4)+(((C161/1000)*0.032)*2)+((((C161-38)/1000)*0.032)*2)+(((C161/1000)*0.038)*4),IF(AND(ISERROR(FIND("drawer front",A161))=FALSE,LEFT(WardrobeDoorStyle,14)="In-frame panel"),((((B161-76)/1000)*((C161-38)/1000))*2)+((MID(WardrobeDoorMaterial,FIND("(",WardrobeDoorMaterial)+1,2)/1000)*((((B161-76)+(C161-38))/1000)*2))+((((B161-236)/1000)+((C161-198)/1000)*2)*0.013)+(((B161/1000)*0.032)*2)+((((B161-76)/1000)*0.032)*2)+(((B161/1000)*0.019)*4)+(((C161/1000)*0.032)*2)+((((C161-38)/1000)*0.032)*2)+(((C161/1000)*0.038)*4),IF(ISERROR(FIND("drawer box",A161))=FALSE,((((B161/1000)*(D161/1000))+((B161/1000)*(C161/1000)))*4)+((((D161/1000)+(C161/1000))*0.016)*4)+(((C161/1000)*(D161/1000))*2),IF(OR(ISERROR(FIND("shelf",A161))=FALSE,ISERROR(FIND("Filler panel",A161))=FALSE),(((C161/1000)*(D161/1000))*2)+((((C161+D161)*2)/1000)*0.022),IF(ISERROR(FIND("Fireplace",A161))=FALSE,((B161/1000)*(C161/1000)),IF(ISERROR(FIND("Worktop",A161))=FALSE,(B161/1000)*(C161/1000),IF(ISERROR(FIND("table",A161))=FALSE,(B161/1000)*0.6,IF(ISERROR(FIND("arcass",A161))=FALSE,(((C161/1000)*(D161/1000))*2)+(((B161/1000)*(D161/1000))*2)+((B161/1000)*(C161/1000))+((((B161/1000)*0.025)+((C161/1000)*0.025))*2),IF(AND(ISERROR(FIND("door",A161))=FALSE,WardrobeDoorStyle="Flat"),(((B161/1000)*(C161/1000))*2)+(MID(WardrobeDoorMaterial,FIND("(",WardrobeDoorMaterial)+1,2)/1000)*(((B161+C161)/1000)*2),IF(AND(ISERROR(FIND("door",A161))=FALSE,LEFT(WardrobeDoorStyle,5)="Panel"),(((B161/1000)*(C161/1000))*2)+((MID(WardrobeDoorMaterial,FIND("(",WardrobeDoorMaterial)+1,2)/1000)*(((B161+C161)/1000)*2))+(((((B161-160)+(C161-160))*2)/1000)*(0.013)),IF(AND(ISERROR(FIND("door",A161))=FALSE,WardrobeDoorStyle="In-frame flat"),((((B161-76)/1000)*((C161-38)/1000))*2)+(MID(WardrobeDoorMaterial,FIND("(",WardrobeDoorMaterial)+1,2)/1000)*((((B161-76)+(C161-38))/1000)*2)+(((B161/1000)*0.032)*2)+((((B161-76)/1000)*0.032)*2)+(((B161/1000)*0.019)*4)+(((C161/1000)*0.032)*2)+((((C161-38)/1000)*0.032)*2)+(((C161/1000)*0.038)*4),IF(AND(ISERROR(FIND("door",A161))=FALSE,LEFT(WardrobeDoorStyle,14)="In-frame panel"),((((B161-76)/1000)*((C161-38)/1000))*2)+((MID(WardrobeDoorMaterial,FIND("(",WardrobeDoorMaterial)+1,2)/1000)*((((B161-76)+(C161-38))/1000)*2))+((((B161-236)/1000)+((C161-198)/1000)*2)*0.013)+(((B161/1000)*0.032)*2)+((((B161-76)/1000)*0.032)*2)+(((B161/1000)*0.019)*4)+(((C161/1000)*0.032)*2)+((((C161-38)/1000)*0.032)*2)+(((C161/1000)*0.038)*4),IF(ISERROR(FIND("Plinth",A161))=FALSE,((B161/1000)*(C161/1000))+(((C161/1000)*0.018)*2)+(((B161/1000)*0.018)*2),IF(ISERROR(FIND("Cornice",A161))=FALSE,(((C161/1000)*0.1)*2)+(((C161/1000)*0.044)*2)+(((B161/1000)*0.08)*2),IF(ISERROR(FIND("Office pod",A161))=FALSE,((2400/1000)*(1200/1000))*6,IF(ISERROR(FIND("panel",A161))=FALSE,((B161/1000)*(C161/1000))+(0.022*((B161/1000)+((C161/1000)*2)))+((B161/1000)*0.05),IF(ISERROR(FIND("Fillers",A161))=FALSE,((C161/1000)*0.06)+((C161/1000)*0.069)+((0.06*0.018)*2)+((0.06*0.009)*2)+((C161/1000)*0.009)+((C161/1000)*0.018),IF(ISERROR(FIND("Pelmet",A161))=FALSE,((C161/1000)*0.05)+((C161/1000)*0.068)+((0.05*0.018)*4)+(((C161/1000)*0.018))*2)))))))))))))))))))))</f>
        <v/>
      </c>
      <c r="N161" s="152" t="str">
        <f>IF(M161="","",IF(AND(ISERROR(FIND("carcass",A161))=TRUE,ISERROR(FIND("unit",A161))=TRUE,ISERROR(FIND("insert",A161))=TRUE,ISERROR(FIND("rack",A161))=TRUE,ISERROR(FIND("box",A161))=TRUE,ISERROR(FIND("shelf",A161))=TRUE),VLOOKUP(WardrobeDoorFinish,Finishing!$A$2:$K$10,9,0)*M161,IF(ISERROR(FIND("table",A161))=FALSE,VLOOKUP("Sayerlack AF0072 Interior Clear Self-Sealer",FinishingData,9,FALSE)*M161,VLOOKUP(WardrobeCarcassFinish,Finishing!$A$2:$K$40,9,0)*M161)))</f>
        <v/>
      </c>
      <c r="O161" s="159"/>
      <c r="P161" s="159"/>
      <c r="Q161" s="152" t="str">
        <f>IF(OR(O161="",P161=""),"",((O161*X161)*(VLOOKUP("Workshop",Labour!$A$3:$E$20,4,0)/8))+((P161*AE161)*(VLOOKUP("Finishing",Labour!$A$3:$E$20,4,0)/8)))</f>
        <v/>
      </c>
      <c r="R161" s="152" t="str">
        <f t="shared" si="4"/>
        <v/>
      </c>
      <c r="S161" s="156" t="str">
        <f>IF(OR(O161="",P161=""),"",IF(OR(ISERROR(FIND("carcass",$A161))=FALSE,ISERROR(FIND("unit",$A161))=FALSE),VLOOKUP(WardrobeCarcassMaterial,FixedListsCarcassMaterial,2,0),0))</f>
        <v/>
      </c>
      <c r="T161" s="156" t="str">
        <f>IF(OR(O161="",P161=""),"",IF(ISERROR(FIND("door",$A161))=FALSE,VLOOKUP(WardrobeDoorStyle,FixedListsDoorStyle,2,0),0))</f>
        <v/>
      </c>
      <c r="U161" s="156" t="str">
        <f>IF(OR(O161="",P161=""),"",IF(ISERROR(FIND("door",$A161))=FALSE,VLOOKUP(WardrobeDoorMaterial,FixedListsDoorMaterial,2,0),0))</f>
        <v/>
      </c>
      <c r="V161" s="156" t="str">
        <f>IF(OR(O161="",P161=""),"",IF(ISERROR(FIND("drawer",$A161))=FALSE,VLOOKUP(WardrobeDrawerType,FixedListsDrawerType,2,0),0))</f>
        <v/>
      </c>
      <c r="W161" s="156" t="str">
        <f>IF(OR(O161="",P161=""),"",IF(S161&gt;0,VLOOKUP(WardrobeHandleType,FixedListsHandleType,2,FALSE),0))</f>
        <v/>
      </c>
      <c r="X161" s="156" t="str">
        <f t="shared" si="5"/>
        <v/>
      </c>
      <c r="Y161" s="156" t="str">
        <f>IF(OR(O161="",P161=""),"",IF(OR(ISERROR(FIND("carcass",$A161))=FALSE,ISERROR(FIND("unit",$A161))=FALSE),VLOOKUP(WardrobeCarcassMaterial,FixedListsCarcassMaterial,3,0),0))</f>
        <v/>
      </c>
      <c r="Z161" s="156" t="str">
        <f>IF(OR(O161="",P161=""),"",IF(ISERROR(FIND("door",$A161))=FALSE,VLOOKUP(WardrobeDoorStyle,FixedListsDoorStyle,3,0),0))</f>
        <v/>
      </c>
      <c r="AA161" s="156" t="str">
        <f>IF(OR(O161="",P161=""),"",IF(ISERROR(FIND("door",$A161))=FALSE,VLOOKUP(WardrobeDoorMaterial,FixedListsDoorMaterial,3,0),0))</f>
        <v/>
      </c>
      <c r="AB161" s="156" t="str">
        <f>IF(OR(O161="",P161=""),"",IF(ISERROR(FIND("drawer",$A161))=FALSE,VLOOKUP(WardrobeDrawerType,FixedListsDrawerType,3,0),0))</f>
        <v/>
      </c>
      <c r="AC161" s="156" t="str">
        <f>IF(OR(O161="",P161=""),"",IF(S161&gt;0,VLOOKUP(WardrobeHandleType,FixedListsHandleType,3,FALSE),0))</f>
        <v/>
      </c>
      <c r="AD161" s="156" t="str">
        <f>IF(OR(O161="",P161=""),"",IF(OR(ISERROR(FIND("carcass",$A161))=FALSE,ISERROR(FIND("unit",$A161))=FALSE),VLOOKUP(WardrobeCarcassFinish,FixedListsFinishes,3,0),IF(OR(ISERROR(FIND("door",$A161))=FALSE,ISERROR(FIND("Plinth",$A161))=FALSE,ISERROR(FIND("Cornice",$A161))=FALSE,ISERROR(FIND("Fillers",$A161))=FALSE,ISERROR(FIND("Pelmet",$A161))=FALSE,ISERROR(FIND("panel",$A161))=FALSE,ISERROR(FIND("post",$A161))=FALSE),VLOOKUP(WardrobeDoorFinish,FixedListsFinishes,3,0),IF(OR(ISERROR(FIND("drawer",$A161))=FALSE,ISERROR(FIND("insert",$A161))=FALSE,ISERROR(FIND("rck",$A161))=FALSE),VLOOKUP(WardrobeCarcassFinish,FixedListsFinishes,3,0),0))))</f>
        <v/>
      </c>
      <c r="AE161" s="156" t="str">
        <f t="shared" si="6"/>
        <v/>
      </c>
      <c r="AF161" s="157" t="str">
        <f>IF(AND(WardrobeHandleType="Channel",OR(ISERROR(FIND("arcass",$A161))=FALSE,ISERROR(FIND("unit",$A161))=FALSE)),IF(ISERROR(FIND("Tower",$A161))=TRUE,IF(WardrobeHandleFinish="Match carcass",IF(ISERROR(FIND("Walnut",WardrobeCarcassMaterial))=FALSE,(0.035*0.075*($C161/1000))*VLOOKUP("Walnut (solid m3)",SolidData,4,FALSE),IF(ISERROR(FIND("Oak",WardrobeCarcassMaterial))=FALSE,(0.035*0.075*($C161/1000))*VLOOKUP("Oak (solid m3)",SolidData,4,FALSE),IF(ISERROR(FIND("ply",WardrobeCarcassMaterial))=FALSE,(0.1*($C161/1000))*VLOOKUP("Birch ply (24mm)",SheetsData,7,FALSE),IF(ISERROR(FIND("H/F",WardrobeCarcassMaterial))=FALSE,(0.1*($C161/1000))*VLOOKUP("H/F (22mm)",SheetsData,7,FALSE),"Carcass - not tower - new material")))),IF(WardrobeHandleFinish="Match door",IF(ISERROR(FIND("Walnut",WardrobeDoorMaterial))=FALSE,(0.035*0.075*($C161/1000))*VLOOKUP("Walnut (solid m3)",SolidData,4,FALSE),IF(ISERROR(FIND("Oak",WardrobeDoorMaterial))=FALSE,(0.035*0.075*($C161/1000))*VLOOKUP("Oak (solid m3)",SolidData,4,FALSE),IF(ISERROR(FIND("ply",WardrobeDoorMaterial))=FALSE,(0.1*($C161/1000))*VLOOKUP("Birch ply (24mm)",SheetsData,7,FALSE),IF(ISERROR(FIND("H/F",WardrobeCarcassMaterial))=FALSE,(0.1*($C161/1000))*VLOOKUP("H/F (22mm)",SheetsData,7,FALSE),"Door - not tower - new material")))),"Channel - not tower - handle set to other")),IF(ISERROR(FIND("Tower",$A161))=FALSE,IF(WardrobeHandleFinish="Match carcass",IF(ISERROR(FIND("Walnut",WardrobeCarcassMaterial))=FALSE,(0.035*0.075*($B161/1000))*VLOOKUP("Walnut (solid m3)",SolidData,4,FALSE),IF(ISERROR(FIND("Oak",WardrobeCarcassMaterial))=FALSE,(0.035*0.075*($B161/1000))*VLOOKUP("Oak (solid m3)",SolidData,4,FALSE),IF(ISERROR(FIND("ply",WardrobeCarcassMaterial))=FALSE,(0.1*($B161/1000))*VLOOKUP("Birch ply (24mm)",SheetsData,7,FALSE),IF(ISERROR(FIND("H/F",WardrobeCarcassMaterial))=FALSE,(0.1*($C161/1000))*VLOOKUP("H/F (22mm)",SheetsData,7,FALSE),"Carcass - tower - new material")))),IF(WardrobeHandleFinish="Match door",IF(ISERROR(FIND("Walnut",WardrobeDoorMaterial))=FALSE,(0.035*0.075*($B161/1000))*VLOOKUP("Walnut (solid m3)",SolidData,4,FALSE),IF(ISERROR(FIND("Oak",WardrobeDoorMaterial))=FALSE,(0.035*0.075*($B161/1000))*VLOOKUP("Oak (solid m3)",SolidData,4,FALSE),IF(ISERROR(FIND("ply",WardrobeDoorMaterial))=FALSE,(0.1*($B161/1000))*VLOOKUP("Birch ply (24mm)",SheetData,7,FALSE),IF(ISERROR(FIND("H/F",WardrobeCarcassMaterial))=FALSE,(0.1*($C161/1000))*VLOOKUP("H/F (22mm)",SheetsData,7,FALSE),"Door - tower - new material")))),"Channel - tower - handle set to other")))),"")</f>
        <v/>
      </c>
    </row>
    <row r="162">
      <c r="A162" s="151"/>
      <c r="B162" s="160" t="str">
        <f t="shared" si="1"/>
        <v/>
      </c>
      <c r="C162" s="160" t="str">
        <f>IFERROR(__xludf.DUMMYFUNCTION("IF(A162="""","""",IF(ISERROR(FIND(""arcass"",A162))=FALSE,MID(A162,FIND(""*"",A162)+1,FIND(""*"",A162,FIND(""*"",A162)+1)-FIND(""*"",A162)-1),IF(ISERROR(FIND(""End panel"",A162))=FALSE,RIGHT(A162,3),IF(OR(ISERROR(FIND(""drawer"",A162))=FALSE,ISERROR(FIND("&amp;"""door"",A162))=FALSE,ISERROR(FIND(""shelf"",A162))=FALSE,ISERROR(FIND(""panel"",A162))=FALSE,ISERROR(FIND(""Plinth"",A162))=FALSE,ISERROR(FIND(""Cornice"",A162))=FALSE,ISERROR(FIND(""Fillers"",A162))=FALSE,ISERROR(FIND(""Pelmet"",A162))=FALSE,ISERROR(FIN"&amp;"D(""Fireplace up to 1600"",A162))=FALSE),RIGHT(A162,LEN(A162)-LEN(regexextract(A162,"".* ""))),IF(ISERROR(FIND(""table"",A162))=FALSE,""560"",IF(ISERROR(FIND(""Office pod"",A162))=FALSE,""1600"",IF(ISERROR(FIND(""Fireplace over 1600"",A162))=FALSE,""2400"&amp;""",IF(ISERROR(FIND(""Worktop"",A162))=FALSE,""650"",""Whoops""))))))))"),"")</f>
        <v/>
      </c>
      <c r="D162" s="161" t="str">
        <f t="shared" si="2"/>
        <v/>
      </c>
      <c r="E162" s="152" t="str">
        <f>IF(OR(A162="",AND(ISERROR(FIND("drawer",A162))=FALSE,WardrobeDrawerType="")),"",IF(ISERROR(FIND("door",A162))=FALSE,IF(WardrobeDoorStyle="Flat",((B162/1000)*(C162/1000))*VLOOKUP(WardrobeDoorMaterial,SheetsData,8,0),IF(LEFT(WardrobeDoorStyle,5)="Panel",(((((B162/1000)*2)*0.08)+((((C162/1000)-0.16)*2)*0.08))*VLOOKUP("H/F (22mm)",SheetsData,8,0))+(((B162/1000)-0.14)*((C162/1000)-0.14)*VLOOKUP("H/F (9mm)",SheetsData,8,0)),IF(WardrobeDoorStyle="In-frame flat",((((((B162/1000)*0.019)*0.038)+((((C162-38)/1000)*0.038)*0.038))*2)*VLOOKUP("Tulip (solid m3)",SolidData,4,0))+(((B162-76)/1000)*((C162-38)/1000))*VLOOKUP("H/F (22mm)",SheetsData,8,0),IF(LEFT(WardrobeDoorStyle,14)="In-frame panel",(((((((B162/1000)*0.019)*0.038)+((((C162-38)/1000)*0.038)*0.038))*2)*VLOOKUP("Tulip (solid m3)",SolidData,4,0))+(((((((B162-76)/1000)*2)*0.08)+(((((C162-198)/1000)*2)*0.08)))*VLOOKUP("H/F (22mm)",SheetsData,8,0))+(((B162-216)/1000)*((C162-178)/1000)*VLOOKUP("H/F (9mm)",SheetsData,8,0)))))))),IF(AND(ISERROR(FIND("arcass",A162))=FALSE,ISERROR(FIND("ost corner",A162))=TRUE),IF(AND(VALUE(B162)&lt;1211,VALUE(C162)&lt;1211,VALUE(D162)&lt;606),1*VLOOKUP(WardrobeCarcassMaterial,SheetsData,5,FALSE),IF(AND(VALUE(B162)&lt;2421,VALUE(C162)&lt;2421,VALUE(D162)&lt;606),2*VLOOKUP(WardrobeCarcassMaterial,SheetsData,5,FALSE),IF(AND(VALUE(B162)&lt;2421,VALUE(C162)&lt;1211,VALUE(D162)&lt;1211),3*VLOOKUP(WardrobeCarcassMaterial,SheetsData,5,FALSE),IF(AND(VALUE(B162)&lt;2421,VALUE(C162)&lt;2421,VALUE(D162)&lt;1211),4*VLOOKUP(WardrobeCarcassMaterial,SheetsData,5,FALSE))))),IF(AND(ISERROR(FIND("arcass",A162))=FALSE,ISERROR(FIND("ost corner",A162))=FALSE),IF(AND(VALUE(B162)&lt;1211,VALUE(C162)&lt;1211,VALUE(D162)&lt;606),(1*VLOOKUP(WardrobeCarcassMaterial,SheetsData,5,FALSE))+(VLOOKUP("H/F (22mm)",SheetsData,7,FALSE)*1.44),IF(AND(VALUE(B162)&lt;2421,VALUE(C162)&lt;2421,VALUE(D162)&lt;606),(2*VLOOKUP(WardrobeCarcassMaterial,SheetsData,5,FALSE))+(VLOOKUP("H/F (22mm)",SheetsData,7,FALSE)*1.44),IF(AND(VALUE(B162)&lt;2421,VALUE(C162)&lt;1211,VALUE(D162)&lt;1211),(3*VLOOKUP(WardrobeCarcassMaterial,SheetsData,5,FALSE))+(VLOOKUP("H/F (22mm)",SheetsData,7,FALSE)*1.44),IF(AND(VALUE(B162)&lt;2421,VALUE(C162)&lt;2421,VALUE(D162)&lt;1211),(4*VLOOKUP(WardrobeCarcassMaterial,SheetsData,5,FALSE))+(VLOOKUP("H/F (22mm)",SheetsData,7,FALSE)*1.44))))),IF(ISERROR(FIND("drawer front",A162))=FALSE,((B162/1000)*(C162/1000))*VLOOKUP(WardrobeDoorMaterial,SheetsData,8,0),IF(AND(WardrobeDrawerType="Match carcass",ISERROR(FIND("drawer box",A162))=FALSE),(((((B162/1000)*(C162/1000))+((B162/1000)*(D162/1000)))*2)*VLOOKUP(WardrobeCarcassMaterial,SheetsData,8,0))+(((C162/1000)*(D162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box",A162))=FALSE),(((((B162/1000)*(C162/1000))+((B162/1000)*(D162/1000)))*2)*(16/1000)*VLOOKUP(LEFT(WardrobeCarcassMaterial,FIND(" ",WardrobeCarcassMaterial))&amp;"(solid m3)",SolidData,4,0))+(((C162/1000)*(D162/1000))*VLOOKUP(LEFT(WardrobeCarcassMaterial,FIND("(",WardrobeCarcassMaterial)-1)&amp;IF(OR(ISERROR(FIND("ply",WardrobeCarcassMaterial))=FALSE,ISERROR(FIND("H/F",WardrobeCarcassMaterial))=FALSE),"(9mm)","(10mm)"),SheetsData,8,0)),IF(ISERROR(FIND("shelf",A162))=FALSE,((C162/1000)*(D162/1000))*VLOOKUP(WardrobeCarcassMaterial,SheetsData,7,FALSE),IF(ISERROR(FIND("Office pod",A162))=FALSE,3*VLOOKUP(WardrobeCarcassMaterial,SheetsData,5,0),IF(ISERROR(FIND(" panel",A162))=FALSE,((B162/1000)*(C162/1000))*VLOOKUP(WardrobeDoorMaterial,SheetsData,8,0),IF(ISERROR(FIND("Fillers",A162))=FALSE,(((0.06*(C162/1000))*2)*VLOOKUP("H/F (18mm)",SheetsData,8,0))+(((0.06*(C162/1000))*2)*VLOOKUP("H/F (9mm)",SheetsData,8,0)),IF(ISERROR(FIND("Cornice (stacked)",A162))=FALSE,((0.08*(C162/1000))*2)*VLOOKUP("H/F (22mm)",SheetsData,8,0),IF(OR(ISERROR(FIND("Plinth",A162))=FALSE,ISERROR(FIND("Cornice (flat)",A162))=FALSE),((B162/1000)*(C162/1000))*VLOOKUP("H/F (18mm)",SheetsData,8,0),IF(ISERROR(FIND("Pelmet",A162))=FALSE,((((B162/1000)*(C162/1000))*2)*VLOOKUP("H/F (18mm)",SheetsData,8,0)),IF(ISERROR(FIND("Fireplace",A162))=FALSE,IF(ISERROR(FIND("over 1600",A162))=FALSE,2*VLOOKUP(WardrobeCarcassMaterial,SheetsData,5,FALSE),VLOOKUP(WardrobeCarcassMaterial,SheetsData,5,FALSE)),IF(ISERROR(FIND("table",A162))=FALSE,((B162/1000)*0.6)*VLOOKUP("Birch ply (24mm)",SheetsData,7,FALSE),IF(ISERROR(FIND("Worktop",A162))=FALSE,((B162/1000)*(C162/1000))*VLOOKUP(WardrobeDoorMaterial,SheetsData,7,FALSE),"Check formula")))))))))))))))))</f>
        <v/>
      </c>
      <c r="F162" s="152" t="str">
        <f>IFERROR(__xludf.DUMMYFUNCTION("IF(OR(A162="""",AND(ISERROR(FIND(""drawer box"",A162))=FALSE,WardrobeDrawerType=""Solid dovetail"")),"""",IF(ISERROR(FIND(""bins"",A162))=FALSE,VLOOKUP(""Base carcass 600"",Wardrobes_etcData,6,0),IF(OR(ISERROR(FIND(""larder"",A162))=FALSE,ISERROR(FIND(""u"&amp;"nit"",A162))=FALSE),VLOOKUP(LEFT(A162,FIND("" "",A162))&amp;""carcass ""&amp;RIGHT(A162,LEN(A162)-len(regexextract(A162,"".* ""))),Wardrobes_etcData,6,0),IF(ISERROR(FIND(""drawer front"",A162))=FALSE,IF(ISERROR(FIND(""veneer"",WardrobeCarcassMaterial))=TRUE,0,((("&amp;"B162+C162)/1000)*2)*VLOOKUP(""Edge banding (per M)"",SheetsData,5,0)),IF(ISERROR(FIND(""drawer box"",A162))=FALSE,IF(ISERROR(FIND(""veneer"",WardrobeCarcassMaterial))=TRUE,0,(((C162+D162)/1000)*2)*VLOOKUP(""Edge banding (per M)"",SheetsData,5,0)),IF(ISERR"&amp;"OR(FIND(""shelf"",A162))=FALSE,IF(ISERROR(FIND(""veneer"",WardrobeCarcassMaterial))=TRUE,0,(C162/1000)*VLOOKUP(""Edge banding (per M)"",SheetsData,5,0)),IF(AND(OR(ISERROR(FIND(""arcass"",A162))=FALSE,ISERROR(FIND(""Fireplace"",A162))=FALSE),ISERROR(FIND("&amp;"""shelf"",A162))=TRUE),IF(ISERROR(FIND(""veneer"",WardrobeCarcassMaterial))=TRUE,0,((2*(B162+C162))/1000)*VLOOKUP(""Edge banding (per M)"",SheetsData,5,0)),IF(ISERROR(FIND(""door"",A162))=TRUE,"""",IF(ISERROR(FIND(""veneer"",WardrobeDoorMaterial))=TRUE,"""&amp;""",((2*(B162+C162))/1000)*VLOOKUP(""Edge banding (per M)"",SheetsData,5,0))))))))))"),"")</f>
        <v/>
      </c>
      <c r="G162" s="153" t="str">
        <f>IF(A162="","",IF(AND(ISERROR(FIND("arcass",A162))=TRUE,ISERROR(FIND("Fireplace",A162))=TRUE),"",IF(VALUE(C162)&lt;606,4*VLOOKUP("Plinth foot (2 Parts 80mm)",FurnitureData,5,FALSE),IF(VALUE(C162)&lt;1211,6*VLOOKUP("Plinth foot (2 Parts 80mm)",FurnitureData,5,FALSE),8*VLOOKUP("Plinth foot (2 Parts 80mm)",FurnitureData,5,FALSE)))))</f>
        <v/>
      </c>
      <c r="H162" s="115" t="str">
        <f>IF(OR(A162="",ISERROR(FIND("door",A162))=TRUE),"",VLOOKUP("Hinges &amp; plates (Hettich thick door)",FurnitureData,5,0)*5)</f>
        <v/>
      </c>
      <c r="I162" s="115" t="str">
        <f>IF(ISERROR(FIND("shelf",A162))=FALSE,(VLOOKUP("Shelf pegs",FurnitureData,5,0)/100)*4,"")</f>
        <v/>
      </c>
      <c r="J162" s="152" t="str">
        <f>IF(OR(ISERROR(FIND("fridge/freezer",A162))=FALSE,ISERROR(FIND("sink",A162))=FALSE,ISERROR(FIND("larder",A162))=FALSE),VLOOKUP("Deep shelf "&amp;C162,Wardrobes_etcData,18,0),IF(OR(ISERROR(FIND("single oven",A162))=FALSE,ISERROR(FIND("Base carcass",A162))=FALSE),2*VLOOKUP("Deep shelf "&amp;C162,Wardrobes_etcData,18,0),IF(AND(ISERROR(FIND("wall carcass",A162))=FALSE,ISERROR(FIND("Boiler",A162))=TRUE),2*VLOOKUP("Shallow shelf "&amp;C162,Wardrobes_etcData,18,0),IF(ISERROR(FIND("double oven",A162))=FALSE,3*VLOOKUP("Deep shelf "&amp;C162,Wardrobes_etcData,18,0),IF(ISERROR(FIND("Tower carcass",A162))=FALSE,6*VLOOKUP("Deep shelf "&amp;C162,Wardrobes_etcData,18,0),"")))))</f>
        <v/>
      </c>
      <c r="K162" s="152" t="str">
        <f>IF(ISERROR(FIND("sink",A162))=FALSE,VLOOKUP("Sink liner - Aluminium "&amp;RIGHT(A162,LEN(A162)-22)&amp;"mm",ExceptionalData,5,0),IF(ISERROR(FIND("bins",A162))=FALSE,VLOOKUP("Drawer runners and clip set for bin unit (500) Dynapro",FurnitureData,5,0)+(2*VLOOKUP("Bin (42L Anthracite)",FurnitureData,5,0)),IF(ISERROR(FIND("larder",A162))=FALSE,VLOOKUP("Pull out larder unit 600mm",FurnitureData,5,0),IF(AND(ISERROR(FIND("drawer box",A162))=FALSE,ISERROR(FIND("internal",A162))=TRUE),VLOOKUP("Drawer runners and clip set (550) Dynapro",FurnitureData,5,0),IF(ISERROR(FIND("internal drawer box",A162))=FALSE,VLOOKUP("Drawer runners and clip set (450) Dynapro",FurnitureData,5,0),IF(ISERROR(FIND("table",A162))=FALSE,VLOOKUP("Hairpin Leg (12mm Black "&amp;MID(A162,FIND("(",A162)+1,LEN(A162)-(FIND("(",A162))-1)&amp;"mm)",ExceptionalData,4,FALSE),""))))))</f>
        <v/>
      </c>
      <c r="L162" s="152" t="str">
        <f t="shared" si="3"/>
        <v/>
      </c>
      <c r="M162" s="154" t="str">
        <f>IF(A162="","",IF(AND(ISERROR(FIND("drawer front",A162))=FALSE,WardrobeDoorStyle="Flat"),(((B162/1000)*(C162/1000))*2)+((((B162+C162)/1000)*2)*0.022),IF(AND(ISERROR(FIND("drawer front",A162))=FALSE,LEFT(WardrobeDoorStyle,5)="Panel"),(((B162/1000)*(C162/1000))*2)+((((B162+C162)/1000)*2)*0.022)+((((C162/1000)-0.16)*0.013)*2)+((((D162/1000)-0.16)*0.013)*2),IF(AND(ISERROR(FIND("drawer front",A162))=FALSE,WardrobeDoorStyle="In-frame flat"),((((B162-76)/1000)*((C162-38)/1000))*2)+(MID(WardrobeDoorMaterial,FIND("(",WardrobeDoorMaterial)+1,2)/1000)*((((B162-76)+(C162-38))/1000)*2)+(((B162/1000)*0.032)*2)+((((B162-76)/1000)*0.032)*2)+(((B162/1000)*0.019)*4)+(((C162/1000)*0.032)*2)+((((C162-38)/1000)*0.032)*2)+(((C162/1000)*0.038)*4),IF(AND(ISERROR(FIND("drawer front",A162))=FALSE,LEFT(WardrobeDoorStyle,14)="In-frame panel"),((((B162-76)/1000)*((C162-38)/1000))*2)+((MID(WardrobeDoorMaterial,FIND("(",WardrobeDoorMaterial)+1,2)/1000)*((((B162-76)+(C162-38))/1000)*2))+((((B162-236)/1000)+((C162-198)/1000)*2)*0.013)+(((B162/1000)*0.032)*2)+((((B162-76)/1000)*0.032)*2)+(((B162/1000)*0.019)*4)+(((C162/1000)*0.032)*2)+((((C162-38)/1000)*0.032)*2)+(((C162/1000)*0.038)*4),IF(ISERROR(FIND("drawer box",A162))=FALSE,((((B162/1000)*(D162/1000))+((B162/1000)*(C162/1000)))*4)+((((D162/1000)+(C162/1000))*0.016)*4)+(((C162/1000)*(D162/1000))*2),IF(OR(ISERROR(FIND("shelf",A162))=FALSE,ISERROR(FIND("Filler panel",A162))=FALSE),(((C162/1000)*(D162/1000))*2)+((((C162+D162)*2)/1000)*0.022),IF(ISERROR(FIND("Fireplace",A162))=FALSE,((B162/1000)*(C162/1000)),IF(ISERROR(FIND("Worktop",A162))=FALSE,(B162/1000)*(C162/1000),IF(ISERROR(FIND("table",A162))=FALSE,(B162/1000)*0.6,IF(ISERROR(FIND("arcass",A162))=FALSE,(((C162/1000)*(D162/1000))*2)+(((B162/1000)*(D162/1000))*2)+((B162/1000)*(C162/1000))+((((B162/1000)*0.025)+((C162/1000)*0.025))*2),IF(AND(ISERROR(FIND("door",A162))=FALSE,WardrobeDoorStyle="Flat"),(((B162/1000)*(C162/1000))*2)+(MID(WardrobeDoorMaterial,FIND("(",WardrobeDoorMaterial)+1,2)/1000)*(((B162+C162)/1000)*2),IF(AND(ISERROR(FIND("door",A162))=FALSE,LEFT(WardrobeDoorStyle,5)="Panel"),(((B162/1000)*(C162/1000))*2)+((MID(WardrobeDoorMaterial,FIND("(",WardrobeDoorMaterial)+1,2)/1000)*(((B162+C162)/1000)*2))+(((((B162-160)+(C162-160))*2)/1000)*(0.013)),IF(AND(ISERROR(FIND("door",A162))=FALSE,WardrobeDoorStyle="In-frame flat"),((((B162-76)/1000)*((C162-38)/1000))*2)+(MID(WardrobeDoorMaterial,FIND("(",WardrobeDoorMaterial)+1,2)/1000)*((((B162-76)+(C162-38))/1000)*2)+(((B162/1000)*0.032)*2)+((((B162-76)/1000)*0.032)*2)+(((B162/1000)*0.019)*4)+(((C162/1000)*0.032)*2)+((((C162-38)/1000)*0.032)*2)+(((C162/1000)*0.038)*4),IF(AND(ISERROR(FIND("door",A162))=FALSE,LEFT(WardrobeDoorStyle,14)="In-frame panel"),((((B162-76)/1000)*((C162-38)/1000))*2)+((MID(WardrobeDoorMaterial,FIND("(",WardrobeDoorMaterial)+1,2)/1000)*((((B162-76)+(C162-38))/1000)*2))+((((B162-236)/1000)+((C162-198)/1000)*2)*0.013)+(((B162/1000)*0.032)*2)+((((B162-76)/1000)*0.032)*2)+(((B162/1000)*0.019)*4)+(((C162/1000)*0.032)*2)+((((C162-38)/1000)*0.032)*2)+(((C162/1000)*0.038)*4),IF(ISERROR(FIND("Plinth",A162))=FALSE,((B162/1000)*(C162/1000))+(((C162/1000)*0.018)*2)+(((B162/1000)*0.018)*2),IF(ISERROR(FIND("Cornice",A162))=FALSE,(((C162/1000)*0.1)*2)+(((C162/1000)*0.044)*2)+(((B162/1000)*0.08)*2),IF(ISERROR(FIND("Office pod",A162))=FALSE,((2400/1000)*(1200/1000))*6,IF(ISERROR(FIND("panel",A162))=FALSE,((B162/1000)*(C162/1000))+(0.022*((B162/1000)+((C162/1000)*2)))+((B162/1000)*0.05),IF(ISERROR(FIND("Fillers",A162))=FALSE,((C162/1000)*0.06)+((C162/1000)*0.069)+((0.06*0.018)*2)+((0.06*0.009)*2)+((C162/1000)*0.009)+((C162/1000)*0.018),IF(ISERROR(FIND("Pelmet",A162))=FALSE,((C162/1000)*0.05)+((C162/1000)*0.068)+((0.05*0.018)*4)+(((C162/1000)*0.018))*2)))))))))))))))))))))</f>
        <v/>
      </c>
      <c r="N162" s="152" t="str">
        <f>IF(M162="","",IF(AND(ISERROR(FIND("carcass",A162))=TRUE,ISERROR(FIND("unit",A162))=TRUE,ISERROR(FIND("insert",A162))=TRUE,ISERROR(FIND("rack",A162))=TRUE,ISERROR(FIND("box",A162))=TRUE,ISERROR(FIND("shelf",A162))=TRUE),VLOOKUP(WardrobeDoorFinish,Finishing!$A$2:$K$10,9,0)*M162,IF(ISERROR(FIND("table",A162))=FALSE,VLOOKUP("Sayerlack AF0072 Interior Clear Self-Sealer",FinishingData,9,FALSE)*M162,VLOOKUP(WardrobeCarcassFinish,Finishing!$A$2:$K$40,9,0)*M162)))</f>
        <v/>
      </c>
      <c r="O162" s="159"/>
      <c r="P162" s="159"/>
      <c r="Q162" s="152" t="str">
        <f>IF(OR(O162="",P162=""),"",((O162*X162)*(VLOOKUP("Workshop",Labour!$A$3:$E$20,4,0)/8))+((P162*AE162)*(VLOOKUP("Finishing",Labour!$A$3:$E$20,4,0)/8)))</f>
        <v/>
      </c>
      <c r="R162" s="152" t="str">
        <f t="shared" si="4"/>
        <v/>
      </c>
      <c r="S162" s="156" t="str">
        <f>IF(OR(O162="",P162=""),"",IF(OR(ISERROR(FIND("carcass",$A162))=FALSE,ISERROR(FIND("unit",$A162))=FALSE),VLOOKUP(WardrobeCarcassMaterial,FixedListsCarcassMaterial,2,0),0))</f>
        <v/>
      </c>
      <c r="T162" s="156" t="str">
        <f>IF(OR(O162="",P162=""),"",IF(ISERROR(FIND("door",$A162))=FALSE,VLOOKUP(WardrobeDoorStyle,FixedListsDoorStyle,2,0),0))</f>
        <v/>
      </c>
      <c r="U162" s="156" t="str">
        <f>IF(OR(O162="",P162=""),"",IF(ISERROR(FIND("door",$A162))=FALSE,VLOOKUP(WardrobeDoorMaterial,FixedListsDoorMaterial,2,0),0))</f>
        <v/>
      </c>
      <c r="V162" s="156" t="str">
        <f>IF(OR(O162="",P162=""),"",IF(ISERROR(FIND("drawer",$A162))=FALSE,VLOOKUP(WardrobeDrawerType,FixedListsDrawerType,2,0),0))</f>
        <v/>
      </c>
      <c r="W162" s="156" t="str">
        <f>IF(OR(O162="",P162=""),"",IF(S162&gt;0,VLOOKUP(WardrobeHandleType,FixedListsHandleType,2,FALSE),0))</f>
        <v/>
      </c>
      <c r="X162" s="156" t="str">
        <f t="shared" si="5"/>
        <v/>
      </c>
      <c r="Y162" s="156" t="str">
        <f>IF(OR(O162="",P162=""),"",IF(OR(ISERROR(FIND("carcass",$A162))=FALSE,ISERROR(FIND("unit",$A162))=FALSE),VLOOKUP(WardrobeCarcassMaterial,FixedListsCarcassMaterial,3,0),0))</f>
        <v/>
      </c>
      <c r="Z162" s="156" t="str">
        <f>IF(OR(O162="",P162=""),"",IF(ISERROR(FIND("door",$A162))=FALSE,VLOOKUP(WardrobeDoorStyle,FixedListsDoorStyle,3,0),0))</f>
        <v/>
      </c>
      <c r="AA162" s="156" t="str">
        <f>IF(OR(O162="",P162=""),"",IF(ISERROR(FIND("door",$A162))=FALSE,VLOOKUP(WardrobeDoorMaterial,FixedListsDoorMaterial,3,0),0))</f>
        <v/>
      </c>
      <c r="AB162" s="156" t="str">
        <f>IF(OR(O162="",P162=""),"",IF(ISERROR(FIND("drawer",$A162))=FALSE,VLOOKUP(WardrobeDrawerType,FixedListsDrawerType,3,0),0))</f>
        <v/>
      </c>
      <c r="AC162" s="156" t="str">
        <f>IF(OR(O162="",P162=""),"",IF(S162&gt;0,VLOOKUP(WardrobeHandleType,FixedListsHandleType,3,FALSE),0))</f>
        <v/>
      </c>
      <c r="AD162" s="156" t="str">
        <f>IF(OR(O162="",P162=""),"",IF(OR(ISERROR(FIND("carcass",$A162))=FALSE,ISERROR(FIND("unit",$A162))=FALSE),VLOOKUP(WardrobeCarcassFinish,FixedListsFinishes,3,0),IF(OR(ISERROR(FIND("door",$A162))=FALSE,ISERROR(FIND("Plinth",$A162))=FALSE,ISERROR(FIND("Cornice",$A162))=FALSE,ISERROR(FIND("Fillers",$A162))=FALSE,ISERROR(FIND("Pelmet",$A162))=FALSE,ISERROR(FIND("panel",$A162))=FALSE,ISERROR(FIND("post",$A162))=FALSE),VLOOKUP(WardrobeDoorFinish,FixedListsFinishes,3,0),IF(OR(ISERROR(FIND("drawer",$A162))=FALSE,ISERROR(FIND("insert",$A162))=FALSE,ISERROR(FIND("rck",$A162))=FALSE),VLOOKUP(WardrobeCarcassFinish,FixedListsFinishes,3,0),0))))</f>
        <v/>
      </c>
      <c r="AE162" s="156" t="str">
        <f t="shared" si="6"/>
        <v/>
      </c>
      <c r="AF162" s="157" t="str">
        <f>IF(AND(WardrobeHandleType="Channel",OR(ISERROR(FIND("arcass",$A162))=FALSE,ISERROR(FIND("unit",$A162))=FALSE)),IF(ISERROR(FIND("Tower",$A162))=TRUE,IF(WardrobeHandleFinish="Match carcass",IF(ISERROR(FIND("Walnut",WardrobeCarcassMaterial))=FALSE,(0.035*0.075*($C162/1000))*VLOOKUP("Walnut (solid m3)",SolidData,4,FALSE),IF(ISERROR(FIND("Oak",WardrobeCarcassMaterial))=FALSE,(0.035*0.075*($C162/1000))*VLOOKUP("Oak (solid m3)",SolidData,4,FALSE),IF(ISERROR(FIND("ply",WardrobeCarcassMaterial))=FALSE,(0.1*($C162/1000))*VLOOKUP("Birch ply (24mm)",SheetsData,7,FALSE),IF(ISERROR(FIND("H/F",WardrobeCarcassMaterial))=FALSE,(0.1*($C162/1000))*VLOOKUP("H/F (22mm)",SheetsData,7,FALSE),"Carcass - not tower - new material")))),IF(WardrobeHandleFinish="Match door",IF(ISERROR(FIND("Walnut",WardrobeDoorMaterial))=FALSE,(0.035*0.075*($C162/1000))*VLOOKUP("Walnut (solid m3)",SolidData,4,FALSE),IF(ISERROR(FIND("Oak",WardrobeDoorMaterial))=FALSE,(0.035*0.075*($C162/1000))*VLOOKUP("Oak (solid m3)",SolidData,4,FALSE),IF(ISERROR(FIND("ply",WardrobeDoorMaterial))=FALSE,(0.1*($C162/1000))*VLOOKUP("Birch ply (24mm)",SheetsData,7,FALSE),IF(ISERROR(FIND("H/F",WardrobeCarcassMaterial))=FALSE,(0.1*($C162/1000))*VLOOKUP("H/F (22mm)",SheetsData,7,FALSE),"Door - not tower - new material")))),"Channel - not tower - handle set to other")),IF(ISERROR(FIND("Tower",$A162))=FALSE,IF(WardrobeHandleFinish="Match carcass",IF(ISERROR(FIND("Walnut",WardrobeCarcassMaterial))=FALSE,(0.035*0.075*($B162/1000))*VLOOKUP("Walnut (solid m3)",SolidData,4,FALSE),IF(ISERROR(FIND("Oak",WardrobeCarcassMaterial))=FALSE,(0.035*0.075*($B162/1000))*VLOOKUP("Oak (solid m3)",SolidData,4,FALSE),IF(ISERROR(FIND("ply",WardrobeCarcassMaterial))=FALSE,(0.1*($B162/1000))*VLOOKUP("Birch ply (24mm)",SheetsData,7,FALSE),IF(ISERROR(FIND("H/F",WardrobeCarcassMaterial))=FALSE,(0.1*($C162/1000))*VLOOKUP("H/F (22mm)",SheetsData,7,FALSE),"Carcass - tower - new material")))),IF(WardrobeHandleFinish="Match door",IF(ISERROR(FIND("Walnut",WardrobeDoorMaterial))=FALSE,(0.035*0.075*($B162/1000))*VLOOKUP("Walnut (solid m3)",SolidData,4,FALSE),IF(ISERROR(FIND("Oak",WardrobeDoorMaterial))=FALSE,(0.035*0.075*($B162/1000))*VLOOKUP("Oak (solid m3)",SolidData,4,FALSE),IF(ISERROR(FIND("ply",WardrobeDoorMaterial))=FALSE,(0.1*($B162/1000))*VLOOKUP("Birch ply (24mm)",SheetData,7,FALSE),IF(ISERROR(FIND("H/F",WardrobeCarcassMaterial))=FALSE,(0.1*($C162/1000))*VLOOKUP("H/F (22mm)",SheetsData,7,FALSE),"Door - tower - new material")))),"Channel - tower - handle set to other")))),"")</f>
        <v/>
      </c>
    </row>
    <row r="163">
      <c r="A163" s="150"/>
      <c r="B163" s="160" t="str">
        <f t="shared" si="1"/>
        <v/>
      </c>
      <c r="C163" s="160" t="str">
        <f>IFERROR(__xludf.DUMMYFUNCTION("IF(A163="""","""",IF(ISERROR(FIND(""arcass"",A163))=FALSE,MID(A163,FIND(""*"",A163)+1,FIND(""*"",A163,FIND(""*"",A163)+1)-FIND(""*"",A163)-1),IF(ISERROR(FIND(""End panel"",A163))=FALSE,RIGHT(A163,3),IF(OR(ISERROR(FIND(""drawer"",A163))=FALSE,ISERROR(FIND("&amp;"""door"",A163))=FALSE,ISERROR(FIND(""shelf"",A163))=FALSE,ISERROR(FIND(""panel"",A163))=FALSE,ISERROR(FIND(""Plinth"",A163))=FALSE,ISERROR(FIND(""Cornice"",A163))=FALSE,ISERROR(FIND(""Fillers"",A163))=FALSE,ISERROR(FIND(""Pelmet"",A163))=FALSE,ISERROR(FIN"&amp;"D(""Fireplace up to 1600"",A163))=FALSE),RIGHT(A163,LEN(A163)-LEN(regexextract(A163,"".* ""))),IF(ISERROR(FIND(""table"",A163))=FALSE,""560"",IF(ISERROR(FIND(""Office pod"",A163))=FALSE,""1600"",IF(ISERROR(FIND(""Fireplace over 1600"",A163))=FALSE,""2400"&amp;""",IF(ISERROR(FIND(""Worktop"",A163))=FALSE,""650"",""Whoops""))))))))"),"")</f>
        <v/>
      </c>
      <c r="D163" s="161" t="str">
        <f t="shared" si="2"/>
        <v/>
      </c>
      <c r="E163" s="152" t="str">
        <f>IF(OR(A163="",AND(ISERROR(FIND("drawer",A163))=FALSE,WardrobeDrawerType="")),"",IF(ISERROR(FIND("door",A163))=FALSE,IF(WardrobeDoorStyle="Flat",((B163/1000)*(C163/1000))*VLOOKUP(WardrobeDoorMaterial,SheetsData,8,0),IF(LEFT(WardrobeDoorStyle,5)="Panel",(((((B163/1000)*2)*0.08)+((((C163/1000)-0.16)*2)*0.08))*VLOOKUP("H/F (22mm)",SheetsData,8,0))+(((B163/1000)-0.14)*((C163/1000)-0.14)*VLOOKUP("H/F (9mm)",SheetsData,8,0)),IF(WardrobeDoorStyle="In-frame flat",((((((B163/1000)*0.019)*0.038)+((((C163-38)/1000)*0.038)*0.038))*2)*VLOOKUP("Tulip (solid m3)",SolidData,4,0))+(((B163-76)/1000)*((C163-38)/1000))*VLOOKUP("H/F (22mm)",SheetsData,8,0),IF(LEFT(WardrobeDoorStyle,14)="In-frame panel",(((((((B163/1000)*0.019)*0.038)+((((C163-38)/1000)*0.038)*0.038))*2)*VLOOKUP("Tulip (solid m3)",SolidData,4,0))+(((((((B163-76)/1000)*2)*0.08)+(((((C163-198)/1000)*2)*0.08)))*VLOOKUP("H/F (22mm)",SheetsData,8,0))+(((B163-216)/1000)*((C163-178)/1000)*VLOOKUP("H/F (9mm)",SheetsData,8,0)))))))),IF(AND(ISERROR(FIND("arcass",A163))=FALSE,ISERROR(FIND("ost corner",A163))=TRUE),IF(AND(VALUE(B163)&lt;1211,VALUE(C163)&lt;1211,VALUE(D163)&lt;606),1*VLOOKUP(WardrobeCarcassMaterial,SheetsData,5,FALSE),IF(AND(VALUE(B163)&lt;2421,VALUE(C163)&lt;2421,VALUE(D163)&lt;606),2*VLOOKUP(WardrobeCarcassMaterial,SheetsData,5,FALSE),IF(AND(VALUE(B163)&lt;2421,VALUE(C163)&lt;1211,VALUE(D163)&lt;1211),3*VLOOKUP(WardrobeCarcassMaterial,SheetsData,5,FALSE),IF(AND(VALUE(B163)&lt;2421,VALUE(C163)&lt;2421,VALUE(D163)&lt;1211),4*VLOOKUP(WardrobeCarcassMaterial,SheetsData,5,FALSE))))),IF(AND(ISERROR(FIND("arcass",A163))=FALSE,ISERROR(FIND("ost corner",A163))=FALSE),IF(AND(VALUE(B163)&lt;1211,VALUE(C163)&lt;1211,VALUE(D163)&lt;606),(1*VLOOKUP(WardrobeCarcassMaterial,SheetsData,5,FALSE))+(VLOOKUP("H/F (22mm)",SheetsData,7,FALSE)*1.44),IF(AND(VALUE(B163)&lt;2421,VALUE(C163)&lt;2421,VALUE(D163)&lt;606),(2*VLOOKUP(WardrobeCarcassMaterial,SheetsData,5,FALSE))+(VLOOKUP("H/F (22mm)",SheetsData,7,FALSE)*1.44),IF(AND(VALUE(B163)&lt;2421,VALUE(C163)&lt;1211,VALUE(D163)&lt;1211),(3*VLOOKUP(WardrobeCarcassMaterial,SheetsData,5,FALSE))+(VLOOKUP("H/F (22mm)",SheetsData,7,FALSE)*1.44),IF(AND(VALUE(B163)&lt;2421,VALUE(C163)&lt;2421,VALUE(D163)&lt;1211),(4*VLOOKUP(WardrobeCarcassMaterial,SheetsData,5,FALSE))+(VLOOKUP("H/F (22mm)",SheetsData,7,FALSE)*1.44))))),IF(ISERROR(FIND("drawer front",A163))=FALSE,((B163/1000)*(C163/1000))*VLOOKUP(WardrobeDoorMaterial,SheetsData,8,0),IF(AND(WardrobeDrawerType="Match carcass",ISERROR(FIND("drawer box",A163))=FALSE),(((((B163/1000)*(C163/1000))+((B163/1000)*(D163/1000)))*2)*VLOOKUP(WardrobeCarcassMaterial,SheetsData,8,0))+(((C163/1000)*(D163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box",A163))=FALSE),(((((B163/1000)*(C163/1000))+((B163/1000)*(D163/1000)))*2)*(16/1000)*VLOOKUP(LEFT(WardrobeCarcassMaterial,FIND(" ",WardrobeCarcassMaterial))&amp;"(solid m3)",SolidData,4,0))+(((C163/1000)*(D163/1000))*VLOOKUP(LEFT(WardrobeCarcassMaterial,FIND("(",WardrobeCarcassMaterial)-1)&amp;IF(OR(ISERROR(FIND("ply",WardrobeCarcassMaterial))=FALSE,ISERROR(FIND("H/F",WardrobeCarcassMaterial))=FALSE),"(9mm)","(10mm)"),SheetsData,8,0)),IF(ISERROR(FIND("shelf",A163))=FALSE,((C163/1000)*(D163/1000))*VLOOKUP(WardrobeCarcassMaterial,SheetsData,7,FALSE),IF(ISERROR(FIND("Office pod",A163))=FALSE,3*VLOOKUP(WardrobeCarcassMaterial,SheetsData,5,0),IF(ISERROR(FIND(" panel",A163))=FALSE,((B163/1000)*(C163/1000))*VLOOKUP(WardrobeDoorMaterial,SheetsData,8,0),IF(ISERROR(FIND("Fillers",A163))=FALSE,(((0.06*(C163/1000))*2)*VLOOKUP("H/F (18mm)",SheetsData,8,0))+(((0.06*(C163/1000))*2)*VLOOKUP("H/F (9mm)",SheetsData,8,0)),IF(ISERROR(FIND("Cornice (stacked)",A163))=FALSE,((0.08*(C163/1000))*2)*VLOOKUP("H/F (22mm)",SheetsData,8,0),IF(OR(ISERROR(FIND("Plinth",A163))=FALSE,ISERROR(FIND("Cornice (flat)",A163))=FALSE),((B163/1000)*(C163/1000))*VLOOKUP("H/F (18mm)",SheetsData,8,0),IF(ISERROR(FIND("Pelmet",A163))=FALSE,((((B163/1000)*(C163/1000))*2)*VLOOKUP("H/F (18mm)",SheetsData,8,0)),IF(ISERROR(FIND("Fireplace",A163))=FALSE,IF(ISERROR(FIND("over 1600",A163))=FALSE,2*VLOOKUP(WardrobeCarcassMaterial,SheetsData,5,FALSE),VLOOKUP(WardrobeCarcassMaterial,SheetsData,5,FALSE)),IF(ISERROR(FIND("table",A163))=FALSE,((B163/1000)*0.6)*VLOOKUP("Birch ply (24mm)",SheetsData,7,FALSE),IF(ISERROR(FIND("Worktop",A163))=FALSE,((B163/1000)*(C163/1000))*VLOOKUP(WardrobeDoorMaterial,SheetsData,7,FALSE),"Check formula")))))))))))))))))</f>
        <v/>
      </c>
      <c r="F163" s="152" t="str">
        <f>IFERROR(__xludf.DUMMYFUNCTION("IF(OR(A163="""",AND(ISERROR(FIND(""drawer box"",A163))=FALSE,WardrobeDrawerType=""Solid dovetail"")),"""",IF(ISERROR(FIND(""bins"",A163))=FALSE,VLOOKUP(""Base carcass 600"",Wardrobes_etcData,6,0),IF(OR(ISERROR(FIND(""larder"",A163))=FALSE,ISERROR(FIND(""u"&amp;"nit"",A163))=FALSE),VLOOKUP(LEFT(A163,FIND("" "",A163))&amp;""carcass ""&amp;RIGHT(A163,LEN(A163)-len(regexextract(A163,"".* ""))),Wardrobes_etcData,6,0),IF(ISERROR(FIND(""drawer front"",A163))=FALSE,IF(ISERROR(FIND(""veneer"",WardrobeCarcassMaterial))=TRUE,0,((("&amp;"B163+C163)/1000)*2)*VLOOKUP(""Edge banding (per M)"",SheetsData,5,0)),IF(ISERROR(FIND(""drawer box"",A163))=FALSE,IF(ISERROR(FIND(""veneer"",WardrobeCarcassMaterial))=TRUE,0,(((C163+D163)/1000)*2)*VLOOKUP(""Edge banding (per M)"",SheetsData,5,0)),IF(ISERR"&amp;"OR(FIND(""shelf"",A163))=FALSE,IF(ISERROR(FIND(""veneer"",WardrobeCarcassMaterial))=TRUE,0,(C163/1000)*VLOOKUP(""Edge banding (per M)"",SheetsData,5,0)),IF(AND(OR(ISERROR(FIND(""arcass"",A163))=FALSE,ISERROR(FIND(""Fireplace"",A163))=FALSE),ISERROR(FIND("&amp;"""shelf"",A163))=TRUE),IF(ISERROR(FIND(""veneer"",WardrobeCarcassMaterial))=TRUE,0,((2*(B163+C163))/1000)*VLOOKUP(""Edge banding (per M)"",SheetsData,5,0)),IF(ISERROR(FIND(""door"",A163))=TRUE,"""",IF(ISERROR(FIND(""veneer"",WardrobeDoorMaterial))=TRUE,"""&amp;""",((2*(B163+C163))/1000)*VLOOKUP(""Edge banding (per M)"",SheetsData,5,0))))))))))"),"")</f>
        <v/>
      </c>
      <c r="G163" s="153" t="str">
        <f>IF(A163="","",IF(AND(ISERROR(FIND("arcass",A163))=TRUE,ISERROR(FIND("Fireplace",A163))=TRUE),"",IF(VALUE(C163)&lt;606,4*VLOOKUP("Plinth foot (2 Parts 80mm)",FurnitureData,5,FALSE),IF(VALUE(C163)&lt;1211,6*VLOOKUP("Plinth foot (2 Parts 80mm)",FurnitureData,5,FALSE),8*VLOOKUP("Plinth foot (2 Parts 80mm)",FurnitureData,5,FALSE)))))</f>
        <v/>
      </c>
      <c r="H163" s="115" t="str">
        <f>IF(OR(A163="",ISERROR(FIND("door",A163))=TRUE),"",VLOOKUP("Hinges &amp; plates (Hettich thick door)",FurnitureData,5,0)*5)</f>
        <v/>
      </c>
      <c r="I163" s="115" t="str">
        <f>IF(ISERROR(FIND("shelf",A163))=FALSE,(VLOOKUP("Shelf pegs",FurnitureData,5,0)/100)*4,"")</f>
        <v/>
      </c>
      <c r="J163" s="152" t="str">
        <f>IF(OR(ISERROR(FIND("fridge/freezer",A163))=FALSE,ISERROR(FIND("sink",A163))=FALSE,ISERROR(FIND("larder",A163))=FALSE),VLOOKUP("Deep shelf "&amp;C163,Wardrobes_etcData,18,0),IF(OR(ISERROR(FIND("single oven",A163))=FALSE,ISERROR(FIND("Base carcass",A163))=FALSE),2*VLOOKUP("Deep shelf "&amp;C163,Wardrobes_etcData,18,0),IF(AND(ISERROR(FIND("wall carcass",A163))=FALSE,ISERROR(FIND("Boiler",A163))=TRUE),2*VLOOKUP("Shallow shelf "&amp;C163,Wardrobes_etcData,18,0),IF(ISERROR(FIND("double oven",A163))=FALSE,3*VLOOKUP("Deep shelf "&amp;C163,Wardrobes_etcData,18,0),IF(ISERROR(FIND("Tower carcass",A163))=FALSE,6*VLOOKUP("Deep shelf "&amp;C163,Wardrobes_etcData,18,0),"")))))</f>
        <v/>
      </c>
      <c r="K163" s="152" t="str">
        <f>IF(ISERROR(FIND("sink",A163))=FALSE,VLOOKUP("Sink liner - Aluminium "&amp;RIGHT(A163,LEN(A163)-22)&amp;"mm",ExceptionalData,5,0),IF(ISERROR(FIND("bins",A163))=FALSE,VLOOKUP("Drawer runners and clip set for bin unit (500) Dynapro",FurnitureData,5,0)+(2*VLOOKUP("Bin (42L Anthracite)",FurnitureData,5,0)),IF(ISERROR(FIND("larder",A163))=FALSE,VLOOKUP("Pull out larder unit 600mm",FurnitureData,5,0),IF(AND(ISERROR(FIND("drawer box",A163))=FALSE,ISERROR(FIND("internal",A163))=TRUE),VLOOKUP("Drawer runners and clip set (550) Dynapro",FurnitureData,5,0),IF(ISERROR(FIND("internal drawer box",A163))=FALSE,VLOOKUP("Drawer runners and clip set (450) Dynapro",FurnitureData,5,0),IF(ISERROR(FIND("table",A163))=FALSE,VLOOKUP("Hairpin Leg (12mm Black "&amp;MID(A163,FIND("(",A163)+1,LEN(A163)-(FIND("(",A163))-1)&amp;"mm)",ExceptionalData,4,FALSE),""))))))</f>
        <v/>
      </c>
      <c r="L163" s="152" t="str">
        <f t="shared" si="3"/>
        <v/>
      </c>
      <c r="M163" s="154" t="str">
        <f>IF(A163="","",IF(AND(ISERROR(FIND("drawer front",A163))=FALSE,WardrobeDoorStyle="Flat"),(((B163/1000)*(C163/1000))*2)+((((B163+C163)/1000)*2)*0.022),IF(AND(ISERROR(FIND("drawer front",A163))=FALSE,LEFT(WardrobeDoorStyle,5)="Panel"),(((B163/1000)*(C163/1000))*2)+((((B163+C163)/1000)*2)*0.022)+((((C163/1000)-0.16)*0.013)*2)+((((D163/1000)-0.16)*0.013)*2),IF(AND(ISERROR(FIND("drawer front",A163))=FALSE,WardrobeDoorStyle="In-frame flat"),((((B163-76)/1000)*((C163-38)/1000))*2)+(MID(WardrobeDoorMaterial,FIND("(",WardrobeDoorMaterial)+1,2)/1000)*((((B163-76)+(C163-38))/1000)*2)+(((B163/1000)*0.032)*2)+((((B163-76)/1000)*0.032)*2)+(((B163/1000)*0.019)*4)+(((C163/1000)*0.032)*2)+((((C163-38)/1000)*0.032)*2)+(((C163/1000)*0.038)*4),IF(AND(ISERROR(FIND("drawer front",A163))=FALSE,LEFT(WardrobeDoorStyle,14)="In-frame panel"),((((B163-76)/1000)*((C163-38)/1000))*2)+((MID(WardrobeDoorMaterial,FIND("(",WardrobeDoorMaterial)+1,2)/1000)*((((B163-76)+(C163-38))/1000)*2))+((((B163-236)/1000)+((C163-198)/1000)*2)*0.013)+(((B163/1000)*0.032)*2)+((((B163-76)/1000)*0.032)*2)+(((B163/1000)*0.019)*4)+(((C163/1000)*0.032)*2)+((((C163-38)/1000)*0.032)*2)+(((C163/1000)*0.038)*4),IF(ISERROR(FIND("drawer box",A163))=FALSE,((((B163/1000)*(D163/1000))+((B163/1000)*(C163/1000)))*4)+((((D163/1000)+(C163/1000))*0.016)*4)+(((C163/1000)*(D163/1000))*2),IF(OR(ISERROR(FIND("shelf",A163))=FALSE,ISERROR(FIND("Filler panel",A163))=FALSE),(((C163/1000)*(D163/1000))*2)+((((C163+D163)*2)/1000)*0.022),IF(ISERROR(FIND("Fireplace",A163))=FALSE,((B163/1000)*(C163/1000)),IF(ISERROR(FIND("Worktop",A163))=FALSE,(B163/1000)*(C163/1000),IF(ISERROR(FIND("table",A163))=FALSE,(B163/1000)*0.6,IF(ISERROR(FIND("arcass",A163))=FALSE,(((C163/1000)*(D163/1000))*2)+(((B163/1000)*(D163/1000))*2)+((B163/1000)*(C163/1000))+((((B163/1000)*0.025)+((C163/1000)*0.025))*2),IF(AND(ISERROR(FIND("door",A163))=FALSE,WardrobeDoorStyle="Flat"),(((B163/1000)*(C163/1000))*2)+(MID(WardrobeDoorMaterial,FIND("(",WardrobeDoorMaterial)+1,2)/1000)*(((B163+C163)/1000)*2),IF(AND(ISERROR(FIND("door",A163))=FALSE,LEFT(WardrobeDoorStyle,5)="Panel"),(((B163/1000)*(C163/1000))*2)+((MID(WardrobeDoorMaterial,FIND("(",WardrobeDoorMaterial)+1,2)/1000)*(((B163+C163)/1000)*2))+(((((B163-160)+(C163-160))*2)/1000)*(0.013)),IF(AND(ISERROR(FIND("door",A163))=FALSE,WardrobeDoorStyle="In-frame flat"),((((B163-76)/1000)*((C163-38)/1000))*2)+(MID(WardrobeDoorMaterial,FIND("(",WardrobeDoorMaterial)+1,2)/1000)*((((B163-76)+(C163-38))/1000)*2)+(((B163/1000)*0.032)*2)+((((B163-76)/1000)*0.032)*2)+(((B163/1000)*0.019)*4)+(((C163/1000)*0.032)*2)+((((C163-38)/1000)*0.032)*2)+(((C163/1000)*0.038)*4),IF(AND(ISERROR(FIND("door",A163))=FALSE,LEFT(WardrobeDoorStyle,14)="In-frame panel"),((((B163-76)/1000)*((C163-38)/1000))*2)+((MID(WardrobeDoorMaterial,FIND("(",WardrobeDoorMaterial)+1,2)/1000)*((((B163-76)+(C163-38))/1000)*2))+((((B163-236)/1000)+((C163-198)/1000)*2)*0.013)+(((B163/1000)*0.032)*2)+((((B163-76)/1000)*0.032)*2)+(((B163/1000)*0.019)*4)+(((C163/1000)*0.032)*2)+((((C163-38)/1000)*0.032)*2)+(((C163/1000)*0.038)*4),IF(ISERROR(FIND("Plinth",A163))=FALSE,((B163/1000)*(C163/1000))+(((C163/1000)*0.018)*2)+(((B163/1000)*0.018)*2),IF(ISERROR(FIND("Cornice",A163))=FALSE,(((C163/1000)*0.1)*2)+(((C163/1000)*0.044)*2)+(((B163/1000)*0.08)*2),IF(ISERROR(FIND("Office pod",A163))=FALSE,((2400/1000)*(1200/1000))*6,IF(ISERROR(FIND("panel",A163))=FALSE,((B163/1000)*(C163/1000))+(0.022*((B163/1000)+((C163/1000)*2)))+((B163/1000)*0.05),IF(ISERROR(FIND("Fillers",A163))=FALSE,((C163/1000)*0.06)+((C163/1000)*0.069)+((0.06*0.018)*2)+((0.06*0.009)*2)+((C163/1000)*0.009)+((C163/1000)*0.018),IF(ISERROR(FIND("Pelmet",A163))=FALSE,((C163/1000)*0.05)+((C163/1000)*0.068)+((0.05*0.018)*4)+(((C163/1000)*0.018))*2)))))))))))))))))))))</f>
        <v/>
      </c>
      <c r="N163" s="152" t="str">
        <f>IF(M163="","",IF(AND(ISERROR(FIND("carcass",A163))=TRUE,ISERROR(FIND("unit",A163))=TRUE,ISERROR(FIND("insert",A163))=TRUE,ISERROR(FIND("rack",A163))=TRUE,ISERROR(FIND("box",A163))=TRUE,ISERROR(FIND("shelf",A163))=TRUE),VLOOKUP(WardrobeDoorFinish,Finishing!$A$2:$K$10,9,0)*M163,IF(ISERROR(FIND("table",A163))=FALSE,VLOOKUP("Sayerlack AF0072 Interior Clear Self-Sealer",FinishingData,9,FALSE)*M163,VLOOKUP(WardrobeCarcassFinish,Finishing!$A$2:$K$40,9,0)*M163)))</f>
        <v/>
      </c>
      <c r="O163" s="155"/>
      <c r="P163" s="155"/>
      <c r="Q163" s="152" t="str">
        <f>IF(OR(O163="",P163=""),"",((O163*X163)*(VLOOKUP("Workshop",Labour!$A$3:$E$20,4,0)/8))+((P163*AE163)*(VLOOKUP("Finishing",Labour!$A$3:$E$20,4,0)/8)))</f>
        <v/>
      </c>
      <c r="R163" s="152" t="str">
        <f t="shared" si="4"/>
        <v/>
      </c>
      <c r="S163" s="156" t="str">
        <f>IF(OR(O163="",P163=""),"",IF(OR(ISERROR(FIND("carcass",$A163))=FALSE,ISERROR(FIND("unit",$A163))=FALSE),VLOOKUP(WardrobeCarcassMaterial,FixedListsCarcassMaterial,2,0),0))</f>
        <v/>
      </c>
      <c r="T163" s="156" t="str">
        <f>IF(OR(O163="",P163=""),"",IF(ISERROR(FIND("door",$A163))=FALSE,VLOOKUP(WardrobeDoorStyle,FixedListsDoorStyle,2,0),0))</f>
        <v/>
      </c>
      <c r="U163" s="156" t="str">
        <f>IF(OR(O163="",P163=""),"",IF(ISERROR(FIND("door",$A163))=FALSE,VLOOKUP(WardrobeDoorMaterial,FixedListsDoorMaterial,2,0),0))</f>
        <v/>
      </c>
      <c r="V163" s="156" t="str">
        <f>IF(OR(O163="",P163=""),"",IF(ISERROR(FIND("drawer",$A163))=FALSE,VLOOKUP(WardrobeDrawerType,FixedListsDrawerType,2,0),0))</f>
        <v/>
      </c>
      <c r="W163" s="156" t="str">
        <f>IF(OR(O163="",P163=""),"",IF(S163&gt;0,VLOOKUP(WardrobeHandleType,FixedListsHandleType,2,FALSE),0))</f>
        <v/>
      </c>
      <c r="X163" s="156" t="str">
        <f t="shared" si="5"/>
        <v/>
      </c>
      <c r="Y163" s="156" t="str">
        <f>IF(OR(O163="",P163=""),"",IF(OR(ISERROR(FIND("carcass",$A163))=FALSE,ISERROR(FIND("unit",$A163))=FALSE),VLOOKUP(WardrobeCarcassMaterial,FixedListsCarcassMaterial,3,0),0))</f>
        <v/>
      </c>
      <c r="Z163" s="156" t="str">
        <f>IF(OR(O163="",P163=""),"",IF(ISERROR(FIND("door",$A163))=FALSE,VLOOKUP(WardrobeDoorStyle,FixedListsDoorStyle,3,0),0))</f>
        <v/>
      </c>
      <c r="AA163" s="156" t="str">
        <f>IF(OR(O163="",P163=""),"",IF(ISERROR(FIND("door",$A163))=FALSE,VLOOKUP(WardrobeDoorMaterial,FixedListsDoorMaterial,3,0),0))</f>
        <v/>
      </c>
      <c r="AB163" s="156" t="str">
        <f>IF(OR(O163="",P163=""),"",IF(ISERROR(FIND("drawer",$A163))=FALSE,VLOOKUP(WardrobeDrawerType,FixedListsDrawerType,3,0),0))</f>
        <v/>
      </c>
      <c r="AC163" s="156" t="str">
        <f>IF(OR(O163="",P163=""),"",IF(S163&gt;0,VLOOKUP(WardrobeHandleType,FixedListsHandleType,3,FALSE),0))</f>
        <v/>
      </c>
      <c r="AD163" s="156" t="str">
        <f>IF(OR(O163="",P163=""),"",IF(OR(ISERROR(FIND("carcass",$A163))=FALSE,ISERROR(FIND("unit",$A163))=FALSE),VLOOKUP(WardrobeCarcassFinish,FixedListsFinishes,3,0),IF(OR(ISERROR(FIND("door",$A163))=FALSE,ISERROR(FIND("Plinth",$A163))=FALSE,ISERROR(FIND("Cornice",$A163))=FALSE,ISERROR(FIND("Fillers",$A163))=FALSE,ISERROR(FIND("Pelmet",$A163))=FALSE,ISERROR(FIND("panel",$A163))=FALSE,ISERROR(FIND("post",$A163))=FALSE),VLOOKUP(WardrobeDoorFinish,FixedListsFinishes,3,0),IF(OR(ISERROR(FIND("drawer",$A163))=FALSE,ISERROR(FIND("insert",$A163))=FALSE,ISERROR(FIND("rck",$A163))=FALSE),VLOOKUP(WardrobeCarcassFinish,FixedListsFinishes,3,0),0))))</f>
        <v/>
      </c>
      <c r="AE163" s="156" t="str">
        <f t="shared" si="6"/>
        <v/>
      </c>
      <c r="AF163" s="157" t="str">
        <f>IF(AND(WardrobeHandleType="Channel",OR(ISERROR(FIND("arcass",$A163))=FALSE,ISERROR(FIND("unit",$A163))=FALSE)),IF(ISERROR(FIND("Tower",$A163))=TRUE,IF(WardrobeHandleFinish="Match carcass",IF(ISERROR(FIND("Walnut",WardrobeCarcassMaterial))=FALSE,(0.035*0.075*($C163/1000))*VLOOKUP("Walnut (solid m3)",SolidData,4,FALSE),IF(ISERROR(FIND("Oak",WardrobeCarcassMaterial))=FALSE,(0.035*0.075*($C163/1000))*VLOOKUP("Oak (solid m3)",SolidData,4,FALSE),IF(ISERROR(FIND("ply",WardrobeCarcassMaterial))=FALSE,(0.1*($C163/1000))*VLOOKUP("Birch ply (24mm)",SheetsData,7,FALSE),IF(ISERROR(FIND("H/F",WardrobeCarcassMaterial))=FALSE,(0.1*($C163/1000))*VLOOKUP("H/F (22mm)",SheetsData,7,FALSE),"Carcass - not tower - new material")))),IF(WardrobeHandleFinish="Match door",IF(ISERROR(FIND("Walnut",WardrobeDoorMaterial))=FALSE,(0.035*0.075*($C163/1000))*VLOOKUP("Walnut (solid m3)",SolidData,4,FALSE),IF(ISERROR(FIND("Oak",WardrobeDoorMaterial))=FALSE,(0.035*0.075*($C163/1000))*VLOOKUP("Oak (solid m3)",SolidData,4,FALSE),IF(ISERROR(FIND("ply",WardrobeDoorMaterial))=FALSE,(0.1*($C163/1000))*VLOOKUP("Birch ply (24mm)",SheetsData,7,FALSE),IF(ISERROR(FIND("H/F",WardrobeCarcassMaterial))=FALSE,(0.1*($C163/1000))*VLOOKUP("H/F (22mm)",SheetsData,7,FALSE),"Door - not tower - new material")))),"Channel - not tower - handle set to other")),IF(ISERROR(FIND("Tower",$A163))=FALSE,IF(WardrobeHandleFinish="Match carcass",IF(ISERROR(FIND("Walnut",WardrobeCarcassMaterial))=FALSE,(0.035*0.075*($B163/1000))*VLOOKUP("Walnut (solid m3)",SolidData,4,FALSE),IF(ISERROR(FIND("Oak",WardrobeCarcassMaterial))=FALSE,(0.035*0.075*($B163/1000))*VLOOKUP("Oak (solid m3)",SolidData,4,FALSE),IF(ISERROR(FIND("ply",WardrobeCarcassMaterial))=FALSE,(0.1*($B163/1000))*VLOOKUP("Birch ply (24mm)",SheetsData,7,FALSE),IF(ISERROR(FIND("H/F",WardrobeCarcassMaterial))=FALSE,(0.1*($C163/1000))*VLOOKUP("H/F (22mm)",SheetsData,7,FALSE),"Carcass - tower - new material")))),IF(WardrobeHandleFinish="Match door",IF(ISERROR(FIND("Walnut",WardrobeDoorMaterial))=FALSE,(0.035*0.075*($B163/1000))*VLOOKUP("Walnut (solid m3)",SolidData,4,FALSE),IF(ISERROR(FIND("Oak",WardrobeDoorMaterial))=FALSE,(0.035*0.075*($B163/1000))*VLOOKUP("Oak (solid m3)",SolidData,4,FALSE),IF(ISERROR(FIND("ply",WardrobeDoorMaterial))=FALSE,(0.1*($B163/1000))*VLOOKUP("Birch ply (24mm)",SheetData,7,FALSE),IF(ISERROR(FIND("H/F",WardrobeCarcassMaterial))=FALSE,(0.1*($C163/1000))*VLOOKUP("H/F (22mm)",SheetsData,7,FALSE),"Door - tower - new material")))),"Channel - tower - handle set to other")))),"")</f>
        <v/>
      </c>
    </row>
    <row r="164">
      <c r="A164" s="150"/>
      <c r="B164" s="160" t="str">
        <f t="shared" si="1"/>
        <v/>
      </c>
      <c r="C164" s="160" t="str">
        <f>IFERROR(__xludf.DUMMYFUNCTION("IF(A164="""","""",IF(ISERROR(FIND(""arcass"",A164))=FALSE,MID(A164,FIND(""*"",A164)+1,FIND(""*"",A164,FIND(""*"",A164)+1)-FIND(""*"",A164)-1),IF(ISERROR(FIND(""End panel"",A164))=FALSE,RIGHT(A164,3),IF(OR(ISERROR(FIND(""drawer"",A164))=FALSE,ISERROR(FIND("&amp;"""door"",A164))=FALSE,ISERROR(FIND(""shelf"",A164))=FALSE,ISERROR(FIND(""panel"",A164))=FALSE,ISERROR(FIND(""Plinth"",A164))=FALSE,ISERROR(FIND(""Cornice"",A164))=FALSE,ISERROR(FIND(""Fillers"",A164))=FALSE,ISERROR(FIND(""Pelmet"",A164))=FALSE,ISERROR(FIN"&amp;"D(""Fireplace up to 1600"",A164))=FALSE),RIGHT(A164,LEN(A164)-LEN(regexextract(A164,"".* ""))),IF(ISERROR(FIND(""table"",A164))=FALSE,""560"",IF(ISERROR(FIND(""Office pod"",A164))=FALSE,""1600"",IF(ISERROR(FIND(""Fireplace over 1600"",A164))=FALSE,""2400"&amp;""",IF(ISERROR(FIND(""Worktop"",A164))=FALSE,""650"",""Whoops""))))))))"),"")</f>
        <v/>
      </c>
      <c r="D164" s="161" t="str">
        <f t="shared" si="2"/>
        <v/>
      </c>
      <c r="E164" s="152" t="str">
        <f>IF(OR(A164="",AND(ISERROR(FIND("drawer",A164))=FALSE,WardrobeDrawerType="")),"",IF(ISERROR(FIND("door",A164))=FALSE,IF(WardrobeDoorStyle="Flat",((B164/1000)*(C164/1000))*VLOOKUP(WardrobeDoorMaterial,SheetsData,8,0),IF(LEFT(WardrobeDoorStyle,5)="Panel",(((((B164/1000)*2)*0.08)+((((C164/1000)-0.16)*2)*0.08))*VLOOKUP("H/F (22mm)",SheetsData,8,0))+(((B164/1000)-0.14)*((C164/1000)-0.14)*VLOOKUP("H/F (9mm)",SheetsData,8,0)),IF(WardrobeDoorStyle="In-frame flat",((((((B164/1000)*0.019)*0.038)+((((C164-38)/1000)*0.038)*0.038))*2)*VLOOKUP("Tulip (solid m3)",SolidData,4,0))+(((B164-76)/1000)*((C164-38)/1000))*VLOOKUP("H/F (22mm)",SheetsData,8,0),IF(LEFT(WardrobeDoorStyle,14)="In-frame panel",(((((((B164/1000)*0.019)*0.038)+((((C164-38)/1000)*0.038)*0.038))*2)*VLOOKUP("Tulip (solid m3)",SolidData,4,0))+(((((((B164-76)/1000)*2)*0.08)+(((((C164-198)/1000)*2)*0.08)))*VLOOKUP("H/F (22mm)",SheetsData,8,0))+(((B164-216)/1000)*((C164-178)/1000)*VLOOKUP("H/F (9mm)",SheetsData,8,0)))))))),IF(AND(ISERROR(FIND("arcass",A164))=FALSE,ISERROR(FIND("ost corner",A164))=TRUE),IF(AND(VALUE(B164)&lt;1211,VALUE(C164)&lt;1211,VALUE(D164)&lt;606),1*VLOOKUP(WardrobeCarcassMaterial,SheetsData,5,FALSE),IF(AND(VALUE(B164)&lt;2421,VALUE(C164)&lt;2421,VALUE(D164)&lt;606),2*VLOOKUP(WardrobeCarcassMaterial,SheetsData,5,FALSE),IF(AND(VALUE(B164)&lt;2421,VALUE(C164)&lt;1211,VALUE(D164)&lt;1211),3*VLOOKUP(WardrobeCarcassMaterial,SheetsData,5,FALSE),IF(AND(VALUE(B164)&lt;2421,VALUE(C164)&lt;2421,VALUE(D164)&lt;1211),4*VLOOKUP(WardrobeCarcassMaterial,SheetsData,5,FALSE))))),IF(AND(ISERROR(FIND("arcass",A164))=FALSE,ISERROR(FIND("ost corner",A164))=FALSE),IF(AND(VALUE(B164)&lt;1211,VALUE(C164)&lt;1211,VALUE(D164)&lt;606),(1*VLOOKUP(WardrobeCarcassMaterial,SheetsData,5,FALSE))+(VLOOKUP("H/F (22mm)",SheetsData,7,FALSE)*1.44),IF(AND(VALUE(B164)&lt;2421,VALUE(C164)&lt;2421,VALUE(D164)&lt;606),(2*VLOOKUP(WardrobeCarcassMaterial,SheetsData,5,FALSE))+(VLOOKUP("H/F (22mm)",SheetsData,7,FALSE)*1.44),IF(AND(VALUE(B164)&lt;2421,VALUE(C164)&lt;1211,VALUE(D164)&lt;1211),(3*VLOOKUP(WardrobeCarcassMaterial,SheetsData,5,FALSE))+(VLOOKUP("H/F (22mm)",SheetsData,7,FALSE)*1.44),IF(AND(VALUE(B164)&lt;2421,VALUE(C164)&lt;2421,VALUE(D164)&lt;1211),(4*VLOOKUP(WardrobeCarcassMaterial,SheetsData,5,FALSE))+(VLOOKUP("H/F (22mm)",SheetsData,7,FALSE)*1.44))))),IF(ISERROR(FIND("drawer front",A164))=FALSE,((B164/1000)*(C164/1000))*VLOOKUP(WardrobeDoorMaterial,SheetsData,8,0),IF(AND(WardrobeDrawerType="Match carcass",ISERROR(FIND("drawer box",A164))=FALSE),(((((B164/1000)*(C164/1000))+((B164/1000)*(D164/1000)))*2)*VLOOKUP(WardrobeCarcassMaterial,SheetsData,8,0))+(((C164/1000)*(D164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box",A164))=FALSE),(((((B164/1000)*(C164/1000))+((B164/1000)*(D164/1000)))*2)*(16/1000)*VLOOKUP(LEFT(WardrobeCarcassMaterial,FIND(" ",WardrobeCarcassMaterial))&amp;"(solid m3)",SolidData,4,0))+(((C164/1000)*(D164/1000))*VLOOKUP(LEFT(WardrobeCarcassMaterial,FIND("(",WardrobeCarcassMaterial)-1)&amp;IF(OR(ISERROR(FIND("ply",WardrobeCarcassMaterial))=FALSE,ISERROR(FIND("H/F",WardrobeCarcassMaterial))=FALSE),"(9mm)","(10mm)"),SheetsData,8,0)),IF(ISERROR(FIND("shelf",A164))=FALSE,((C164/1000)*(D164/1000))*VLOOKUP(WardrobeCarcassMaterial,SheetsData,7,FALSE),IF(ISERROR(FIND("Office pod",A164))=FALSE,3*VLOOKUP(WardrobeCarcassMaterial,SheetsData,5,0),IF(ISERROR(FIND(" panel",A164))=FALSE,((B164/1000)*(C164/1000))*VLOOKUP(WardrobeDoorMaterial,SheetsData,8,0),IF(ISERROR(FIND("Fillers",A164))=FALSE,(((0.06*(C164/1000))*2)*VLOOKUP("H/F (18mm)",SheetsData,8,0))+(((0.06*(C164/1000))*2)*VLOOKUP("H/F (9mm)",SheetsData,8,0)),IF(ISERROR(FIND("Cornice (stacked)",A164))=FALSE,((0.08*(C164/1000))*2)*VLOOKUP("H/F (22mm)",SheetsData,8,0),IF(OR(ISERROR(FIND("Plinth",A164))=FALSE,ISERROR(FIND("Cornice (flat)",A164))=FALSE),((B164/1000)*(C164/1000))*VLOOKUP("H/F (18mm)",SheetsData,8,0),IF(ISERROR(FIND("Pelmet",A164))=FALSE,((((B164/1000)*(C164/1000))*2)*VLOOKUP("H/F (18mm)",SheetsData,8,0)),IF(ISERROR(FIND("Fireplace",A164))=FALSE,IF(ISERROR(FIND("over 1600",A164))=FALSE,2*VLOOKUP(WardrobeCarcassMaterial,SheetsData,5,FALSE),VLOOKUP(WardrobeCarcassMaterial,SheetsData,5,FALSE)),IF(ISERROR(FIND("table",A164))=FALSE,((B164/1000)*0.6)*VLOOKUP("Birch ply (24mm)",SheetsData,7,FALSE),IF(ISERROR(FIND("Worktop",A164))=FALSE,((B164/1000)*(C164/1000))*VLOOKUP(WardrobeDoorMaterial,SheetsData,7,FALSE),"Check formula")))))))))))))))))</f>
        <v/>
      </c>
      <c r="F164" s="152" t="str">
        <f>IFERROR(__xludf.DUMMYFUNCTION("IF(OR(A164="""",AND(ISERROR(FIND(""drawer box"",A164))=FALSE,WardrobeDrawerType=""Solid dovetail"")),"""",IF(ISERROR(FIND(""bins"",A164))=FALSE,VLOOKUP(""Base carcass 600"",Wardrobes_etcData,6,0),IF(OR(ISERROR(FIND(""larder"",A164))=FALSE,ISERROR(FIND(""u"&amp;"nit"",A164))=FALSE),VLOOKUP(LEFT(A164,FIND("" "",A164))&amp;""carcass ""&amp;RIGHT(A164,LEN(A164)-len(regexextract(A164,"".* ""))),Wardrobes_etcData,6,0),IF(ISERROR(FIND(""drawer front"",A164))=FALSE,IF(ISERROR(FIND(""veneer"",WardrobeCarcassMaterial))=TRUE,0,((("&amp;"B164+C164)/1000)*2)*VLOOKUP(""Edge banding (per M)"",SheetsData,5,0)),IF(ISERROR(FIND(""drawer box"",A164))=FALSE,IF(ISERROR(FIND(""veneer"",WardrobeCarcassMaterial))=TRUE,0,(((C164+D164)/1000)*2)*VLOOKUP(""Edge banding (per M)"",SheetsData,5,0)),IF(ISERR"&amp;"OR(FIND(""shelf"",A164))=FALSE,IF(ISERROR(FIND(""veneer"",WardrobeCarcassMaterial))=TRUE,0,(C164/1000)*VLOOKUP(""Edge banding (per M)"",SheetsData,5,0)),IF(AND(OR(ISERROR(FIND(""arcass"",A164))=FALSE,ISERROR(FIND(""Fireplace"",A164))=FALSE),ISERROR(FIND("&amp;"""shelf"",A164))=TRUE),IF(ISERROR(FIND(""veneer"",WardrobeCarcassMaterial))=TRUE,0,((2*(B164+C164))/1000)*VLOOKUP(""Edge banding (per M)"",SheetsData,5,0)),IF(ISERROR(FIND(""door"",A164))=TRUE,"""",IF(ISERROR(FIND(""veneer"",WardrobeDoorMaterial))=TRUE,"""&amp;""",((2*(B164+C164))/1000)*VLOOKUP(""Edge banding (per M)"",SheetsData,5,0))))))))))"),"")</f>
        <v/>
      </c>
      <c r="G164" s="153" t="str">
        <f>IF(A164="","",IF(AND(ISERROR(FIND("arcass",A164))=TRUE,ISERROR(FIND("Fireplace",A164))=TRUE),"",IF(VALUE(C164)&lt;606,4*VLOOKUP("Plinth foot (2 Parts 80mm)",FurnitureData,5,FALSE),IF(VALUE(C164)&lt;1211,6*VLOOKUP("Plinth foot (2 Parts 80mm)",FurnitureData,5,FALSE),8*VLOOKUP("Plinth foot (2 Parts 80mm)",FurnitureData,5,FALSE)))))</f>
        <v/>
      </c>
      <c r="H164" s="115" t="str">
        <f>IF(OR(A164="",ISERROR(FIND("door",A164))=TRUE),"",VLOOKUP("Hinges &amp; plates (Hettich thick door)",FurnitureData,5,0)*5)</f>
        <v/>
      </c>
      <c r="I164" s="115" t="str">
        <f>IF(ISERROR(FIND("shelf",A164))=FALSE,(VLOOKUP("Shelf pegs",FurnitureData,5,0)/100)*4,"")</f>
        <v/>
      </c>
      <c r="J164" s="152" t="str">
        <f>IF(OR(ISERROR(FIND("fridge/freezer",A164))=FALSE,ISERROR(FIND("sink",A164))=FALSE,ISERROR(FIND("larder",A164))=FALSE),VLOOKUP("Deep shelf "&amp;C164,Wardrobes_etcData,18,0),IF(OR(ISERROR(FIND("single oven",A164))=FALSE,ISERROR(FIND("Base carcass",A164))=FALSE),2*VLOOKUP("Deep shelf "&amp;C164,Wardrobes_etcData,18,0),IF(AND(ISERROR(FIND("wall carcass",A164))=FALSE,ISERROR(FIND("Boiler",A164))=TRUE),2*VLOOKUP("Shallow shelf "&amp;C164,Wardrobes_etcData,18,0),IF(ISERROR(FIND("double oven",A164))=FALSE,3*VLOOKUP("Deep shelf "&amp;C164,Wardrobes_etcData,18,0),IF(ISERROR(FIND("Tower carcass",A164))=FALSE,6*VLOOKUP("Deep shelf "&amp;C164,Wardrobes_etcData,18,0),"")))))</f>
        <v/>
      </c>
      <c r="K164" s="152" t="str">
        <f>IF(ISERROR(FIND("sink",A164))=FALSE,VLOOKUP("Sink liner - Aluminium "&amp;RIGHT(A164,LEN(A164)-22)&amp;"mm",ExceptionalData,5,0),IF(ISERROR(FIND("bins",A164))=FALSE,VLOOKUP("Drawer runners and clip set for bin unit (500) Dynapro",FurnitureData,5,0)+(2*VLOOKUP("Bin (42L Anthracite)",FurnitureData,5,0)),IF(ISERROR(FIND("larder",A164))=FALSE,VLOOKUP("Pull out larder unit 600mm",FurnitureData,5,0),IF(AND(ISERROR(FIND("drawer box",A164))=FALSE,ISERROR(FIND("internal",A164))=TRUE),VLOOKUP("Drawer runners and clip set (550) Dynapro",FurnitureData,5,0),IF(ISERROR(FIND("internal drawer box",A164))=FALSE,VLOOKUP("Drawer runners and clip set (450) Dynapro",FurnitureData,5,0),IF(ISERROR(FIND("table",A164))=FALSE,VLOOKUP("Hairpin Leg (12mm Black "&amp;MID(A164,FIND("(",A164)+1,LEN(A164)-(FIND("(",A164))-1)&amp;"mm)",ExceptionalData,4,FALSE),""))))))</f>
        <v/>
      </c>
      <c r="L164" s="152" t="str">
        <f t="shared" si="3"/>
        <v/>
      </c>
      <c r="M164" s="154" t="str">
        <f>IF(A164="","",IF(AND(ISERROR(FIND("drawer front",A164))=FALSE,WardrobeDoorStyle="Flat"),(((B164/1000)*(C164/1000))*2)+((((B164+C164)/1000)*2)*0.022),IF(AND(ISERROR(FIND("drawer front",A164))=FALSE,LEFT(WardrobeDoorStyle,5)="Panel"),(((B164/1000)*(C164/1000))*2)+((((B164+C164)/1000)*2)*0.022)+((((C164/1000)-0.16)*0.013)*2)+((((D164/1000)-0.16)*0.013)*2),IF(AND(ISERROR(FIND("drawer front",A164))=FALSE,WardrobeDoorStyle="In-frame flat"),((((B164-76)/1000)*((C164-38)/1000))*2)+(MID(WardrobeDoorMaterial,FIND("(",WardrobeDoorMaterial)+1,2)/1000)*((((B164-76)+(C164-38))/1000)*2)+(((B164/1000)*0.032)*2)+((((B164-76)/1000)*0.032)*2)+(((B164/1000)*0.019)*4)+(((C164/1000)*0.032)*2)+((((C164-38)/1000)*0.032)*2)+(((C164/1000)*0.038)*4),IF(AND(ISERROR(FIND("drawer front",A164))=FALSE,LEFT(WardrobeDoorStyle,14)="In-frame panel"),((((B164-76)/1000)*((C164-38)/1000))*2)+((MID(WardrobeDoorMaterial,FIND("(",WardrobeDoorMaterial)+1,2)/1000)*((((B164-76)+(C164-38))/1000)*2))+((((B164-236)/1000)+((C164-198)/1000)*2)*0.013)+(((B164/1000)*0.032)*2)+((((B164-76)/1000)*0.032)*2)+(((B164/1000)*0.019)*4)+(((C164/1000)*0.032)*2)+((((C164-38)/1000)*0.032)*2)+(((C164/1000)*0.038)*4),IF(ISERROR(FIND("drawer box",A164))=FALSE,((((B164/1000)*(D164/1000))+((B164/1000)*(C164/1000)))*4)+((((D164/1000)+(C164/1000))*0.016)*4)+(((C164/1000)*(D164/1000))*2),IF(OR(ISERROR(FIND("shelf",A164))=FALSE,ISERROR(FIND("Filler panel",A164))=FALSE),(((C164/1000)*(D164/1000))*2)+((((C164+D164)*2)/1000)*0.022),IF(ISERROR(FIND("Fireplace",A164))=FALSE,((B164/1000)*(C164/1000)),IF(ISERROR(FIND("Worktop",A164))=FALSE,(B164/1000)*(C164/1000),IF(ISERROR(FIND("table",A164))=FALSE,(B164/1000)*0.6,IF(ISERROR(FIND("arcass",A164))=FALSE,(((C164/1000)*(D164/1000))*2)+(((B164/1000)*(D164/1000))*2)+((B164/1000)*(C164/1000))+((((B164/1000)*0.025)+((C164/1000)*0.025))*2),IF(AND(ISERROR(FIND("door",A164))=FALSE,WardrobeDoorStyle="Flat"),(((B164/1000)*(C164/1000))*2)+(MID(WardrobeDoorMaterial,FIND("(",WardrobeDoorMaterial)+1,2)/1000)*(((B164+C164)/1000)*2),IF(AND(ISERROR(FIND("door",A164))=FALSE,LEFT(WardrobeDoorStyle,5)="Panel"),(((B164/1000)*(C164/1000))*2)+((MID(WardrobeDoorMaterial,FIND("(",WardrobeDoorMaterial)+1,2)/1000)*(((B164+C164)/1000)*2))+(((((B164-160)+(C164-160))*2)/1000)*(0.013)),IF(AND(ISERROR(FIND("door",A164))=FALSE,WardrobeDoorStyle="In-frame flat"),((((B164-76)/1000)*((C164-38)/1000))*2)+(MID(WardrobeDoorMaterial,FIND("(",WardrobeDoorMaterial)+1,2)/1000)*((((B164-76)+(C164-38))/1000)*2)+(((B164/1000)*0.032)*2)+((((B164-76)/1000)*0.032)*2)+(((B164/1000)*0.019)*4)+(((C164/1000)*0.032)*2)+((((C164-38)/1000)*0.032)*2)+(((C164/1000)*0.038)*4),IF(AND(ISERROR(FIND("door",A164))=FALSE,LEFT(WardrobeDoorStyle,14)="In-frame panel"),((((B164-76)/1000)*((C164-38)/1000))*2)+((MID(WardrobeDoorMaterial,FIND("(",WardrobeDoorMaterial)+1,2)/1000)*((((B164-76)+(C164-38))/1000)*2))+((((B164-236)/1000)+((C164-198)/1000)*2)*0.013)+(((B164/1000)*0.032)*2)+((((B164-76)/1000)*0.032)*2)+(((B164/1000)*0.019)*4)+(((C164/1000)*0.032)*2)+((((C164-38)/1000)*0.032)*2)+(((C164/1000)*0.038)*4),IF(ISERROR(FIND("Plinth",A164))=FALSE,((B164/1000)*(C164/1000))+(((C164/1000)*0.018)*2)+(((B164/1000)*0.018)*2),IF(ISERROR(FIND("Cornice",A164))=FALSE,(((C164/1000)*0.1)*2)+(((C164/1000)*0.044)*2)+(((B164/1000)*0.08)*2),IF(ISERROR(FIND("Office pod",A164))=FALSE,((2400/1000)*(1200/1000))*6,IF(ISERROR(FIND("panel",A164))=FALSE,((B164/1000)*(C164/1000))+(0.022*((B164/1000)+((C164/1000)*2)))+((B164/1000)*0.05),IF(ISERROR(FIND("Fillers",A164))=FALSE,((C164/1000)*0.06)+((C164/1000)*0.069)+((0.06*0.018)*2)+((0.06*0.009)*2)+((C164/1000)*0.009)+((C164/1000)*0.018),IF(ISERROR(FIND("Pelmet",A164))=FALSE,((C164/1000)*0.05)+((C164/1000)*0.068)+((0.05*0.018)*4)+(((C164/1000)*0.018))*2)))))))))))))))))))))</f>
        <v/>
      </c>
      <c r="N164" s="152" t="str">
        <f>IF(M164="","",IF(AND(ISERROR(FIND("carcass",A164))=TRUE,ISERROR(FIND("unit",A164))=TRUE,ISERROR(FIND("insert",A164))=TRUE,ISERROR(FIND("rack",A164))=TRUE,ISERROR(FIND("box",A164))=TRUE,ISERROR(FIND("shelf",A164))=TRUE),VLOOKUP(WardrobeDoorFinish,Finishing!$A$2:$K$10,9,0)*M164,IF(ISERROR(FIND("table",A164))=FALSE,VLOOKUP("Sayerlack AF0072 Interior Clear Self-Sealer",FinishingData,9,FALSE)*M164,VLOOKUP(WardrobeCarcassFinish,Finishing!$A$2:$K$40,9,0)*M164)))</f>
        <v/>
      </c>
      <c r="O164" s="159"/>
      <c r="P164" s="159"/>
      <c r="Q164" s="152" t="str">
        <f>IF(OR(O164="",P164=""),"",((O164*X164)*(VLOOKUP("Workshop",Labour!$A$3:$E$20,4,0)/8))+((P164*AE164)*(VLOOKUP("Finishing",Labour!$A$3:$E$20,4,0)/8)))</f>
        <v/>
      </c>
      <c r="R164" s="152" t="str">
        <f t="shared" si="4"/>
        <v/>
      </c>
      <c r="S164" s="156" t="str">
        <f>IF(OR(O164="",P164=""),"",IF(OR(ISERROR(FIND("carcass",$A164))=FALSE,ISERROR(FIND("unit",$A164))=FALSE),VLOOKUP(WardrobeCarcassMaterial,FixedListsCarcassMaterial,2,0),0))</f>
        <v/>
      </c>
      <c r="T164" s="156" t="str">
        <f>IF(OR(O164="",P164=""),"",IF(ISERROR(FIND("door",$A164))=FALSE,VLOOKUP(WardrobeDoorStyle,FixedListsDoorStyle,2,0),0))</f>
        <v/>
      </c>
      <c r="U164" s="156" t="str">
        <f>IF(OR(O164="",P164=""),"",IF(ISERROR(FIND("door",$A164))=FALSE,VLOOKUP(WardrobeDoorMaterial,FixedListsDoorMaterial,2,0),0))</f>
        <v/>
      </c>
      <c r="V164" s="156" t="str">
        <f>IF(OR(O164="",P164=""),"",IF(ISERROR(FIND("drawer",$A164))=FALSE,VLOOKUP(WardrobeDrawerType,FixedListsDrawerType,2,0),0))</f>
        <v/>
      </c>
      <c r="W164" s="156" t="str">
        <f>IF(OR(O164="",P164=""),"",IF(S164&gt;0,VLOOKUP(WardrobeHandleType,FixedListsHandleType,2,FALSE),0))</f>
        <v/>
      </c>
      <c r="X164" s="156" t="str">
        <f t="shared" si="5"/>
        <v/>
      </c>
      <c r="Y164" s="156" t="str">
        <f>IF(OR(O164="",P164=""),"",IF(OR(ISERROR(FIND("carcass",$A164))=FALSE,ISERROR(FIND("unit",$A164))=FALSE),VLOOKUP(WardrobeCarcassMaterial,FixedListsCarcassMaterial,3,0),0))</f>
        <v/>
      </c>
      <c r="Z164" s="156" t="str">
        <f>IF(OR(O164="",P164=""),"",IF(ISERROR(FIND("door",$A164))=FALSE,VLOOKUP(WardrobeDoorStyle,FixedListsDoorStyle,3,0),0))</f>
        <v/>
      </c>
      <c r="AA164" s="156" t="str">
        <f>IF(OR(O164="",P164=""),"",IF(ISERROR(FIND("door",$A164))=FALSE,VLOOKUP(WardrobeDoorMaterial,FixedListsDoorMaterial,3,0),0))</f>
        <v/>
      </c>
      <c r="AB164" s="156" t="str">
        <f>IF(OR(O164="",P164=""),"",IF(ISERROR(FIND("drawer",$A164))=FALSE,VLOOKUP(WardrobeDrawerType,FixedListsDrawerType,3,0),0))</f>
        <v/>
      </c>
      <c r="AC164" s="156" t="str">
        <f>IF(OR(O164="",P164=""),"",IF(S164&gt;0,VLOOKUP(WardrobeHandleType,FixedListsHandleType,3,FALSE),0))</f>
        <v/>
      </c>
      <c r="AD164" s="156" t="str">
        <f>IF(OR(O164="",P164=""),"",IF(OR(ISERROR(FIND("carcass",$A164))=FALSE,ISERROR(FIND("unit",$A164))=FALSE),VLOOKUP(WardrobeCarcassFinish,FixedListsFinishes,3,0),IF(OR(ISERROR(FIND("door",$A164))=FALSE,ISERROR(FIND("Plinth",$A164))=FALSE,ISERROR(FIND("Cornice",$A164))=FALSE,ISERROR(FIND("Fillers",$A164))=FALSE,ISERROR(FIND("Pelmet",$A164))=FALSE,ISERROR(FIND("panel",$A164))=FALSE,ISERROR(FIND("post",$A164))=FALSE),VLOOKUP(WardrobeDoorFinish,FixedListsFinishes,3,0),IF(OR(ISERROR(FIND("drawer",$A164))=FALSE,ISERROR(FIND("insert",$A164))=FALSE,ISERROR(FIND("rck",$A164))=FALSE),VLOOKUP(WardrobeCarcassFinish,FixedListsFinishes,3,0),0))))</f>
        <v/>
      </c>
      <c r="AE164" s="156" t="str">
        <f t="shared" si="6"/>
        <v/>
      </c>
      <c r="AF164" s="157" t="str">
        <f>IF(AND(WardrobeHandleType="Channel",OR(ISERROR(FIND("arcass",$A164))=FALSE,ISERROR(FIND("unit",$A164))=FALSE)),IF(ISERROR(FIND("Tower",$A164))=TRUE,IF(WardrobeHandleFinish="Match carcass",IF(ISERROR(FIND("Walnut",WardrobeCarcassMaterial))=FALSE,(0.035*0.075*($C164/1000))*VLOOKUP("Walnut (solid m3)",SolidData,4,FALSE),IF(ISERROR(FIND("Oak",WardrobeCarcassMaterial))=FALSE,(0.035*0.075*($C164/1000))*VLOOKUP("Oak (solid m3)",SolidData,4,FALSE),IF(ISERROR(FIND("ply",WardrobeCarcassMaterial))=FALSE,(0.1*($C164/1000))*VLOOKUP("Birch ply (24mm)",SheetsData,7,FALSE),IF(ISERROR(FIND("H/F",WardrobeCarcassMaterial))=FALSE,(0.1*($C164/1000))*VLOOKUP("H/F (22mm)",SheetsData,7,FALSE),"Carcass - not tower - new material")))),IF(WardrobeHandleFinish="Match door",IF(ISERROR(FIND("Walnut",WardrobeDoorMaterial))=FALSE,(0.035*0.075*($C164/1000))*VLOOKUP("Walnut (solid m3)",SolidData,4,FALSE),IF(ISERROR(FIND("Oak",WardrobeDoorMaterial))=FALSE,(0.035*0.075*($C164/1000))*VLOOKUP("Oak (solid m3)",SolidData,4,FALSE),IF(ISERROR(FIND("ply",WardrobeDoorMaterial))=FALSE,(0.1*($C164/1000))*VLOOKUP("Birch ply (24mm)",SheetsData,7,FALSE),IF(ISERROR(FIND("H/F",WardrobeCarcassMaterial))=FALSE,(0.1*($C164/1000))*VLOOKUP("H/F (22mm)",SheetsData,7,FALSE),"Door - not tower - new material")))),"Channel - not tower - handle set to other")),IF(ISERROR(FIND("Tower",$A164))=FALSE,IF(WardrobeHandleFinish="Match carcass",IF(ISERROR(FIND("Walnut",WardrobeCarcassMaterial))=FALSE,(0.035*0.075*($B164/1000))*VLOOKUP("Walnut (solid m3)",SolidData,4,FALSE),IF(ISERROR(FIND("Oak",WardrobeCarcassMaterial))=FALSE,(0.035*0.075*($B164/1000))*VLOOKUP("Oak (solid m3)",SolidData,4,FALSE),IF(ISERROR(FIND("ply",WardrobeCarcassMaterial))=FALSE,(0.1*($B164/1000))*VLOOKUP("Birch ply (24mm)",SheetsData,7,FALSE),IF(ISERROR(FIND("H/F",WardrobeCarcassMaterial))=FALSE,(0.1*($C164/1000))*VLOOKUP("H/F (22mm)",SheetsData,7,FALSE),"Carcass - tower - new material")))),IF(WardrobeHandleFinish="Match door",IF(ISERROR(FIND("Walnut",WardrobeDoorMaterial))=FALSE,(0.035*0.075*($B164/1000))*VLOOKUP("Walnut (solid m3)",SolidData,4,FALSE),IF(ISERROR(FIND("Oak",WardrobeDoorMaterial))=FALSE,(0.035*0.075*($B164/1000))*VLOOKUP("Oak (solid m3)",SolidData,4,FALSE),IF(ISERROR(FIND("ply",WardrobeDoorMaterial))=FALSE,(0.1*($B164/1000))*VLOOKUP("Birch ply (24mm)",SheetData,7,FALSE),IF(ISERROR(FIND("H/F",WardrobeCarcassMaterial))=FALSE,(0.1*($C164/1000))*VLOOKUP("H/F (22mm)",SheetsData,7,FALSE),"Door - tower - new material")))),"Channel - tower - handle set to other")))),"")</f>
        <v/>
      </c>
    </row>
    <row r="165">
      <c r="A165" s="150"/>
      <c r="B165" s="160" t="str">
        <f t="shared" si="1"/>
        <v/>
      </c>
      <c r="C165" s="160" t="str">
        <f>IFERROR(__xludf.DUMMYFUNCTION("IF(A165="""","""",IF(ISERROR(FIND(""arcass"",A165))=FALSE,MID(A165,FIND(""*"",A165)+1,FIND(""*"",A165,FIND(""*"",A165)+1)-FIND(""*"",A165)-1),IF(ISERROR(FIND(""End panel"",A165))=FALSE,RIGHT(A165,3),IF(OR(ISERROR(FIND(""drawer"",A165))=FALSE,ISERROR(FIND("&amp;"""door"",A165))=FALSE,ISERROR(FIND(""shelf"",A165))=FALSE,ISERROR(FIND(""panel"",A165))=FALSE,ISERROR(FIND(""Plinth"",A165))=FALSE,ISERROR(FIND(""Cornice"",A165))=FALSE,ISERROR(FIND(""Fillers"",A165))=FALSE,ISERROR(FIND(""Pelmet"",A165))=FALSE,ISERROR(FIN"&amp;"D(""Fireplace up to 1600"",A165))=FALSE),RIGHT(A165,LEN(A165)-LEN(regexextract(A165,"".* ""))),IF(ISERROR(FIND(""table"",A165))=FALSE,""560"",IF(ISERROR(FIND(""Office pod"",A165))=FALSE,""1600"",IF(ISERROR(FIND(""Fireplace over 1600"",A165))=FALSE,""2400"&amp;""",IF(ISERROR(FIND(""Worktop"",A165))=FALSE,""650"",""Whoops""))))))))"),"")</f>
        <v/>
      </c>
      <c r="D165" s="161" t="str">
        <f t="shared" si="2"/>
        <v/>
      </c>
      <c r="E165" s="152" t="str">
        <f>IF(OR(A165="",AND(ISERROR(FIND("drawer",A165))=FALSE,WardrobeDrawerType="")),"",IF(ISERROR(FIND("door",A165))=FALSE,IF(WardrobeDoorStyle="Flat",((B165/1000)*(C165/1000))*VLOOKUP(WardrobeDoorMaterial,SheetsData,8,0),IF(LEFT(WardrobeDoorStyle,5)="Panel",(((((B165/1000)*2)*0.08)+((((C165/1000)-0.16)*2)*0.08))*VLOOKUP("H/F (22mm)",SheetsData,8,0))+(((B165/1000)-0.14)*((C165/1000)-0.14)*VLOOKUP("H/F (9mm)",SheetsData,8,0)),IF(WardrobeDoorStyle="In-frame flat",((((((B165/1000)*0.019)*0.038)+((((C165-38)/1000)*0.038)*0.038))*2)*VLOOKUP("Tulip (solid m3)",SolidData,4,0))+(((B165-76)/1000)*((C165-38)/1000))*VLOOKUP("H/F (22mm)",SheetsData,8,0),IF(LEFT(WardrobeDoorStyle,14)="In-frame panel",(((((((B165/1000)*0.019)*0.038)+((((C165-38)/1000)*0.038)*0.038))*2)*VLOOKUP("Tulip (solid m3)",SolidData,4,0))+(((((((B165-76)/1000)*2)*0.08)+(((((C165-198)/1000)*2)*0.08)))*VLOOKUP("H/F (22mm)",SheetsData,8,0))+(((B165-216)/1000)*((C165-178)/1000)*VLOOKUP("H/F (9mm)",SheetsData,8,0)))))))),IF(AND(ISERROR(FIND("arcass",A165))=FALSE,ISERROR(FIND("ost corner",A165))=TRUE),IF(AND(VALUE(B165)&lt;1211,VALUE(C165)&lt;1211,VALUE(D165)&lt;606),1*VLOOKUP(WardrobeCarcassMaterial,SheetsData,5,FALSE),IF(AND(VALUE(B165)&lt;2421,VALUE(C165)&lt;2421,VALUE(D165)&lt;606),2*VLOOKUP(WardrobeCarcassMaterial,SheetsData,5,FALSE),IF(AND(VALUE(B165)&lt;2421,VALUE(C165)&lt;1211,VALUE(D165)&lt;1211),3*VLOOKUP(WardrobeCarcassMaterial,SheetsData,5,FALSE),IF(AND(VALUE(B165)&lt;2421,VALUE(C165)&lt;2421,VALUE(D165)&lt;1211),4*VLOOKUP(WardrobeCarcassMaterial,SheetsData,5,FALSE))))),IF(AND(ISERROR(FIND("arcass",A165))=FALSE,ISERROR(FIND("ost corner",A165))=FALSE),IF(AND(VALUE(B165)&lt;1211,VALUE(C165)&lt;1211,VALUE(D165)&lt;606),(1*VLOOKUP(WardrobeCarcassMaterial,SheetsData,5,FALSE))+(VLOOKUP("H/F (22mm)",SheetsData,7,FALSE)*1.44),IF(AND(VALUE(B165)&lt;2421,VALUE(C165)&lt;2421,VALUE(D165)&lt;606),(2*VLOOKUP(WardrobeCarcassMaterial,SheetsData,5,FALSE))+(VLOOKUP("H/F (22mm)",SheetsData,7,FALSE)*1.44),IF(AND(VALUE(B165)&lt;2421,VALUE(C165)&lt;1211,VALUE(D165)&lt;1211),(3*VLOOKUP(WardrobeCarcassMaterial,SheetsData,5,FALSE))+(VLOOKUP("H/F (22mm)",SheetsData,7,FALSE)*1.44),IF(AND(VALUE(B165)&lt;2421,VALUE(C165)&lt;2421,VALUE(D165)&lt;1211),(4*VLOOKUP(WardrobeCarcassMaterial,SheetsData,5,FALSE))+(VLOOKUP("H/F (22mm)",SheetsData,7,FALSE)*1.44))))),IF(ISERROR(FIND("drawer front",A165))=FALSE,((B165/1000)*(C165/1000))*VLOOKUP(WardrobeDoorMaterial,SheetsData,8,0),IF(AND(WardrobeDrawerType="Match carcass",ISERROR(FIND("drawer box",A165))=FALSE),(((((B165/1000)*(C165/1000))+((B165/1000)*(D165/1000)))*2)*VLOOKUP(WardrobeCarcassMaterial,SheetsData,8,0))+(((C165/1000)*(D165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box",A165))=FALSE),(((((B165/1000)*(C165/1000))+((B165/1000)*(D165/1000)))*2)*(16/1000)*VLOOKUP(LEFT(WardrobeCarcassMaterial,FIND(" ",WardrobeCarcassMaterial))&amp;"(solid m3)",SolidData,4,0))+(((C165/1000)*(D165/1000))*VLOOKUP(LEFT(WardrobeCarcassMaterial,FIND("(",WardrobeCarcassMaterial)-1)&amp;IF(OR(ISERROR(FIND("ply",WardrobeCarcassMaterial))=FALSE,ISERROR(FIND("H/F",WardrobeCarcassMaterial))=FALSE),"(9mm)","(10mm)"),SheetsData,8,0)),IF(ISERROR(FIND("shelf",A165))=FALSE,((C165/1000)*(D165/1000))*VLOOKUP(WardrobeCarcassMaterial,SheetsData,7,FALSE),IF(ISERROR(FIND("Office pod",A165))=FALSE,3*VLOOKUP(WardrobeCarcassMaterial,SheetsData,5,0),IF(ISERROR(FIND(" panel",A165))=FALSE,((B165/1000)*(C165/1000))*VLOOKUP(WardrobeDoorMaterial,SheetsData,8,0),IF(ISERROR(FIND("Fillers",A165))=FALSE,(((0.06*(C165/1000))*2)*VLOOKUP("H/F (18mm)",SheetsData,8,0))+(((0.06*(C165/1000))*2)*VLOOKUP("H/F (9mm)",SheetsData,8,0)),IF(ISERROR(FIND("Cornice (stacked)",A165))=FALSE,((0.08*(C165/1000))*2)*VLOOKUP("H/F (22mm)",SheetsData,8,0),IF(OR(ISERROR(FIND("Plinth",A165))=FALSE,ISERROR(FIND("Cornice (flat)",A165))=FALSE),((B165/1000)*(C165/1000))*VLOOKUP("H/F (18mm)",SheetsData,8,0),IF(ISERROR(FIND("Pelmet",A165))=FALSE,((((B165/1000)*(C165/1000))*2)*VLOOKUP("H/F (18mm)",SheetsData,8,0)),IF(ISERROR(FIND("Fireplace",A165))=FALSE,IF(ISERROR(FIND("over 1600",A165))=FALSE,2*VLOOKUP(WardrobeCarcassMaterial,SheetsData,5,FALSE),VLOOKUP(WardrobeCarcassMaterial,SheetsData,5,FALSE)),IF(ISERROR(FIND("table",A165))=FALSE,((B165/1000)*0.6)*VLOOKUP("Birch ply (24mm)",SheetsData,7,FALSE),IF(ISERROR(FIND("Worktop",A165))=FALSE,((B165/1000)*(C165/1000))*VLOOKUP(WardrobeDoorMaterial,SheetsData,7,FALSE),"Check formula")))))))))))))))))</f>
        <v/>
      </c>
      <c r="F165" s="152" t="str">
        <f>IFERROR(__xludf.DUMMYFUNCTION("IF(OR(A165="""",AND(ISERROR(FIND(""drawer box"",A165))=FALSE,WardrobeDrawerType=""Solid dovetail"")),"""",IF(ISERROR(FIND(""bins"",A165))=FALSE,VLOOKUP(""Base carcass 600"",Wardrobes_etcData,6,0),IF(OR(ISERROR(FIND(""larder"",A165))=FALSE,ISERROR(FIND(""u"&amp;"nit"",A165))=FALSE),VLOOKUP(LEFT(A165,FIND("" "",A165))&amp;""carcass ""&amp;RIGHT(A165,LEN(A165)-len(regexextract(A165,"".* ""))),Wardrobes_etcData,6,0),IF(ISERROR(FIND(""drawer front"",A165))=FALSE,IF(ISERROR(FIND(""veneer"",WardrobeCarcassMaterial))=TRUE,0,((("&amp;"B165+C165)/1000)*2)*VLOOKUP(""Edge banding (per M)"",SheetsData,5,0)),IF(ISERROR(FIND(""drawer box"",A165))=FALSE,IF(ISERROR(FIND(""veneer"",WardrobeCarcassMaterial))=TRUE,0,(((C165+D165)/1000)*2)*VLOOKUP(""Edge banding (per M)"",SheetsData,5,0)),IF(ISERR"&amp;"OR(FIND(""shelf"",A165))=FALSE,IF(ISERROR(FIND(""veneer"",WardrobeCarcassMaterial))=TRUE,0,(C165/1000)*VLOOKUP(""Edge banding (per M)"",SheetsData,5,0)),IF(AND(OR(ISERROR(FIND(""arcass"",A165))=FALSE,ISERROR(FIND(""Fireplace"",A165))=FALSE),ISERROR(FIND("&amp;"""shelf"",A165))=TRUE),IF(ISERROR(FIND(""veneer"",WardrobeCarcassMaterial))=TRUE,0,((2*(B165+C165))/1000)*VLOOKUP(""Edge banding (per M)"",SheetsData,5,0)),IF(ISERROR(FIND(""door"",A165))=TRUE,"""",IF(ISERROR(FIND(""veneer"",WardrobeDoorMaterial))=TRUE,"""&amp;""",((2*(B165+C165))/1000)*VLOOKUP(""Edge banding (per M)"",SheetsData,5,0))))))))))"),"")</f>
        <v/>
      </c>
      <c r="G165" s="153" t="str">
        <f>IF(A165="","",IF(AND(ISERROR(FIND("arcass",A165))=TRUE,ISERROR(FIND("Fireplace",A165))=TRUE),"",IF(VALUE(C165)&lt;606,4*VLOOKUP("Plinth foot (2 Parts 80mm)",FurnitureData,5,FALSE),IF(VALUE(C165)&lt;1211,6*VLOOKUP("Plinth foot (2 Parts 80mm)",FurnitureData,5,FALSE),8*VLOOKUP("Plinth foot (2 Parts 80mm)",FurnitureData,5,FALSE)))))</f>
        <v/>
      </c>
      <c r="H165" s="115" t="str">
        <f>IF(OR(A165="",ISERROR(FIND("door",A165))=TRUE),"",VLOOKUP("Hinges &amp; plates (Hettich thick door)",FurnitureData,5,0)*5)</f>
        <v/>
      </c>
      <c r="I165" s="115" t="str">
        <f>IF(ISERROR(FIND("shelf",A165))=FALSE,(VLOOKUP("Shelf pegs",FurnitureData,5,0)/100)*4,"")</f>
        <v/>
      </c>
      <c r="J165" s="152" t="str">
        <f>IF(OR(ISERROR(FIND("fridge/freezer",A165))=FALSE,ISERROR(FIND("sink",A165))=FALSE,ISERROR(FIND("larder",A165))=FALSE),VLOOKUP("Deep shelf "&amp;C165,Wardrobes_etcData,18,0),IF(OR(ISERROR(FIND("single oven",A165))=FALSE,ISERROR(FIND("Base carcass",A165))=FALSE),2*VLOOKUP("Deep shelf "&amp;C165,Wardrobes_etcData,18,0),IF(AND(ISERROR(FIND("wall carcass",A165))=FALSE,ISERROR(FIND("Boiler",A165))=TRUE),2*VLOOKUP("Shallow shelf "&amp;C165,Wardrobes_etcData,18,0),IF(ISERROR(FIND("double oven",A165))=FALSE,3*VLOOKUP("Deep shelf "&amp;C165,Wardrobes_etcData,18,0),IF(ISERROR(FIND("Tower carcass",A165))=FALSE,6*VLOOKUP("Deep shelf "&amp;C165,Wardrobes_etcData,18,0),"")))))</f>
        <v/>
      </c>
      <c r="K165" s="152" t="str">
        <f>IF(ISERROR(FIND("sink",A165))=FALSE,VLOOKUP("Sink liner - Aluminium "&amp;RIGHT(A165,LEN(A165)-22)&amp;"mm",ExceptionalData,5,0),IF(ISERROR(FIND("bins",A165))=FALSE,VLOOKUP("Drawer runners and clip set for bin unit (500) Dynapro",FurnitureData,5,0)+(2*VLOOKUP("Bin (42L Anthracite)",FurnitureData,5,0)),IF(ISERROR(FIND("larder",A165))=FALSE,VLOOKUP("Pull out larder unit 600mm",FurnitureData,5,0),IF(AND(ISERROR(FIND("drawer box",A165))=FALSE,ISERROR(FIND("internal",A165))=TRUE),VLOOKUP("Drawer runners and clip set (550) Dynapro",FurnitureData,5,0),IF(ISERROR(FIND("internal drawer box",A165))=FALSE,VLOOKUP("Drawer runners and clip set (450) Dynapro",FurnitureData,5,0),IF(ISERROR(FIND("table",A165))=FALSE,VLOOKUP("Hairpin Leg (12mm Black "&amp;MID(A165,FIND("(",A165)+1,LEN(A165)-(FIND("(",A165))-1)&amp;"mm)",ExceptionalData,4,FALSE),""))))))</f>
        <v/>
      </c>
      <c r="L165" s="152" t="str">
        <f t="shared" si="3"/>
        <v/>
      </c>
      <c r="M165" s="154" t="str">
        <f>IF(A165="","",IF(AND(ISERROR(FIND("drawer front",A165))=FALSE,WardrobeDoorStyle="Flat"),(((B165/1000)*(C165/1000))*2)+((((B165+C165)/1000)*2)*0.022),IF(AND(ISERROR(FIND("drawer front",A165))=FALSE,LEFT(WardrobeDoorStyle,5)="Panel"),(((B165/1000)*(C165/1000))*2)+((((B165+C165)/1000)*2)*0.022)+((((C165/1000)-0.16)*0.013)*2)+((((D165/1000)-0.16)*0.013)*2),IF(AND(ISERROR(FIND("drawer front",A165))=FALSE,WardrobeDoorStyle="In-frame flat"),((((B165-76)/1000)*((C165-38)/1000))*2)+(MID(WardrobeDoorMaterial,FIND("(",WardrobeDoorMaterial)+1,2)/1000)*((((B165-76)+(C165-38))/1000)*2)+(((B165/1000)*0.032)*2)+((((B165-76)/1000)*0.032)*2)+(((B165/1000)*0.019)*4)+(((C165/1000)*0.032)*2)+((((C165-38)/1000)*0.032)*2)+(((C165/1000)*0.038)*4),IF(AND(ISERROR(FIND("drawer front",A165))=FALSE,LEFT(WardrobeDoorStyle,14)="In-frame panel"),((((B165-76)/1000)*((C165-38)/1000))*2)+((MID(WardrobeDoorMaterial,FIND("(",WardrobeDoorMaterial)+1,2)/1000)*((((B165-76)+(C165-38))/1000)*2))+((((B165-236)/1000)+((C165-198)/1000)*2)*0.013)+(((B165/1000)*0.032)*2)+((((B165-76)/1000)*0.032)*2)+(((B165/1000)*0.019)*4)+(((C165/1000)*0.032)*2)+((((C165-38)/1000)*0.032)*2)+(((C165/1000)*0.038)*4),IF(ISERROR(FIND("drawer box",A165))=FALSE,((((B165/1000)*(D165/1000))+((B165/1000)*(C165/1000)))*4)+((((D165/1000)+(C165/1000))*0.016)*4)+(((C165/1000)*(D165/1000))*2),IF(OR(ISERROR(FIND("shelf",A165))=FALSE,ISERROR(FIND("Filler panel",A165))=FALSE),(((C165/1000)*(D165/1000))*2)+((((C165+D165)*2)/1000)*0.022),IF(ISERROR(FIND("Fireplace",A165))=FALSE,((B165/1000)*(C165/1000)),IF(ISERROR(FIND("Worktop",A165))=FALSE,(B165/1000)*(C165/1000),IF(ISERROR(FIND("table",A165))=FALSE,(B165/1000)*0.6,IF(ISERROR(FIND("arcass",A165))=FALSE,(((C165/1000)*(D165/1000))*2)+(((B165/1000)*(D165/1000))*2)+((B165/1000)*(C165/1000))+((((B165/1000)*0.025)+((C165/1000)*0.025))*2),IF(AND(ISERROR(FIND("door",A165))=FALSE,WardrobeDoorStyle="Flat"),(((B165/1000)*(C165/1000))*2)+(MID(WardrobeDoorMaterial,FIND("(",WardrobeDoorMaterial)+1,2)/1000)*(((B165+C165)/1000)*2),IF(AND(ISERROR(FIND("door",A165))=FALSE,LEFT(WardrobeDoorStyle,5)="Panel"),(((B165/1000)*(C165/1000))*2)+((MID(WardrobeDoorMaterial,FIND("(",WardrobeDoorMaterial)+1,2)/1000)*(((B165+C165)/1000)*2))+(((((B165-160)+(C165-160))*2)/1000)*(0.013)),IF(AND(ISERROR(FIND("door",A165))=FALSE,WardrobeDoorStyle="In-frame flat"),((((B165-76)/1000)*((C165-38)/1000))*2)+(MID(WardrobeDoorMaterial,FIND("(",WardrobeDoorMaterial)+1,2)/1000)*((((B165-76)+(C165-38))/1000)*2)+(((B165/1000)*0.032)*2)+((((B165-76)/1000)*0.032)*2)+(((B165/1000)*0.019)*4)+(((C165/1000)*0.032)*2)+((((C165-38)/1000)*0.032)*2)+(((C165/1000)*0.038)*4),IF(AND(ISERROR(FIND("door",A165))=FALSE,LEFT(WardrobeDoorStyle,14)="In-frame panel"),((((B165-76)/1000)*((C165-38)/1000))*2)+((MID(WardrobeDoorMaterial,FIND("(",WardrobeDoorMaterial)+1,2)/1000)*((((B165-76)+(C165-38))/1000)*2))+((((B165-236)/1000)+((C165-198)/1000)*2)*0.013)+(((B165/1000)*0.032)*2)+((((B165-76)/1000)*0.032)*2)+(((B165/1000)*0.019)*4)+(((C165/1000)*0.032)*2)+((((C165-38)/1000)*0.032)*2)+(((C165/1000)*0.038)*4),IF(ISERROR(FIND("Plinth",A165))=FALSE,((B165/1000)*(C165/1000))+(((C165/1000)*0.018)*2)+(((B165/1000)*0.018)*2),IF(ISERROR(FIND("Cornice",A165))=FALSE,(((C165/1000)*0.1)*2)+(((C165/1000)*0.044)*2)+(((B165/1000)*0.08)*2),IF(ISERROR(FIND("Office pod",A165))=FALSE,((2400/1000)*(1200/1000))*6,IF(ISERROR(FIND("panel",A165))=FALSE,((B165/1000)*(C165/1000))+(0.022*((B165/1000)+((C165/1000)*2)))+((B165/1000)*0.05),IF(ISERROR(FIND("Fillers",A165))=FALSE,((C165/1000)*0.06)+((C165/1000)*0.069)+((0.06*0.018)*2)+((0.06*0.009)*2)+((C165/1000)*0.009)+((C165/1000)*0.018),IF(ISERROR(FIND("Pelmet",A165))=FALSE,((C165/1000)*0.05)+((C165/1000)*0.068)+((0.05*0.018)*4)+(((C165/1000)*0.018))*2)))))))))))))))))))))</f>
        <v/>
      </c>
      <c r="N165" s="152" t="str">
        <f>IF(M165="","",IF(AND(ISERROR(FIND("carcass",A165))=TRUE,ISERROR(FIND("unit",A165))=TRUE,ISERROR(FIND("insert",A165))=TRUE,ISERROR(FIND("rack",A165))=TRUE,ISERROR(FIND("box",A165))=TRUE,ISERROR(FIND("shelf",A165))=TRUE),VLOOKUP(WardrobeDoorFinish,Finishing!$A$2:$K$10,9,0)*M165,IF(ISERROR(FIND("table",A165))=FALSE,VLOOKUP("Sayerlack AF0072 Interior Clear Self-Sealer",FinishingData,9,FALSE)*M165,VLOOKUP(WardrobeCarcassFinish,Finishing!$A$2:$K$40,9,0)*M165)))</f>
        <v/>
      </c>
      <c r="O165" s="159"/>
      <c r="P165" s="159"/>
      <c r="Q165" s="152" t="str">
        <f>IF(OR(O165="",P165=""),"",((O165*X165)*(VLOOKUP("Workshop",Labour!$A$3:$E$20,4,0)/8))+((P165*AE165)*(VLOOKUP("Finishing",Labour!$A$3:$E$20,4,0)/8)))</f>
        <v/>
      </c>
      <c r="R165" s="152" t="str">
        <f t="shared" si="4"/>
        <v/>
      </c>
      <c r="S165" s="156" t="str">
        <f>IF(OR(O165="",P165=""),"",IF(OR(ISERROR(FIND("carcass",$A165))=FALSE,ISERROR(FIND("unit",$A165))=FALSE),VLOOKUP(WardrobeCarcassMaterial,FixedListsCarcassMaterial,2,0),0))</f>
        <v/>
      </c>
      <c r="T165" s="156" t="str">
        <f>IF(OR(O165="",P165=""),"",IF(ISERROR(FIND("door",$A165))=FALSE,VLOOKUP(WardrobeDoorStyle,FixedListsDoorStyle,2,0),0))</f>
        <v/>
      </c>
      <c r="U165" s="156" t="str">
        <f>IF(OR(O165="",P165=""),"",IF(ISERROR(FIND("door",$A165))=FALSE,VLOOKUP(WardrobeDoorMaterial,FixedListsDoorMaterial,2,0),0))</f>
        <v/>
      </c>
      <c r="V165" s="156" t="str">
        <f>IF(OR(O165="",P165=""),"",IF(ISERROR(FIND("drawer",$A165))=FALSE,VLOOKUP(WardrobeDrawerType,FixedListsDrawerType,2,0),0))</f>
        <v/>
      </c>
      <c r="W165" s="156" t="str">
        <f>IF(OR(O165="",P165=""),"",IF(S165&gt;0,VLOOKUP(WardrobeHandleType,FixedListsHandleType,2,FALSE),0))</f>
        <v/>
      </c>
      <c r="X165" s="156" t="str">
        <f t="shared" si="5"/>
        <v/>
      </c>
      <c r="Y165" s="156" t="str">
        <f>IF(OR(O165="",P165=""),"",IF(OR(ISERROR(FIND("carcass",$A165))=FALSE,ISERROR(FIND("unit",$A165))=FALSE),VLOOKUP(WardrobeCarcassMaterial,FixedListsCarcassMaterial,3,0),0))</f>
        <v/>
      </c>
      <c r="Z165" s="156" t="str">
        <f>IF(OR(O165="",P165=""),"",IF(ISERROR(FIND("door",$A165))=FALSE,VLOOKUP(WardrobeDoorStyle,FixedListsDoorStyle,3,0),0))</f>
        <v/>
      </c>
      <c r="AA165" s="156" t="str">
        <f>IF(OR(O165="",P165=""),"",IF(ISERROR(FIND("door",$A165))=FALSE,VLOOKUP(WardrobeDoorMaterial,FixedListsDoorMaterial,3,0),0))</f>
        <v/>
      </c>
      <c r="AB165" s="156" t="str">
        <f>IF(OR(O165="",P165=""),"",IF(ISERROR(FIND("drawer",$A165))=FALSE,VLOOKUP(WardrobeDrawerType,FixedListsDrawerType,3,0),0))</f>
        <v/>
      </c>
      <c r="AC165" s="156" t="str">
        <f>IF(OR(O165="",P165=""),"",IF(S165&gt;0,VLOOKUP(WardrobeHandleType,FixedListsHandleType,3,FALSE),0))</f>
        <v/>
      </c>
      <c r="AD165" s="156" t="str">
        <f>IF(OR(O165="",P165=""),"",IF(OR(ISERROR(FIND("carcass",$A165))=FALSE,ISERROR(FIND("unit",$A165))=FALSE),VLOOKUP(WardrobeCarcassFinish,FixedListsFinishes,3,0),IF(OR(ISERROR(FIND("door",$A165))=FALSE,ISERROR(FIND("Plinth",$A165))=FALSE,ISERROR(FIND("Cornice",$A165))=FALSE,ISERROR(FIND("Fillers",$A165))=FALSE,ISERROR(FIND("Pelmet",$A165))=FALSE,ISERROR(FIND("panel",$A165))=FALSE,ISERROR(FIND("post",$A165))=FALSE),VLOOKUP(WardrobeDoorFinish,FixedListsFinishes,3,0),IF(OR(ISERROR(FIND("drawer",$A165))=FALSE,ISERROR(FIND("insert",$A165))=FALSE,ISERROR(FIND("rck",$A165))=FALSE),VLOOKUP(WardrobeCarcassFinish,FixedListsFinishes,3,0),0))))</f>
        <v/>
      </c>
      <c r="AE165" s="156" t="str">
        <f t="shared" si="6"/>
        <v/>
      </c>
      <c r="AF165" s="157" t="str">
        <f>IF(AND(WardrobeHandleType="Channel",OR(ISERROR(FIND("arcass",$A165))=FALSE,ISERROR(FIND("unit",$A165))=FALSE)),IF(ISERROR(FIND("Tower",$A165))=TRUE,IF(WardrobeHandleFinish="Match carcass",IF(ISERROR(FIND("Walnut",WardrobeCarcassMaterial))=FALSE,(0.035*0.075*($C165/1000))*VLOOKUP("Walnut (solid m3)",SolidData,4,FALSE),IF(ISERROR(FIND("Oak",WardrobeCarcassMaterial))=FALSE,(0.035*0.075*($C165/1000))*VLOOKUP("Oak (solid m3)",SolidData,4,FALSE),IF(ISERROR(FIND("ply",WardrobeCarcassMaterial))=FALSE,(0.1*($C165/1000))*VLOOKUP("Birch ply (24mm)",SheetsData,7,FALSE),IF(ISERROR(FIND("H/F",WardrobeCarcassMaterial))=FALSE,(0.1*($C165/1000))*VLOOKUP("H/F (22mm)",SheetsData,7,FALSE),"Carcass - not tower - new material")))),IF(WardrobeHandleFinish="Match door",IF(ISERROR(FIND("Walnut",WardrobeDoorMaterial))=FALSE,(0.035*0.075*($C165/1000))*VLOOKUP("Walnut (solid m3)",SolidData,4,FALSE),IF(ISERROR(FIND("Oak",WardrobeDoorMaterial))=FALSE,(0.035*0.075*($C165/1000))*VLOOKUP("Oak (solid m3)",SolidData,4,FALSE),IF(ISERROR(FIND("ply",WardrobeDoorMaterial))=FALSE,(0.1*($C165/1000))*VLOOKUP("Birch ply (24mm)",SheetsData,7,FALSE),IF(ISERROR(FIND("H/F",WardrobeCarcassMaterial))=FALSE,(0.1*($C165/1000))*VLOOKUP("H/F (22mm)",SheetsData,7,FALSE),"Door - not tower - new material")))),"Channel - not tower - handle set to other")),IF(ISERROR(FIND("Tower",$A165))=FALSE,IF(WardrobeHandleFinish="Match carcass",IF(ISERROR(FIND("Walnut",WardrobeCarcassMaterial))=FALSE,(0.035*0.075*($B165/1000))*VLOOKUP("Walnut (solid m3)",SolidData,4,FALSE),IF(ISERROR(FIND("Oak",WardrobeCarcassMaterial))=FALSE,(0.035*0.075*($B165/1000))*VLOOKUP("Oak (solid m3)",SolidData,4,FALSE),IF(ISERROR(FIND("ply",WardrobeCarcassMaterial))=FALSE,(0.1*($B165/1000))*VLOOKUP("Birch ply (24mm)",SheetsData,7,FALSE),IF(ISERROR(FIND("H/F",WardrobeCarcassMaterial))=FALSE,(0.1*($C165/1000))*VLOOKUP("H/F (22mm)",SheetsData,7,FALSE),"Carcass - tower - new material")))),IF(WardrobeHandleFinish="Match door",IF(ISERROR(FIND("Walnut",WardrobeDoorMaterial))=FALSE,(0.035*0.075*($B165/1000))*VLOOKUP("Walnut (solid m3)",SolidData,4,FALSE),IF(ISERROR(FIND("Oak",WardrobeDoorMaterial))=FALSE,(0.035*0.075*($B165/1000))*VLOOKUP("Oak (solid m3)",SolidData,4,FALSE),IF(ISERROR(FIND("ply",WardrobeDoorMaterial))=FALSE,(0.1*($B165/1000))*VLOOKUP("Birch ply (24mm)",SheetData,7,FALSE),IF(ISERROR(FIND("H/F",WardrobeCarcassMaterial))=FALSE,(0.1*($C165/1000))*VLOOKUP("H/F (22mm)",SheetsData,7,FALSE),"Door - tower - new material")))),"Channel - tower - handle set to other")))),"")</f>
        <v/>
      </c>
    </row>
    <row r="166">
      <c r="A166" s="150"/>
      <c r="B166" s="160" t="str">
        <f t="shared" si="1"/>
        <v/>
      </c>
      <c r="C166" s="160" t="str">
        <f>IFERROR(__xludf.DUMMYFUNCTION("IF(A166="""","""",IF(ISERROR(FIND(""arcass"",A166))=FALSE,MID(A166,FIND(""*"",A166)+1,FIND(""*"",A166,FIND(""*"",A166)+1)-FIND(""*"",A166)-1),IF(ISERROR(FIND(""End panel"",A166))=FALSE,RIGHT(A166,3),IF(OR(ISERROR(FIND(""drawer"",A166))=FALSE,ISERROR(FIND("&amp;"""door"",A166))=FALSE,ISERROR(FIND(""shelf"",A166))=FALSE,ISERROR(FIND(""panel"",A166))=FALSE,ISERROR(FIND(""Plinth"",A166))=FALSE,ISERROR(FIND(""Cornice"",A166))=FALSE,ISERROR(FIND(""Fillers"",A166))=FALSE,ISERROR(FIND(""Pelmet"",A166))=FALSE,ISERROR(FIN"&amp;"D(""Fireplace up to 1600"",A166))=FALSE),RIGHT(A166,LEN(A166)-LEN(regexextract(A166,"".* ""))),IF(ISERROR(FIND(""table"",A166))=FALSE,""560"",IF(ISERROR(FIND(""Office pod"",A166))=FALSE,""1600"",IF(ISERROR(FIND(""Fireplace over 1600"",A166))=FALSE,""2400"&amp;""",IF(ISERROR(FIND(""Worktop"",A166))=FALSE,""650"",""Whoops""))))))))"),"")</f>
        <v/>
      </c>
      <c r="D166" s="161" t="str">
        <f t="shared" si="2"/>
        <v/>
      </c>
      <c r="E166" s="152" t="str">
        <f>IF(OR(A166="",AND(ISERROR(FIND("drawer",A166))=FALSE,WardrobeDrawerType="")),"",IF(ISERROR(FIND("door",A166))=FALSE,IF(WardrobeDoorStyle="Flat",((B166/1000)*(C166/1000))*VLOOKUP(WardrobeDoorMaterial,SheetsData,8,0),IF(LEFT(WardrobeDoorStyle,5)="Panel",(((((B166/1000)*2)*0.08)+((((C166/1000)-0.16)*2)*0.08))*VLOOKUP("H/F (22mm)",SheetsData,8,0))+(((B166/1000)-0.14)*((C166/1000)-0.14)*VLOOKUP("H/F (9mm)",SheetsData,8,0)),IF(WardrobeDoorStyle="In-frame flat",((((((B166/1000)*0.019)*0.038)+((((C166-38)/1000)*0.038)*0.038))*2)*VLOOKUP("Tulip (solid m3)",SolidData,4,0))+(((B166-76)/1000)*((C166-38)/1000))*VLOOKUP("H/F (22mm)",SheetsData,8,0),IF(LEFT(WardrobeDoorStyle,14)="In-frame panel",(((((((B166/1000)*0.019)*0.038)+((((C166-38)/1000)*0.038)*0.038))*2)*VLOOKUP("Tulip (solid m3)",SolidData,4,0))+(((((((B166-76)/1000)*2)*0.08)+(((((C166-198)/1000)*2)*0.08)))*VLOOKUP("H/F (22mm)",SheetsData,8,0))+(((B166-216)/1000)*((C166-178)/1000)*VLOOKUP("H/F (9mm)",SheetsData,8,0)))))))),IF(AND(ISERROR(FIND("arcass",A166))=FALSE,ISERROR(FIND("ost corner",A166))=TRUE),IF(AND(VALUE(B166)&lt;1211,VALUE(C166)&lt;1211,VALUE(D166)&lt;606),1*VLOOKUP(WardrobeCarcassMaterial,SheetsData,5,FALSE),IF(AND(VALUE(B166)&lt;2421,VALUE(C166)&lt;2421,VALUE(D166)&lt;606),2*VLOOKUP(WardrobeCarcassMaterial,SheetsData,5,FALSE),IF(AND(VALUE(B166)&lt;2421,VALUE(C166)&lt;1211,VALUE(D166)&lt;1211),3*VLOOKUP(WardrobeCarcassMaterial,SheetsData,5,FALSE),IF(AND(VALUE(B166)&lt;2421,VALUE(C166)&lt;2421,VALUE(D166)&lt;1211),4*VLOOKUP(WardrobeCarcassMaterial,SheetsData,5,FALSE))))),IF(AND(ISERROR(FIND("arcass",A166))=FALSE,ISERROR(FIND("ost corner",A166))=FALSE),IF(AND(VALUE(B166)&lt;1211,VALUE(C166)&lt;1211,VALUE(D166)&lt;606),(1*VLOOKUP(WardrobeCarcassMaterial,SheetsData,5,FALSE))+(VLOOKUP("H/F (22mm)",SheetsData,7,FALSE)*1.44),IF(AND(VALUE(B166)&lt;2421,VALUE(C166)&lt;2421,VALUE(D166)&lt;606),(2*VLOOKUP(WardrobeCarcassMaterial,SheetsData,5,FALSE))+(VLOOKUP("H/F (22mm)",SheetsData,7,FALSE)*1.44),IF(AND(VALUE(B166)&lt;2421,VALUE(C166)&lt;1211,VALUE(D166)&lt;1211),(3*VLOOKUP(WardrobeCarcassMaterial,SheetsData,5,FALSE))+(VLOOKUP("H/F (22mm)",SheetsData,7,FALSE)*1.44),IF(AND(VALUE(B166)&lt;2421,VALUE(C166)&lt;2421,VALUE(D166)&lt;1211),(4*VLOOKUP(WardrobeCarcassMaterial,SheetsData,5,FALSE))+(VLOOKUP("H/F (22mm)",SheetsData,7,FALSE)*1.44))))),IF(ISERROR(FIND("drawer front",A166))=FALSE,((B166/1000)*(C166/1000))*VLOOKUP(WardrobeDoorMaterial,SheetsData,8,0),IF(AND(WardrobeDrawerType="Match carcass",ISERROR(FIND("drawer box",A166))=FALSE),(((((B166/1000)*(C166/1000))+((B166/1000)*(D166/1000)))*2)*VLOOKUP(WardrobeCarcassMaterial,SheetsData,8,0))+(((C166/1000)*(D166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box",A166))=FALSE),(((((B166/1000)*(C166/1000))+((B166/1000)*(D166/1000)))*2)*(16/1000)*VLOOKUP(LEFT(WardrobeCarcassMaterial,FIND(" ",WardrobeCarcassMaterial))&amp;"(solid m3)",SolidData,4,0))+(((C166/1000)*(D166/1000))*VLOOKUP(LEFT(WardrobeCarcassMaterial,FIND("(",WardrobeCarcassMaterial)-1)&amp;IF(OR(ISERROR(FIND("ply",WardrobeCarcassMaterial))=FALSE,ISERROR(FIND("H/F",WardrobeCarcassMaterial))=FALSE),"(9mm)","(10mm)"),SheetsData,8,0)),IF(ISERROR(FIND("shelf",A166))=FALSE,((C166/1000)*(D166/1000))*VLOOKUP(WardrobeCarcassMaterial,SheetsData,7,FALSE),IF(ISERROR(FIND("Office pod",A166))=FALSE,3*VLOOKUP(WardrobeCarcassMaterial,SheetsData,5,0),IF(ISERROR(FIND(" panel",A166))=FALSE,((B166/1000)*(C166/1000))*VLOOKUP(WardrobeDoorMaterial,SheetsData,8,0),IF(ISERROR(FIND("Fillers",A166))=FALSE,(((0.06*(C166/1000))*2)*VLOOKUP("H/F (18mm)",SheetsData,8,0))+(((0.06*(C166/1000))*2)*VLOOKUP("H/F (9mm)",SheetsData,8,0)),IF(ISERROR(FIND("Cornice (stacked)",A166))=FALSE,((0.08*(C166/1000))*2)*VLOOKUP("H/F (22mm)",SheetsData,8,0),IF(OR(ISERROR(FIND("Plinth",A166))=FALSE,ISERROR(FIND("Cornice (flat)",A166))=FALSE),((B166/1000)*(C166/1000))*VLOOKUP("H/F (18mm)",SheetsData,8,0),IF(ISERROR(FIND("Pelmet",A166))=FALSE,((((B166/1000)*(C166/1000))*2)*VLOOKUP("H/F (18mm)",SheetsData,8,0)),IF(ISERROR(FIND("Fireplace",A166))=FALSE,IF(ISERROR(FIND("over 1600",A166))=FALSE,2*VLOOKUP(WardrobeCarcassMaterial,SheetsData,5,FALSE),VLOOKUP(WardrobeCarcassMaterial,SheetsData,5,FALSE)),IF(ISERROR(FIND("table",A166))=FALSE,((B166/1000)*0.6)*VLOOKUP("Birch ply (24mm)",SheetsData,7,FALSE),IF(ISERROR(FIND("Worktop",A166))=FALSE,((B166/1000)*(C166/1000))*VLOOKUP(WardrobeDoorMaterial,SheetsData,7,FALSE),"Check formula")))))))))))))))))</f>
        <v/>
      </c>
      <c r="F166" s="152" t="str">
        <f>IFERROR(__xludf.DUMMYFUNCTION("IF(OR(A166="""",AND(ISERROR(FIND(""drawer box"",A166))=FALSE,WardrobeDrawerType=""Solid dovetail"")),"""",IF(ISERROR(FIND(""bins"",A166))=FALSE,VLOOKUP(""Base carcass 600"",Wardrobes_etcData,6,0),IF(OR(ISERROR(FIND(""larder"",A166))=FALSE,ISERROR(FIND(""u"&amp;"nit"",A166))=FALSE),VLOOKUP(LEFT(A166,FIND("" "",A166))&amp;""carcass ""&amp;RIGHT(A166,LEN(A166)-len(regexextract(A166,"".* ""))),Wardrobes_etcData,6,0),IF(ISERROR(FIND(""drawer front"",A166))=FALSE,IF(ISERROR(FIND(""veneer"",WardrobeCarcassMaterial))=TRUE,0,((("&amp;"B166+C166)/1000)*2)*VLOOKUP(""Edge banding (per M)"",SheetsData,5,0)),IF(ISERROR(FIND(""drawer box"",A166))=FALSE,IF(ISERROR(FIND(""veneer"",WardrobeCarcassMaterial))=TRUE,0,(((C166+D166)/1000)*2)*VLOOKUP(""Edge banding (per M)"",SheetsData,5,0)),IF(ISERR"&amp;"OR(FIND(""shelf"",A166))=FALSE,IF(ISERROR(FIND(""veneer"",WardrobeCarcassMaterial))=TRUE,0,(C166/1000)*VLOOKUP(""Edge banding (per M)"",SheetsData,5,0)),IF(AND(OR(ISERROR(FIND(""arcass"",A166))=FALSE,ISERROR(FIND(""Fireplace"",A166))=FALSE),ISERROR(FIND("&amp;"""shelf"",A166))=TRUE),IF(ISERROR(FIND(""veneer"",WardrobeCarcassMaterial))=TRUE,0,((2*(B166+C166))/1000)*VLOOKUP(""Edge banding (per M)"",SheetsData,5,0)),IF(ISERROR(FIND(""door"",A166))=TRUE,"""",IF(ISERROR(FIND(""veneer"",WardrobeDoorMaterial))=TRUE,"""&amp;""",((2*(B166+C166))/1000)*VLOOKUP(""Edge banding (per M)"",SheetsData,5,0))))))))))"),"")</f>
        <v/>
      </c>
      <c r="G166" s="153" t="str">
        <f>IF(A166="","",IF(AND(ISERROR(FIND("arcass",A166))=TRUE,ISERROR(FIND("Fireplace",A166))=TRUE),"",IF(VALUE(C166)&lt;606,4*VLOOKUP("Plinth foot (2 Parts 80mm)",FurnitureData,5,FALSE),IF(VALUE(C166)&lt;1211,6*VLOOKUP("Plinth foot (2 Parts 80mm)",FurnitureData,5,FALSE),8*VLOOKUP("Plinth foot (2 Parts 80mm)",FurnitureData,5,FALSE)))))</f>
        <v/>
      </c>
      <c r="H166" s="115" t="str">
        <f>IF(OR(A166="",ISERROR(FIND("door",A166))=TRUE),"",VLOOKUP("Hinges &amp; plates (Hettich thick door)",FurnitureData,5,0)*5)</f>
        <v/>
      </c>
      <c r="I166" s="115" t="str">
        <f>IF(ISERROR(FIND("shelf",A166))=FALSE,(VLOOKUP("Shelf pegs",FurnitureData,5,0)/100)*4,"")</f>
        <v/>
      </c>
      <c r="J166" s="152" t="str">
        <f>IF(OR(ISERROR(FIND("fridge/freezer",A166))=FALSE,ISERROR(FIND("sink",A166))=FALSE,ISERROR(FIND("larder",A166))=FALSE),VLOOKUP("Deep shelf "&amp;C166,Wardrobes_etcData,18,0),IF(OR(ISERROR(FIND("single oven",A166))=FALSE,ISERROR(FIND("Base carcass",A166))=FALSE),2*VLOOKUP("Deep shelf "&amp;C166,Wardrobes_etcData,18,0),IF(AND(ISERROR(FIND("wall carcass",A166))=FALSE,ISERROR(FIND("Boiler",A166))=TRUE),2*VLOOKUP("Shallow shelf "&amp;C166,Wardrobes_etcData,18,0),IF(ISERROR(FIND("double oven",A166))=FALSE,3*VLOOKUP("Deep shelf "&amp;C166,Wardrobes_etcData,18,0),IF(ISERROR(FIND("Tower carcass",A166))=FALSE,6*VLOOKUP("Deep shelf "&amp;C166,Wardrobes_etcData,18,0),"")))))</f>
        <v/>
      </c>
      <c r="K166" s="152" t="str">
        <f>IF(ISERROR(FIND("sink",A166))=FALSE,VLOOKUP("Sink liner - Aluminium "&amp;RIGHT(A166,LEN(A166)-22)&amp;"mm",ExceptionalData,5,0),IF(ISERROR(FIND("bins",A166))=FALSE,VLOOKUP("Drawer runners and clip set for bin unit (500) Dynapro",FurnitureData,5,0)+(2*VLOOKUP("Bin (42L Anthracite)",FurnitureData,5,0)),IF(ISERROR(FIND("larder",A166))=FALSE,VLOOKUP("Pull out larder unit 600mm",FurnitureData,5,0),IF(AND(ISERROR(FIND("drawer box",A166))=FALSE,ISERROR(FIND("internal",A166))=TRUE),VLOOKUP("Drawer runners and clip set (550) Dynapro",FurnitureData,5,0),IF(ISERROR(FIND("internal drawer box",A166))=FALSE,VLOOKUP("Drawer runners and clip set (450) Dynapro",FurnitureData,5,0),IF(ISERROR(FIND("table",A166))=FALSE,VLOOKUP("Hairpin Leg (12mm Black "&amp;MID(A166,FIND("(",A166)+1,LEN(A166)-(FIND("(",A166))-1)&amp;"mm)",ExceptionalData,4,FALSE),""))))))</f>
        <v/>
      </c>
      <c r="L166" s="152" t="str">
        <f t="shared" si="3"/>
        <v/>
      </c>
      <c r="M166" s="154" t="str">
        <f>IF(A166="","",IF(AND(ISERROR(FIND("drawer front",A166))=FALSE,WardrobeDoorStyle="Flat"),(((B166/1000)*(C166/1000))*2)+((((B166+C166)/1000)*2)*0.022),IF(AND(ISERROR(FIND("drawer front",A166))=FALSE,LEFT(WardrobeDoorStyle,5)="Panel"),(((B166/1000)*(C166/1000))*2)+((((B166+C166)/1000)*2)*0.022)+((((C166/1000)-0.16)*0.013)*2)+((((D166/1000)-0.16)*0.013)*2),IF(AND(ISERROR(FIND("drawer front",A166))=FALSE,WardrobeDoorStyle="In-frame flat"),((((B166-76)/1000)*((C166-38)/1000))*2)+(MID(WardrobeDoorMaterial,FIND("(",WardrobeDoorMaterial)+1,2)/1000)*((((B166-76)+(C166-38))/1000)*2)+(((B166/1000)*0.032)*2)+((((B166-76)/1000)*0.032)*2)+(((B166/1000)*0.019)*4)+(((C166/1000)*0.032)*2)+((((C166-38)/1000)*0.032)*2)+(((C166/1000)*0.038)*4),IF(AND(ISERROR(FIND("drawer front",A166))=FALSE,LEFT(WardrobeDoorStyle,14)="In-frame panel"),((((B166-76)/1000)*((C166-38)/1000))*2)+((MID(WardrobeDoorMaterial,FIND("(",WardrobeDoorMaterial)+1,2)/1000)*((((B166-76)+(C166-38))/1000)*2))+((((B166-236)/1000)+((C166-198)/1000)*2)*0.013)+(((B166/1000)*0.032)*2)+((((B166-76)/1000)*0.032)*2)+(((B166/1000)*0.019)*4)+(((C166/1000)*0.032)*2)+((((C166-38)/1000)*0.032)*2)+(((C166/1000)*0.038)*4),IF(ISERROR(FIND("drawer box",A166))=FALSE,((((B166/1000)*(D166/1000))+((B166/1000)*(C166/1000)))*4)+((((D166/1000)+(C166/1000))*0.016)*4)+(((C166/1000)*(D166/1000))*2),IF(OR(ISERROR(FIND("shelf",A166))=FALSE,ISERROR(FIND("Filler panel",A166))=FALSE),(((C166/1000)*(D166/1000))*2)+((((C166+D166)*2)/1000)*0.022),IF(ISERROR(FIND("Fireplace",A166))=FALSE,((B166/1000)*(C166/1000)),IF(ISERROR(FIND("Worktop",A166))=FALSE,(B166/1000)*(C166/1000),IF(ISERROR(FIND("table",A166))=FALSE,(B166/1000)*0.6,IF(ISERROR(FIND("arcass",A166))=FALSE,(((C166/1000)*(D166/1000))*2)+(((B166/1000)*(D166/1000))*2)+((B166/1000)*(C166/1000))+((((B166/1000)*0.025)+((C166/1000)*0.025))*2),IF(AND(ISERROR(FIND("door",A166))=FALSE,WardrobeDoorStyle="Flat"),(((B166/1000)*(C166/1000))*2)+(MID(WardrobeDoorMaterial,FIND("(",WardrobeDoorMaterial)+1,2)/1000)*(((B166+C166)/1000)*2),IF(AND(ISERROR(FIND("door",A166))=FALSE,LEFT(WardrobeDoorStyle,5)="Panel"),(((B166/1000)*(C166/1000))*2)+((MID(WardrobeDoorMaterial,FIND("(",WardrobeDoorMaterial)+1,2)/1000)*(((B166+C166)/1000)*2))+(((((B166-160)+(C166-160))*2)/1000)*(0.013)),IF(AND(ISERROR(FIND("door",A166))=FALSE,WardrobeDoorStyle="In-frame flat"),((((B166-76)/1000)*((C166-38)/1000))*2)+(MID(WardrobeDoorMaterial,FIND("(",WardrobeDoorMaterial)+1,2)/1000)*((((B166-76)+(C166-38))/1000)*2)+(((B166/1000)*0.032)*2)+((((B166-76)/1000)*0.032)*2)+(((B166/1000)*0.019)*4)+(((C166/1000)*0.032)*2)+((((C166-38)/1000)*0.032)*2)+(((C166/1000)*0.038)*4),IF(AND(ISERROR(FIND("door",A166))=FALSE,LEFT(WardrobeDoorStyle,14)="In-frame panel"),((((B166-76)/1000)*((C166-38)/1000))*2)+((MID(WardrobeDoorMaterial,FIND("(",WardrobeDoorMaterial)+1,2)/1000)*((((B166-76)+(C166-38))/1000)*2))+((((B166-236)/1000)+((C166-198)/1000)*2)*0.013)+(((B166/1000)*0.032)*2)+((((B166-76)/1000)*0.032)*2)+(((B166/1000)*0.019)*4)+(((C166/1000)*0.032)*2)+((((C166-38)/1000)*0.032)*2)+(((C166/1000)*0.038)*4),IF(ISERROR(FIND("Plinth",A166))=FALSE,((B166/1000)*(C166/1000))+(((C166/1000)*0.018)*2)+(((B166/1000)*0.018)*2),IF(ISERROR(FIND("Cornice",A166))=FALSE,(((C166/1000)*0.1)*2)+(((C166/1000)*0.044)*2)+(((B166/1000)*0.08)*2),IF(ISERROR(FIND("Office pod",A166))=FALSE,((2400/1000)*(1200/1000))*6,IF(ISERROR(FIND("panel",A166))=FALSE,((B166/1000)*(C166/1000))+(0.022*((B166/1000)+((C166/1000)*2)))+((B166/1000)*0.05),IF(ISERROR(FIND("Fillers",A166))=FALSE,((C166/1000)*0.06)+((C166/1000)*0.069)+((0.06*0.018)*2)+((0.06*0.009)*2)+((C166/1000)*0.009)+((C166/1000)*0.018),IF(ISERROR(FIND("Pelmet",A166))=FALSE,((C166/1000)*0.05)+((C166/1000)*0.068)+((0.05*0.018)*4)+(((C166/1000)*0.018))*2)))))))))))))))))))))</f>
        <v/>
      </c>
      <c r="N166" s="152" t="str">
        <f>IF(M166="","",IF(AND(ISERROR(FIND("carcass",A166))=TRUE,ISERROR(FIND("unit",A166))=TRUE,ISERROR(FIND("insert",A166))=TRUE,ISERROR(FIND("rack",A166))=TRUE,ISERROR(FIND("box",A166))=TRUE,ISERROR(FIND("shelf",A166))=TRUE),VLOOKUP(WardrobeDoorFinish,Finishing!$A$2:$K$10,9,0)*M166,IF(ISERROR(FIND("table",A166))=FALSE,VLOOKUP("Sayerlack AF0072 Interior Clear Self-Sealer",FinishingData,9,FALSE)*M166,VLOOKUP(WardrobeCarcassFinish,Finishing!$A$2:$K$40,9,0)*M166)))</f>
        <v/>
      </c>
      <c r="O166" s="159"/>
      <c r="P166" s="159"/>
      <c r="Q166" s="152" t="str">
        <f>IF(OR(O166="",P166=""),"",((O166*X166)*(VLOOKUP("Workshop",Labour!$A$3:$E$20,4,0)/8))+((P166*AE166)*(VLOOKUP("Finishing",Labour!$A$3:$E$20,4,0)/8)))</f>
        <v/>
      </c>
      <c r="R166" s="152" t="str">
        <f t="shared" si="4"/>
        <v/>
      </c>
      <c r="S166" s="156" t="str">
        <f>IF(OR(O166="",P166=""),"",IF(OR(ISERROR(FIND("carcass",$A166))=FALSE,ISERROR(FIND("unit",$A166))=FALSE),VLOOKUP(WardrobeCarcassMaterial,FixedListsCarcassMaterial,2,0),0))</f>
        <v/>
      </c>
      <c r="T166" s="156" t="str">
        <f>IF(OR(O166="",P166=""),"",IF(ISERROR(FIND("door",$A166))=FALSE,VLOOKUP(WardrobeDoorStyle,FixedListsDoorStyle,2,0),0))</f>
        <v/>
      </c>
      <c r="U166" s="156" t="str">
        <f>IF(OR(O166="",P166=""),"",IF(ISERROR(FIND("door",$A166))=FALSE,VLOOKUP(WardrobeDoorMaterial,FixedListsDoorMaterial,2,0),0))</f>
        <v/>
      </c>
      <c r="V166" s="156" t="str">
        <f>IF(OR(O166="",P166=""),"",IF(ISERROR(FIND("drawer",$A166))=FALSE,VLOOKUP(WardrobeDrawerType,FixedListsDrawerType,2,0),0))</f>
        <v/>
      </c>
      <c r="W166" s="156" t="str">
        <f>IF(OR(O166="",P166=""),"",IF(S166&gt;0,VLOOKUP(WardrobeHandleType,FixedListsHandleType,2,FALSE),0))</f>
        <v/>
      </c>
      <c r="X166" s="156" t="str">
        <f t="shared" si="5"/>
        <v/>
      </c>
      <c r="Y166" s="156" t="str">
        <f>IF(OR(O166="",P166=""),"",IF(OR(ISERROR(FIND("carcass",$A166))=FALSE,ISERROR(FIND("unit",$A166))=FALSE),VLOOKUP(WardrobeCarcassMaterial,FixedListsCarcassMaterial,3,0),0))</f>
        <v/>
      </c>
      <c r="Z166" s="156" t="str">
        <f>IF(OR(O166="",P166=""),"",IF(ISERROR(FIND("door",$A166))=FALSE,VLOOKUP(WardrobeDoorStyle,FixedListsDoorStyle,3,0),0))</f>
        <v/>
      </c>
      <c r="AA166" s="156" t="str">
        <f>IF(OR(O166="",P166=""),"",IF(ISERROR(FIND("door",$A166))=FALSE,VLOOKUP(WardrobeDoorMaterial,FixedListsDoorMaterial,3,0),0))</f>
        <v/>
      </c>
      <c r="AB166" s="156" t="str">
        <f>IF(OR(O166="",P166=""),"",IF(ISERROR(FIND("drawer",$A166))=FALSE,VLOOKUP(WardrobeDrawerType,FixedListsDrawerType,3,0),0))</f>
        <v/>
      </c>
      <c r="AC166" s="156" t="str">
        <f>IF(OR(O166="",P166=""),"",IF(S166&gt;0,VLOOKUP(WardrobeHandleType,FixedListsHandleType,3,FALSE),0))</f>
        <v/>
      </c>
      <c r="AD166" s="156" t="str">
        <f>IF(OR(O166="",P166=""),"",IF(OR(ISERROR(FIND("carcass",$A166))=FALSE,ISERROR(FIND("unit",$A166))=FALSE),VLOOKUP(WardrobeCarcassFinish,FixedListsFinishes,3,0),IF(OR(ISERROR(FIND("door",$A166))=FALSE,ISERROR(FIND("Plinth",$A166))=FALSE,ISERROR(FIND("Cornice",$A166))=FALSE,ISERROR(FIND("Fillers",$A166))=FALSE,ISERROR(FIND("Pelmet",$A166))=FALSE,ISERROR(FIND("panel",$A166))=FALSE,ISERROR(FIND("post",$A166))=FALSE),VLOOKUP(WardrobeDoorFinish,FixedListsFinishes,3,0),IF(OR(ISERROR(FIND("drawer",$A166))=FALSE,ISERROR(FIND("insert",$A166))=FALSE,ISERROR(FIND("rck",$A166))=FALSE),VLOOKUP(WardrobeCarcassFinish,FixedListsFinishes,3,0),0))))</f>
        <v/>
      </c>
      <c r="AE166" s="156" t="str">
        <f t="shared" si="6"/>
        <v/>
      </c>
      <c r="AF166" s="157" t="str">
        <f>IF(AND(WardrobeHandleType="Channel",OR(ISERROR(FIND("arcass",$A166))=FALSE,ISERROR(FIND("unit",$A166))=FALSE)),IF(ISERROR(FIND("Tower",$A166))=TRUE,IF(WardrobeHandleFinish="Match carcass",IF(ISERROR(FIND("Walnut",WardrobeCarcassMaterial))=FALSE,(0.035*0.075*($C166/1000))*VLOOKUP("Walnut (solid m3)",SolidData,4,FALSE),IF(ISERROR(FIND("Oak",WardrobeCarcassMaterial))=FALSE,(0.035*0.075*($C166/1000))*VLOOKUP("Oak (solid m3)",SolidData,4,FALSE),IF(ISERROR(FIND("ply",WardrobeCarcassMaterial))=FALSE,(0.1*($C166/1000))*VLOOKUP("Birch ply (24mm)",SheetsData,7,FALSE),IF(ISERROR(FIND("H/F",WardrobeCarcassMaterial))=FALSE,(0.1*($C166/1000))*VLOOKUP("H/F (22mm)",SheetsData,7,FALSE),"Carcass - not tower - new material")))),IF(WardrobeHandleFinish="Match door",IF(ISERROR(FIND("Walnut",WardrobeDoorMaterial))=FALSE,(0.035*0.075*($C166/1000))*VLOOKUP("Walnut (solid m3)",SolidData,4,FALSE),IF(ISERROR(FIND("Oak",WardrobeDoorMaterial))=FALSE,(0.035*0.075*($C166/1000))*VLOOKUP("Oak (solid m3)",SolidData,4,FALSE),IF(ISERROR(FIND("ply",WardrobeDoorMaterial))=FALSE,(0.1*($C166/1000))*VLOOKUP("Birch ply (24mm)",SheetsData,7,FALSE),IF(ISERROR(FIND("H/F",WardrobeCarcassMaterial))=FALSE,(0.1*($C166/1000))*VLOOKUP("H/F (22mm)",SheetsData,7,FALSE),"Door - not tower - new material")))),"Channel - not tower - handle set to other")),IF(ISERROR(FIND("Tower",$A166))=FALSE,IF(WardrobeHandleFinish="Match carcass",IF(ISERROR(FIND("Walnut",WardrobeCarcassMaterial))=FALSE,(0.035*0.075*($B166/1000))*VLOOKUP("Walnut (solid m3)",SolidData,4,FALSE),IF(ISERROR(FIND("Oak",WardrobeCarcassMaterial))=FALSE,(0.035*0.075*($B166/1000))*VLOOKUP("Oak (solid m3)",SolidData,4,FALSE),IF(ISERROR(FIND("ply",WardrobeCarcassMaterial))=FALSE,(0.1*($B166/1000))*VLOOKUP("Birch ply (24mm)",SheetsData,7,FALSE),IF(ISERROR(FIND("H/F",WardrobeCarcassMaterial))=FALSE,(0.1*($C166/1000))*VLOOKUP("H/F (22mm)",SheetsData,7,FALSE),"Carcass - tower - new material")))),IF(WardrobeHandleFinish="Match door",IF(ISERROR(FIND("Walnut",WardrobeDoorMaterial))=FALSE,(0.035*0.075*($B166/1000))*VLOOKUP("Walnut (solid m3)",SolidData,4,FALSE),IF(ISERROR(FIND("Oak",WardrobeDoorMaterial))=FALSE,(0.035*0.075*($B166/1000))*VLOOKUP("Oak (solid m3)",SolidData,4,FALSE),IF(ISERROR(FIND("ply",WardrobeDoorMaterial))=FALSE,(0.1*($B166/1000))*VLOOKUP("Birch ply (24mm)",SheetData,7,FALSE),IF(ISERROR(FIND("H/F",WardrobeCarcassMaterial))=FALSE,(0.1*($C166/1000))*VLOOKUP("H/F (22mm)",SheetsData,7,FALSE),"Door - tower - new material")))),"Channel - tower - handle set to other")))),"")</f>
        <v/>
      </c>
    </row>
    <row r="167">
      <c r="A167" s="150"/>
      <c r="B167" s="160" t="str">
        <f t="shared" si="1"/>
        <v/>
      </c>
      <c r="C167" s="160" t="str">
        <f>IFERROR(__xludf.DUMMYFUNCTION("IF(A167="""","""",IF(ISERROR(FIND(""arcass"",A167))=FALSE,MID(A167,FIND(""*"",A167)+1,FIND(""*"",A167,FIND(""*"",A167)+1)-FIND(""*"",A167)-1),IF(ISERROR(FIND(""End panel"",A167))=FALSE,RIGHT(A167,3),IF(OR(ISERROR(FIND(""drawer"",A167))=FALSE,ISERROR(FIND("&amp;"""door"",A167))=FALSE,ISERROR(FIND(""shelf"",A167))=FALSE,ISERROR(FIND(""panel"",A167))=FALSE,ISERROR(FIND(""Plinth"",A167))=FALSE,ISERROR(FIND(""Cornice"",A167))=FALSE,ISERROR(FIND(""Fillers"",A167))=FALSE,ISERROR(FIND(""Pelmet"",A167))=FALSE,ISERROR(FIN"&amp;"D(""Fireplace up to 1600"",A167))=FALSE),RIGHT(A167,LEN(A167)-LEN(regexextract(A167,"".* ""))),IF(ISERROR(FIND(""table"",A167))=FALSE,""560"",IF(ISERROR(FIND(""Office pod"",A167))=FALSE,""1600"",IF(ISERROR(FIND(""Fireplace over 1600"",A167))=FALSE,""2400"&amp;""",IF(ISERROR(FIND(""Worktop"",A167))=FALSE,""650"",""Whoops""))))))))"),"")</f>
        <v/>
      </c>
      <c r="D167" s="161" t="str">
        <f t="shared" si="2"/>
        <v/>
      </c>
      <c r="E167" s="152" t="str">
        <f>IF(OR(A167="",AND(ISERROR(FIND("drawer",A167))=FALSE,WardrobeDrawerType="")),"",IF(ISERROR(FIND("door",A167))=FALSE,IF(WardrobeDoorStyle="Flat",((B167/1000)*(C167/1000))*VLOOKUP(WardrobeDoorMaterial,SheetsData,8,0),IF(LEFT(WardrobeDoorStyle,5)="Panel",(((((B167/1000)*2)*0.08)+((((C167/1000)-0.16)*2)*0.08))*VLOOKUP("H/F (22mm)",SheetsData,8,0))+(((B167/1000)-0.14)*((C167/1000)-0.14)*VLOOKUP("H/F (9mm)",SheetsData,8,0)),IF(WardrobeDoorStyle="In-frame flat",((((((B167/1000)*0.019)*0.038)+((((C167-38)/1000)*0.038)*0.038))*2)*VLOOKUP("Tulip (solid m3)",SolidData,4,0))+(((B167-76)/1000)*((C167-38)/1000))*VLOOKUP("H/F (22mm)",SheetsData,8,0),IF(LEFT(WardrobeDoorStyle,14)="In-frame panel",(((((((B167/1000)*0.019)*0.038)+((((C167-38)/1000)*0.038)*0.038))*2)*VLOOKUP("Tulip (solid m3)",SolidData,4,0))+(((((((B167-76)/1000)*2)*0.08)+(((((C167-198)/1000)*2)*0.08)))*VLOOKUP("H/F (22mm)",SheetsData,8,0))+(((B167-216)/1000)*((C167-178)/1000)*VLOOKUP("H/F (9mm)",SheetsData,8,0)))))))),IF(AND(ISERROR(FIND("arcass",A167))=FALSE,ISERROR(FIND("ost corner",A167))=TRUE),IF(AND(VALUE(B167)&lt;1211,VALUE(C167)&lt;1211,VALUE(D167)&lt;606),1*VLOOKUP(WardrobeCarcassMaterial,SheetsData,5,FALSE),IF(AND(VALUE(B167)&lt;2421,VALUE(C167)&lt;2421,VALUE(D167)&lt;606),2*VLOOKUP(WardrobeCarcassMaterial,SheetsData,5,FALSE),IF(AND(VALUE(B167)&lt;2421,VALUE(C167)&lt;1211,VALUE(D167)&lt;1211),3*VLOOKUP(WardrobeCarcassMaterial,SheetsData,5,FALSE),IF(AND(VALUE(B167)&lt;2421,VALUE(C167)&lt;2421,VALUE(D167)&lt;1211),4*VLOOKUP(WardrobeCarcassMaterial,SheetsData,5,FALSE))))),IF(AND(ISERROR(FIND("arcass",A167))=FALSE,ISERROR(FIND("ost corner",A167))=FALSE),IF(AND(VALUE(B167)&lt;1211,VALUE(C167)&lt;1211,VALUE(D167)&lt;606),(1*VLOOKUP(WardrobeCarcassMaterial,SheetsData,5,FALSE))+(VLOOKUP("H/F (22mm)",SheetsData,7,FALSE)*1.44),IF(AND(VALUE(B167)&lt;2421,VALUE(C167)&lt;2421,VALUE(D167)&lt;606),(2*VLOOKUP(WardrobeCarcassMaterial,SheetsData,5,FALSE))+(VLOOKUP("H/F (22mm)",SheetsData,7,FALSE)*1.44),IF(AND(VALUE(B167)&lt;2421,VALUE(C167)&lt;1211,VALUE(D167)&lt;1211),(3*VLOOKUP(WardrobeCarcassMaterial,SheetsData,5,FALSE))+(VLOOKUP("H/F (22mm)",SheetsData,7,FALSE)*1.44),IF(AND(VALUE(B167)&lt;2421,VALUE(C167)&lt;2421,VALUE(D167)&lt;1211),(4*VLOOKUP(WardrobeCarcassMaterial,SheetsData,5,FALSE))+(VLOOKUP("H/F (22mm)",SheetsData,7,FALSE)*1.44))))),IF(ISERROR(FIND("drawer front",A167))=FALSE,((B167/1000)*(C167/1000))*VLOOKUP(WardrobeDoorMaterial,SheetsData,8,0),IF(AND(WardrobeDrawerType="Match carcass",ISERROR(FIND("drawer box",A167))=FALSE),(((((B167/1000)*(C167/1000))+((B167/1000)*(D167/1000)))*2)*VLOOKUP(WardrobeCarcassMaterial,SheetsData,8,0))+(((C167/1000)*(D167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box",A167))=FALSE),(((((B167/1000)*(C167/1000))+((B167/1000)*(D167/1000)))*2)*(16/1000)*VLOOKUP(LEFT(WardrobeCarcassMaterial,FIND(" ",WardrobeCarcassMaterial))&amp;"(solid m3)",SolidData,4,0))+(((C167/1000)*(D167/1000))*VLOOKUP(LEFT(WardrobeCarcassMaterial,FIND("(",WardrobeCarcassMaterial)-1)&amp;IF(OR(ISERROR(FIND("ply",WardrobeCarcassMaterial))=FALSE,ISERROR(FIND("H/F",WardrobeCarcassMaterial))=FALSE),"(9mm)","(10mm)"),SheetsData,8,0)),IF(ISERROR(FIND("shelf",A167))=FALSE,((C167/1000)*(D167/1000))*VLOOKUP(WardrobeCarcassMaterial,SheetsData,7,FALSE),IF(ISERROR(FIND("Office pod",A167))=FALSE,3*VLOOKUP(WardrobeCarcassMaterial,SheetsData,5,0),IF(ISERROR(FIND(" panel",A167))=FALSE,((B167/1000)*(C167/1000))*VLOOKUP(WardrobeDoorMaterial,SheetsData,8,0),IF(ISERROR(FIND("Fillers",A167))=FALSE,(((0.06*(C167/1000))*2)*VLOOKUP("H/F (18mm)",SheetsData,8,0))+(((0.06*(C167/1000))*2)*VLOOKUP("H/F (9mm)",SheetsData,8,0)),IF(ISERROR(FIND("Cornice (stacked)",A167))=FALSE,((0.08*(C167/1000))*2)*VLOOKUP("H/F (22mm)",SheetsData,8,0),IF(OR(ISERROR(FIND("Plinth",A167))=FALSE,ISERROR(FIND("Cornice (flat)",A167))=FALSE),((B167/1000)*(C167/1000))*VLOOKUP("H/F (18mm)",SheetsData,8,0),IF(ISERROR(FIND("Pelmet",A167))=FALSE,((((B167/1000)*(C167/1000))*2)*VLOOKUP("H/F (18mm)",SheetsData,8,0)),IF(ISERROR(FIND("Fireplace",A167))=FALSE,IF(ISERROR(FIND("over 1600",A167))=FALSE,2*VLOOKUP(WardrobeCarcassMaterial,SheetsData,5,FALSE),VLOOKUP(WardrobeCarcassMaterial,SheetsData,5,FALSE)),IF(ISERROR(FIND("table",A167))=FALSE,((B167/1000)*0.6)*VLOOKUP("Birch ply (24mm)",SheetsData,7,FALSE),IF(ISERROR(FIND("Worktop",A167))=FALSE,((B167/1000)*(C167/1000))*VLOOKUP(WardrobeDoorMaterial,SheetsData,7,FALSE),"Check formula")))))))))))))))))</f>
        <v/>
      </c>
      <c r="F167" s="152" t="str">
        <f>IFERROR(__xludf.DUMMYFUNCTION("IF(OR(A167="""",AND(ISERROR(FIND(""drawer box"",A167))=FALSE,WardrobeDrawerType=""Solid dovetail"")),"""",IF(ISERROR(FIND(""bins"",A167))=FALSE,VLOOKUP(""Base carcass 600"",Wardrobes_etcData,6,0),IF(OR(ISERROR(FIND(""larder"",A167))=FALSE,ISERROR(FIND(""u"&amp;"nit"",A167))=FALSE),VLOOKUP(LEFT(A167,FIND("" "",A167))&amp;""carcass ""&amp;RIGHT(A167,LEN(A167)-len(regexextract(A167,"".* ""))),Wardrobes_etcData,6,0),IF(ISERROR(FIND(""drawer front"",A167))=FALSE,IF(ISERROR(FIND(""veneer"",WardrobeCarcassMaterial))=TRUE,0,((("&amp;"B167+C167)/1000)*2)*VLOOKUP(""Edge banding (per M)"",SheetsData,5,0)),IF(ISERROR(FIND(""drawer box"",A167))=FALSE,IF(ISERROR(FIND(""veneer"",WardrobeCarcassMaterial))=TRUE,0,(((C167+D167)/1000)*2)*VLOOKUP(""Edge banding (per M)"",SheetsData,5,0)),IF(ISERR"&amp;"OR(FIND(""shelf"",A167))=FALSE,IF(ISERROR(FIND(""veneer"",WardrobeCarcassMaterial))=TRUE,0,(C167/1000)*VLOOKUP(""Edge banding (per M)"",SheetsData,5,0)),IF(AND(OR(ISERROR(FIND(""arcass"",A167))=FALSE,ISERROR(FIND(""Fireplace"",A167))=FALSE),ISERROR(FIND("&amp;"""shelf"",A167))=TRUE),IF(ISERROR(FIND(""veneer"",WardrobeCarcassMaterial))=TRUE,0,((2*(B167+C167))/1000)*VLOOKUP(""Edge banding (per M)"",SheetsData,5,0)),IF(ISERROR(FIND(""door"",A167))=TRUE,"""",IF(ISERROR(FIND(""veneer"",WardrobeDoorMaterial))=TRUE,"""&amp;""",((2*(B167+C167))/1000)*VLOOKUP(""Edge banding (per M)"",SheetsData,5,0))))))))))"),"")</f>
        <v/>
      </c>
      <c r="G167" s="153" t="str">
        <f>IF(A167="","",IF(AND(ISERROR(FIND("arcass",A167))=TRUE,ISERROR(FIND("Fireplace",A167))=TRUE),"",IF(VALUE(C167)&lt;606,4*VLOOKUP("Plinth foot (2 Parts 80mm)",FurnitureData,5,FALSE),IF(VALUE(C167)&lt;1211,6*VLOOKUP("Plinth foot (2 Parts 80mm)",FurnitureData,5,FALSE),8*VLOOKUP("Plinth foot (2 Parts 80mm)",FurnitureData,5,FALSE)))))</f>
        <v/>
      </c>
      <c r="H167" s="115" t="str">
        <f>IF(OR(A167="",ISERROR(FIND("door",A167))=TRUE),"",VLOOKUP("Hinges &amp; plates (Hettich thick door)",FurnitureData,5,0)*5)</f>
        <v/>
      </c>
      <c r="I167" s="115" t="str">
        <f>IF(ISERROR(FIND("shelf",A167))=FALSE,(VLOOKUP("Shelf pegs",FurnitureData,5,0)/100)*4,"")</f>
        <v/>
      </c>
      <c r="J167" s="152" t="str">
        <f>IF(OR(ISERROR(FIND("fridge/freezer",A167))=FALSE,ISERROR(FIND("sink",A167))=FALSE,ISERROR(FIND("larder",A167))=FALSE),VLOOKUP("Deep shelf "&amp;C167,Wardrobes_etcData,18,0),IF(OR(ISERROR(FIND("single oven",A167))=FALSE,ISERROR(FIND("Base carcass",A167))=FALSE),2*VLOOKUP("Deep shelf "&amp;C167,Wardrobes_etcData,18,0),IF(AND(ISERROR(FIND("wall carcass",A167))=FALSE,ISERROR(FIND("Boiler",A167))=TRUE),2*VLOOKUP("Shallow shelf "&amp;C167,Wardrobes_etcData,18,0),IF(ISERROR(FIND("double oven",A167))=FALSE,3*VLOOKUP("Deep shelf "&amp;C167,Wardrobes_etcData,18,0),IF(ISERROR(FIND("Tower carcass",A167))=FALSE,6*VLOOKUP("Deep shelf "&amp;C167,Wardrobes_etcData,18,0),"")))))</f>
        <v/>
      </c>
      <c r="K167" s="152" t="str">
        <f>IF(ISERROR(FIND("sink",A167))=FALSE,VLOOKUP("Sink liner - Aluminium "&amp;RIGHT(A167,LEN(A167)-22)&amp;"mm",ExceptionalData,5,0),IF(ISERROR(FIND("bins",A167))=FALSE,VLOOKUP("Drawer runners and clip set for bin unit (500) Dynapro",FurnitureData,5,0)+(2*VLOOKUP("Bin (42L Anthracite)",FurnitureData,5,0)),IF(ISERROR(FIND("larder",A167))=FALSE,VLOOKUP("Pull out larder unit 600mm",FurnitureData,5,0),IF(AND(ISERROR(FIND("drawer box",A167))=FALSE,ISERROR(FIND("internal",A167))=TRUE),VLOOKUP("Drawer runners and clip set (550) Dynapro",FurnitureData,5,0),IF(ISERROR(FIND("internal drawer box",A167))=FALSE,VLOOKUP("Drawer runners and clip set (450) Dynapro",FurnitureData,5,0),IF(ISERROR(FIND("table",A167))=FALSE,VLOOKUP("Hairpin Leg (12mm Black "&amp;MID(A167,FIND("(",A167)+1,LEN(A167)-(FIND("(",A167))-1)&amp;"mm)",ExceptionalData,4,FALSE),""))))))</f>
        <v/>
      </c>
      <c r="L167" s="152" t="str">
        <f t="shared" si="3"/>
        <v/>
      </c>
      <c r="M167" s="154" t="str">
        <f>IF(A167="","",IF(AND(ISERROR(FIND("drawer front",A167))=FALSE,WardrobeDoorStyle="Flat"),(((B167/1000)*(C167/1000))*2)+((((B167+C167)/1000)*2)*0.022),IF(AND(ISERROR(FIND("drawer front",A167))=FALSE,LEFT(WardrobeDoorStyle,5)="Panel"),(((B167/1000)*(C167/1000))*2)+((((B167+C167)/1000)*2)*0.022)+((((C167/1000)-0.16)*0.013)*2)+((((D167/1000)-0.16)*0.013)*2),IF(AND(ISERROR(FIND("drawer front",A167))=FALSE,WardrobeDoorStyle="In-frame flat"),((((B167-76)/1000)*((C167-38)/1000))*2)+(MID(WardrobeDoorMaterial,FIND("(",WardrobeDoorMaterial)+1,2)/1000)*((((B167-76)+(C167-38))/1000)*2)+(((B167/1000)*0.032)*2)+((((B167-76)/1000)*0.032)*2)+(((B167/1000)*0.019)*4)+(((C167/1000)*0.032)*2)+((((C167-38)/1000)*0.032)*2)+(((C167/1000)*0.038)*4),IF(AND(ISERROR(FIND("drawer front",A167))=FALSE,LEFT(WardrobeDoorStyle,14)="In-frame panel"),((((B167-76)/1000)*((C167-38)/1000))*2)+((MID(WardrobeDoorMaterial,FIND("(",WardrobeDoorMaterial)+1,2)/1000)*((((B167-76)+(C167-38))/1000)*2))+((((B167-236)/1000)+((C167-198)/1000)*2)*0.013)+(((B167/1000)*0.032)*2)+((((B167-76)/1000)*0.032)*2)+(((B167/1000)*0.019)*4)+(((C167/1000)*0.032)*2)+((((C167-38)/1000)*0.032)*2)+(((C167/1000)*0.038)*4),IF(ISERROR(FIND("drawer box",A167))=FALSE,((((B167/1000)*(D167/1000))+((B167/1000)*(C167/1000)))*4)+((((D167/1000)+(C167/1000))*0.016)*4)+(((C167/1000)*(D167/1000))*2),IF(OR(ISERROR(FIND("shelf",A167))=FALSE,ISERROR(FIND("Filler panel",A167))=FALSE),(((C167/1000)*(D167/1000))*2)+((((C167+D167)*2)/1000)*0.022),IF(ISERROR(FIND("Fireplace",A167))=FALSE,((B167/1000)*(C167/1000)),IF(ISERROR(FIND("Worktop",A167))=FALSE,(B167/1000)*(C167/1000),IF(ISERROR(FIND("table",A167))=FALSE,(B167/1000)*0.6,IF(ISERROR(FIND("arcass",A167))=FALSE,(((C167/1000)*(D167/1000))*2)+(((B167/1000)*(D167/1000))*2)+((B167/1000)*(C167/1000))+((((B167/1000)*0.025)+((C167/1000)*0.025))*2),IF(AND(ISERROR(FIND("door",A167))=FALSE,WardrobeDoorStyle="Flat"),(((B167/1000)*(C167/1000))*2)+(MID(WardrobeDoorMaterial,FIND("(",WardrobeDoorMaterial)+1,2)/1000)*(((B167+C167)/1000)*2),IF(AND(ISERROR(FIND("door",A167))=FALSE,LEFT(WardrobeDoorStyle,5)="Panel"),(((B167/1000)*(C167/1000))*2)+((MID(WardrobeDoorMaterial,FIND("(",WardrobeDoorMaterial)+1,2)/1000)*(((B167+C167)/1000)*2))+(((((B167-160)+(C167-160))*2)/1000)*(0.013)),IF(AND(ISERROR(FIND("door",A167))=FALSE,WardrobeDoorStyle="In-frame flat"),((((B167-76)/1000)*((C167-38)/1000))*2)+(MID(WardrobeDoorMaterial,FIND("(",WardrobeDoorMaterial)+1,2)/1000)*((((B167-76)+(C167-38))/1000)*2)+(((B167/1000)*0.032)*2)+((((B167-76)/1000)*0.032)*2)+(((B167/1000)*0.019)*4)+(((C167/1000)*0.032)*2)+((((C167-38)/1000)*0.032)*2)+(((C167/1000)*0.038)*4),IF(AND(ISERROR(FIND("door",A167))=FALSE,LEFT(WardrobeDoorStyle,14)="In-frame panel"),((((B167-76)/1000)*((C167-38)/1000))*2)+((MID(WardrobeDoorMaterial,FIND("(",WardrobeDoorMaterial)+1,2)/1000)*((((B167-76)+(C167-38))/1000)*2))+((((B167-236)/1000)+((C167-198)/1000)*2)*0.013)+(((B167/1000)*0.032)*2)+((((B167-76)/1000)*0.032)*2)+(((B167/1000)*0.019)*4)+(((C167/1000)*0.032)*2)+((((C167-38)/1000)*0.032)*2)+(((C167/1000)*0.038)*4),IF(ISERROR(FIND("Plinth",A167))=FALSE,((B167/1000)*(C167/1000))+(((C167/1000)*0.018)*2)+(((B167/1000)*0.018)*2),IF(ISERROR(FIND("Cornice",A167))=FALSE,(((C167/1000)*0.1)*2)+(((C167/1000)*0.044)*2)+(((B167/1000)*0.08)*2),IF(ISERROR(FIND("Office pod",A167))=FALSE,((2400/1000)*(1200/1000))*6,IF(ISERROR(FIND("panel",A167))=FALSE,((B167/1000)*(C167/1000))+(0.022*((B167/1000)+((C167/1000)*2)))+((B167/1000)*0.05),IF(ISERROR(FIND("Fillers",A167))=FALSE,((C167/1000)*0.06)+((C167/1000)*0.069)+((0.06*0.018)*2)+((0.06*0.009)*2)+((C167/1000)*0.009)+((C167/1000)*0.018),IF(ISERROR(FIND("Pelmet",A167))=FALSE,((C167/1000)*0.05)+((C167/1000)*0.068)+((0.05*0.018)*4)+(((C167/1000)*0.018))*2)))))))))))))))))))))</f>
        <v/>
      </c>
      <c r="N167" s="152" t="str">
        <f>IF(M167="","",IF(AND(ISERROR(FIND("carcass",A167))=TRUE,ISERROR(FIND("unit",A167))=TRUE,ISERROR(FIND("insert",A167))=TRUE,ISERROR(FIND("rack",A167))=TRUE,ISERROR(FIND("box",A167))=TRUE,ISERROR(FIND("shelf",A167))=TRUE),VLOOKUP(WardrobeDoorFinish,Finishing!$A$2:$K$10,9,0)*M167,IF(ISERROR(FIND("table",A167))=FALSE,VLOOKUP("Sayerlack AF0072 Interior Clear Self-Sealer",FinishingData,9,FALSE)*M167,VLOOKUP(WardrobeCarcassFinish,Finishing!$A$2:$K$40,9,0)*M167)))</f>
        <v/>
      </c>
      <c r="O167" s="159"/>
      <c r="P167" s="159"/>
      <c r="Q167" s="152" t="str">
        <f>IF(OR(O167="",P167=""),"",((O167*X167)*(VLOOKUP("Workshop",Labour!$A$3:$E$20,4,0)/8))+((P167*AE167)*(VLOOKUP("Finishing",Labour!$A$3:$E$20,4,0)/8)))</f>
        <v/>
      </c>
      <c r="R167" s="152" t="str">
        <f t="shared" si="4"/>
        <v/>
      </c>
      <c r="S167" s="156" t="str">
        <f>IF(OR(O167="",P167=""),"",IF(OR(ISERROR(FIND("carcass",$A167))=FALSE,ISERROR(FIND("unit",$A167))=FALSE),VLOOKUP(WardrobeCarcassMaterial,FixedListsCarcassMaterial,2,0),0))</f>
        <v/>
      </c>
      <c r="T167" s="156" t="str">
        <f>IF(OR(O167="",P167=""),"",IF(ISERROR(FIND("door",$A167))=FALSE,VLOOKUP(WardrobeDoorStyle,FixedListsDoorStyle,2,0),0))</f>
        <v/>
      </c>
      <c r="U167" s="156" t="str">
        <f>IF(OR(O167="",P167=""),"",IF(ISERROR(FIND("door",$A167))=FALSE,VLOOKUP(WardrobeDoorMaterial,FixedListsDoorMaterial,2,0),0))</f>
        <v/>
      </c>
      <c r="V167" s="156" t="str">
        <f>IF(OR(O167="",P167=""),"",IF(ISERROR(FIND("drawer",$A167))=FALSE,VLOOKUP(WardrobeDrawerType,FixedListsDrawerType,2,0),0))</f>
        <v/>
      </c>
      <c r="W167" s="156" t="str">
        <f>IF(OR(O167="",P167=""),"",IF(S167&gt;0,VLOOKUP(WardrobeHandleType,FixedListsHandleType,2,FALSE),0))</f>
        <v/>
      </c>
      <c r="X167" s="156" t="str">
        <f t="shared" si="5"/>
        <v/>
      </c>
      <c r="Y167" s="156" t="str">
        <f>IF(OR(O167="",P167=""),"",IF(OR(ISERROR(FIND("carcass",$A167))=FALSE,ISERROR(FIND("unit",$A167))=FALSE),VLOOKUP(WardrobeCarcassMaterial,FixedListsCarcassMaterial,3,0),0))</f>
        <v/>
      </c>
      <c r="Z167" s="156" t="str">
        <f>IF(OR(O167="",P167=""),"",IF(ISERROR(FIND("door",$A167))=FALSE,VLOOKUP(WardrobeDoorStyle,FixedListsDoorStyle,3,0),0))</f>
        <v/>
      </c>
      <c r="AA167" s="156" t="str">
        <f>IF(OR(O167="",P167=""),"",IF(ISERROR(FIND("door",$A167))=FALSE,VLOOKUP(WardrobeDoorMaterial,FixedListsDoorMaterial,3,0),0))</f>
        <v/>
      </c>
      <c r="AB167" s="156" t="str">
        <f>IF(OR(O167="",P167=""),"",IF(ISERROR(FIND("drawer",$A167))=FALSE,VLOOKUP(WardrobeDrawerType,FixedListsDrawerType,3,0),0))</f>
        <v/>
      </c>
      <c r="AC167" s="156" t="str">
        <f>IF(OR(O167="",P167=""),"",IF(S167&gt;0,VLOOKUP(WardrobeHandleType,FixedListsHandleType,3,FALSE),0))</f>
        <v/>
      </c>
      <c r="AD167" s="156" t="str">
        <f>IF(OR(O167="",P167=""),"",IF(OR(ISERROR(FIND("carcass",$A167))=FALSE,ISERROR(FIND("unit",$A167))=FALSE),VLOOKUP(WardrobeCarcassFinish,FixedListsFinishes,3,0),IF(OR(ISERROR(FIND("door",$A167))=FALSE,ISERROR(FIND("Plinth",$A167))=FALSE,ISERROR(FIND("Cornice",$A167))=FALSE,ISERROR(FIND("Fillers",$A167))=FALSE,ISERROR(FIND("Pelmet",$A167))=FALSE,ISERROR(FIND("panel",$A167))=FALSE,ISERROR(FIND("post",$A167))=FALSE),VLOOKUP(WardrobeDoorFinish,FixedListsFinishes,3,0),IF(OR(ISERROR(FIND("drawer",$A167))=FALSE,ISERROR(FIND("insert",$A167))=FALSE,ISERROR(FIND("rck",$A167))=FALSE),VLOOKUP(WardrobeCarcassFinish,FixedListsFinishes,3,0),0))))</f>
        <v/>
      </c>
      <c r="AE167" s="156" t="str">
        <f t="shared" si="6"/>
        <v/>
      </c>
      <c r="AF167" s="157" t="str">
        <f>IF(AND(WardrobeHandleType="Channel",OR(ISERROR(FIND("arcass",$A167))=FALSE,ISERROR(FIND("unit",$A167))=FALSE)),IF(ISERROR(FIND("Tower",$A167))=TRUE,IF(WardrobeHandleFinish="Match carcass",IF(ISERROR(FIND("Walnut",WardrobeCarcassMaterial))=FALSE,(0.035*0.075*($C167/1000))*VLOOKUP("Walnut (solid m3)",SolidData,4,FALSE),IF(ISERROR(FIND("Oak",WardrobeCarcassMaterial))=FALSE,(0.035*0.075*($C167/1000))*VLOOKUP("Oak (solid m3)",SolidData,4,FALSE),IF(ISERROR(FIND("ply",WardrobeCarcassMaterial))=FALSE,(0.1*($C167/1000))*VLOOKUP("Birch ply (24mm)",SheetsData,7,FALSE),IF(ISERROR(FIND("H/F",WardrobeCarcassMaterial))=FALSE,(0.1*($C167/1000))*VLOOKUP("H/F (22mm)",SheetsData,7,FALSE),"Carcass - not tower - new material")))),IF(WardrobeHandleFinish="Match door",IF(ISERROR(FIND("Walnut",WardrobeDoorMaterial))=FALSE,(0.035*0.075*($C167/1000))*VLOOKUP("Walnut (solid m3)",SolidData,4,FALSE),IF(ISERROR(FIND("Oak",WardrobeDoorMaterial))=FALSE,(0.035*0.075*($C167/1000))*VLOOKUP("Oak (solid m3)",SolidData,4,FALSE),IF(ISERROR(FIND("ply",WardrobeDoorMaterial))=FALSE,(0.1*($C167/1000))*VLOOKUP("Birch ply (24mm)",SheetsData,7,FALSE),IF(ISERROR(FIND("H/F",WardrobeCarcassMaterial))=FALSE,(0.1*($C167/1000))*VLOOKUP("H/F (22mm)",SheetsData,7,FALSE),"Door - not tower - new material")))),"Channel - not tower - handle set to other")),IF(ISERROR(FIND("Tower",$A167))=FALSE,IF(WardrobeHandleFinish="Match carcass",IF(ISERROR(FIND("Walnut",WardrobeCarcassMaterial))=FALSE,(0.035*0.075*($B167/1000))*VLOOKUP("Walnut (solid m3)",SolidData,4,FALSE),IF(ISERROR(FIND("Oak",WardrobeCarcassMaterial))=FALSE,(0.035*0.075*($B167/1000))*VLOOKUP("Oak (solid m3)",SolidData,4,FALSE),IF(ISERROR(FIND("ply",WardrobeCarcassMaterial))=FALSE,(0.1*($B167/1000))*VLOOKUP("Birch ply (24mm)",SheetsData,7,FALSE),IF(ISERROR(FIND("H/F",WardrobeCarcassMaterial))=FALSE,(0.1*($C167/1000))*VLOOKUP("H/F (22mm)",SheetsData,7,FALSE),"Carcass - tower - new material")))),IF(WardrobeHandleFinish="Match door",IF(ISERROR(FIND("Walnut",WardrobeDoorMaterial))=FALSE,(0.035*0.075*($B167/1000))*VLOOKUP("Walnut (solid m3)",SolidData,4,FALSE),IF(ISERROR(FIND("Oak",WardrobeDoorMaterial))=FALSE,(0.035*0.075*($B167/1000))*VLOOKUP("Oak (solid m3)",SolidData,4,FALSE),IF(ISERROR(FIND("ply",WardrobeDoorMaterial))=FALSE,(0.1*($B167/1000))*VLOOKUP("Birch ply (24mm)",SheetData,7,FALSE),IF(ISERROR(FIND("H/F",WardrobeCarcassMaterial))=FALSE,(0.1*($C167/1000))*VLOOKUP("H/F (22mm)",SheetsData,7,FALSE),"Door - tower - new material")))),"Channel - tower - handle set to other")))),"")</f>
        <v/>
      </c>
    </row>
    <row r="168">
      <c r="A168" s="150"/>
      <c r="B168" s="160" t="str">
        <f t="shared" si="1"/>
        <v/>
      </c>
      <c r="C168" s="160" t="str">
        <f>IFERROR(__xludf.DUMMYFUNCTION("IF(A168="""","""",IF(ISERROR(FIND(""arcass"",A168))=FALSE,MID(A168,FIND(""*"",A168)+1,FIND(""*"",A168,FIND(""*"",A168)+1)-FIND(""*"",A168)-1),IF(ISERROR(FIND(""End panel"",A168))=FALSE,RIGHT(A168,3),IF(OR(ISERROR(FIND(""drawer"",A168))=FALSE,ISERROR(FIND("&amp;"""door"",A168))=FALSE,ISERROR(FIND(""shelf"",A168))=FALSE,ISERROR(FIND(""panel"",A168))=FALSE,ISERROR(FIND(""Plinth"",A168))=FALSE,ISERROR(FIND(""Cornice"",A168))=FALSE,ISERROR(FIND(""Fillers"",A168))=FALSE,ISERROR(FIND(""Pelmet"",A168))=FALSE,ISERROR(FIN"&amp;"D(""Fireplace up to 1600"",A168))=FALSE),RIGHT(A168,LEN(A168)-LEN(regexextract(A168,"".* ""))),IF(ISERROR(FIND(""table"",A168))=FALSE,""560"",IF(ISERROR(FIND(""Office pod"",A168))=FALSE,""1600"",IF(ISERROR(FIND(""Fireplace over 1600"",A168))=FALSE,""2400"&amp;""",IF(ISERROR(FIND(""Worktop"",A168))=FALSE,""650"",""Whoops""))))))))"),"")</f>
        <v/>
      </c>
      <c r="D168" s="161" t="str">
        <f t="shared" si="2"/>
        <v/>
      </c>
      <c r="E168" s="152" t="str">
        <f>IF(OR(A168="",AND(ISERROR(FIND("drawer",A168))=FALSE,WardrobeDrawerType="")),"",IF(ISERROR(FIND("door",A168))=FALSE,IF(WardrobeDoorStyle="Flat",((B168/1000)*(C168/1000))*VLOOKUP(WardrobeDoorMaterial,SheetsData,8,0),IF(LEFT(WardrobeDoorStyle,5)="Panel",(((((B168/1000)*2)*0.08)+((((C168/1000)-0.16)*2)*0.08))*VLOOKUP("H/F (22mm)",SheetsData,8,0))+(((B168/1000)-0.14)*((C168/1000)-0.14)*VLOOKUP("H/F (9mm)",SheetsData,8,0)),IF(WardrobeDoorStyle="In-frame flat",((((((B168/1000)*0.019)*0.038)+((((C168-38)/1000)*0.038)*0.038))*2)*VLOOKUP("Tulip (solid m3)",SolidData,4,0))+(((B168-76)/1000)*((C168-38)/1000))*VLOOKUP("H/F (22mm)",SheetsData,8,0),IF(LEFT(WardrobeDoorStyle,14)="In-frame panel",(((((((B168/1000)*0.019)*0.038)+((((C168-38)/1000)*0.038)*0.038))*2)*VLOOKUP("Tulip (solid m3)",SolidData,4,0))+(((((((B168-76)/1000)*2)*0.08)+(((((C168-198)/1000)*2)*0.08)))*VLOOKUP("H/F (22mm)",SheetsData,8,0))+(((B168-216)/1000)*((C168-178)/1000)*VLOOKUP("H/F (9mm)",SheetsData,8,0)))))))),IF(AND(ISERROR(FIND("arcass",A168))=FALSE,ISERROR(FIND("ost corner",A168))=TRUE),IF(AND(VALUE(B168)&lt;1211,VALUE(C168)&lt;1211,VALUE(D168)&lt;606),1*VLOOKUP(WardrobeCarcassMaterial,SheetsData,5,FALSE),IF(AND(VALUE(B168)&lt;2421,VALUE(C168)&lt;2421,VALUE(D168)&lt;606),2*VLOOKUP(WardrobeCarcassMaterial,SheetsData,5,FALSE),IF(AND(VALUE(B168)&lt;2421,VALUE(C168)&lt;1211,VALUE(D168)&lt;1211),3*VLOOKUP(WardrobeCarcassMaterial,SheetsData,5,FALSE),IF(AND(VALUE(B168)&lt;2421,VALUE(C168)&lt;2421,VALUE(D168)&lt;1211),4*VLOOKUP(WardrobeCarcassMaterial,SheetsData,5,FALSE))))),IF(AND(ISERROR(FIND("arcass",A168))=FALSE,ISERROR(FIND("ost corner",A168))=FALSE),IF(AND(VALUE(B168)&lt;1211,VALUE(C168)&lt;1211,VALUE(D168)&lt;606),(1*VLOOKUP(WardrobeCarcassMaterial,SheetsData,5,FALSE))+(VLOOKUP("H/F (22mm)",SheetsData,7,FALSE)*1.44),IF(AND(VALUE(B168)&lt;2421,VALUE(C168)&lt;2421,VALUE(D168)&lt;606),(2*VLOOKUP(WardrobeCarcassMaterial,SheetsData,5,FALSE))+(VLOOKUP("H/F (22mm)",SheetsData,7,FALSE)*1.44),IF(AND(VALUE(B168)&lt;2421,VALUE(C168)&lt;1211,VALUE(D168)&lt;1211),(3*VLOOKUP(WardrobeCarcassMaterial,SheetsData,5,FALSE))+(VLOOKUP("H/F (22mm)",SheetsData,7,FALSE)*1.44),IF(AND(VALUE(B168)&lt;2421,VALUE(C168)&lt;2421,VALUE(D168)&lt;1211),(4*VLOOKUP(WardrobeCarcassMaterial,SheetsData,5,FALSE))+(VLOOKUP("H/F (22mm)",SheetsData,7,FALSE)*1.44))))),IF(ISERROR(FIND("drawer front",A168))=FALSE,((B168/1000)*(C168/1000))*VLOOKUP(WardrobeDoorMaterial,SheetsData,8,0),IF(AND(WardrobeDrawerType="Match carcass",ISERROR(FIND("drawer box",A168))=FALSE),(((((B168/1000)*(C168/1000))+((B168/1000)*(D168/1000)))*2)*VLOOKUP(WardrobeCarcassMaterial,SheetsData,8,0))+(((C168/1000)*(D168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box",A168))=FALSE),(((((B168/1000)*(C168/1000))+((B168/1000)*(D168/1000)))*2)*(16/1000)*VLOOKUP(LEFT(WardrobeCarcassMaterial,FIND(" ",WardrobeCarcassMaterial))&amp;"(solid m3)",SolidData,4,0))+(((C168/1000)*(D168/1000))*VLOOKUP(LEFT(WardrobeCarcassMaterial,FIND("(",WardrobeCarcassMaterial)-1)&amp;IF(OR(ISERROR(FIND("ply",WardrobeCarcassMaterial))=FALSE,ISERROR(FIND("H/F",WardrobeCarcassMaterial))=FALSE),"(9mm)","(10mm)"),SheetsData,8,0)),IF(ISERROR(FIND("shelf",A168))=FALSE,((C168/1000)*(D168/1000))*VLOOKUP(WardrobeCarcassMaterial,SheetsData,7,FALSE),IF(ISERROR(FIND("Office pod",A168))=FALSE,3*VLOOKUP(WardrobeCarcassMaterial,SheetsData,5,0),IF(ISERROR(FIND(" panel",A168))=FALSE,((B168/1000)*(C168/1000))*VLOOKUP(WardrobeDoorMaterial,SheetsData,8,0),IF(ISERROR(FIND("Fillers",A168))=FALSE,(((0.06*(C168/1000))*2)*VLOOKUP("H/F (18mm)",SheetsData,8,0))+(((0.06*(C168/1000))*2)*VLOOKUP("H/F (9mm)",SheetsData,8,0)),IF(ISERROR(FIND("Cornice (stacked)",A168))=FALSE,((0.08*(C168/1000))*2)*VLOOKUP("H/F (22mm)",SheetsData,8,0),IF(OR(ISERROR(FIND("Plinth",A168))=FALSE,ISERROR(FIND("Cornice (flat)",A168))=FALSE),((B168/1000)*(C168/1000))*VLOOKUP("H/F (18mm)",SheetsData,8,0),IF(ISERROR(FIND("Pelmet",A168))=FALSE,((((B168/1000)*(C168/1000))*2)*VLOOKUP("H/F (18mm)",SheetsData,8,0)),IF(ISERROR(FIND("Fireplace",A168))=FALSE,IF(ISERROR(FIND("over 1600",A168))=FALSE,2*VLOOKUP(WardrobeCarcassMaterial,SheetsData,5,FALSE),VLOOKUP(WardrobeCarcassMaterial,SheetsData,5,FALSE)),IF(ISERROR(FIND("table",A168))=FALSE,((B168/1000)*0.6)*VLOOKUP("Birch ply (24mm)",SheetsData,7,FALSE),IF(ISERROR(FIND("Worktop",A168))=FALSE,((B168/1000)*(C168/1000))*VLOOKUP(WardrobeDoorMaterial,SheetsData,7,FALSE),"Check formula")))))))))))))))))</f>
        <v/>
      </c>
      <c r="F168" s="152" t="str">
        <f>IFERROR(__xludf.DUMMYFUNCTION("IF(OR(A168="""",AND(ISERROR(FIND(""drawer box"",A168))=FALSE,WardrobeDrawerType=""Solid dovetail"")),"""",IF(ISERROR(FIND(""bins"",A168))=FALSE,VLOOKUP(""Base carcass 600"",Wardrobes_etcData,6,0),IF(OR(ISERROR(FIND(""larder"",A168))=FALSE,ISERROR(FIND(""u"&amp;"nit"",A168))=FALSE),VLOOKUP(LEFT(A168,FIND("" "",A168))&amp;""carcass ""&amp;RIGHT(A168,LEN(A168)-len(regexextract(A168,"".* ""))),Wardrobes_etcData,6,0),IF(ISERROR(FIND(""drawer front"",A168))=FALSE,IF(ISERROR(FIND(""veneer"",WardrobeCarcassMaterial))=TRUE,0,((("&amp;"B168+C168)/1000)*2)*VLOOKUP(""Edge banding (per M)"",SheetsData,5,0)),IF(ISERROR(FIND(""drawer box"",A168))=FALSE,IF(ISERROR(FIND(""veneer"",WardrobeCarcassMaterial))=TRUE,0,(((C168+D168)/1000)*2)*VLOOKUP(""Edge banding (per M)"",SheetsData,5,0)),IF(ISERR"&amp;"OR(FIND(""shelf"",A168))=FALSE,IF(ISERROR(FIND(""veneer"",WardrobeCarcassMaterial))=TRUE,0,(C168/1000)*VLOOKUP(""Edge banding (per M)"",SheetsData,5,0)),IF(AND(OR(ISERROR(FIND(""arcass"",A168))=FALSE,ISERROR(FIND(""Fireplace"",A168))=FALSE),ISERROR(FIND("&amp;"""shelf"",A168))=TRUE),IF(ISERROR(FIND(""veneer"",WardrobeCarcassMaterial))=TRUE,0,((2*(B168+C168))/1000)*VLOOKUP(""Edge banding (per M)"",SheetsData,5,0)),IF(ISERROR(FIND(""door"",A168))=TRUE,"""",IF(ISERROR(FIND(""veneer"",WardrobeDoorMaterial))=TRUE,"""&amp;""",((2*(B168+C168))/1000)*VLOOKUP(""Edge banding (per M)"",SheetsData,5,0))))))))))"),"")</f>
        <v/>
      </c>
      <c r="G168" s="153" t="str">
        <f>IF(A168="","",IF(AND(ISERROR(FIND("arcass",A168))=TRUE,ISERROR(FIND("Fireplace",A168))=TRUE),"",IF(VALUE(C168)&lt;606,4*VLOOKUP("Plinth foot (2 Parts 80mm)",FurnitureData,5,FALSE),IF(VALUE(C168)&lt;1211,6*VLOOKUP("Plinth foot (2 Parts 80mm)",FurnitureData,5,FALSE),8*VLOOKUP("Plinth foot (2 Parts 80mm)",FurnitureData,5,FALSE)))))</f>
        <v/>
      </c>
      <c r="H168" s="115" t="str">
        <f>IF(OR(A168="",ISERROR(FIND("door",A168))=TRUE),"",VLOOKUP("Hinges &amp; plates (Hettich thick door)",FurnitureData,5,0)*5)</f>
        <v/>
      </c>
      <c r="I168" s="115" t="str">
        <f>IF(ISERROR(FIND("shelf",A168))=FALSE,(VLOOKUP("Shelf pegs",FurnitureData,5,0)/100)*4,"")</f>
        <v/>
      </c>
      <c r="J168" s="152" t="str">
        <f>IF(OR(ISERROR(FIND("fridge/freezer",A168))=FALSE,ISERROR(FIND("sink",A168))=FALSE,ISERROR(FIND("larder",A168))=FALSE),VLOOKUP("Deep shelf "&amp;C168,Wardrobes_etcData,18,0),IF(OR(ISERROR(FIND("single oven",A168))=FALSE,ISERROR(FIND("Base carcass",A168))=FALSE),2*VLOOKUP("Deep shelf "&amp;C168,Wardrobes_etcData,18,0),IF(AND(ISERROR(FIND("wall carcass",A168))=FALSE,ISERROR(FIND("Boiler",A168))=TRUE),2*VLOOKUP("Shallow shelf "&amp;C168,Wardrobes_etcData,18,0),IF(ISERROR(FIND("double oven",A168))=FALSE,3*VLOOKUP("Deep shelf "&amp;C168,Wardrobes_etcData,18,0),IF(ISERROR(FIND("Tower carcass",A168))=FALSE,6*VLOOKUP("Deep shelf "&amp;C168,Wardrobes_etcData,18,0),"")))))</f>
        <v/>
      </c>
      <c r="K168" s="152" t="str">
        <f>IF(ISERROR(FIND("sink",A168))=FALSE,VLOOKUP("Sink liner - Aluminium "&amp;RIGHT(A168,LEN(A168)-22)&amp;"mm",ExceptionalData,5,0),IF(ISERROR(FIND("bins",A168))=FALSE,VLOOKUP("Drawer runners and clip set for bin unit (500) Dynapro",FurnitureData,5,0)+(2*VLOOKUP("Bin (42L Anthracite)",FurnitureData,5,0)),IF(ISERROR(FIND("larder",A168))=FALSE,VLOOKUP("Pull out larder unit 600mm",FurnitureData,5,0),IF(AND(ISERROR(FIND("drawer box",A168))=FALSE,ISERROR(FIND("internal",A168))=TRUE),VLOOKUP("Drawer runners and clip set (550) Dynapro",FurnitureData,5,0),IF(ISERROR(FIND("internal drawer box",A168))=FALSE,VLOOKUP("Drawer runners and clip set (450) Dynapro",FurnitureData,5,0),IF(ISERROR(FIND("table",A168))=FALSE,VLOOKUP("Hairpin Leg (12mm Black "&amp;MID(A168,FIND("(",A168)+1,LEN(A168)-(FIND("(",A168))-1)&amp;"mm)",ExceptionalData,4,FALSE),""))))))</f>
        <v/>
      </c>
      <c r="L168" s="152" t="str">
        <f t="shared" si="3"/>
        <v/>
      </c>
      <c r="M168" s="154" t="str">
        <f>IF(A168="","",IF(AND(ISERROR(FIND("drawer front",A168))=FALSE,WardrobeDoorStyle="Flat"),(((B168/1000)*(C168/1000))*2)+((((B168+C168)/1000)*2)*0.022),IF(AND(ISERROR(FIND("drawer front",A168))=FALSE,LEFT(WardrobeDoorStyle,5)="Panel"),(((B168/1000)*(C168/1000))*2)+((((B168+C168)/1000)*2)*0.022)+((((C168/1000)-0.16)*0.013)*2)+((((D168/1000)-0.16)*0.013)*2),IF(AND(ISERROR(FIND("drawer front",A168))=FALSE,WardrobeDoorStyle="In-frame flat"),((((B168-76)/1000)*((C168-38)/1000))*2)+(MID(WardrobeDoorMaterial,FIND("(",WardrobeDoorMaterial)+1,2)/1000)*((((B168-76)+(C168-38))/1000)*2)+(((B168/1000)*0.032)*2)+((((B168-76)/1000)*0.032)*2)+(((B168/1000)*0.019)*4)+(((C168/1000)*0.032)*2)+((((C168-38)/1000)*0.032)*2)+(((C168/1000)*0.038)*4),IF(AND(ISERROR(FIND("drawer front",A168))=FALSE,LEFT(WardrobeDoorStyle,14)="In-frame panel"),((((B168-76)/1000)*((C168-38)/1000))*2)+((MID(WardrobeDoorMaterial,FIND("(",WardrobeDoorMaterial)+1,2)/1000)*((((B168-76)+(C168-38))/1000)*2))+((((B168-236)/1000)+((C168-198)/1000)*2)*0.013)+(((B168/1000)*0.032)*2)+((((B168-76)/1000)*0.032)*2)+(((B168/1000)*0.019)*4)+(((C168/1000)*0.032)*2)+((((C168-38)/1000)*0.032)*2)+(((C168/1000)*0.038)*4),IF(ISERROR(FIND("drawer box",A168))=FALSE,((((B168/1000)*(D168/1000))+((B168/1000)*(C168/1000)))*4)+((((D168/1000)+(C168/1000))*0.016)*4)+(((C168/1000)*(D168/1000))*2),IF(OR(ISERROR(FIND("shelf",A168))=FALSE,ISERROR(FIND("Filler panel",A168))=FALSE),(((C168/1000)*(D168/1000))*2)+((((C168+D168)*2)/1000)*0.022),IF(ISERROR(FIND("Fireplace",A168))=FALSE,((B168/1000)*(C168/1000)),IF(ISERROR(FIND("Worktop",A168))=FALSE,(B168/1000)*(C168/1000),IF(ISERROR(FIND("table",A168))=FALSE,(B168/1000)*0.6,IF(ISERROR(FIND("arcass",A168))=FALSE,(((C168/1000)*(D168/1000))*2)+(((B168/1000)*(D168/1000))*2)+((B168/1000)*(C168/1000))+((((B168/1000)*0.025)+((C168/1000)*0.025))*2),IF(AND(ISERROR(FIND("door",A168))=FALSE,WardrobeDoorStyle="Flat"),(((B168/1000)*(C168/1000))*2)+(MID(WardrobeDoorMaterial,FIND("(",WardrobeDoorMaterial)+1,2)/1000)*(((B168+C168)/1000)*2),IF(AND(ISERROR(FIND("door",A168))=FALSE,LEFT(WardrobeDoorStyle,5)="Panel"),(((B168/1000)*(C168/1000))*2)+((MID(WardrobeDoorMaterial,FIND("(",WardrobeDoorMaterial)+1,2)/1000)*(((B168+C168)/1000)*2))+(((((B168-160)+(C168-160))*2)/1000)*(0.013)),IF(AND(ISERROR(FIND("door",A168))=FALSE,WardrobeDoorStyle="In-frame flat"),((((B168-76)/1000)*((C168-38)/1000))*2)+(MID(WardrobeDoorMaterial,FIND("(",WardrobeDoorMaterial)+1,2)/1000)*((((B168-76)+(C168-38))/1000)*2)+(((B168/1000)*0.032)*2)+((((B168-76)/1000)*0.032)*2)+(((B168/1000)*0.019)*4)+(((C168/1000)*0.032)*2)+((((C168-38)/1000)*0.032)*2)+(((C168/1000)*0.038)*4),IF(AND(ISERROR(FIND("door",A168))=FALSE,LEFT(WardrobeDoorStyle,14)="In-frame panel"),((((B168-76)/1000)*((C168-38)/1000))*2)+((MID(WardrobeDoorMaterial,FIND("(",WardrobeDoorMaterial)+1,2)/1000)*((((B168-76)+(C168-38))/1000)*2))+((((B168-236)/1000)+((C168-198)/1000)*2)*0.013)+(((B168/1000)*0.032)*2)+((((B168-76)/1000)*0.032)*2)+(((B168/1000)*0.019)*4)+(((C168/1000)*0.032)*2)+((((C168-38)/1000)*0.032)*2)+(((C168/1000)*0.038)*4),IF(ISERROR(FIND("Plinth",A168))=FALSE,((B168/1000)*(C168/1000))+(((C168/1000)*0.018)*2)+(((B168/1000)*0.018)*2),IF(ISERROR(FIND("Cornice",A168))=FALSE,(((C168/1000)*0.1)*2)+(((C168/1000)*0.044)*2)+(((B168/1000)*0.08)*2),IF(ISERROR(FIND("Office pod",A168))=FALSE,((2400/1000)*(1200/1000))*6,IF(ISERROR(FIND("panel",A168))=FALSE,((B168/1000)*(C168/1000))+(0.022*((B168/1000)+((C168/1000)*2)))+((B168/1000)*0.05),IF(ISERROR(FIND("Fillers",A168))=FALSE,((C168/1000)*0.06)+((C168/1000)*0.069)+((0.06*0.018)*2)+((0.06*0.009)*2)+((C168/1000)*0.009)+((C168/1000)*0.018),IF(ISERROR(FIND("Pelmet",A168))=FALSE,((C168/1000)*0.05)+((C168/1000)*0.068)+((0.05*0.018)*4)+(((C168/1000)*0.018))*2)))))))))))))))))))))</f>
        <v/>
      </c>
      <c r="N168" s="152" t="str">
        <f>IF(M168="","",IF(AND(ISERROR(FIND("carcass",A168))=TRUE,ISERROR(FIND("unit",A168))=TRUE,ISERROR(FIND("insert",A168))=TRUE,ISERROR(FIND("rack",A168))=TRUE,ISERROR(FIND("box",A168))=TRUE,ISERROR(FIND("shelf",A168))=TRUE),VLOOKUP(WardrobeDoorFinish,Finishing!$A$2:$K$10,9,0)*M168,IF(ISERROR(FIND("table",A168))=FALSE,VLOOKUP("Sayerlack AF0072 Interior Clear Self-Sealer",FinishingData,9,FALSE)*M168,VLOOKUP(WardrobeCarcassFinish,Finishing!$A$2:$K$40,9,0)*M168)))</f>
        <v/>
      </c>
      <c r="O168" s="159"/>
      <c r="P168" s="159"/>
      <c r="Q168" s="152" t="str">
        <f>IF(OR(O168="",P168=""),"",((O168*X168)*(VLOOKUP("Workshop",Labour!$A$3:$E$20,4,0)/8))+((P168*AE168)*(VLOOKUP("Finishing",Labour!$A$3:$E$20,4,0)/8)))</f>
        <v/>
      </c>
      <c r="R168" s="152" t="str">
        <f t="shared" si="4"/>
        <v/>
      </c>
      <c r="S168" s="156" t="str">
        <f>IF(OR(O168="",P168=""),"",IF(OR(ISERROR(FIND("carcass",$A168))=FALSE,ISERROR(FIND("unit",$A168))=FALSE),VLOOKUP(WardrobeCarcassMaterial,FixedListsCarcassMaterial,2,0),0))</f>
        <v/>
      </c>
      <c r="T168" s="156" t="str">
        <f>IF(OR(O168="",P168=""),"",IF(ISERROR(FIND("door",$A168))=FALSE,VLOOKUP(WardrobeDoorStyle,FixedListsDoorStyle,2,0),0))</f>
        <v/>
      </c>
      <c r="U168" s="156" t="str">
        <f>IF(OR(O168="",P168=""),"",IF(ISERROR(FIND("door",$A168))=FALSE,VLOOKUP(WardrobeDoorMaterial,FixedListsDoorMaterial,2,0),0))</f>
        <v/>
      </c>
      <c r="V168" s="156" t="str">
        <f>IF(OR(O168="",P168=""),"",IF(ISERROR(FIND("drawer",$A168))=FALSE,VLOOKUP(WardrobeDrawerType,FixedListsDrawerType,2,0),0))</f>
        <v/>
      </c>
      <c r="W168" s="156" t="str">
        <f>IF(OR(O168="",P168=""),"",IF(S168&gt;0,VLOOKUP(WardrobeHandleType,FixedListsHandleType,2,FALSE),0))</f>
        <v/>
      </c>
      <c r="X168" s="156" t="str">
        <f t="shared" si="5"/>
        <v/>
      </c>
      <c r="Y168" s="156" t="str">
        <f>IF(OR(O168="",P168=""),"",IF(OR(ISERROR(FIND("carcass",$A168))=FALSE,ISERROR(FIND("unit",$A168))=FALSE),VLOOKUP(WardrobeCarcassMaterial,FixedListsCarcassMaterial,3,0),0))</f>
        <v/>
      </c>
      <c r="Z168" s="156" t="str">
        <f>IF(OR(O168="",P168=""),"",IF(ISERROR(FIND("door",$A168))=FALSE,VLOOKUP(WardrobeDoorStyle,FixedListsDoorStyle,3,0),0))</f>
        <v/>
      </c>
      <c r="AA168" s="156" t="str">
        <f>IF(OR(O168="",P168=""),"",IF(ISERROR(FIND("door",$A168))=FALSE,VLOOKUP(WardrobeDoorMaterial,FixedListsDoorMaterial,3,0),0))</f>
        <v/>
      </c>
      <c r="AB168" s="156" t="str">
        <f>IF(OR(O168="",P168=""),"",IF(ISERROR(FIND("drawer",$A168))=FALSE,VLOOKUP(WardrobeDrawerType,FixedListsDrawerType,3,0),0))</f>
        <v/>
      </c>
      <c r="AC168" s="156" t="str">
        <f>IF(OR(O168="",P168=""),"",IF(S168&gt;0,VLOOKUP(WardrobeHandleType,FixedListsHandleType,3,FALSE),0))</f>
        <v/>
      </c>
      <c r="AD168" s="156" t="str">
        <f>IF(OR(O168="",P168=""),"",IF(OR(ISERROR(FIND("carcass",$A168))=FALSE,ISERROR(FIND("unit",$A168))=FALSE),VLOOKUP(WardrobeCarcassFinish,FixedListsFinishes,3,0),IF(OR(ISERROR(FIND("door",$A168))=FALSE,ISERROR(FIND("Plinth",$A168))=FALSE,ISERROR(FIND("Cornice",$A168))=FALSE,ISERROR(FIND("Fillers",$A168))=FALSE,ISERROR(FIND("Pelmet",$A168))=FALSE,ISERROR(FIND("panel",$A168))=FALSE,ISERROR(FIND("post",$A168))=FALSE),VLOOKUP(WardrobeDoorFinish,FixedListsFinishes,3,0),IF(OR(ISERROR(FIND("drawer",$A168))=FALSE,ISERROR(FIND("insert",$A168))=FALSE,ISERROR(FIND("rck",$A168))=FALSE),VLOOKUP(WardrobeCarcassFinish,FixedListsFinishes,3,0),0))))</f>
        <v/>
      </c>
      <c r="AE168" s="156" t="str">
        <f t="shared" si="6"/>
        <v/>
      </c>
      <c r="AF168" s="157" t="str">
        <f>IF(AND(WardrobeHandleType="Channel",OR(ISERROR(FIND("arcass",$A168))=FALSE,ISERROR(FIND("unit",$A168))=FALSE)),IF(ISERROR(FIND("Tower",$A168))=TRUE,IF(WardrobeHandleFinish="Match carcass",IF(ISERROR(FIND("Walnut",WardrobeCarcassMaterial))=FALSE,(0.035*0.075*($C168/1000))*VLOOKUP("Walnut (solid m3)",SolidData,4,FALSE),IF(ISERROR(FIND("Oak",WardrobeCarcassMaterial))=FALSE,(0.035*0.075*($C168/1000))*VLOOKUP("Oak (solid m3)",SolidData,4,FALSE),IF(ISERROR(FIND("ply",WardrobeCarcassMaterial))=FALSE,(0.1*($C168/1000))*VLOOKUP("Birch ply (24mm)",SheetsData,7,FALSE),IF(ISERROR(FIND("H/F",WardrobeCarcassMaterial))=FALSE,(0.1*($C168/1000))*VLOOKUP("H/F (22mm)",SheetsData,7,FALSE),"Carcass - not tower - new material")))),IF(WardrobeHandleFinish="Match door",IF(ISERROR(FIND("Walnut",WardrobeDoorMaterial))=FALSE,(0.035*0.075*($C168/1000))*VLOOKUP("Walnut (solid m3)",SolidData,4,FALSE),IF(ISERROR(FIND("Oak",WardrobeDoorMaterial))=FALSE,(0.035*0.075*($C168/1000))*VLOOKUP("Oak (solid m3)",SolidData,4,FALSE),IF(ISERROR(FIND("ply",WardrobeDoorMaterial))=FALSE,(0.1*($C168/1000))*VLOOKUP("Birch ply (24mm)",SheetsData,7,FALSE),IF(ISERROR(FIND("H/F",WardrobeCarcassMaterial))=FALSE,(0.1*($C168/1000))*VLOOKUP("H/F (22mm)",SheetsData,7,FALSE),"Door - not tower - new material")))),"Channel - not tower - handle set to other")),IF(ISERROR(FIND("Tower",$A168))=FALSE,IF(WardrobeHandleFinish="Match carcass",IF(ISERROR(FIND("Walnut",WardrobeCarcassMaterial))=FALSE,(0.035*0.075*($B168/1000))*VLOOKUP("Walnut (solid m3)",SolidData,4,FALSE),IF(ISERROR(FIND("Oak",WardrobeCarcassMaterial))=FALSE,(0.035*0.075*($B168/1000))*VLOOKUP("Oak (solid m3)",SolidData,4,FALSE),IF(ISERROR(FIND("ply",WardrobeCarcassMaterial))=FALSE,(0.1*($B168/1000))*VLOOKUP("Birch ply (24mm)",SheetsData,7,FALSE),IF(ISERROR(FIND("H/F",WardrobeCarcassMaterial))=FALSE,(0.1*($C168/1000))*VLOOKUP("H/F (22mm)",SheetsData,7,FALSE),"Carcass - tower - new material")))),IF(WardrobeHandleFinish="Match door",IF(ISERROR(FIND("Walnut",WardrobeDoorMaterial))=FALSE,(0.035*0.075*($B168/1000))*VLOOKUP("Walnut (solid m3)",SolidData,4,FALSE),IF(ISERROR(FIND("Oak",WardrobeDoorMaterial))=FALSE,(0.035*0.075*($B168/1000))*VLOOKUP("Oak (solid m3)",SolidData,4,FALSE),IF(ISERROR(FIND("ply",WardrobeDoorMaterial))=FALSE,(0.1*($B168/1000))*VLOOKUP("Birch ply (24mm)",SheetData,7,FALSE),IF(ISERROR(FIND("H/F",WardrobeCarcassMaterial))=FALSE,(0.1*($C168/1000))*VLOOKUP("H/F (22mm)",SheetsData,7,FALSE),"Door - tower - new material")))),"Channel - tower - handle set to other")))),"")</f>
        <v/>
      </c>
    </row>
    <row r="169">
      <c r="A169" s="150"/>
      <c r="B169" s="160" t="str">
        <f t="shared" si="1"/>
        <v/>
      </c>
      <c r="C169" s="160" t="str">
        <f>IFERROR(__xludf.DUMMYFUNCTION("IF(A169="""","""",IF(ISERROR(FIND(""arcass"",A169))=FALSE,MID(A169,FIND(""*"",A169)+1,FIND(""*"",A169,FIND(""*"",A169)+1)-FIND(""*"",A169)-1),IF(ISERROR(FIND(""End panel"",A169))=FALSE,RIGHT(A169,3),IF(OR(ISERROR(FIND(""drawer"",A169))=FALSE,ISERROR(FIND("&amp;"""door"",A169))=FALSE,ISERROR(FIND(""shelf"",A169))=FALSE,ISERROR(FIND(""panel"",A169))=FALSE,ISERROR(FIND(""Plinth"",A169))=FALSE,ISERROR(FIND(""Cornice"",A169))=FALSE,ISERROR(FIND(""Fillers"",A169))=FALSE,ISERROR(FIND(""Pelmet"",A169))=FALSE,ISERROR(FIN"&amp;"D(""Fireplace up to 1600"",A169))=FALSE),RIGHT(A169,LEN(A169)-LEN(regexextract(A169,"".* ""))),IF(ISERROR(FIND(""table"",A169))=FALSE,""560"",IF(ISERROR(FIND(""Office pod"",A169))=FALSE,""1600"",IF(ISERROR(FIND(""Fireplace over 1600"",A169))=FALSE,""2400"&amp;""",IF(ISERROR(FIND(""Worktop"",A169))=FALSE,""650"",""Whoops""))))))))"),"")</f>
        <v/>
      </c>
      <c r="D169" s="161" t="str">
        <f t="shared" si="2"/>
        <v/>
      </c>
      <c r="E169" s="152" t="str">
        <f>IF(OR(A169="",AND(ISERROR(FIND("drawer",A169))=FALSE,WardrobeDrawerType="")),"",IF(ISERROR(FIND("door",A169))=FALSE,IF(WardrobeDoorStyle="Flat",((B169/1000)*(C169/1000))*VLOOKUP(WardrobeDoorMaterial,SheetsData,8,0),IF(LEFT(WardrobeDoorStyle,5)="Panel",(((((B169/1000)*2)*0.08)+((((C169/1000)-0.16)*2)*0.08))*VLOOKUP("H/F (22mm)",SheetsData,8,0))+(((B169/1000)-0.14)*((C169/1000)-0.14)*VLOOKUP("H/F (9mm)",SheetsData,8,0)),IF(WardrobeDoorStyle="In-frame flat",((((((B169/1000)*0.019)*0.038)+((((C169-38)/1000)*0.038)*0.038))*2)*VLOOKUP("Tulip (solid m3)",SolidData,4,0))+(((B169-76)/1000)*((C169-38)/1000))*VLOOKUP("H/F (22mm)",SheetsData,8,0),IF(LEFT(WardrobeDoorStyle,14)="In-frame panel",(((((((B169/1000)*0.019)*0.038)+((((C169-38)/1000)*0.038)*0.038))*2)*VLOOKUP("Tulip (solid m3)",SolidData,4,0))+(((((((B169-76)/1000)*2)*0.08)+(((((C169-198)/1000)*2)*0.08)))*VLOOKUP("H/F (22mm)",SheetsData,8,0))+(((B169-216)/1000)*((C169-178)/1000)*VLOOKUP("H/F (9mm)",SheetsData,8,0)))))))),IF(AND(ISERROR(FIND("arcass",A169))=FALSE,ISERROR(FIND("ost corner",A169))=TRUE),IF(AND(VALUE(B169)&lt;1211,VALUE(C169)&lt;1211,VALUE(D169)&lt;606),1*VLOOKUP(WardrobeCarcassMaterial,SheetsData,5,FALSE),IF(AND(VALUE(B169)&lt;2421,VALUE(C169)&lt;2421,VALUE(D169)&lt;606),2*VLOOKUP(WardrobeCarcassMaterial,SheetsData,5,FALSE),IF(AND(VALUE(B169)&lt;2421,VALUE(C169)&lt;1211,VALUE(D169)&lt;1211),3*VLOOKUP(WardrobeCarcassMaterial,SheetsData,5,FALSE),IF(AND(VALUE(B169)&lt;2421,VALUE(C169)&lt;2421,VALUE(D169)&lt;1211),4*VLOOKUP(WardrobeCarcassMaterial,SheetsData,5,FALSE))))),IF(AND(ISERROR(FIND("arcass",A169))=FALSE,ISERROR(FIND("ost corner",A169))=FALSE),IF(AND(VALUE(B169)&lt;1211,VALUE(C169)&lt;1211,VALUE(D169)&lt;606),(1*VLOOKUP(WardrobeCarcassMaterial,SheetsData,5,FALSE))+(VLOOKUP("H/F (22mm)",SheetsData,7,FALSE)*1.44),IF(AND(VALUE(B169)&lt;2421,VALUE(C169)&lt;2421,VALUE(D169)&lt;606),(2*VLOOKUP(WardrobeCarcassMaterial,SheetsData,5,FALSE))+(VLOOKUP("H/F (22mm)",SheetsData,7,FALSE)*1.44),IF(AND(VALUE(B169)&lt;2421,VALUE(C169)&lt;1211,VALUE(D169)&lt;1211),(3*VLOOKUP(WardrobeCarcassMaterial,SheetsData,5,FALSE))+(VLOOKUP("H/F (22mm)",SheetsData,7,FALSE)*1.44),IF(AND(VALUE(B169)&lt;2421,VALUE(C169)&lt;2421,VALUE(D169)&lt;1211),(4*VLOOKUP(WardrobeCarcassMaterial,SheetsData,5,FALSE))+(VLOOKUP("H/F (22mm)",SheetsData,7,FALSE)*1.44))))),IF(ISERROR(FIND("drawer front",A169))=FALSE,((B169/1000)*(C169/1000))*VLOOKUP(WardrobeDoorMaterial,SheetsData,8,0),IF(AND(WardrobeDrawerType="Match carcass",ISERROR(FIND("drawer box",A169))=FALSE),(((((B169/1000)*(C169/1000))+((B169/1000)*(D169/1000)))*2)*VLOOKUP(WardrobeCarcassMaterial,SheetsData,8,0))+(((C169/1000)*(D169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box",A169))=FALSE),(((((B169/1000)*(C169/1000))+((B169/1000)*(D169/1000)))*2)*(16/1000)*VLOOKUP(LEFT(WardrobeCarcassMaterial,FIND(" ",WardrobeCarcassMaterial))&amp;"(solid m3)",SolidData,4,0))+(((C169/1000)*(D169/1000))*VLOOKUP(LEFT(WardrobeCarcassMaterial,FIND("(",WardrobeCarcassMaterial)-1)&amp;IF(OR(ISERROR(FIND("ply",WardrobeCarcassMaterial))=FALSE,ISERROR(FIND("H/F",WardrobeCarcassMaterial))=FALSE),"(9mm)","(10mm)"),SheetsData,8,0)),IF(ISERROR(FIND("shelf",A169))=FALSE,((C169/1000)*(D169/1000))*VLOOKUP(WardrobeCarcassMaterial,SheetsData,7,FALSE),IF(ISERROR(FIND("Office pod",A169))=FALSE,3*VLOOKUP(WardrobeCarcassMaterial,SheetsData,5,0),IF(ISERROR(FIND(" panel",A169))=FALSE,((B169/1000)*(C169/1000))*VLOOKUP(WardrobeDoorMaterial,SheetsData,8,0),IF(ISERROR(FIND("Fillers",A169))=FALSE,(((0.06*(C169/1000))*2)*VLOOKUP("H/F (18mm)",SheetsData,8,0))+(((0.06*(C169/1000))*2)*VLOOKUP("H/F (9mm)",SheetsData,8,0)),IF(ISERROR(FIND("Cornice (stacked)",A169))=FALSE,((0.08*(C169/1000))*2)*VLOOKUP("H/F (22mm)",SheetsData,8,0),IF(OR(ISERROR(FIND("Plinth",A169))=FALSE,ISERROR(FIND("Cornice (flat)",A169))=FALSE),((B169/1000)*(C169/1000))*VLOOKUP("H/F (18mm)",SheetsData,8,0),IF(ISERROR(FIND("Pelmet",A169))=FALSE,((((B169/1000)*(C169/1000))*2)*VLOOKUP("H/F (18mm)",SheetsData,8,0)),IF(ISERROR(FIND("Fireplace",A169))=FALSE,IF(ISERROR(FIND("over 1600",A169))=FALSE,2*VLOOKUP(WardrobeCarcassMaterial,SheetsData,5,FALSE),VLOOKUP(WardrobeCarcassMaterial,SheetsData,5,FALSE)),IF(ISERROR(FIND("table",A169))=FALSE,((B169/1000)*0.6)*VLOOKUP("Birch ply (24mm)",SheetsData,7,FALSE),IF(ISERROR(FIND("Worktop",A169))=FALSE,((B169/1000)*(C169/1000))*VLOOKUP(WardrobeDoorMaterial,SheetsData,7,FALSE),"Check formula")))))))))))))))))</f>
        <v/>
      </c>
      <c r="F169" s="152" t="str">
        <f>IFERROR(__xludf.DUMMYFUNCTION("IF(OR(A169="""",AND(ISERROR(FIND(""drawer box"",A169))=FALSE,WardrobeDrawerType=""Solid dovetail"")),"""",IF(ISERROR(FIND(""bins"",A169))=FALSE,VLOOKUP(""Base carcass 600"",Wardrobes_etcData,6,0),IF(OR(ISERROR(FIND(""larder"",A169))=FALSE,ISERROR(FIND(""u"&amp;"nit"",A169))=FALSE),VLOOKUP(LEFT(A169,FIND("" "",A169))&amp;""carcass ""&amp;RIGHT(A169,LEN(A169)-len(regexextract(A169,"".* ""))),Wardrobes_etcData,6,0),IF(ISERROR(FIND(""drawer front"",A169))=FALSE,IF(ISERROR(FIND(""veneer"",WardrobeCarcassMaterial))=TRUE,0,((("&amp;"B169+C169)/1000)*2)*VLOOKUP(""Edge banding (per M)"",SheetsData,5,0)),IF(ISERROR(FIND(""drawer box"",A169))=FALSE,IF(ISERROR(FIND(""veneer"",WardrobeCarcassMaterial))=TRUE,0,(((C169+D169)/1000)*2)*VLOOKUP(""Edge banding (per M)"",SheetsData,5,0)),IF(ISERR"&amp;"OR(FIND(""shelf"",A169))=FALSE,IF(ISERROR(FIND(""veneer"",WardrobeCarcassMaterial))=TRUE,0,(C169/1000)*VLOOKUP(""Edge banding (per M)"",SheetsData,5,0)),IF(AND(OR(ISERROR(FIND(""arcass"",A169))=FALSE,ISERROR(FIND(""Fireplace"",A169))=FALSE),ISERROR(FIND("&amp;"""shelf"",A169))=TRUE),IF(ISERROR(FIND(""veneer"",WardrobeCarcassMaterial))=TRUE,0,((2*(B169+C169))/1000)*VLOOKUP(""Edge banding (per M)"",SheetsData,5,0)),IF(ISERROR(FIND(""door"",A169))=TRUE,"""",IF(ISERROR(FIND(""veneer"",WardrobeDoorMaterial))=TRUE,"""&amp;""",((2*(B169+C169))/1000)*VLOOKUP(""Edge banding (per M)"",SheetsData,5,0))))))))))"),"")</f>
        <v/>
      </c>
      <c r="G169" s="153" t="str">
        <f>IF(A169="","",IF(AND(ISERROR(FIND("arcass",A169))=TRUE,ISERROR(FIND("Fireplace",A169))=TRUE),"",IF(VALUE(C169)&lt;606,4*VLOOKUP("Plinth foot (2 Parts 80mm)",FurnitureData,5,FALSE),IF(VALUE(C169)&lt;1211,6*VLOOKUP("Plinth foot (2 Parts 80mm)",FurnitureData,5,FALSE),8*VLOOKUP("Plinth foot (2 Parts 80mm)",FurnitureData,5,FALSE)))))</f>
        <v/>
      </c>
      <c r="H169" s="115" t="str">
        <f>IF(OR(A169="",ISERROR(FIND("door",A169))=TRUE),"",VLOOKUP("Hinges &amp; plates (Hettich thick door)",FurnitureData,5,0)*5)</f>
        <v/>
      </c>
      <c r="I169" s="115" t="str">
        <f>IF(ISERROR(FIND("shelf",A169))=FALSE,(VLOOKUP("Shelf pegs",FurnitureData,5,0)/100)*4,"")</f>
        <v/>
      </c>
      <c r="J169" s="152" t="str">
        <f>IF(OR(ISERROR(FIND("fridge/freezer",A169))=FALSE,ISERROR(FIND("sink",A169))=FALSE,ISERROR(FIND("larder",A169))=FALSE),VLOOKUP("Deep shelf "&amp;C169,Wardrobes_etcData,18,0),IF(OR(ISERROR(FIND("single oven",A169))=FALSE,ISERROR(FIND("Base carcass",A169))=FALSE),2*VLOOKUP("Deep shelf "&amp;C169,Wardrobes_etcData,18,0),IF(AND(ISERROR(FIND("wall carcass",A169))=FALSE,ISERROR(FIND("Boiler",A169))=TRUE),2*VLOOKUP("Shallow shelf "&amp;C169,Wardrobes_etcData,18,0),IF(ISERROR(FIND("double oven",A169))=FALSE,3*VLOOKUP("Deep shelf "&amp;C169,Wardrobes_etcData,18,0),IF(ISERROR(FIND("Tower carcass",A169))=FALSE,6*VLOOKUP("Deep shelf "&amp;C169,Wardrobes_etcData,18,0),"")))))</f>
        <v/>
      </c>
      <c r="K169" s="152" t="str">
        <f>IF(ISERROR(FIND("sink",A169))=FALSE,VLOOKUP("Sink liner - Aluminium "&amp;RIGHT(A169,LEN(A169)-22)&amp;"mm",ExceptionalData,5,0),IF(ISERROR(FIND("bins",A169))=FALSE,VLOOKUP("Drawer runners and clip set for bin unit (500) Dynapro",FurnitureData,5,0)+(2*VLOOKUP("Bin (42L Anthracite)",FurnitureData,5,0)),IF(ISERROR(FIND("larder",A169))=FALSE,VLOOKUP("Pull out larder unit 600mm",FurnitureData,5,0),IF(AND(ISERROR(FIND("drawer box",A169))=FALSE,ISERROR(FIND("internal",A169))=TRUE),VLOOKUP("Drawer runners and clip set (550) Dynapro",FurnitureData,5,0),IF(ISERROR(FIND("internal drawer box",A169))=FALSE,VLOOKUP("Drawer runners and clip set (450) Dynapro",FurnitureData,5,0),IF(ISERROR(FIND("table",A169))=FALSE,VLOOKUP("Hairpin Leg (12mm Black "&amp;MID(A169,FIND("(",A169)+1,LEN(A169)-(FIND("(",A169))-1)&amp;"mm)",ExceptionalData,4,FALSE),""))))))</f>
        <v/>
      </c>
      <c r="L169" s="152" t="str">
        <f t="shared" si="3"/>
        <v/>
      </c>
      <c r="M169" s="154" t="str">
        <f>IF(A169="","",IF(AND(ISERROR(FIND("drawer front",A169))=FALSE,WardrobeDoorStyle="Flat"),(((B169/1000)*(C169/1000))*2)+((((B169+C169)/1000)*2)*0.022),IF(AND(ISERROR(FIND("drawer front",A169))=FALSE,LEFT(WardrobeDoorStyle,5)="Panel"),(((B169/1000)*(C169/1000))*2)+((((B169+C169)/1000)*2)*0.022)+((((C169/1000)-0.16)*0.013)*2)+((((D169/1000)-0.16)*0.013)*2),IF(AND(ISERROR(FIND("drawer front",A169))=FALSE,WardrobeDoorStyle="In-frame flat"),((((B169-76)/1000)*((C169-38)/1000))*2)+(MID(WardrobeDoorMaterial,FIND("(",WardrobeDoorMaterial)+1,2)/1000)*((((B169-76)+(C169-38))/1000)*2)+(((B169/1000)*0.032)*2)+((((B169-76)/1000)*0.032)*2)+(((B169/1000)*0.019)*4)+(((C169/1000)*0.032)*2)+((((C169-38)/1000)*0.032)*2)+(((C169/1000)*0.038)*4),IF(AND(ISERROR(FIND("drawer front",A169))=FALSE,LEFT(WardrobeDoorStyle,14)="In-frame panel"),((((B169-76)/1000)*((C169-38)/1000))*2)+((MID(WardrobeDoorMaterial,FIND("(",WardrobeDoorMaterial)+1,2)/1000)*((((B169-76)+(C169-38))/1000)*2))+((((B169-236)/1000)+((C169-198)/1000)*2)*0.013)+(((B169/1000)*0.032)*2)+((((B169-76)/1000)*0.032)*2)+(((B169/1000)*0.019)*4)+(((C169/1000)*0.032)*2)+((((C169-38)/1000)*0.032)*2)+(((C169/1000)*0.038)*4),IF(ISERROR(FIND("drawer box",A169))=FALSE,((((B169/1000)*(D169/1000))+((B169/1000)*(C169/1000)))*4)+((((D169/1000)+(C169/1000))*0.016)*4)+(((C169/1000)*(D169/1000))*2),IF(OR(ISERROR(FIND("shelf",A169))=FALSE,ISERROR(FIND("Filler panel",A169))=FALSE),(((C169/1000)*(D169/1000))*2)+((((C169+D169)*2)/1000)*0.022),IF(ISERROR(FIND("Fireplace",A169))=FALSE,((B169/1000)*(C169/1000)),IF(ISERROR(FIND("Worktop",A169))=FALSE,(B169/1000)*(C169/1000),IF(ISERROR(FIND("table",A169))=FALSE,(B169/1000)*0.6,IF(ISERROR(FIND("arcass",A169))=FALSE,(((C169/1000)*(D169/1000))*2)+(((B169/1000)*(D169/1000))*2)+((B169/1000)*(C169/1000))+((((B169/1000)*0.025)+((C169/1000)*0.025))*2),IF(AND(ISERROR(FIND("door",A169))=FALSE,WardrobeDoorStyle="Flat"),(((B169/1000)*(C169/1000))*2)+(MID(WardrobeDoorMaterial,FIND("(",WardrobeDoorMaterial)+1,2)/1000)*(((B169+C169)/1000)*2),IF(AND(ISERROR(FIND("door",A169))=FALSE,LEFT(WardrobeDoorStyle,5)="Panel"),(((B169/1000)*(C169/1000))*2)+((MID(WardrobeDoorMaterial,FIND("(",WardrobeDoorMaterial)+1,2)/1000)*(((B169+C169)/1000)*2))+(((((B169-160)+(C169-160))*2)/1000)*(0.013)),IF(AND(ISERROR(FIND("door",A169))=FALSE,WardrobeDoorStyle="In-frame flat"),((((B169-76)/1000)*((C169-38)/1000))*2)+(MID(WardrobeDoorMaterial,FIND("(",WardrobeDoorMaterial)+1,2)/1000)*((((B169-76)+(C169-38))/1000)*2)+(((B169/1000)*0.032)*2)+((((B169-76)/1000)*0.032)*2)+(((B169/1000)*0.019)*4)+(((C169/1000)*0.032)*2)+((((C169-38)/1000)*0.032)*2)+(((C169/1000)*0.038)*4),IF(AND(ISERROR(FIND("door",A169))=FALSE,LEFT(WardrobeDoorStyle,14)="In-frame panel"),((((B169-76)/1000)*((C169-38)/1000))*2)+((MID(WardrobeDoorMaterial,FIND("(",WardrobeDoorMaterial)+1,2)/1000)*((((B169-76)+(C169-38))/1000)*2))+((((B169-236)/1000)+((C169-198)/1000)*2)*0.013)+(((B169/1000)*0.032)*2)+((((B169-76)/1000)*0.032)*2)+(((B169/1000)*0.019)*4)+(((C169/1000)*0.032)*2)+((((C169-38)/1000)*0.032)*2)+(((C169/1000)*0.038)*4),IF(ISERROR(FIND("Plinth",A169))=FALSE,((B169/1000)*(C169/1000))+(((C169/1000)*0.018)*2)+(((B169/1000)*0.018)*2),IF(ISERROR(FIND("Cornice",A169))=FALSE,(((C169/1000)*0.1)*2)+(((C169/1000)*0.044)*2)+(((B169/1000)*0.08)*2),IF(ISERROR(FIND("Office pod",A169))=FALSE,((2400/1000)*(1200/1000))*6,IF(ISERROR(FIND("panel",A169))=FALSE,((B169/1000)*(C169/1000))+(0.022*((B169/1000)+((C169/1000)*2)))+((B169/1000)*0.05),IF(ISERROR(FIND("Fillers",A169))=FALSE,((C169/1000)*0.06)+((C169/1000)*0.069)+((0.06*0.018)*2)+((0.06*0.009)*2)+((C169/1000)*0.009)+((C169/1000)*0.018),IF(ISERROR(FIND("Pelmet",A169))=FALSE,((C169/1000)*0.05)+((C169/1000)*0.068)+((0.05*0.018)*4)+(((C169/1000)*0.018))*2)))))))))))))))))))))</f>
        <v/>
      </c>
      <c r="N169" s="152" t="str">
        <f>IF(M169="","",IF(AND(ISERROR(FIND("carcass",A169))=TRUE,ISERROR(FIND("unit",A169))=TRUE,ISERROR(FIND("insert",A169))=TRUE,ISERROR(FIND("rack",A169))=TRUE,ISERROR(FIND("box",A169))=TRUE,ISERROR(FIND("shelf",A169))=TRUE),VLOOKUP(WardrobeDoorFinish,Finishing!$A$2:$K$10,9,0)*M169,IF(ISERROR(FIND("table",A169))=FALSE,VLOOKUP("Sayerlack AF0072 Interior Clear Self-Sealer",FinishingData,9,FALSE)*M169,VLOOKUP(WardrobeCarcassFinish,Finishing!$A$2:$K$40,9,0)*M169)))</f>
        <v/>
      </c>
      <c r="O169" s="159"/>
      <c r="P169" s="159"/>
      <c r="Q169" s="152" t="str">
        <f>IF(OR(O169="",P169=""),"",((O169*X169)*(VLOOKUP("Workshop",Labour!$A$3:$E$20,4,0)/8))+((P169*AE169)*(VLOOKUP("Finishing",Labour!$A$3:$E$20,4,0)/8)))</f>
        <v/>
      </c>
      <c r="R169" s="152" t="str">
        <f t="shared" si="4"/>
        <v/>
      </c>
      <c r="S169" s="156" t="str">
        <f>IF(OR(O169="",P169=""),"",IF(OR(ISERROR(FIND("carcass",$A169))=FALSE,ISERROR(FIND("unit",$A169))=FALSE),VLOOKUP(WardrobeCarcassMaterial,FixedListsCarcassMaterial,2,0),0))</f>
        <v/>
      </c>
      <c r="T169" s="156" t="str">
        <f>IF(OR(O169="",P169=""),"",IF(ISERROR(FIND("door",$A169))=FALSE,VLOOKUP(WardrobeDoorStyle,FixedListsDoorStyle,2,0),0))</f>
        <v/>
      </c>
      <c r="U169" s="156" t="str">
        <f>IF(OR(O169="",P169=""),"",IF(ISERROR(FIND("door",$A169))=FALSE,VLOOKUP(WardrobeDoorMaterial,FixedListsDoorMaterial,2,0),0))</f>
        <v/>
      </c>
      <c r="V169" s="156" t="str">
        <f>IF(OR(O169="",P169=""),"",IF(ISERROR(FIND("drawer",$A169))=FALSE,VLOOKUP(WardrobeDrawerType,FixedListsDrawerType,2,0),0))</f>
        <v/>
      </c>
      <c r="W169" s="156" t="str">
        <f>IF(OR(O169="",P169=""),"",IF(S169&gt;0,VLOOKUP(WardrobeHandleType,FixedListsHandleType,2,FALSE),0))</f>
        <v/>
      </c>
      <c r="X169" s="156" t="str">
        <f t="shared" si="5"/>
        <v/>
      </c>
      <c r="Y169" s="156" t="str">
        <f>IF(OR(O169="",P169=""),"",IF(OR(ISERROR(FIND("carcass",$A169))=FALSE,ISERROR(FIND("unit",$A169))=FALSE),VLOOKUP(WardrobeCarcassMaterial,FixedListsCarcassMaterial,3,0),0))</f>
        <v/>
      </c>
      <c r="Z169" s="156" t="str">
        <f>IF(OR(O169="",P169=""),"",IF(ISERROR(FIND("door",$A169))=FALSE,VLOOKUP(WardrobeDoorStyle,FixedListsDoorStyle,3,0),0))</f>
        <v/>
      </c>
      <c r="AA169" s="156" t="str">
        <f>IF(OR(O169="",P169=""),"",IF(ISERROR(FIND("door",$A169))=FALSE,VLOOKUP(WardrobeDoorMaterial,FixedListsDoorMaterial,3,0),0))</f>
        <v/>
      </c>
      <c r="AB169" s="156" t="str">
        <f>IF(OR(O169="",P169=""),"",IF(ISERROR(FIND("drawer",$A169))=FALSE,VLOOKUP(WardrobeDrawerType,FixedListsDrawerType,3,0),0))</f>
        <v/>
      </c>
      <c r="AC169" s="156" t="str">
        <f>IF(OR(O169="",P169=""),"",IF(S169&gt;0,VLOOKUP(WardrobeHandleType,FixedListsHandleType,3,FALSE),0))</f>
        <v/>
      </c>
      <c r="AD169" s="156" t="str">
        <f>IF(OR(O169="",P169=""),"",IF(OR(ISERROR(FIND("carcass",$A169))=FALSE,ISERROR(FIND("unit",$A169))=FALSE),VLOOKUP(WardrobeCarcassFinish,FixedListsFinishes,3,0),IF(OR(ISERROR(FIND("door",$A169))=FALSE,ISERROR(FIND("Plinth",$A169))=FALSE,ISERROR(FIND("Cornice",$A169))=FALSE,ISERROR(FIND("Fillers",$A169))=FALSE,ISERROR(FIND("Pelmet",$A169))=FALSE,ISERROR(FIND("panel",$A169))=FALSE,ISERROR(FIND("post",$A169))=FALSE),VLOOKUP(WardrobeDoorFinish,FixedListsFinishes,3,0),IF(OR(ISERROR(FIND("drawer",$A169))=FALSE,ISERROR(FIND("insert",$A169))=FALSE,ISERROR(FIND("rck",$A169))=FALSE),VLOOKUP(WardrobeCarcassFinish,FixedListsFinishes,3,0),0))))</f>
        <v/>
      </c>
      <c r="AE169" s="156" t="str">
        <f t="shared" si="6"/>
        <v/>
      </c>
      <c r="AF169" s="157" t="str">
        <f>IF(AND(WardrobeHandleType="Channel",OR(ISERROR(FIND("arcass",$A169))=FALSE,ISERROR(FIND("unit",$A169))=FALSE)),IF(ISERROR(FIND("Tower",$A169))=TRUE,IF(WardrobeHandleFinish="Match carcass",IF(ISERROR(FIND("Walnut",WardrobeCarcassMaterial))=FALSE,(0.035*0.075*($C169/1000))*VLOOKUP("Walnut (solid m3)",SolidData,4,FALSE),IF(ISERROR(FIND("Oak",WardrobeCarcassMaterial))=FALSE,(0.035*0.075*($C169/1000))*VLOOKUP("Oak (solid m3)",SolidData,4,FALSE),IF(ISERROR(FIND("ply",WardrobeCarcassMaterial))=FALSE,(0.1*($C169/1000))*VLOOKUP("Birch ply (24mm)",SheetsData,7,FALSE),IF(ISERROR(FIND("H/F",WardrobeCarcassMaterial))=FALSE,(0.1*($C169/1000))*VLOOKUP("H/F (22mm)",SheetsData,7,FALSE),"Carcass - not tower - new material")))),IF(WardrobeHandleFinish="Match door",IF(ISERROR(FIND("Walnut",WardrobeDoorMaterial))=FALSE,(0.035*0.075*($C169/1000))*VLOOKUP("Walnut (solid m3)",SolidData,4,FALSE),IF(ISERROR(FIND("Oak",WardrobeDoorMaterial))=FALSE,(0.035*0.075*($C169/1000))*VLOOKUP("Oak (solid m3)",SolidData,4,FALSE),IF(ISERROR(FIND("ply",WardrobeDoorMaterial))=FALSE,(0.1*($C169/1000))*VLOOKUP("Birch ply (24mm)",SheetsData,7,FALSE),IF(ISERROR(FIND("H/F",WardrobeCarcassMaterial))=FALSE,(0.1*($C169/1000))*VLOOKUP("H/F (22mm)",SheetsData,7,FALSE),"Door - not tower - new material")))),"Channel - not tower - handle set to other")),IF(ISERROR(FIND("Tower",$A169))=FALSE,IF(WardrobeHandleFinish="Match carcass",IF(ISERROR(FIND("Walnut",WardrobeCarcassMaterial))=FALSE,(0.035*0.075*($B169/1000))*VLOOKUP("Walnut (solid m3)",SolidData,4,FALSE),IF(ISERROR(FIND("Oak",WardrobeCarcassMaterial))=FALSE,(0.035*0.075*($B169/1000))*VLOOKUP("Oak (solid m3)",SolidData,4,FALSE),IF(ISERROR(FIND("ply",WardrobeCarcassMaterial))=FALSE,(0.1*($B169/1000))*VLOOKUP("Birch ply (24mm)",SheetsData,7,FALSE),IF(ISERROR(FIND("H/F",WardrobeCarcassMaterial))=FALSE,(0.1*($C169/1000))*VLOOKUP("H/F (22mm)",SheetsData,7,FALSE),"Carcass - tower - new material")))),IF(WardrobeHandleFinish="Match door",IF(ISERROR(FIND("Walnut",WardrobeDoorMaterial))=FALSE,(0.035*0.075*($B169/1000))*VLOOKUP("Walnut (solid m3)",SolidData,4,FALSE),IF(ISERROR(FIND("Oak",WardrobeDoorMaterial))=FALSE,(0.035*0.075*($B169/1000))*VLOOKUP("Oak (solid m3)",SolidData,4,FALSE),IF(ISERROR(FIND("ply",WardrobeDoorMaterial))=FALSE,(0.1*($B169/1000))*VLOOKUP("Birch ply (24mm)",SheetData,7,FALSE),IF(ISERROR(FIND("H/F",WardrobeCarcassMaterial))=FALSE,(0.1*($C169/1000))*VLOOKUP("H/F (22mm)",SheetsData,7,FALSE),"Door - tower - new material")))),"Channel - tower - handle set to other")))),"")</f>
        <v/>
      </c>
    </row>
    <row r="170">
      <c r="A170" s="150"/>
      <c r="B170" s="160" t="str">
        <f t="shared" si="1"/>
        <v/>
      </c>
      <c r="C170" s="160" t="str">
        <f>IFERROR(__xludf.DUMMYFUNCTION("IF(A170="""","""",IF(ISERROR(FIND(""arcass"",A170))=FALSE,MID(A170,FIND(""*"",A170)+1,FIND(""*"",A170,FIND(""*"",A170)+1)-FIND(""*"",A170)-1),IF(ISERROR(FIND(""End panel"",A170))=FALSE,RIGHT(A170,3),IF(OR(ISERROR(FIND(""drawer"",A170))=FALSE,ISERROR(FIND("&amp;"""door"",A170))=FALSE,ISERROR(FIND(""shelf"",A170))=FALSE,ISERROR(FIND(""panel"",A170))=FALSE,ISERROR(FIND(""Plinth"",A170))=FALSE,ISERROR(FIND(""Cornice"",A170))=FALSE,ISERROR(FIND(""Fillers"",A170))=FALSE,ISERROR(FIND(""Pelmet"",A170))=FALSE,ISERROR(FIN"&amp;"D(""Fireplace up to 1600"",A170))=FALSE),RIGHT(A170,LEN(A170)-LEN(regexextract(A170,"".* ""))),IF(ISERROR(FIND(""table"",A170))=FALSE,""560"",IF(ISERROR(FIND(""Office pod"",A170))=FALSE,""1600"",IF(ISERROR(FIND(""Fireplace over 1600"",A170))=FALSE,""2400"&amp;""",IF(ISERROR(FIND(""Worktop"",A170))=FALSE,""650"",""Whoops""))))))))"),"")</f>
        <v/>
      </c>
      <c r="D170" s="161" t="str">
        <f t="shared" si="2"/>
        <v/>
      </c>
      <c r="E170" s="152" t="str">
        <f>IF(OR(A170="",AND(ISERROR(FIND("drawer",A170))=FALSE,WardrobeDrawerType="")),"",IF(ISERROR(FIND("door",A170))=FALSE,IF(WardrobeDoorStyle="Flat",((B170/1000)*(C170/1000))*VLOOKUP(WardrobeDoorMaterial,SheetsData,8,0),IF(LEFT(WardrobeDoorStyle,5)="Panel",(((((B170/1000)*2)*0.08)+((((C170/1000)-0.16)*2)*0.08))*VLOOKUP("H/F (22mm)",SheetsData,8,0))+(((B170/1000)-0.14)*((C170/1000)-0.14)*VLOOKUP("H/F (9mm)",SheetsData,8,0)),IF(WardrobeDoorStyle="In-frame flat",((((((B170/1000)*0.019)*0.038)+((((C170-38)/1000)*0.038)*0.038))*2)*VLOOKUP("Tulip (solid m3)",SolidData,4,0))+(((B170-76)/1000)*((C170-38)/1000))*VLOOKUP("H/F (22mm)",SheetsData,8,0),IF(LEFT(WardrobeDoorStyle,14)="In-frame panel",(((((((B170/1000)*0.019)*0.038)+((((C170-38)/1000)*0.038)*0.038))*2)*VLOOKUP("Tulip (solid m3)",SolidData,4,0))+(((((((B170-76)/1000)*2)*0.08)+(((((C170-198)/1000)*2)*0.08)))*VLOOKUP("H/F (22mm)",SheetsData,8,0))+(((B170-216)/1000)*((C170-178)/1000)*VLOOKUP("H/F (9mm)",SheetsData,8,0)))))))),IF(AND(ISERROR(FIND("arcass",A170))=FALSE,ISERROR(FIND("ost corner",A170))=TRUE),IF(AND(VALUE(B170)&lt;1211,VALUE(C170)&lt;1211,VALUE(D170)&lt;606),1*VLOOKUP(WardrobeCarcassMaterial,SheetsData,5,FALSE),IF(AND(VALUE(B170)&lt;2421,VALUE(C170)&lt;2421,VALUE(D170)&lt;606),2*VLOOKUP(WardrobeCarcassMaterial,SheetsData,5,FALSE),IF(AND(VALUE(B170)&lt;2421,VALUE(C170)&lt;1211,VALUE(D170)&lt;1211),3*VLOOKUP(WardrobeCarcassMaterial,SheetsData,5,FALSE),IF(AND(VALUE(B170)&lt;2421,VALUE(C170)&lt;2421,VALUE(D170)&lt;1211),4*VLOOKUP(WardrobeCarcassMaterial,SheetsData,5,FALSE))))),IF(AND(ISERROR(FIND("arcass",A170))=FALSE,ISERROR(FIND("ost corner",A170))=FALSE),IF(AND(VALUE(B170)&lt;1211,VALUE(C170)&lt;1211,VALUE(D170)&lt;606),(1*VLOOKUP(WardrobeCarcassMaterial,SheetsData,5,FALSE))+(VLOOKUP("H/F (22mm)",SheetsData,7,FALSE)*1.44),IF(AND(VALUE(B170)&lt;2421,VALUE(C170)&lt;2421,VALUE(D170)&lt;606),(2*VLOOKUP(WardrobeCarcassMaterial,SheetsData,5,FALSE))+(VLOOKUP("H/F (22mm)",SheetsData,7,FALSE)*1.44),IF(AND(VALUE(B170)&lt;2421,VALUE(C170)&lt;1211,VALUE(D170)&lt;1211),(3*VLOOKUP(WardrobeCarcassMaterial,SheetsData,5,FALSE))+(VLOOKUP("H/F (22mm)",SheetsData,7,FALSE)*1.44),IF(AND(VALUE(B170)&lt;2421,VALUE(C170)&lt;2421,VALUE(D170)&lt;1211),(4*VLOOKUP(WardrobeCarcassMaterial,SheetsData,5,FALSE))+(VLOOKUP("H/F (22mm)",SheetsData,7,FALSE)*1.44))))),IF(ISERROR(FIND("drawer front",A170))=FALSE,((B170/1000)*(C170/1000))*VLOOKUP(WardrobeDoorMaterial,SheetsData,8,0),IF(AND(WardrobeDrawerType="Match carcass",ISERROR(FIND("drawer box",A170))=FALSE),(((((B170/1000)*(C170/1000))+((B170/1000)*(D170/1000)))*2)*VLOOKUP(WardrobeCarcassMaterial,SheetsData,8,0))+(((C170/1000)*(D170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box",A170))=FALSE),(((((B170/1000)*(C170/1000))+((B170/1000)*(D170/1000)))*2)*(16/1000)*VLOOKUP(LEFT(WardrobeCarcassMaterial,FIND(" ",WardrobeCarcassMaterial))&amp;"(solid m3)",SolidData,4,0))+(((C170/1000)*(D170/1000))*VLOOKUP(LEFT(WardrobeCarcassMaterial,FIND("(",WardrobeCarcassMaterial)-1)&amp;IF(OR(ISERROR(FIND("ply",WardrobeCarcassMaterial))=FALSE,ISERROR(FIND("H/F",WardrobeCarcassMaterial))=FALSE),"(9mm)","(10mm)"),SheetsData,8,0)),IF(ISERROR(FIND("shelf",A170))=FALSE,((C170/1000)*(D170/1000))*VLOOKUP(WardrobeCarcassMaterial,SheetsData,7,FALSE),IF(ISERROR(FIND("Office pod",A170))=FALSE,3*VLOOKUP(WardrobeCarcassMaterial,SheetsData,5,0),IF(ISERROR(FIND(" panel",A170))=FALSE,((B170/1000)*(C170/1000))*VLOOKUP(WardrobeDoorMaterial,SheetsData,8,0),IF(ISERROR(FIND("Fillers",A170))=FALSE,(((0.06*(C170/1000))*2)*VLOOKUP("H/F (18mm)",SheetsData,8,0))+(((0.06*(C170/1000))*2)*VLOOKUP("H/F (9mm)",SheetsData,8,0)),IF(ISERROR(FIND("Cornice (stacked)",A170))=FALSE,((0.08*(C170/1000))*2)*VLOOKUP("H/F (22mm)",SheetsData,8,0),IF(OR(ISERROR(FIND("Plinth",A170))=FALSE,ISERROR(FIND("Cornice (flat)",A170))=FALSE),((B170/1000)*(C170/1000))*VLOOKUP("H/F (18mm)",SheetsData,8,0),IF(ISERROR(FIND("Pelmet",A170))=FALSE,((((B170/1000)*(C170/1000))*2)*VLOOKUP("H/F (18mm)",SheetsData,8,0)),IF(ISERROR(FIND("Fireplace",A170))=FALSE,IF(ISERROR(FIND("over 1600",A170))=FALSE,2*VLOOKUP(WardrobeCarcassMaterial,SheetsData,5,FALSE),VLOOKUP(WardrobeCarcassMaterial,SheetsData,5,FALSE)),IF(ISERROR(FIND("table",A170))=FALSE,((B170/1000)*0.6)*VLOOKUP("Birch ply (24mm)",SheetsData,7,FALSE),IF(ISERROR(FIND("Worktop",A170))=FALSE,((B170/1000)*(C170/1000))*VLOOKUP(WardrobeDoorMaterial,SheetsData,7,FALSE),"Check formula")))))))))))))))))</f>
        <v/>
      </c>
      <c r="F170" s="152" t="str">
        <f>IFERROR(__xludf.DUMMYFUNCTION("IF(OR(A170="""",AND(ISERROR(FIND(""drawer box"",A170))=FALSE,WardrobeDrawerType=""Solid dovetail"")),"""",IF(ISERROR(FIND(""bins"",A170))=FALSE,VLOOKUP(""Base carcass 600"",Wardrobes_etcData,6,0),IF(OR(ISERROR(FIND(""larder"",A170))=FALSE,ISERROR(FIND(""u"&amp;"nit"",A170))=FALSE),VLOOKUP(LEFT(A170,FIND("" "",A170))&amp;""carcass ""&amp;RIGHT(A170,LEN(A170)-len(regexextract(A170,"".* ""))),Wardrobes_etcData,6,0),IF(ISERROR(FIND(""drawer front"",A170))=FALSE,IF(ISERROR(FIND(""veneer"",WardrobeCarcassMaterial))=TRUE,0,((("&amp;"B170+C170)/1000)*2)*VLOOKUP(""Edge banding (per M)"",SheetsData,5,0)),IF(ISERROR(FIND(""drawer box"",A170))=FALSE,IF(ISERROR(FIND(""veneer"",WardrobeCarcassMaterial))=TRUE,0,(((C170+D170)/1000)*2)*VLOOKUP(""Edge banding (per M)"",SheetsData,5,0)),IF(ISERR"&amp;"OR(FIND(""shelf"",A170))=FALSE,IF(ISERROR(FIND(""veneer"",WardrobeCarcassMaterial))=TRUE,0,(C170/1000)*VLOOKUP(""Edge banding (per M)"",SheetsData,5,0)),IF(AND(OR(ISERROR(FIND(""arcass"",A170))=FALSE,ISERROR(FIND(""Fireplace"",A170))=FALSE),ISERROR(FIND("&amp;"""shelf"",A170))=TRUE),IF(ISERROR(FIND(""veneer"",WardrobeCarcassMaterial))=TRUE,0,((2*(B170+C170))/1000)*VLOOKUP(""Edge banding (per M)"",SheetsData,5,0)),IF(ISERROR(FIND(""door"",A170))=TRUE,"""",IF(ISERROR(FIND(""veneer"",WardrobeDoorMaterial))=TRUE,"""&amp;""",((2*(B170+C170))/1000)*VLOOKUP(""Edge banding (per M)"",SheetsData,5,0))))))))))"),"")</f>
        <v/>
      </c>
      <c r="G170" s="153" t="str">
        <f>IF(A170="","",IF(AND(ISERROR(FIND("arcass",A170))=TRUE,ISERROR(FIND("Fireplace",A170))=TRUE),"",IF(VALUE(C170)&lt;606,4*VLOOKUP("Plinth foot (2 Parts 80mm)",FurnitureData,5,FALSE),IF(VALUE(C170)&lt;1211,6*VLOOKUP("Plinth foot (2 Parts 80mm)",FurnitureData,5,FALSE),8*VLOOKUP("Plinth foot (2 Parts 80mm)",FurnitureData,5,FALSE)))))</f>
        <v/>
      </c>
      <c r="H170" s="115" t="str">
        <f>IF(OR(A170="",ISERROR(FIND("door",A170))=TRUE),"",VLOOKUP("Hinges &amp; plates (Hettich thick door)",FurnitureData,5,0)*5)</f>
        <v/>
      </c>
      <c r="I170" s="115" t="str">
        <f>IF(ISERROR(FIND("shelf",A170))=FALSE,(VLOOKUP("Shelf pegs",FurnitureData,5,0)/100)*4,"")</f>
        <v/>
      </c>
      <c r="J170" s="152" t="str">
        <f>IF(OR(ISERROR(FIND("fridge/freezer",A170))=FALSE,ISERROR(FIND("sink",A170))=FALSE,ISERROR(FIND("larder",A170))=FALSE),VLOOKUP("Deep shelf "&amp;C170,Wardrobes_etcData,18,0),IF(OR(ISERROR(FIND("single oven",A170))=FALSE,ISERROR(FIND("Base carcass",A170))=FALSE),2*VLOOKUP("Deep shelf "&amp;C170,Wardrobes_etcData,18,0),IF(AND(ISERROR(FIND("wall carcass",A170))=FALSE,ISERROR(FIND("Boiler",A170))=TRUE),2*VLOOKUP("Shallow shelf "&amp;C170,Wardrobes_etcData,18,0),IF(ISERROR(FIND("double oven",A170))=FALSE,3*VLOOKUP("Deep shelf "&amp;C170,Wardrobes_etcData,18,0),IF(ISERROR(FIND("Tower carcass",A170))=FALSE,6*VLOOKUP("Deep shelf "&amp;C170,Wardrobes_etcData,18,0),"")))))</f>
        <v/>
      </c>
      <c r="K170" s="152" t="str">
        <f>IF(ISERROR(FIND("sink",A170))=FALSE,VLOOKUP("Sink liner - Aluminium "&amp;RIGHT(A170,LEN(A170)-22)&amp;"mm",ExceptionalData,5,0),IF(ISERROR(FIND("bins",A170))=FALSE,VLOOKUP("Drawer runners and clip set for bin unit (500) Dynapro",FurnitureData,5,0)+(2*VLOOKUP("Bin (42L Anthracite)",FurnitureData,5,0)),IF(ISERROR(FIND("larder",A170))=FALSE,VLOOKUP("Pull out larder unit 600mm",FurnitureData,5,0),IF(AND(ISERROR(FIND("drawer box",A170))=FALSE,ISERROR(FIND("internal",A170))=TRUE),VLOOKUP("Drawer runners and clip set (550) Dynapro",FurnitureData,5,0),IF(ISERROR(FIND("internal drawer box",A170))=FALSE,VLOOKUP("Drawer runners and clip set (450) Dynapro",FurnitureData,5,0),IF(ISERROR(FIND("table",A170))=FALSE,VLOOKUP("Hairpin Leg (12mm Black "&amp;MID(A170,FIND("(",A170)+1,LEN(A170)-(FIND("(",A170))-1)&amp;"mm)",ExceptionalData,4,FALSE),""))))))</f>
        <v/>
      </c>
      <c r="L170" s="152" t="str">
        <f t="shared" si="3"/>
        <v/>
      </c>
      <c r="M170" s="154" t="str">
        <f>IF(A170="","",IF(AND(ISERROR(FIND("drawer front",A170))=FALSE,WardrobeDoorStyle="Flat"),(((B170/1000)*(C170/1000))*2)+((((B170+C170)/1000)*2)*0.022),IF(AND(ISERROR(FIND("drawer front",A170))=FALSE,LEFT(WardrobeDoorStyle,5)="Panel"),(((B170/1000)*(C170/1000))*2)+((((B170+C170)/1000)*2)*0.022)+((((C170/1000)-0.16)*0.013)*2)+((((D170/1000)-0.16)*0.013)*2),IF(AND(ISERROR(FIND("drawer front",A170))=FALSE,WardrobeDoorStyle="In-frame flat"),((((B170-76)/1000)*((C170-38)/1000))*2)+(MID(WardrobeDoorMaterial,FIND("(",WardrobeDoorMaterial)+1,2)/1000)*((((B170-76)+(C170-38))/1000)*2)+(((B170/1000)*0.032)*2)+((((B170-76)/1000)*0.032)*2)+(((B170/1000)*0.019)*4)+(((C170/1000)*0.032)*2)+((((C170-38)/1000)*0.032)*2)+(((C170/1000)*0.038)*4),IF(AND(ISERROR(FIND("drawer front",A170))=FALSE,LEFT(WardrobeDoorStyle,14)="In-frame panel"),((((B170-76)/1000)*((C170-38)/1000))*2)+((MID(WardrobeDoorMaterial,FIND("(",WardrobeDoorMaterial)+1,2)/1000)*((((B170-76)+(C170-38))/1000)*2))+((((B170-236)/1000)+((C170-198)/1000)*2)*0.013)+(((B170/1000)*0.032)*2)+((((B170-76)/1000)*0.032)*2)+(((B170/1000)*0.019)*4)+(((C170/1000)*0.032)*2)+((((C170-38)/1000)*0.032)*2)+(((C170/1000)*0.038)*4),IF(ISERROR(FIND("drawer box",A170))=FALSE,((((B170/1000)*(D170/1000))+((B170/1000)*(C170/1000)))*4)+((((D170/1000)+(C170/1000))*0.016)*4)+(((C170/1000)*(D170/1000))*2),IF(OR(ISERROR(FIND("shelf",A170))=FALSE,ISERROR(FIND("Filler panel",A170))=FALSE),(((C170/1000)*(D170/1000))*2)+((((C170+D170)*2)/1000)*0.022),IF(ISERROR(FIND("Fireplace",A170))=FALSE,((B170/1000)*(C170/1000)),IF(ISERROR(FIND("Worktop",A170))=FALSE,(B170/1000)*(C170/1000),IF(ISERROR(FIND("table",A170))=FALSE,(B170/1000)*0.6,IF(ISERROR(FIND("arcass",A170))=FALSE,(((C170/1000)*(D170/1000))*2)+(((B170/1000)*(D170/1000))*2)+((B170/1000)*(C170/1000))+((((B170/1000)*0.025)+((C170/1000)*0.025))*2),IF(AND(ISERROR(FIND("door",A170))=FALSE,WardrobeDoorStyle="Flat"),(((B170/1000)*(C170/1000))*2)+(MID(WardrobeDoorMaterial,FIND("(",WardrobeDoorMaterial)+1,2)/1000)*(((B170+C170)/1000)*2),IF(AND(ISERROR(FIND("door",A170))=FALSE,LEFT(WardrobeDoorStyle,5)="Panel"),(((B170/1000)*(C170/1000))*2)+((MID(WardrobeDoorMaterial,FIND("(",WardrobeDoorMaterial)+1,2)/1000)*(((B170+C170)/1000)*2))+(((((B170-160)+(C170-160))*2)/1000)*(0.013)),IF(AND(ISERROR(FIND("door",A170))=FALSE,WardrobeDoorStyle="In-frame flat"),((((B170-76)/1000)*((C170-38)/1000))*2)+(MID(WardrobeDoorMaterial,FIND("(",WardrobeDoorMaterial)+1,2)/1000)*((((B170-76)+(C170-38))/1000)*2)+(((B170/1000)*0.032)*2)+((((B170-76)/1000)*0.032)*2)+(((B170/1000)*0.019)*4)+(((C170/1000)*0.032)*2)+((((C170-38)/1000)*0.032)*2)+(((C170/1000)*0.038)*4),IF(AND(ISERROR(FIND("door",A170))=FALSE,LEFT(WardrobeDoorStyle,14)="In-frame panel"),((((B170-76)/1000)*((C170-38)/1000))*2)+((MID(WardrobeDoorMaterial,FIND("(",WardrobeDoorMaterial)+1,2)/1000)*((((B170-76)+(C170-38))/1000)*2))+((((B170-236)/1000)+((C170-198)/1000)*2)*0.013)+(((B170/1000)*0.032)*2)+((((B170-76)/1000)*0.032)*2)+(((B170/1000)*0.019)*4)+(((C170/1000)*0.032)*2)+((((C170-38)/1000)*0.032)*2)+(((C170/1000)*0.038)*4),IF(ISERROR(FIND("Plinth",A170))=FALSE,((B170/1000)*(C170/1000))+(((C170/1000)*0.018)*2)+(((B170/1000)*0.018)*2),IF(ISERROR(FIND("Cornice",A170))=FALSE,(((C170/1000)*0.1)*2)+(((C170/1000)*0.044)*2)+(((B170/1000)*0.08)*2),IF(ISERROR(FIND("Office pod",A170))=FALSE,((2400/1000)*(1200/1000))*6,IF(ISERROR(FIND("panel",A170))=FALSE,((B170/1000)*(C170/1000))+(0.022*((B170/1000)+((C170/1000)*2)))+((B170/1000)*0.05),IF(ISERROR(FIND("Fillers",A170))=FALSE,((C170/1000)*0.06)+((C170/1000)*0.069)+((0.06*0.018)*2)+((0.06*0.009)*2)+((C170/1000)*0.009)+((C170/1000)*0.018),IF(ISERROR(FIND("Pelmet",A170))=FALSE,((C170/1000)*0.05)+((C170/1000)*0.068)+((0.05*0.018)*4)+(((C170/1000)*0.018))*2)))))))))))))))))))))</f>
        <v/>
      </c>
      <c r="N170" s="152" t="str">
        <f>IF(M170="","",IF(AND(ISERROR(FIND("carcass",A170))=TRUE,ISERROR(FIND("unit",A170))=TRUE,ISERROR(FIND("insert",A170))=TRUE,ISERROR(FIND("rack",A170))=TRUE,ISERROR(FIND("box",A170))=TRUE,ISERROR(FIND("shelf",A170))=TRUE),VLOOKUP(WardrobeDoorFinish,Finishing!$A$2:$K$10,9,0)*M170,IF(ISERROR(FIND("table",A170))=FALSE,VLOOKUP("Sayerlack AF0072 Interior Clear Self-Sealer",FinishingData,9,FALSE)*M170,VLOOKUP(WardrobeCarcassFinish,Finishing!$A$2:$K$40,9,0)*M170)))</f>
        <v/>
      </c>
      <c r="O170" s="159"/>
      <c r="P170" s="159"/>
      <c r="Q170" s="152" t="str">
        <f>IF(OR(O170="",P170=""),"",((O170*X170)*(VLOOKUP("Workshop",Labour!$A$3:$E$20,4,0)/8))+((P170*AE170)*(VLOOKUP("Finishing",Labour!$A$3:$E$20,4,0)/8)))</f>
        <v/>
      </c>
      <c r="R170" s="152" t="str">
        <f t="shared" si="4"/>
        <v/>
      </c>
      <c r="S170" s="156" t="str">
        <f>IF(OR(O170="",P170=""),"",IF(OR(ISERROR(FIND("carcass",$A170))=FALSE,ISERROR(FIND("unit",$A170))=FALSE),VLOOKUP(WardrobeCarcassMaterial,FixedListsCarcassMaterial,2,0),0))</f>
        <v/>
      </c>
      <c r="T170" s="156" t="str">
        <f>IF(OR(O170="",P170=""),"",IF(ISERROR(FIND("door",$A170))=FALSE,VLOOKUP(WardrobeDoorStyle,FixedListsDoorStyle,2,0),0))</f>
        <v/>
      </c>
      <c r="U170" s="156" t="str">
        <f>IF(OR(O170="",P170=""),"",IF(ISERROR(FIND("door",$A170))=FALSE,VLOOKUP(WardrobeDoorMaterial,FixedListsDoorMaterial,2,0),0))</f>
        <v/>
      </c>
      <c r="V170" s="156" t="str">
        <f>IF(OR(O170="",P170=""),"",IF(ISERROR(FIND("drawer",$A170))=FALSE,VLOOKUP(WardrobeDrawerType,FixedListsDrawerType,2,0),0))</f>
        <v/>
      </c>
      <c r="W170" s="156" t="str">
        <f>IF(OR(O170="",P170=""),"",IF(S170&gt;0,VLOOKUP(WardrobeHandleType,FixedListsHandleType,2,FALSE),0))</f>
        <v/>
      </c>
      <c r="X170" s="156" t="str">
        <f t="shared" si="5"/>
        <v/>
      </c>
      <c r="Y170" s="156" t="str">
        <f>IF(OR(O170="",P170=""),"",IF(OR(ISERROR(FIND("carcass",$A170))=FALSE,ISERROR(FIND("unit",$A170))=FALSE),VLOOKUP(WardrobeCarcassMaterial,FixedListsCarcassMaterial,3,0),0))</f>
        <v/>
      </c>
      <c r="Z170" s="156" t="str">
        <f>IF(OR(O170="",P170=""),"",IF(ISERROR(FIND("door",$A170))=FALSE,VLOOKUP(WardrobeDoorStyle,FixedListsDoorStyle,3,0),0))</f>
        <v/>
      </c>
      <c r="AA170" s="156" t="str">
        <f>IF(OR(O170="",P170=""),"",IF(ISERROR(FIND("door",$A170))=FALSE,VLOOKUP(WardrobeDoorMaterial,FixedListsDoorMaterial,3,0),0))</f>
        <v/>
      </c>
      <c r="AB170" s="156" t="str">
        <f>IF(OR(O170="",P170=""),"",IF(ISERROR(FIND("drawer",$A170))=FALSE,VLOOKUP(WardrobeDrawerType,FixedListsDrawerType,3,0),0))</f>
        <v/>
      </c>
      <c r="AC170" s="156" t="str">
        <f>IF(OR(O170="",P170=""),"",IF(S170&gt;0,VLOOKUP(WardrobeHandleType,FixedListsHandleType,3,FALSE),0))</f>
        <v/>
      </c>
      <c r="AD170" s="156" t="str">
        <f>IF(OR(O170="",P170=""),"",IF(OR(ISERROR(FIND("carcass",$A170))=FALSE,ISERROR(FIND("unit",$A170))=FALSE),VLOOKUP(WardrobeCarcassFinish,FixedListsFinishes,3,0),IF(OR(ISERROR(FIND("door",$A170))=FALSE,ISERROR(FIND("Plinth",$A170))=FALSE,ISERROR(FIND("Cornice",$A170))=FALSE,ISERROR(FIND("Fillers",$A170))=FALSE,ISERROR(FIND("Pelmet",$A170))=FALSE,ISERROR(FIND("panel",$A170))=FALSE,ISERROR(FIND("post",$A170))=FALSE),VLOOKUP(WardrobeDoorFinish,FixedListsFinishes,3,0),IF(OR(ISERROR(FIND("drawer",$A170))=FALSE,ISERROR(FIND("insert",$A170))=FALSE,ISERROR(FIND("rck",$A170))=FALSE),VLOOKUP(WardrobeCarcassFinish,FixedListsFinishes,3,0),0))))</f>
        <v/>
      </c>
      <c r="AE170" s="156" t="str">
        <f t="shared" si="6"/>
        <v/>
      </c>
      <c r="AF170" s="157" t="str">
        <f>IF(AND(WardrobeHandleType="Channel",OR(ISERROR(FIND("arcass",$A170))=FALSE,ISERROR(FIND("unit",$A170))=FALSE)),IF(ISERROR(FIND("Tower",$A170))=TRUE,IF(WardrobeHandleFinish="Match carcass",IF(ISERROR(FIND("Walnut",WardrobeCarcassMaterial))=FALSE,(0.035*0.075*($C170/1000))*VLOOKUP("Walnut (solid m3)",SolidData,4,FALSE),IF(ISERROR(FIND("Oak",WardrobeCarcassMaterial))=FALSE,(0.035*0.075*($C170/1000))*VLOOKUP("Oak (solid m3)",SolidData,4,FALSE),IF(ISERROR(FIND("ply",WardrobeCarcassMaterial))=FALSE,(0.1*($C170/1000))*VLOOKUP("Birch ply (24mm)",SheetsData,7,FALSE),IF(ISERROR(FIND("H/F",WardrobeCarcassMaterial))=FALSE,(0.1*($C170/1000))*VLOOKUP("H/F (22mm)",SheetsData,7,FALSE),"Carcass - not tower - new material")))),IF(WardrobeHandleFinish="Match door",IF(ISERROR(FIND("Walnut",WardrobeDoorMaterial))=FALSE,(0.035*0.075*($C170/1000))*VLOOKUP("Walnut (solid m3)",SolidData,4,FALSE),IF(ISERROR(FIND("Oak",WardrobeDoorMaterial))=FALSE,(0.035*0.075*($C170/1000))*VLOOKUP("Oak (solid m3)",SolidData,4,FALSE),IF(ISERROR(FIND("ply",WardrobeDoorMaterial))=FALSE,(0.1*($C170/1000))*VLOOKUP("Birch ply (24mm)",SheetsData,7,FALSE),IF(ISERROR(FIND("H/F",WardrobeCarcassMaterial))=FALSE,(0.1*($C170/1000))*VLOOKUP("H/F (22mm)",SheetsData,7,FALSE),"Door - not tower - new material")))),"Channel - not tower - handle set to other")),IF(ISERROR(FIND("Tower",$A170))=FALSE,IF(WardrobeHandleFinish="Match carcass",IF(ISERROR(FIND("Walnut",WardrobeCarcassMaterial))=FALSE,(0.035*0.075*($B170/1000))*VLOOKUP("Walnut (solid m3)",SolidData,4,FALSE),IF(ISERROR(FIND("Oak",WardrobeCarcassMaterial))=FALSE,(0.035*0.075*($B170/1000))*VLOOKUP("Oak (solid m3)",SolidData,4,FALSE),IF(ISERROR(FIND("ply",WardrobeCarcassMaterial))=FALSE,(0.1*($B170/1000))*VLOOKUP("Birch ply (24mm)",SheetsData,7,FALSE),IF(ISERROR(FIND("H/F",WardrobeCarcassMaterial))=FALSE,(0.1*($C170/1000))*VLOOKUP("H/F (22mm)",SheetsData,7,FALSE),"Carcass - tower - new material")))),IF(WardrobeHandleFinish="Match door",IF(ISERROR(FIND("Walnut",WardrobeDoorMaterial))=FALSE,(0.035*0.075*($B170/1000))*VLOOKUP("Walnut (solid m3)",SolidData,4,FALSE),IF(ISERROR(FIND("Oak",WardrobeDoorMaterial))=FALSE,(0.035*0.075*($B170/1000))*VLOOKUP("Oak (solid m3)",SolidData,4,FALSE),IF(ISERROR(FIND("ply",WardrobeDoorMaterial))=FALSE,(0.1*($B170/1000))*VLOOKUP("Birch ply (24mm)",SheetData,7,FALSE),IF(ISERROR(FIND("H/F",WardrobeCarcassMaterial))=FALSE,(0.1*($C170/1000))*VLOOKUP("H/F (22mm)",SheetsData,7,FALSE),"Door - tower - new material")))),"Channel - tower - handle set to other")))),"")</f>
        <v/>
      </c>
    </row>
    <row r="171">
      <c r="A171" s="150"/>
      <c r="B171" s="160" t="str">
        <f t="shared" si="1"/>
        <v/>
      </c>
      <c r="C171" s="160" t="str">
        <f>IFERROR(__xludf.DUMMYFUNCTION("IF(A171="""","""",IF(ISERROR(FIND(""arcass"",A171))=FALSE,MID(A171,FIND(""*"",A171)+1,FIND(""*"",A171,FIND(""*"",A171)+1)-FIND(""*"",A171)-1),IF(ISERROR(FIND(""End panel"",A171))=FALSE,RIGHT(A171,3),IF(OR(ISERROR(FIND(""drawer"",A171))=FALSE,ISERROR(FIND("&amp;"""door"",A171))=FALSE,ISERROR(FIND(""shelf"",A171))=FALSE,ISERROR(FIND(""panel"",A171))=FALSE,ISERROR(FIND(""Plinth"",A171))=FALSE,ISERROR(FIND(""Cornice"",A171))=FALSE,ISERROR(FIND(""Fillers"",A171))=FALSE,ISERROR(FIND(""Pelmet"",A171))=FALSE,ISERROR(FIN"&amp;"D(""Fireplace up to 1600"",A171))=FALSE),RIGHT(A171,LEN(A171)-LEN(regexextract(A171,"".* ""))),IF(ISERROR(FIND(""table"",A171))=FALSE,""560"",IF(ISERROR(FIND(""Office pod"",A171))=FALSE,""1600"",IF(ISERROR(FIND(""Fireplace over 1600"",A171))=FALSE,""2400"&amp;""",IF(ISERROR(FIND(""Worktop"",A171))=FALSE,""650"",""Whoops""))))))))"),"")</f>
        <v/>
      </c>
      <c r="D171" s="161" t="str">
        <f t="shared" si="2"/>
        <v/>
      </c>
      <c r="E171" s="152" t="str">
        <f>IF(OR(A171="",AND(ISERROR(FIND("drawer",A171))=FALSE,WardrobeDrawerType="")),"",IF(ISERROR(FIND("door",A171))=FALSE,IF(WardrobeDoorStyle="Flat",((B171/1000)*(C171/1000))*VLOOKUP(WardrobeDoorMaterial,SheetsData,8,0),IF(LEFT(WardrobeDoorStyle,5)="Panel",(((((B171/1000)*2)*0.08)+((((C171/1000)-0.16)*2)*0.08))*VLOOKUP("H/F (22mm)",SheetsData,8,0))+(((B171/1000)-0.14)*((C171/1000)-0.14)*VLOOKUP("H/F (9mm)",SheetsData,8,0)),IF(WardrobeDoorStyle="In-frame flat",((((((B171/1000)*0.019)*0.038)+((((C171-38)/1000)*0.038)*0.038))*2)*VLOOKUP("Tulip (solid m3)",SolidData,4,0))+(((B171-76)/1000)*((C171-38)/1000))*VLOOKUP("H/F (22mm)",SheetsData,8,0),IF(LEFT(WardrobeDoorStyle,14)="In-frame panel",(((((((B171/1000)*0.019)*0.038)+((((C171-38)/1000)*0.038)*0.038))*2)*VLOOKUP("Tulip (solid m3)",SolidData,4,0))+(((((((B171-76)/1000)*2)*0.08)+(((((C171-198)/1000)*2)*0.08)))*VLOOKUP("H/F (22mm)",SheetsData,8,0))+(((B171-216)/1000)*((C171-178)/1000)*VLOOKUP("H/F (9mm)",SheetsData,8,0)))))))),IF(AND(ISERROR(FIND("arcass",A171))=FALSE,ISERROR(FIND("ost corner",A171))=TRUE),IF(AND(VALUE(B171)&lt;1211,VALUE(C171)&lt;1211,VALUE(D171)&lt;606),1*VLOOKUP(WardrobeCarcassMaterial,SheetsData,5,FALSE),IF(AND(VALUE(B171)&lt;2421,VALUE(C171)&lt;2421,VALUE(D171)&lt;606),2*VLOOKUP(WardrobeCarcassMaterial,SheetsData,5,FALSE),IF(AND(VALUE(B171)&lt;2421,VALUE(C171)&lt;1211,VALUE(D171)&lt;1211),3*VLOOKUP(WardrobeCarcassMaterial,SheetsData,5,FALSE),IF(AND(VALUE(B171)&lt;2421,VALUE(C171)&lt;2421,VALUE(D171)&lt;1211),4*VLOOKUP(WardrobeCarcassMaterial,SheetsData,5,FALSE))))),IF(AND(ISERROR(FIND("arcass",A171))=FALSE,ISERROR(FIND("ost corner",A171))=FALSE),IF(AND(VALUE(B171)&lt;1211,VALUE(C171)&lt;1211,VALUE(D171)&lt;606),(1*VLOOKUP(WardrobeCarcassMaterial,SheetsData,5,FALSE))+(VLOOKUP("H/F (22mm)",SheetsData,7,FALSE)*1.44),IF(AND(VALUE(B171)&lt;2421,VALUE(C171)&lt;2421,VALUE(D171)&lt;606),(2*VLOOKUP(WardrobeCarcassMaterial,SheetsData,5,FALSE))+(VLOOKUP("H/F (22mm)",SheetsData,7,FALSE)*1.44),IF(AND(VALUE(B171)&lt;2421,VALUE(C171)&lt;1211,VALUE(D171)&lt;1211),(3*VLOOKUP(WardrobeCarcassMaterial,SheetsData,5,FALSE))+(VLOOKUP("H/F (22mm)",SheetsData,7,FALSE)*1.44),IF(AND(VALUE(B171)&lt;2421,VALUE(C171)&lt;2421,VALUE(D171)&lt;1211),(4*VLOOKUP(WardrobeCarcassMaterial,SheetsData,5,FALSE))+(VLOOKUP("H/F (22mm)",SheetsData,7,FALSE)*1.44))))),IF(ISERROR(FIND("drawer front",A171))=FALSE,((B171/1000)*(C171/1000))*VLOOKUP(WardrobeDoorMaterial,SheetsData,8,0),IF(AND(WardrobeDrawerType="Match carcass",ISERROR(FIND("drawer box",A171))=FALSE),(((((B171/1000)*(C171/1000))+((B171/1000)*(D171/1000)))*2)*VLOOKUP(WardrobeCarcassMaterial,SheetsData,8,0))+(((C171/1000)*(D171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box",A171))=FALSE),(((((B171/1000)*(C171/1000))+((B171/1000)*(D171/1000)))*2)*(16/1000)*VLOOKUP(LEFT(WardrobeCarcassMaterial,FIND(" ",WardrobeCarcassMaterial))&amp;"(solid m3)",SolidData,4,0))+(((C171/1000)*(D171/1000))*VLOOKUP(LEFT(WardrobeCarcassMaterial,FIND("(",WardrobeCarcassMaterial)-1)&amp;IF(OR(ISERROR(FIND("ply",WardrobeCarcassMaterial))=FALSE,ISERROR(FIND("H/F",WardrobeCarcassMaterial))=FALSE),"(9mm)","(10mm)"),SheetsData,8,0)),IF(ISERROR(FIND("shelf",A171))=FALSE,((C171/1000)*(D171/1000))*VLOOKUP(WardrobeCarcassMaterial,SheetsData,7,FALSE),IF(ISERROR(FIND("Office pod",A171))=FALSE,3*VLOOKUP(WardrobeCarcassMaterial,SheetsData,5,0),IF(ISERROR(FIND(" panel",A171))=FALSE,((B171/1000)*(C171/1000))*VLOOKUP(WardrobeDoorMaterial,SheetsData,8,0),IF(ISERROR(FIND("Fillers",A171))=FALSE,(((0.06*(C171/1000))*2)*VLOOKUP("H/F (18mm)",SheetsData,8,0))+(((0.06*(C171/1000))*2)*VLOOKUP("H/F (9mm)",SheetsData,8,0)),IF(ISERROR(FIND("Cornice (stacked)",A171))=FALSE,((0.08*(C171/1000))*2)*VLOOKUP("H/F (22mm)",SheetsData,8,0),IF(OR(ISERROR(FIND("Plinth",A171))=FALSE,ISERROR(FIND("Cornice (flat)",A171))=FALSE),((B171/1000)*(C171/1000))*VLOOKUP("H/F (18mm)",SheetsData,8,0),IF(ISERROR(FIND("Pelmet",A171))=FALSE,((((B171/1000)*(C171/1000))*2)*VLOOKUP("H/F (18mm)",SheetsData,8,0)),IF(ISERROR(FIND("Fireplace",A171))=FALSE,IF(ISERROR(FIND("over 1600",A171))=FALSE,2*VLOOKUP(WardrobeCarcassMaterial,SheetsData,5,FALSE),VLOOKUP(WardrobeCarcassMaterial,SheetsData,5,FALSE)),IF(ISERROR(FIND("table",A171))=FALSE,((B171/1000)*0.6)*VLOOKUP("Birch ply (24mm)",SheetsData,7,FALSE),IF(ISERROR(FIND("Worktop",A171))=FALSE,((B171/1000)*(C171/1000))*VLOOKUP(WardrobeDoorMaterial,SheetsData,7,FALSE),"Check formula")))))))))))))))))</f>
        <v/>
      </c>
      <c r="F171" s="152" t="str">
        <f>IFERROR(__xludf.DUMMYFUNCTION("IF(OR(A171="""",AND(ISERROR(FIND(""drawer box"",A171))=FALSE,WardrobeDrawerType=""Solid dovetail"")),"""",IF(ISERROR(FIND(""bins"",A171))=FALSE,VLOOKUP(""Base carcass 600"",Wardrobes_etcData,6,0),IF(OR(ISERROR(FIND(""larder"",A171))=FALSE,ISERROR(FIND(""u"&amp;"nit"",A171))=FALSE),VLOOKUP(LEFT(A171,FIND("" "",A171))&amp;""carcass ""&amp;RIGHT(A171,LEN(A171)-len(regexextract(A171,"".* ""))),Wardrobes_etcData,6,0),IF(ISERROR(FIND(""drawer front"",A171))=FALSE,IF(ISERROR(FIND(""veneer"",WardrobeCarcassMaterial))=TRUE,0,((("&amp;"B171+C171)/1000)*2)*VLOOKUP(""Edge banding (per M)"",SheetsData,5,0)),IF(ISERROR(FIND(""drawer box"",A171))=FALSE,IF(ISERROR(FIND(""veneer"",WardrobeCarcassMaterial))=TRUE,0,(((C171+D171)/1000)*2)*VLOOKUP(""Edge banding (per M)"",SheetsData,5,0)),IF(ISERR"&amp;"OR(FIND(""shelf"",A171))=FALSE,IF(ISERROR(FIND(""veneer"",WardrobeCarcassMaterial))=TRUE,0,(C171/1000)*VLOOKUP(""Edge banding (per M)"",SheetsData,5,0)),IF(AND(OR(ISERROR(FIND(""arcass"",A171))=FALSE,ISERROR(FIND(""Fireplace"",A171))=FALSE),ISERROR(FIND("&amp;"""shelf"",A171))=TRUE),IF(ISERROR(FIND(""veneer"",WardrobeCarcassMaterial))=TRUE,0,((2*(B171+C171))/1000)*VLOOKUP(""Edge banding (per M)"",SheetsData,5,0)),IF(ISERROR(FIND(""door"",A171))=TRUE,"""",IF(ISERROR(FIND(""veneer"",WardrobeDoorMaterial))=TRUE,"""&amp;""",((2*(B171+C171))/1000)*VLOOKUP(""Edge banding (per M)"",SheetsData,5,0))))))))))"),"")</f>
        <v/>
      </c>
      <c r="G171" s="153" t="str">
        <f>IF(A171="","",IF(AND(ISERROR(FIND("arcass",A171))=TRUE,ISERROR(FIND("Fireplace",A171))=TRUE),"",IF(VALUE(C171)&lt;606,4*VLOOKUP("Plinth foot (2 Parts 80mm)",FurnitureData,5,FALSE),IF(VALUE(C171)&lt;1211,6*VLOOKUP("Plinth foot (2 Parts 80mm)",FurnitureData,5,FALSE),8*VLOOKUP("Plinth foot (2 Parts 80mm)",FurnitureData,5,FALSE)))))</f>
        <v/>
      </c>
      <c r="H171" s="115" t="str">
        <f>IF(OR(A171="",ISERROR(FIND("door",A171))=TRUE),"",VLOOKUP("Hinges &amp; plates (Hettich thick door)",FurnitureData,5,0)*5)</f>
        <v/>
      </c>
      <c r="I171" s="115" t="str">
        <f>IF(ISERROR(FIND("shelf",A171))=FALSE,(VLOOKUP("Shelf pegs",FurnitureData,5,0)/100)*4,"")</f>
        <v/>
      </c>
      <c r="J171" s="152" t="str">
        <f>IF(OR(ISERROR(FIND("fridge/freezer",A171))=FALSE,ISERROR(FIND("sink",A171))=FALSE,ISERROR(FIND("larder",A171))=FALSE),VLOOKUP("Deep shelf "&amp;C171,Wardrobes_etcData,18,0),IF(OR(ISERROR(FIND("single oven",A171))=FALSE,ISERROR(FIND("Base carcass",A171))=FALSE),2*VLOOKUP("Deep shelf "&amp;C171,Wardrobes_etcData,18,0),IF(AND(ISERROR(FIND("wall carcass",A171))=FALSE,ISERROR(FIND("Boiler",A171))=TRUE),2*VLOOKUP("Shallow shelf "&amp;C171,Wardrobes_etcData,18,0),IF(ISERROR(FIND("double oven",A171))=FALSE,3*VLOOKUP("Deep shelf "&amp;C171,Wardrobes_etcData,18,0),IF(ISERROR(FIND("Tower carcass",A171))=FALSE,6*VLOOKUP("Deep shelf "&amp;C171,Wardrobes_etcData,18,0),"")))))</f>
        <v/>
      </c>
      <c r="K171" s="152" t="str">
        <f>IF(ISERROR(FIND("sink",A171))=FALSE,VLOOKUP("Sink liner - Aluminium "&amp;RIGHT(A171,LEN(A171)-22)&amp;"mm",ExceptionalData,5,0),IF(ISERROR(FIND("bins",A171))=FALSE,VLOOKUP("Drawer runners and clip set for bin unit (500) Dynapro",FurnitureData,5,0)+(2*VLOOKUP("Bin (42L Anthracite)",FurnitureData,5,0)),IF(ISERROR(FIND("larder",A171))=FALSE,VLOOKUP("Pull out larder unit 600mm",FurnitureData,5,0),IF(AND(ISERROR(FIND("drawer box",A171))=FALSE,ISERROR(FIND("internal",A171))=TRUE),VLOOKUP("Drawer runners and clip set (550) Dynapro",FurnitureData,5,0),IF(ISERROR(FIND("internal drawer box",A171))=FALSE,VLOOKUP("Drawer runners and clip set (450) Dynapro",FurnitureData,5,0),IF(ISERROR(FIND("table",A171))=FALSE,VLOOKUP("Hairpin Leg (12mm Black "&amp;MID(A171,FIND("(",A171)+1,LEN(A171)-(FIND("(",A171))-1)&amp;"mm)",ExceptionalData,4,FALSE),""))))))</f>
        <v/>
      </c>
      <c r="L171" s="152" t="str">
        <f t="shared" si="3"/>
        <v/>
      </c>
      <c r="M171" s="154" t="str">
        <f>IF(A171="","",IF(AND(ISERROR(FIND("drawer front",A171))=FALSE,WardrobeDoorStyle="Flat"),(((B171/1000)*(C171/1000))*2)+((((B171+C171)/1000)*2)*0.022),IF(AND(ISERROR(FIND("drawer front",A171))=FALSE,LEFT(WardrobeDoorStyle,5)="Panel"),(((B171/1000)*(C171/1000))*2)+((((B171+C171)/1000)*2)*0.022)+((((C171/1000)-0.16)*0.013)*2)+((((D171/1000)-0.16)*0.013)*2),IF(AND(ISERROR(FIND("drawer front",A171))=FALSE,WardrobeDoorStyle="In-frame flat"),((((B171-76)/1000)*((C171-38)/1000))*2)+(MID(WardrobeDoorMaterial,FIND("(",WardrobeDoorMaterial)+1,2)/1000)*((((B171-76)+(C171-38))/1000)*2)+(((B171/1000)*0.032)*2)+((((B171-76)/1000)*0.032)*2)+(((B171/1000)*0.019)*4)+(((C171/1000)*0.032)*2)+((((C171-38)/1000)*0.032)*2)+(((C171/1000)*0.038)*4),IF(AND(ISERROR(FIND("drawer front",A171))=FALSE,LEFT(WardrobeDoorStyle,14)="In-frame panel"),((((B171-76)/1000)*((C171-38)/1000))*2)+((MID(WardrobeDoorMaterial,FIND("(",WardrobeDoorMaterial)+1,2)/1000)*((((B171-76)+(C171-38))/1000)*2))+((((B171-236)/1000)+((C171-198)/1000)*2)*0.013)+(((B171/1000)*0.032)*2)+((((B171-76)/1000)*0.032)*2)+(((B171/1000)*0.019)*4)+(((C171/1000)*0.032)*2)+((((C171-38)/1000)*0.032)*2)+(((C171/1000)*0.038)*4),IF(ISERROR(FIND("drawer box",A171))=FALSE,((((B171/1000)*(D171/1000))+((B171/1000)*(C171/1000)))*4)+((((D171/1000)+(C171/1000))*0.016)*4)+(((C171/1000)*(D171/1000))*2),IF(OR(ISERROR(FIND("shelf",A171))=FALSE,ISERROR(FIND("Filler panel",A171))=FALSE),(((C171/1000)*(D171/1000))*2)+((((C171+D171)*2)/1000)*0.022),IF(ISERROR(FIND("Fireplace",A171))=FALSE,((B171/1000)*(C171/1000)),IF(ISERROR(FIND("Worktop",A171))=FALSE,(B171/1000)*(C171/1000),IF(ISERROR(FIND("table",A171))=FALSE,(B171/1000)*0.6,IF(ISERROR(FIND("arcass",A171))=FALSE,(((C171/1000)*(D171/1000))*2)+(((B171/1000)*(D171/1000))*2)+((B171/1000)*(C171/1000))+((((B171/1000)*0.025)+((C171/1000)*0.025))*2),IF(AND(ISERROR(FIND("door",A171))=FALSE,WardrobeDoorStyle="Flat"),(((B171/1000)*(C171/1000))*2)+(MID(WardrobeDoorMaterial,FIND("(",WardrobeDoorMaterial)+1,2)/1000)*(((B171+C171)/1000)*2),IF(AND(ISERROR(FIND("door",A171))=FALSE,LEFT(WardrobeDoorStyle,5)="Panel"),(((B171/1000)*(C171/1000))*2)+((MID(WardrobeDoorMaterial,FIND("(",WardrobeDoorMaterial)+1,2)/1000)*(((B171+C171)/1000)*2))+(((((B171-160)+(C171-160))*2)/1000)*(0.013)),IF(AND(ISERROR(FIND("door",A171))=FALSE,WardrobeDoorStyle="In-frame flat"),((((B171-76)/1000)*((C171-38)/1000))*2)+(MID(WardrobeDoorMaterial,FIND("(",WardrobeDoorMaterial)+1,2)/1000)*((((B171-76)+(C171-38))/1000)*2)+(((B171/1000)*0.032)*2)+((((B171-76)/1000)*0.032)*2)+(((B171/1000)*0.019)*4)+(((C171/1000)*0.032)*2)+((((C171-38)/1000)*0.032)*2)+(((C171/1000)*0.038)*4),IF(AND(ISERROR(FIND("door",A171))=FALSE,LEFT(WardrobeDoorStyle,14)="In-frame panel"),((((B171-76)/1000)*((C171-38)/1000))*2)+((MID(WardrobeDoorMaterial,FIND("(",WardrobeDoorMaterial)+1,2)/1000)*((((B171-76)+(C171-38))/1000)*2))+((((B171-236)/1000)+((C171-198)/1000)*2)*0.013)+(((B171/1000)*0.032)*2)+((((B171-76)/1000)*0.032)*2)+(((B171/1000)*0.019)*4)+(((C171/1000)*0.032)*2)+((((C171-38)/1000)*0.032)*2)+(((C171/1000)*0.038)*4),IF(ISERROR(FIND("Plinth",A171))=FALSE,((B171/1000)*(C171/1000))+(((C171/1000)*0.018)*2)+(((B171/1000)*0.018)*2),IF(ISERROR(FIND("Cornice",A171))=FALSE,(((C171/1000)*0.1)*2)+(((C171/1000)*0.044)*2)+(((B171/1000)*0.08)*2),IF(ISERROR(FIND("Office pod",A171))=FALSE,((2400/1000)*(1200/1000))*6,IF(ISERROR(FIND("panel",A171))=FALSE,((B171/1000)*(C171/1000))+(0.022*((B171/1000)+((C171/1000)*2)))+((B171/1000)*0.05),IF(ISERROR(FIND("Fillers",A171))=FALSE,((C171/1000)*0.06)+((C171/1000)*0.069)+((0.06*0.018)*2)+((0.06*0.009)*2)+((C171/1000)*0.009)+((C171/1000)*0.018),IF(ISERROR(FIND("Pelmet",A171))=FALSE,((C171/1000)*0.05)+((C171/1000)*0.068)+((0.05*0.018)*4)+(((C171/1000)*0.018))*2)))))))))))))))))))))</f>
        <v/>
      </c>
      <c r="N171" s="152" t="str">
        <f>IF(M171="","",IF(AND(ISERROR(FIND("carcass",A171))=TRUE,ISERROR(FIND("unit",A171))=TRUE,ISERROR(FIND("insert",A171))=TRUE,ISERROR(FIND("rack",A171))=TRUE,ISERROR(FIND("box",A171))=TRUE,ISERROR(FIND("shelf",A171))=TRUE),VLOOKUP(WardrobeDoorFinish,Finishing!$A$2:$K$10,9,0)*M171,IF(ISERROR(FIND("table",A171))=FALSE,VLOOKUP("Sayerlack AF0072 Interior Clear Self-Sealer",FinishingData,9,FALSE)*M171,VLOOKUP(WardrobeCarcassFinish,Finishing!$A$2:$K$40,9,0)*M171)))</f>
        <v/>
      </c>
      <c r="O171" s="155"/>
      <c r="P171" s="155"/>
      <c r="Q171" s="152" t="str">
        <f>IF(OR(O171="",P171=""),"",((O171*X171)*(VLOOKUP("Workshop",Labour!$A$3:$E$20,4,0)/8))+((P171*AE171)*(VLOOKUP("Finishing",Labour!$A$3:$E$20,4,0)/8)))</f>
        <v/>
      </c>
      <c r="R171" s="152" t="str">
        <f t="shared" si="4"/>
        <v/>
      </c>
      <c r="S171" s="156" t="str">
        <f>IF(OR(O171="",P171=""),"",IF(OR(ISERROR(FIND("carcass",$A171))=FALSE,ISERROR(FIND("unit",$A171))=FALSE),VLOOKUP(WardrobeCarcassMaterial,FixedListsCarcassMaterial,2,0),0))</f>
        <v/>
      </c>
      <c r="T171" s="156" t="str">
        <f>IF(OR(O171="",P171=""),"",IF(ISERROR(FIND("door",$A171))=FALSE,VLOOKUP(WardrobeDoorStyle,FixedListsDoorStyle,2,0),0))</f>
        <v/>
      </c>
      <c r="U171" s="156" t="str">
        <f>IF(OR(O171="",P171=""),"",IF(ISERROR(FIND("door",$A171))=FALSE,VLOOKUP(WardrobeDoorMaterial,FixedListsDoorMaterial,2,0),0))</f>
        <v/>
      </c>
      <c r="V171" s="156" t="str">
        <f>IF(OR(O171="",P171=""),"",IF(ISERROR(FIND("drawer",$A171))=FALSE,VLOOKUP(WardrobeDrawerType,FixedListsDrawerType,2,0),0))</f>
        <v/>
      </c>
      <c r="W171" s="156" t="str">
        <f>IF(OR(O171="",P171=""),"",IF(S171&gt;0,VLOOKUP(WardrobeHandleType,FixedListsHandleType,2,FALSE),0))</f>
        <v/>
      </c>
      <c r="X171" s="156" t="str">
        <f t="shared" si="5"/>
        <v/>
      </c>
      <c r="Y171" s="156" t="str">
        <f>IF(OR(O171="",P171=""),"",IF(OR(ISERROR(FIND("carcass",$A171))=FALSE,ISERROR(FIND("unit",$A171))=FALSE),VLOOKUP(WardrobeCarcassMaterial,FixedListsCarcassMaterial,3,0),0))</f>
        <v/>
      </c>
      <c r="Z171" s="156" t="str">
        <f>IF(OR(O171="",P171=""),"",IF(ISERROR(FIND("door",$A171))=FALSE,VLOOKUP(WardrobeDoorStyle,FixedListsDoorStyle,3,0),0))</f>
        <v/>
      </c>
      <c r="AA171" s="156" t="str">
        <f>IF(OR(O171="",P171=""),"",IF(ISERROR(FIND("door",$A171))=FALSE,VLOOKUP(WardrobeDoorMaterial,FixedListsDoorMaterial,3,0),0))</f>
        <v/>
      </c>
      <c r="AB171" s="156" t="str">
        <f>IF(OR(O171="",P171=""),"",IF(ISERROR(FIND("drawer",$A171))=FALSE,VLOOKUP(WardrobeDrawerType,FixedListsDrawerType,3,0),0))</f>
        <v/>
      </c>
      <c r="AC171" s="156" t="str">
        <f>IF(OR(O171="",P171=""),"",IF(S171&gt;0,VLOOKUP(WardrobeHandleType,FixedListsHandleType,3,FALSE),0))</f>
        <v/>
      </c>
      <c r="AD171" s="156" t="str">
        <f>IF(OR(O171="",P171=""),"",IF(OR(ISERROR(FIND("carcass",$A171))=FALSE,ISERROR(FIND("unit",$A171))=FALSE),VLOOKUP(WardrobeCarcassFinish,FixedListsFinishes,3,0),IF(OR(ISERROR(FIND("door",$A171))=FALSE,ISERROR(FIND("Plinth",$A171))=FALSE,ISERROR(FIND("Cornice",$A171))=FALSE,ISERROR(FIND("Fillers",$A171))=FALSE,ISERROR(FIND("Pelmet",$A171))=FALSE,ISERROR(FIND("panel",$A171))=FALSE,ISERROR(FIND("post",$A171))=FALSE),VLOOKUP(WardrobeDoorFinish,FixedListsFinishes,3,0),IF(OR(ISERROR(FIND("drawer",$A171))=FALSE,ISERROR(FIND("insert",$A171))=FALSE,ISERROR(FIND("rck",$A171))=FALSE),VLOOKUP(WardrobeCarcassFinish,FixedListsFinishes,3,0),0))))</f>
        <v/>
      </c>
      <c r="AE171" s="156" t="str">
        <f t="shared" si="6"/>
        <v/>
      </c>
      <c r="AF171" s="157" t="str">
        <f>IF(AND(WardrobeHandleType="Channel",OR(ISERROR(FIND("arcass",$A171))=FALSE,ISERROR(FIND("unit",$A171))=FALSE)),IF(ISERROR(FIND("Tower",$A171))=TRUE,IF(WardrobeHandleFinish="Match carcass",IF(ISERROR(FIND("Walnut",WardrobeCarcassMaterial))=FALSE,(0.035*0.075*($C171/1000))*VLOOKUP("Walnut (solid m3)",SolidData,4,FALSE),IF(ISERROR(FIND("Oak",WardrobeCarcassMaterial))=FALSE,(0.035*0.075*($C171/1000))*VLOOKUP("Oak (solid m3)",SolidData,4,FALSE),IF(ISERROR(FIND("ply",WardrobeCarcassMaterial))=FALSE,(0.1*($C171/1000))*VLOOKUP("Birch ply (24mm)",SheetsData,7,FALSE),IF(ISERROR(FIND("H/F",WardrobeCarcassMaterial))=FALSE,(0.1*($C171/1000))*VLOOKUP("H/F (22mm)",SheetsData,7,FALSE),"Carcass - not tower - new material")))),IF(WardrobeHandleFinish="Match door",IF(ISERROR(FIND("Walnut",WardrobeDoorMaterial))=FALSE,(0.035*0.075*($C171/1000))*VLOOKUP("Walnut (solid m3)",SolidData,4,FALSE),IF(ISERROR(FIND("Oak",WardrobeDoorMaterial))=FALSE,(0.035*0.075*($C171/1000))*VLOOKUP("Oak (solid m3)",SolidData,4,FALSE),IF(ISERROR(FIND("ply",WardrobeDoorMaterial))=FALSE,(0.1*($C171/1000))*VLOOKUP("Birch ply (24mm)",SheetsData,7,FALSE),IF(ISERROR(FIND("H/F",WardrobeCarcassMaterial))=FALSE,(0.1*($C171/1000))*VLOOKUP("H/F (22mm)",SheetsData,7,FALSE),"Door - not tower - new material")))),"Channel - not tower - handle set to other")),IF(ISERROR(FIND("Tower",$A171))=FALSE,IF(WardrobeHandleFinish="Match carcass",IF(ISERROR(FIND("Walnut",WardrobeCarcassMaterial))=FALSE,(0.035*0.075*($B171/1000))*VLOOKUP("Walnut (solid m3)",SolidData,4,FALSE),IF(ISERROR(FIND("Oak",WardrobeCarcassMaterial))=FALSE,(0.035*0.075*($B171/1000))*VLOOKUP("Oak (solid m3)",SolidData,4,FALSE),IF(ISERROR(FIND("ply",WardrobeCarcassMaterial))=FALSE,(0.1*($B171/1000))*VLOOKUP("Birch ply (24mm)",SheetsData,7,FALSE),IF(ISERROR(FIND("H/F",WardrobeCarcassMaterial))=FALSE,(0.1*($C171/1000))*VLOOKUP("H/F (22mm)",SheetsData,7,FALSE),"Carcass - tower - new material")))),IF(WardrobeHandleFinish="Match door",IF(ISERROR(FIND("Walnut",WardrobeDoorMaterial))=FALSE,(0.035*0.075*($B171/1000))*VLOOKUP("Walnut (solid m3)",SolidData,4,FALSE),IF(ISERROR(FIND("Oak",WardrobeDoorMaterial))=FALSE,(0.035*0.075*($B171/1000))*VLOOKUP("Oak (solid m3)",SolidData,4,FALSE),IF(ISERROR(FIND("ply",WardrobeDoorMaterial))=FALSE,(0.1*($B171/1000))*VLOOKUP("Birch ply (24mm)",SheetData,7,FALSE),IF(ISERROR(FIND("H/F",WardrobeCarcassMaterial))=FALSE,(0.1*($C171/1000))*VLOOKUP("H/F (22mm)",SheetsData,7,FALSE),"Door - tower - new material")))),"Channel - tower - handle set to other")))),"")</f>
        <v/>
      </c>
    </row>
    <row r="172">
      <c r="A172" s="150"/>
      <c r="B172" s="160" t="str">
        <f t="shared" si="1"/>
        <v/>
      </c>
      <c r="C172" s="160" t="str">
        <f>IFERROR(__xludf.DUMMYFUNCTION("IF(A172="""","""",IF(ISERROR(FIND(""arcass"",A172))=FALSE,MID(A172,FIND(""*"",A172)+1,FIND(""*"",A172,FIND(""*"",A172)+1)-FIND(""*"",A172)-1),IF(ISERROR(FIND(""End panel"",A172))=FALSE,RIGHT(A172,3),IF(OR(ISERROR(FIND(""drawer"",A172))=FALSE,ISERROR(FIND("&amp;"""door"",A172))=FALSE,ISERROR(FIND(""shelf"",A172))=FALSE,ISERROR(FIND(""panel"",A172))=FALSE,ISERROR(FIND(""Plinth"",A172))=FALSE,ISERROR(FIND(""Cornice"",A172))=FALSE,ISERROR(FIND(""Fillers"",A172))=FALSE,ISERROR(FIND(""Pelmet"",A172))=FALSE,ISERROR(FIN"&amp;"D(""Fireplace up to 1600"",A172))=FALSE),RIGHT(A172,LEN(A172)-LEN(regexextract(A172,"".* ""))),IF(ISERROR(FIND(""table"",A172))=FALSE,""560"",IF(ISERROR(FIND(""Office pod"",A172))=FALSE,""1600"",IF(ISERROR(FIND(""Fireplace over 1600"",A172))=FALSE,""2400"&amp;""",IF(ISERROR(FIND(""Worktop"",A172))=FALSE,""650"",""Whoops""))))))))"),"")</f>
        <v/>
      </c>
      <c r="D172" s="161" t="str">
        <f t="shared" si="2"/>
        <v/>
      </c>
      <c r="E172" s="152" t="str">
        <f>IF(OR(A172="",AND(ISERROR(FIND("drawer",A172))=FALSE,WardrobeDrawerType="")),"",IF(ISERROR(FIND("door",A172))=FALSE,IF(WardrobeDoorStyle="Flat",((B172/1000)*(C172/1000))*VLOOKUP(WardrobeDoorMaterial,SheetsData,8,0),IF(LEFT(WardrobeDoorStyle,5)="Panel",(((((B172/1000)*2)*0.08)+((((C172/1000)-0.16)*2)*0.08))*VLOOKUP("H/F (22mm)",SheetsData,8,0))+(((B172/1000)-0.14)*((C172/1000)-0.14)*VLOOKUP("H/F (9mm)",SheetsData,8,0)),IF(WardrobeDoorStyle="In-frame flat",((((((B172/1000)*0.019)*0.038)+((((C172-38)/1000)*0.038)*0.038))*2)*VLOOKUP("Tulip (solid m3)",SolidData,4,0))+(((B172-76)/1000)*((C172-38)/1000))*VLOOKUP("H/F (22mm)",SheetsData,8,0),IF(LEFT(WardrobeDoorStyle,14)="In-frame panel",(((((((B172/1000)*0.019)*0.038)+((((C172-38)/1000)*0.038)*0.038))*2)*VLOOKUP("Tulip (solid m3)",SolidData,4,0))+(((((((B172-76)/1000)*2)*0.08)+(((((C172-198)/1000)*2)*0.08)))*VLOOKUP("H/F (22mm)",SheetsData,8,0))+(((B172-216)/1000)*((C172-178)/1000)*VLOOKUP("H/F (9mm)",SheetsData,8,0)))))))),IF(AND(ISERROR(FIND("arcass",A172))=FALSE,ISERROR(FIND("ost corner",A172))=TRUE),IF(AND(VALUE(B172)&lt;1211,VALUE(C172)&lt;1211,VALUE(D172)&lt;606),1*VLOOKUP(WardrobeCarcassMaterial,SheetsData,5,FALSE),IF(AND(VALUE(B172)&lt;2421,VALUE(C172)&lt;2421,VALUE(D172)&lt;606),2*VLOOKUP(WardrobeCarcassMaterial,SheetsData,5,FALSE),IF(AND(VALUE(B172)&lt;2421,VALUE(C172)&lt;1211,VALUE(D172)&lt;1211),3*VLOOKUP(WardrobeCarcassMaterial,SheetsData,5,FALSE),IF(AND(VALUE(B172)&lt;2421,VALUE(C172)&lt;2421,VALUE(D172)&lt;1211),4*VLOOKUP(WardrobeCarcassMaterial,SheetsData,5,FALSE))))),IF(AND(ISERROR(FIND("arcass",A172))=FALSE,ISERROR(FIND("ost corner",A172))=FALSE),IF(AND(VALUE(B172)&lt;1211,VALUE(C172)&lt;1211,VALUE(D172)&lt;606),(1*VLOOKUP(WardrobeCarcassMaterial,SheetsData,5,FALSE))+(VLOOKUP("H/F (22mm)",SheetsData,7,FALSE)*1.44),IF(AND(VALUE(B172)&lt;2421,VALUE(C172)&lt;2421,VALUE(D172)&lt;606),(2*VLOOKUP(WardrobeCarcassMaterial,SheetsData,5,FALSE))+(VLOOKUP("H/F (22mm)",SheetsData,7,FALSE)*1.44),IF(AND(VALUE(B172)&lt;2421,VALUE(C172)&lt;1211,VALUE(D172)&lt;1211),(3*VLOOKUP(WardrobeCarcassMaterial,SheetsData,5,FALSE))+(VLOOKUP("H/F (22mm)",SheetsData,7,FALSE)*1.44),IF(AND(VALUE(B172)&lt;2421,VALUE(C172)&lt;2421,VALUE(D172)&lt;1211),(4*VLOOKUP(WardrobeCarcassMaterial,SheetsData,5,FALSE))+(VLOOKUP("H/F (22mm)",SheetsData,7,FALSE)*1.44))))),IF(ISERROR(FIND("drawer front",A172))=FALSE,((B172/1000)*(C172/1000))*VLOOKUP(WardrobeDoorMaterial,SheetsData,8,0),IF(AND(WardrobeDrawerType="Match carcass",ISERROR(FIND("drawer box",A172))=FALSE),(((((B172/1000)*(C172/1000))+((B172/1000)*(D172/1000)))*2)*VLOOKUP(WardrobeCarcassMaterial,SheetsData,8,0))+(((C172/1000)*(D172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box",A172))=FALSE),(((((B172/1000)*(C172/1000))+((B172/1000)*(D172/1000)))*2)*(16/1000)*VLOOKUP(LEFT(WardrobeCarcassMaterial,FIND(" ",WardrobeCarcassMaterial))&amp;"(solid m3)",SolidData,4,0))+(((C172/1000)*(D172/1000))*VLOOKUP(LEFT(WardrobeCarcassMaterial,FIND("(",WardrobeCarcassMaterial)-1)&amp;IF(OR(ISERROR(FIND("ply",WardrobeCarcassMaterial))=FALSE,ISERROR(FIND("H/F",WardrobeCarcassMaterial))=FALSE),"(9mm)","(10mm)"),SheetsData,8,0)),IF(ISERROR(FIND("shelf",A172))=FALSE,((C172/1000)*(D172/1000))*VLOOKUP(WardrobeCarcassMaterial,SheetsData,7,FALSE),IF(ISERROR(FIND("Office pod",A172))=FALSE,3*VLOOKUP(WardrobeCarcassMaterial,SheetsData,5,0),IF(ISERROR(FIND(" panel",A172))=FALSE,((B172/1000)*(C172/1000))*VLOOKUP(WardrobeDoorMaterial,SheetsData,8,0),IF(ISERROR(FIND("Fillers",A172))=FALSE,(((0.06*(C172/1000))*2)*VLOOKUP("H/F (18mm)",SheetsData,8,0))+(((0.06*(C172/1000))*2)*VLOOKUP("H/F (9mm)",SheetsData,8,0)),IF(ISERROR(FIND("Cornice (stacked)",A172))=FALSE,((0.08*(C172/1000))*2)*VLOOKUP("H/F (22mm)",SheetsData,8,0),IF(OR(ISERROR(FIND("Plinth",A172))=FALSE,ISERROR(FIND("Cornice (flat)",A172))=FALSE),((B172/1000)*(C172/1000))*VLOOKUP("H/F (18mm)",SheetsData,8,0),IF(ISERROR(FIND("Pelmet",A172))=FALSE,((((B172/1000)*(C172/1000))*2)*VLOOKUP("H/F (18mm)",SheetsData,8,0)),IF(ISERROR(FIND("Fireplace",A172))=FALSE,IF(ISERROR(FIND("over 1600",A172))=FALSE,2*VLOOKUP(WardrobeCarcassMaterial,SheetsData,5,FALSE),VLOOKUP(WardrobeCarcassMaterial,SheetsData,5,FALSE)),IF(ISERROR(FIND("table",A172))=FALSE,((B172/1000)*0.6)*VLOOKUP("Birch ply (24mm)",SheetsData,7,FALSE),IF(ISERROR(FIND("Worktop",A172))=FALSE,((B172/1000)*(C172/1000))*VLOOKUP(WardrobeDoorMaterial,SheetsData,7,FALSE),"Check formula")))))))))))))))))</f>
        <v/>
      </c>
      <c r="F172" s="152" t="str">
        <f>IFERROR(__xludf.DUMMYFUNCTION("IF(OR(A172="""",AND(ISERROR(FIND(""drawer box"",A172))=FALSE,WardrobeDrawerType=""Solid dovetail"")),"""",IF(ISERROR(FIND(""bins"",A172))=FALSE,VLOOKUP(""Base carcass 600"",Wardrobes_etcData,6,0),IF(OR(ISERROR(FIND(""larder"",A172))=FALSE,ISERROR(FIND(""u"&amp;"nit"",A172))=FALSE),VLOOKUP(LEFT(A172,FIND("" "",A172))&amp;""carcass ""&amp;RIGHT(A172,LEN(A172)-len(regexextract(A172,"".* ""))),Wardrobes_etcData,6,0),IF(ISERROR(FIND(""drawer front"",A172))=FALSE,IF(ISERROR(FIND(""veneer"",WardrobeCarcassMaterial))=TRUE,0,((("&amp;"B172+C172)/1000)*2)*VLOOKUP(""Edge banding (per M)"",SheetsData,5,0)),IF(ISERROR(FIND(""drawer box"",A172))=FALSE,IF(ISERROR(FIND(""veneer"",WardrobeCarcassMaterial))=TRUE,0,(((C172+D172)/1000)*2)*VLOOKUP(""Edge banding (per M)"",SheetsData,5,0)),IF(ISERR"&amp;"OR(FIND(""shelf"",A172))=FALSE,IF(ISERROR(FIND(""veneer"",WardrobeCarcassMaterial))=TRUE,0,(C172/1000)*VLOOKUP(""Edge banding (per M)"",SheetsData,5,0)),IF(AND(OR(ISERROR(FIND(""arcass"",A172))=FALSE,ISERROR(FIND(""Fireplace"",A172))=FALSE),ISERROR(FIND("&amp;"""shelf"",A172))=TRUE),IF(ISERROR(FIND(""veneer"",WardrobeCarcassMaterial))=TRUE,0,((2*(B172+C172))/1000)*VLOOKUP(""Edge banding (per M)"",SheetsData,5,0)),IF(ISERROR(FIND(""door"",A172))=TRUE,"""",IF(ISERROR(FIND(""veneer"",WardrobeDoorMaterial))=TRUE,"""&amp;""",((2*(B172+C172))/1000)*VLOOKUP(""Edge banding (per M)"",SheetsData,5,0))))))))))"),"")</f>
        <v/>
      </c>
      <c r="G172" s="153" t="str">
        <f>IF(A172="","",IF(AND(ISERROR(FIND("arcass",A172))=TRUE,ISERROR(FIND("Fireplace",A172))=TRUE),"",IF(VALUE(C172)&lt;606,4*VLOOKUP("Plinth foot (2 Parts 80mm)",FurnitureData,5,FALSE),IF(VALUE(C172)&lt;1211,6*VLOOKUP("Plinth foot (2 Parts 80mm)",FurnitureData,5,FALSE),8*VLOOKUP("Plinth foot (2 Parts 80mm)",FurnitureData,5,FALSE)))))</f>
        <v/>
      </c>
      <c r="H172" s="115" t="str">
        <f>IF(OR(A172="",ISERROR(FIND("door",A172))=TRUE),"",VLOOKUP("Hinges &amp; plates (Hettich thick door)",FurnitureData,5,0)*5)</f>
        <v/>
      </c>
      <c r="I172" s="115" t="str">
        <f>IF(ISERROR(FIND("shelf",A172))=FALSE,(VLOOKUP("Shelf pegs",FurnitureData,5,0)/100)*4,"")</f>
        <v/>
      </c>
      <c r="J172" s="152" t="str">
        <f>IF(OR(ISERROR(FIND("fridge/freezer",A172))=FALSE,ISERROR(FIND("sink",A172))=FALSE,ISERROR(FIND("larder",A172))=FALSE),VLOOKUP("Deep shelf "&amp;C172,Wardrobes_etcData,18,0),IF(OR(ISERROR(FIND("single oven",A172))=FALSE,ISERROR(FIND("Base carcass",A172))=FALSE),2*VLOOKUP("Deep shelf "&amp;C172,Wardrobes_etcData,18,0),IF(AND(ISERROR(FIND("wall carcass",A172))=FALSE,ISERROR(FIND("Boiler",A172))=TRUE),2*VLOOKUP("Shallow shelf "&amp;C172,Wardrobes_etcData,18,0),IF(ISERROR(FIND("double oven",A172))=FALSE,3*VLOOKUP("Deep shelf "&amp;C172,Wardrobes_etcData,18,0),IF(ISERROR(FIND("Tower carcass",A172))=FALSE,6*VLOOKUP("Deep shelf "&amp;C172,Wardrobes_etcData,18,0),"")))))</f>
        <v/>
      </c>
      <c r="K172" s="152" t="str">
        <f>IF(ISERROR(FIND("sink",A172))=FALSE,VLOOKUP("Sink liner - Aluminium "&amp;RIGHT(A172,LEN(A172)-22)&amp;"mm",ExceptionalData,5,0),IF(ISERROR(FIND("bins",A172))=FALSE,VLOOKUP("Drawer runners and clip set for bin unit (500) Dynapro",FurnitureData,5,0)+(2*VLOOKUP("Bin (42L Anthracite)",FurnitureData,5,0)),IF(ISERROR(FIND("larder",A172))=FALSE,VLOOKUP("Pull out larder unit 600mm",FurnitureData,5,0),IF(AND(ISERROR(FIND("drawer box",A172))=FALSE,ISERROR(FIND("internal",A172))=TRUE),VLOOKUP("Drawer runners and clip set (550) Dynapro",FurnitureData,5,0),IF(ISERROR(FIND("internal drawer box",A172))=FALSE,VLOOKUP("Drawer runners and clip set (450) Dynapro",FurnitureData,5,0),IF(ISERROR(FIND("table",A172))=FALSE,VLOOKUP("Hairpin Leg (12mm Black "&amp;MID(A172,FIND("(",A172)+1,LEN(A172)-(FIND("(",A172))-1)&amp;"mm)",ExceptionalData,4,FALSE),""))))))</f>
        <v/>
      </c>
      <c r="L172" s="152" t="str">
        <f t="shared" si="3"/>
        <v/>
      </c>
      <c r="M172" s="154" t="str">
        <f>IF(A172="","",IF(AND(ISERROR(FIND("drawer front",A172))=FALSE,WardrobeDoorStyle="Flat"),(((B172/1000)*(C172/1000))*2)+((((B172+C172)/1000)*2)*0.022),IF(AND(ISERROR(FIND("drawer front",A172))=FALSE,LEFT(WardrobeDoorStyle,5)="Panel"),(((B172/1000)*(C172/1000))*2)+((((B172+C172)/1000)*2)*0.022)+((((C172/1000)-0.16)*0.013)*2)+((((D172/1000)-0.16)*0.013)*2),IF(AND(ISERROR(FIND("drawer front",A172))=FALSE,WardrobeDoorStyle="In-frame flat"),((((B172-76)/1000)*((C172-38)/1000))*2)+(MID(WardrobeDoorMaterial,FIND("(",WardrobeDoorMaterial)+1,2)/1000)*((((B172-76)+(C172-38))/1000)*2)+(((B172/1000)*0.032)*2)+((((B172-76)/1000)*0.032)*2)+(((B172/1000)*0.019)*4)+(((C172/1000)*0.032)*2)+((((C172-38)/1000)*0.032)*2)+(((C172/1000)*0.038)*4),IF(AND(ISERROR(FIND("drawer front",A172))=FALSE,LEFT(WardrobeDoorStyle,14)="In-frame panel"),((((B172-76)/1000)*((C172-38)/1000))*2)+((MID(WardrobeDoorMaterial,FIND("(",WardrobeDoorMaterial)+1,2)/1000)*((((B172-76)+(C172-38))/1000)*2))+((((B172-236)/1000)+((C172-198)/1000)*2)*0.013)+(((B172/1000)*0.032)*2)+((((B172-76)/1000)*0.032)*2)+(((B172/1000)*0.019)*4)+(((C172/1000)*0.032)*2)+((((C172-38)/1000)*0.032)*2)+(((C172/1000)*0.038)*4),IF(ISERROR(FIND("drawer box",A172))=FALSE,((((B172/1000)*(D172/1000))+((B172/1000)*(C172/1000)))*4)+((((D172/1000)+(C172/1000))*0.016)*4)+(((C172/1000)*(D172/1000))*2),IF(OR(ISERROR(FIND("shelf",A172))=FALSE,ISERROR(FIND("Filler panel",A172))=FALSE),(((C172/1000)*(D172/1000))*2)+((((C172+D172)*2)/1000)*0.022),IF(ISERROR(FIND("Fireplace",A172))=FALSE,((B172/1000)*(C172/1000)),IF(ISERROR(FIND("Worktop",A172))=FALSE,(B172/1000)*(C172/1000),IF(ISERROR(FIND("table",A172))=FALSE,(B172/1000)*0.6,IF(ISERROR(FIND("arcass",A172))=FALSE,(((C172/1000)*(D172/1000))*2)+(((B172/1000)*(D172/1000))*2)+((B172/1000)*(C172/1000))+((((B172/1000)*0.025)+((C172/1000)*0.025))*2),IF(AND(ISERROR(FIND("door",A172))=FALSE,WardrobeDoorStyle="Flat"),(((B172/1000)*(C172/1000))*2)+(MID(WardrobeDoorMaterial,FIND("(",WardrobeDoorMaterial)+1,2)/1000)*(((B172+C172)/1000)*2),IF(AND(ISERROR(FIND("door",A172))=FALSE,LEFT(WardrobeDoorStyle,5)="Panel"),(((B172/1000)*(C172/1000))*2)+((MID(WardrobeDoorMaterial,FIND("(",WardrobeDoorMaterial)+1,2)/1000)*(((B172+C172)/1000)*2))+(((((B172-160)+(C172-160))*2)/1000)*(0.013)),IF(AND(ISERROR(FIND("door",A172))=FALSE,WardrobeDoorStyle="In-frame flat"),((((B172-76)/1000)*((C172-38)/1000))*2)+(MID(WardrobeDoorMaterial,FIND("(",WardrobeDoorMaterial)+1,2)/1000)*((((B172-76)+(C172-38))/1000)*2)+(((B172/1000)*0.032)*2)+((((B172-76)/1000)*0.032)*2)+(((B172/1000)*0.019)*4)+(((C172/1000)*0.032)*2)+((((C172-38)/1000)*0.032)*2)+(((C172/1000)*0.038)*4),IF(AND(ISERROR(FIND("door",A172))=FALSE,LEFT(WardrobeDoorStyle,14)="In-frame panel"),((((B172-76)/1000)*((C172-38)/1000))*2)+((MID(WardrobeDoorMaterial,FIND("(",WardrobeDoorMaterial)+1,2)/1000)*((((B172-76)+(C172-38))/1000)*2))+((((B172-236)/1000)+((C172-198)/1000)*2)*0.013)+(((B172/1000)*0.032)*2)+((((B172-76)/1000)*0.032)*2)+(((B172/1000)*0.019)*4)+(((C172/1000)*0.032)*2)+((((C172-38)/1000)*0.032)*2)+(((C172/1000)*0.038)*4),IF(ISERROR(FIND("Plinth",A172))=FALSE,((B172/1000)*(C172/1000))+(((C172/1000)*0.018)*2)+(((B172/1000)*0.018)*2),IF(ISERROR(FIND("Cornice",A172))=FALSE,(((C172/1000)*0.1)*2)+(((C172/1000)*0.044)*2)+(((B172/1000)*0.08)*2),IF(ISERROR(FIND("Office pod",A172))=FALSE,((2400/1000)*(1200/1000))*6,IF(ISERROR(FIND("panel",A172))=FALSE,((B172/1000)*(C172/1000))+(0.022*((B172/1000)+((C172/1000)*2)))+((B172/1000)*0.05),IF(ISERROR(FIND("Fillers",A172))=FALSE,((C172/1000)*0.06)+((C172/1000)*0.069)+((0.06*0.018)*2)+((0.06*0.009)*2)+((C172/1000)*0.009)+((C172/1000)*0.018),IF(ISERROR(FIND("Pelmet",A172))=FALSE,((C172/1000)*0.05)+((C172/1000)*0.068)+((0.05*0.018)*4)+(((C172/1000)*0.018))*2)))))))))))))))))))))</f>
        <v/>
      </c>
      <c r="N172" s="152" t="str">
        <f>IF(M172="","",IF(AND(ISERROR(FIND("carcass",A172))=TRUE,ISERROR(FIND("unit",A172))=TRUE,ISERROR(FIND("insert",A172))=TRUE,ISERROR(FIND("rack",A172))=TRUE,ISERROR(FIND("box",A172))=TRUE,ISERROR(FIND("shelf",A172))=TRUE),VLOOKUP(WardrobeDoorFinish,Finishing!$A$2:$K$10,9,0)*M172,IF(ISERROR(FIND("table",A172))=FALSE,VLOOKUP("Sayerlack AF0072 Interior Clear Self-Sealer",FinishingData,9,FALSE)*M172,VLOOKUP(WardrobeCarcassFinish,Finishing!$A$2:$K$40,9,0)*M172)))</f>
        <v/>
      </c>
      <c r="O172" s="155"/>
      <c r="P172" s="155"/>
      <c r="Q172" s="152" t="str">
        <f>IF(OR(O172="",P172=""),"",((O172*X172)*(VLOOKUP("Workshop",Labour!$A$3:$E$20,4,0)/8))+((P172*AE172)*(VLOOKUP("Finishing",Labour!$A$3:$E$20,4,0)/8)))</f>
        <v/>
      </c>
      <c r="R172" s="152" t="str">
        <f t="shared" si="4"/>
        <v/>
      </c>
      <c r="S172" s="156" t="str">
        <f>IF(OR(O172="",P172=""),"",IF(OR(ISERROR(FIND("carcass",$A172))=FALSE,ISERROR(FIND("unit",$A172))=FALSE),VLOOKUP(WardrobeCarcassMaterial,FixedListsCarcassMaterial,2,0),0))</f>
        <v/>
      </c>
      <c r="T172" s="156" t="str">
        <f>IF(OR(O172="",P172=""),"",IF(ISERROR(FIND("door",$A172))=FALSE,VLOOKUP(WardrobeDoorStyle,FixedListsDoorStyle,2,0),0))</f>
        <v/>
      </c>
      <c r="U172" s="156" t="str">
        <f>IF(OR(O172="",P172=""),"",IF(ISERROR(FIND("door",$A172))=FALSE,VLOOKUP(WardrobeDoorMaterial,FixedListsDoorMaterial,2,0),0))</f>
        <v/>
      </c>
      <c r="V172" s="156" t="str">
        <f>IF(OR(O172="",P172=""),"",IF(ISERROR(FIND("drawer",$A172))=FALSE,VLOOKUP(WardrobeDrawerType,FixedListsDrawerType,2,0),0))</f>
        <v/>
      </c>
      <c r="W172" s="156" t="str">
        <f>IF(OR(O172="",P172=""),"",IF(S172&gt;0,VLOOKUP(WardrobeHandleType,FixedListsHandleType,2,FALSE),0))</f>
        <v/>
      </c>
      <c r="X172" s="156" t="str">
        <f t="shared" si="5"/>
        <v/>
      </c>
      <c r="Y172" s="156" t="str">
        <f>IF(OR(O172="",P172=""),"",IF(OR(ISERROR(FIND("carcass",$A172))=FALSE,ISERROR(FIND("unit",$A172))=FALSE),VLOOKUP(WardrobeCarcassMaterial,FixedListsCarcassMaterial,3,0),0))</f>
        <v/>
      </c>
      <c r="Z172" s="156" t="str">
        <f>IF(OR(O172="",P172=""),"",IF(ISERROR(FIND("door",$A172))=FALSE,VLOOKUP(WardrobeDoorStyle,FixedListsDoorStyle,3,0),0))</f>
        <v/>
      </c>
      <c r="AA172" s="156" t="str">
        <f>IF(OR(O172="",P172=""),"",IF(ISERROR(FIND("door",$A172))=FALSE,VLOOKUP(WardrobeDoorMaterial,FixedListsDoorMaterial,3,0),0))</f>
        <v/>
      </c>
      <c r="AB172" s="156" t="str">
        <f>IF(OR(O172="",P172=""),"",IF(ISERROR(FIND("drawer",$A172))=FALSE,VLOOKUP(WardrobeDrawerType,FixedListsDrawerType,3,0),0))</f>
        <v/>
      </c>
      <c r="AC172" s="156" t="str">
        <f>IF(OR(O172="",P172=""),"",IF(S172&gt;0,VLOOKUP(WardrobeHandleType,FixedListsHandleType,3,FALSE),0))</f>
        <v/>
      </c>
      <c r="AD172" s="156" t="str">
        <f>IF(OR(O172="",P172=""),"",IF(OR(ISERROR(FIND("carcass",$A172))=FALSE,ISERROR(FIND("unit",$A172))=FALSE),VLOOKUP(WardrobeCarcassFinish,FixedListsFinishes,3,0),IF(OR(ISERROR(FIND("door",$A172))=FALSE,ISERROR(FIND("Plinth",$A172))=FALSE,ISERROR(FIND("Cornice",$A172))=FALSE,ISERROR(FIND("Fillers",$A172))=FALSE,ISERROR(FIND("Pelmet",$A172))=FALSE,ISERROR(FIND("panel",$A172))=FALSE,ISERROR(FIND("post",$A172))=FALSE),VLOOKUP(WardrobeDoorFinish,FixedListsFinishes,3,0),IF(OR(ISERROR(FIND("drawer",$A172))=FALSE,ISERROR(FIND("insert",$A172))=FALSE,ISERROR(FIND("rck",$A172))=FALSE),VLOOKUP(WardrobeCarcassFinish,FixedListsFinishes,3,0),0))))</f>
        <v/>
      </c>
      <c r="AE172" s="156" t="str">
        <f t="shared" si="6"/>
        <v/>
      </c>
      <c r="AF172" s="157" t="str">
        <f>IF(AND(WardrobeHandleType="Channel",OR(ISERROR(FIND("arcass",$A172))=FALSE,ISERROR(FIND("unit",$A172))=FALSE)),IF(ISERROR(FIND("Tower",$A172))=TRUE,IF(WardrobeHandleFinish="Match carcass",IF(ISERROR(FIND("Walnut",WardrobeCarcassMaterial))=FALSE,(0.035*0.075*($C172/1000))*VLOOKUP("Walnut (solid m3)",SolidData,4,FALSE),IF(ISERROR(FIND("Oak",WardrobeCarcassMaterial))=FALSE,(0.035*0.075*($C172/1000))*VLOOKUP("Oak (solid m3)",SolidData,4,FALSE),IF(ISERROR(FIND("ply",WardrobeCarcassMaterial))=FALSE,(0.1*($C172/1000))*VLOOKUP("Birch ply (24mm)",SheetsData,7,FALSE),IF(ISERROR(FIND("H/F",WardrobeCarcassMaterial))=FALSE,(0.1*($C172/1000))*VLOOKUP("H/F (22mm)",SheetsData,7,FALSE),"Carcass - not tower - new material")))),IF(WardrobeHandleFinish="Match door",IF(ISERROR(FIND("Walnut",WardrobeDoorMaterial))=FALSE,(0.035*0.075*($C172/1000))*VLOOKUP("Walnut (solid m3)",SolidData,4,FALSE),IF(ISERROR(FIND("Oak",WardrobeDoorMaterial))=FALSE,(0.035*0.075*($C172/1000))*VLOOKUP("Oak (solid m3)",SolidData,4,FALSE),IF(ISERROR(FIND("ply",WardrobeDoorMaterial))=FALSE,(0.1*($C172/1000))*VLOOKUP("Birch ply (24mm)",SheetsData,7,FALSE),IF(ISERROR(FIND("H/F",WardrobeCarcassMaterial))=FALSE,(0.1*($C172/1000))*VLOOKUP("H/F (22mm)",SheetsData,7,FALSE),"Door - not tower - new material")))),"Channel - not tower - handle set to other")),IF(ISERROR(FIND("Tower",$A172))=FALSE,IF(WardrobeHandleFinish="Match carcass",IF(ISERROR(FIND("Walnut",WardrobeCarcassMaterial))=FALSE,(0.035*0.075*($B172/1000))*VLOOKUP("Walnut (solid m3)",SolidData,4,FALSE),IF(ISERROR(FIND("Oak",WardrobeCarcassMaterial))=FALSE,(0.035*0.075*($B172/1000))*VLOOKUP("Oak (solid m3)",SolidData,4,FALSE),IF(ISERROR(FIND("ply",WardrobeCarcassMaterial))=FALSE,(0.1*($B172/1000))*VLOOKUP("Birch ply (24mm)",SheetsData,7,FALSE),IF(ISERROR(FIND("H/F",WardrobeCarcassMaterial))=FALSE,(0.1*($C172/1000))*VLOOKUP("H/F (22mm)",SheetsData,7,FALSE),"Carcass - tower - new material")))),IF(WardrobeHandleFinish="Match door",IF(ISERROR(FIND("Walnut",WardrobeDoorMaterial))=FALSE,(0.035*0.075*($B172/1000))*VLOOKUP("Walnut (solid m3)",SolidData,4,FALSE),IF(ISERROR(FIND("Oak",WardrobeDoorMaterial))=FALSE,(0.035*0.075*($B172/1000))*VLOOKUP("Oak (solid m3)",SolidData,4,FALSE),IF(ISERROR(FIND("ply",WardrobeDoorMaterial))=FALSE,(0.1*($B172/1000))*VLOOKUP("Birch ply (24mm)",SheetData,7,FALSE),IF(ISERROR(FIND("H/F",WardrobeCarcassMaterial))=FALSE,(0.1*($C172/1000))*VLOOKUP("H/F (22mm)",SheetsData,7,FALSE),"Door - tower - new material")))),"Channel - tower - handle set to other")))),"")</f>
        <v/>
      </c>
    </row>
    <row r="173">
      <c r="A173" s="150"/>
      <c r="B173" s="160" t="str">
        <f t="shared" si="1"/>
        <v/>
      </c>
      <c r="C173" s="160" t="str">
        <f>IFERROR(__xludf.DUMMYFUNCTION("IF(A173="""","""",IF(ISERROR(FIND(""arcass"",A173))=FALSE,MID(A173,FIND(""*"",A173)+1,FIND(""*"",A173,FIND(""*"",A173)+1)-FIND(""*"",A173)-1),IF(ISERROR(FIND(""End panel"",A173))=FALSE,RIGHT(A173,3),IF(OR(ISERROR(FIND(""drawer"",A173))=FALSE,ISERROR(FIND("&amp;"""door"",A173))=FALSE,ISERROR(FIND(""shelf"",A173))=FALSE,ISERROR(FIND(""panel"",A173))=FALSE,ISERROR(FIND(""Plinth"",A173))=FALSE,ISERROR(FIND(""Cornice"",A173))=FALSE,ISERROR(FIND(""Fillers"",A173))=FALSE,ISERROR(FIND(""Pelmet"",A173))=FALSE,ISERROR(FIN"&amp;"D(""Fireplace up to 1600"",A173))=FALSE),RIGHT(A173,LEN(A173)-LEN(regexextract(A173,"".* ""))),IF(ISERROR(FIND(""table"",A173))=FALSE,""560"",IF(ISERROR(FIND(""Office pod"",A173))=FALSE,""1600"",IF(ISERROR(FIND(""Fireplace over 1600"",A173))=FALSE,""2400"&amp;""",IF(ISERROR(FIND(""Worktop"",A173))=FALSE,""650"",""Whoops""))))))))"),"")</f>
        <v/>
      </c>
      <c r="D173" s="161" t="str">
        <f t="shared" si="2"/>
        <v/>
      </c>
      <c r="E173" s="152" t="str">
        <f>IF(OR(A173="",AND(ISERROR(FIND("drawer",A173))=FALSE,WardrobeDrawerType="")),"",IF(ISERROR(FIND("door",A173))=FALSE,IF(WardrobeDoorStyle="Flat",((B173/1000)*(C173/1000))*VLOOKUP(WardrobeDoorMaterial,SheetsData,8,0),IF(LEFT(WardrobeDoorStyle,5)="Panel",(((((B173/1000)*2)*0.08)+((((C173/1000)-0.16)*2)*0.08))*VLOOKUP("H/F (22mm)",SheetsData,8,0))+(((B173/1000)-0.14)*((C173/1000)-0.14)*VLOOKUP("H/F (9mm)",SheetsData,8,0)),IF(WardrobeDoorStyle="In-frame flat",((((((B173/1000)*0.019)*0.038)+((((C173-38)/1000)*0.038)*0.038))*2)*VLOOKUP("Tulip (solid m3)",SolidData,4,0))+(((B173-76)/1000)*((C173-38)/1000))*VLOOKUP("H/F (22mm)",SheetsData,8,0),IF(LEFT(WardrobeDoorStyle,14)="In-frame panel",(((((((B173/1000)*0.019)*0.038)+((((C173-38)/1000)*0.038)*0.038))*2)*VLOOKUP("Tulip (solid m3)",SolidData,4,0))+(((((((B173-76)/1000)*2)*0.08)+(((((C173-198)/1000)*2)*0.08)))*VLOOKUP("H/F (22mm)",SheetsData,8,0))+(((B173-216)/1000)*((C173-178)/1000)*VLOOKUP("H/F (9mm)",SheetsData,8,0)))))))),IF(AND(ISERROR(FIND("arcass",A173))=FALSE,ISERROR(FIND("ost corner",A173))=TRUE),IF(AND(VALUE(B173)&lt;1211,VALUE(C173)&lt;1211,VALUE(D173)&lt;606),1*VLOOKUP(WardrobeCarcassMaterial,SheetsData,5,FALSE),IF(AND(VALUE(B173)&lt;2421,VALUE(C173)&lt;2421,VALUE(D173)&lt;606),2*VLOOKUP(WardrobeCarcassMaterial,SheetsData,5,FALSE),IF(AND(VALUE(B173)&lt;2421,VALUE(C173)&lt;1211,VALUE(D173)&lt;1211),3*VLOOKUP(WardrobeCarcassMaterial,SheetsData,5,FALSE),IF(AND(VALUE(B173)&lt;2421,VALUE(C173)&lt;2421,VALUE(D173)&lt;1211),4*VLOOKUP(WardrobeCarcassMaterial,SheetsData,5,FALSE))))),IF(AND(ISERROR(FIND("arcass",A173))=FALSE,ISERROR(FIND("ost corner",A173))=FALSE),IF(AND(VALUE(B173)&lt;1211,VALUE(C173)&lt;1211,VALUE(D173)&lt;606),(1*VLOOKUP(WardrobeCarcassMaterial,SheetsData,5,FALSE))+(VLOOKUP("H/F (22mm)",SheetsData,7,FALSE)*1.44),IF(AND(VALUE(B173)&lt;2421,VALUE(C173)&lt;2421,VALUE(D173)&lt;606),(2*VLOOKUP(WardrobeCarcassMaterial,SheetsData,5,FALSE))+(VLOOKUP("H/F (22mm)",SheetsData,7,FALSE)*1.44),IF(AND(VALUE(B173)&lt;2421,VALUE(C173)&lt;1211,VALUE(D173)&lt;1211),(3*VLOOKUP(WardrobeCarcassMaterial,SheetsData,5,FALSE))+(VLOOKUP("H/F (22mm)",SheetsData,7,FALSE)*1.44),IF(AND(VALUE(B173)&lt;2421,VALUE(C173)&lt;2421,VALUE(D173)&lt;1211),(4*VLOOKUP(WardrobeCarcassMaterial,SheetsData,5,FALSE))+(VLOOKUP("H/F (22mm)",SheetsData,7,FALSE)*1.44))))),IF(ISERROR(FIND("drawer front",A173))=FALSE,((B173/1000)*(C173/1000))*VLOOKUP(WardrobeDoorMaterial,SheetsData,8,0),IF(AND(WardrobeDrawerType="Match carcass",ISERROR(FIND("drawer box",A173))=FALSE),(((((B173/1000)*(C173/1000))+((B173/1000)*(D173/1000)))*2)*VLOOKUP(WardrobeCarcassMaterial,SheetsData,8,0))+(((C173/1000)*(D173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box",A173))=FALSE),(((((B173/1000)*(C173/1000))+((B173/1000)*(D173/1000)))*2)*(16/1000)*VLOOKUP(LEFT(WardrobeCarcassMaterial,FIND(" ",WardrobeCarcassMaterial))&amp;"(solid m3)",SolidData,4,0))+(((C173/1000)*(D173/1000))*VLOOKUP(LEFT(WardrobeCarcassMaterial,FIND("(",WardrobeCarcassMaterial)-1)&amp;IF(OR(ISERROR(FIND("ply",WardrobeCarcassMaterial))=FALSE,ISERROR(FIND("H/F",WardrobeCarcassMaterial))=FALSE),"(9mm)","(10mm)"),SheetsData,8,0)),IF(ISERROR(FIND("shelf",A173))=FALSE,((C173/1000)*(D173/1000))*VLOOKUP(WardrobeCarcassMaterial,SheetsData,7,FALSE),IF(ISERROR(FIND("Office pod",A173))=FALSE,3*VLOOKUP(WardrobeCarcassMaterial,SheetsData,5,0),IF(ISERROR(FIND(" panel",A173))=FALSE,((B173/1000)*(C173/1000))*VLOOKUP(WardrobeDoorMaterial,SheetsData,8,0),IF(ISERROR(FIND("Fillers",A173))=FALSE,(((0.06*(C173/1000))*2)*VLOOKUP("H/F (18mm)",SheetsData,8,0))+(((0.06*(C173/1000))*2)*VLOOKUP("H/F (9mm)",SheetsData,8,0)),IF(ISERROR(FIND("Cornice (stacked)",A173))=FALSE,((0.08*(C173/1000))*2)*VLOOKUP("H/F (22mm)",SheetsData,8,0),IF(OR(ISERROR(FIND("Plinth",A173))=FALSE,ISERROR(FIND("Cornice (flat)",A173))=FALSE),((B173/1000)*(C173/1000))*VLOOKUP("H/F (18mm)",SheetsData,8,0),IF(ISERROR(FIND("Pelmet",A173))=FALSE,((((B173/1000)*(C173/1000))*2)*VLOOKUP("H/F (18mm)",SheetsData,8,0)),IF(ISERROR(FIND("Fireplace",A173))=FALSE,IF(ISERROR(FIND("over 1600",A173))=FALSE,2*VLOOKUP(WardrobeCarcassMaterial,SheetsData,5,FALSE),VLOOKUP(WardrobeCarcassMaterial,SheetsData,5,FALSE)),IF(ISERROR(FIND("table",A173))=FALSE,((B173/1000)*0.6)*VLOOKUP("Birch ply (24mm)",SheetsData,7,FALSE),IF(ISERROR(FIND("Worktop",A173))=FALSE,((B173/1000)*(C173/1000))*VLOOKUP(WardrobeDoorMaterial,SheetsData,7,FALSE),"Check formula")))))))))))))))))</f>
        <v/>
      </c>
      <c r="F173" s="152" t="str">
        <f>IFERROR(__xludf.DUMMYFUNCTION("IF(OR(A173="""",AND(ISERROR(FIND(""drawer box"",A173))=FALSE,WardrobeDrawerType=""Solid dovetail"")),"""",IF(ISERROR(FIND(""bins"",A173))=FALSE,VLOOKUP(""Base carcass 600"",Wardrobes_etcData,6,0),IF(OR(ISERROR(FIND(""larder"",A173))=FALSE,ISERROR(FIND(""u"&amp;"nit"",A173))=FALSE),VLOOKUP(LEFT(A173,FIND("" "",A173))&amp;""carcass ""&amp;RIGHT(A173,LEN(A173)-len(regexextract(A173,"".* ""))),Wardrobes_etcData,6,0),IF(ISERROR(FIND(""drawer front"",A173))=FALSE,IF(ISERROR(FIND(""veneer"",WardrobeCarcassMaterial))=TRUE,0,((("&amp;"B173+C173)/1000)*2)*VLOOKUP(""Edge banding (per M)"",SheetsData,5,0)),IF(ISERROR(FIND(""drawer box"",A173))=FALSE,IF(ISERROR(FIND(""veneer"",WardrobeCarcassMaterial))=TRUE,0,(((C173+D173)/1000)*2)*VLOOKUP(""Edge banding (per M)"",SheetsData,5,0)),IF(ISERR"&amp;"OR(FIND(""shelf"",A173))=FALSE,IF(ISERROR(FIND(""veneer"",WardrobeCarcassMaterial))=TRUE,0,(C173/1000)*VLOOKUP(""Edge banding (per M)"",SheetsData,5,0)),IF(AND(OR(ISERROR(FIND(""arcass"",A173))=FALSE,ISERROR(FIND(""Fireplace"",A173))=FALSE),ISERROR(FIND("&amp;"""shelf"",A173))=TRUE),IF(ISERROR(FIND(""veneer"",WardrobeCarcassMaterial))=TRUE,0,((2*(B173+C173))/1000)*VLOOKUP(""Edge banding (per M)"",SheetsData,5,0)),IF(ISERROR(FIND(""door"",A173))=TRUE,"""",IF(ISERROR(FIND(""veneer"",WardrobeDoorMaterial))=TRUE,"""&amp;""",((2*(B173+C173))/1000)*VLOOKUP(""Edge banding (per M)"",SheetsData,5,0))))))))))"),"")</f>
        <v/>
      </c>
      <c r="G173" s="153" t="str">
        <f>IF(A173="","",IF(AND(ISERROR(FIND("arcass",A173))=TRUE,ISERROR(FIND("Fireplace",A173))=TRUE),"",IF(VALUE(C173)&lt;606,4*VLOOKUP("Plinth foot (2 Parts 80mm)",FurnitureData,5,FALSE),IF(VALUE(C173)&lt;1211,6*VLOOKUP("Plinth foot (2 Parts 80mm)",FurnitureData,5,FALSE),8*VLOOKUP("Plinth foot (2 Parts 80mm)",FurnitureData,5,FALSE)))))</f>
        <v/>
      </c>
      <c r="H173" s="115" t="str">
        <f>IF(OR(A173="",ISERROR(FIND("door",A173))=TRUE),"",VLOOKUP("Hinges &amp; plates (Hettich thick door)",FurnitureData,5,0)*5)</f>
        <v/>
      </c>
      <c r="I173" s="115" t="str">
        <f>IF(ISERROR(FIND("shelf",A173))=FALSE,(VLOOKUP("Shelf pegs",FurnitureData,5,0)/100)*4,"")</f>
        <v/>
      </c>
      <c r="J173" s="152" t="str">
        <f>IF(OR(ISERROR(FIND("fridge/freezer",A173))=FALSE,ISERROR(FIND("sink",A173))=FALSE,ISERROR(FIND("larder",A173))=FALSE),VLOOKUP("Deep shelf "&amp;C173,Wardrobes_etcData,18,0),IF(OR(ISERROR(FIND("single oven",A173))=FALSE,ISERROR(FIND("Base carcass",A173))=FALSE),2*VLOOKUP("Deep shelf "&amp;C173,Wardrobes_etcData,18,0),IF(AND(ISERROR(FIND("wall carcass",A173))=FALSE,ISERROR(FIND("Boiler",A173))=TRUE),2*VLOOKUP("Shallow shelf "&amp;C173,Wardrobes_etcData,18,0),IF(ISERROR(FIND("double oven",A173))=FALSE,3*VLOOKUP("Deep shelf "&amp;C173,Wardrobes_etcData,18,0),IF(ISERROR(FIND("Tower carcass",A173))=FALSE,6*VLOOKUP("Deep shelf "&amp;C173,Wardrobes_etcData,18,0),"")))))</f>
        <v/>
      </c>
      <c r="K173" s="152" t="str">
        <f>IF(ISERROR(FIND("sink",A173))=FALSE,VLOOKUP("Sink liner - Aluminium "&amp;RIGHT(A173,LEN(A173)-22)&amp;"mm",ExceptionalData,5,0),IF(ISERROR(FIND("bins",A173))=FALSE,VLOOKUP("Drawer runners and clip set for bin unit (500) Dynapro",FurnitureData,5,0)+(2*VLOOKUP("Bin (42L Anthracite)",FurnitureData,5,0)),IF(ISERROR(FIND("larder",A173))=FALSE,VLOOKUP("Pull out larder unit 600mm",FurnitureData,5,0),IF(AND(ISERROR(FIND("drawer box",A173))=FALSE,ISERROR(FIND("internal",A173))=TRUE),VLOOKUP("Drawer runners and clip set (550) Dynapro",FurnitureData,5,0),IF(ISERROR(FIND("internal drawer box",A173))=FALSE,VLOOKUP("Drawer runners and clip set (450) Dynapro",FurnitureData,5,0),IF(ISERROR(FIND("table",A173))=FALSE,VLOOKUP("Hairpin Leg (12mm Black "&amp;MID(A173,FIND("(",A173)+1,LEN(A173)-(FIND("(",A173))-1)&amp;"mm)",ExceptionalData,4,FALSE),""))))))</f>
        <v/>
      </c>
      <c r="L173" s="152" t="str">
        <f t="shared" si="3"/>
        <v/>
      </c>
      <c r="M173" s="154" t="str">
        <f>IF(A173="","",IF(AND(ISERROR(FIND("drawer front",A173))=FALSE,WardrobeDoorStyle="Flat"),(((B173/1000)*(C173/1000))*2)+((((B173+C173)/1000)*2)*0.022),IF(AND(ISERROR(FIND("drawer front",A173))=FALSE,LEFT(WardrobeDoorStyle,5)="Panel"),(((B173/1000)*(C173/1000))*2)+((((B173+C173)/1000)*2)*0.022)+((((C173/1000)-0.16)*0.013)*2)+((((D173/1000)-0.16)*0.013)*2),IF(AND(ISERROR(FIND("drawer front",A173))=FALSE,WardrobeDoorStyle="In-frame flat"),((((B173-76)/1000)*((C173-38)/1000))*2)+(MID(WardrobeDoorMaterial,FIND("(",WardrobeDoorMaterial)+1,2)/1000)*((((B173-76)+(C173-38))/1000)*2)+(((B173/1000)*0.032)*2)+((((B173-76)/1000)*0.032)*2)+(((B173/1000)*0.019)*4)+(((C173/1000)*0.032)*2)+((((C173-38)/1000)*0.032)*2)+(((C173/1000)*0.038)*4),IF(AND(ISERROR(FIND("drawer front",A173))=FALSE,LEFT(WardrobeDoorStyle,14)="In-frame panel"),((((B173-76)/1000)*((C173-38)/1000))*2)+((MID(WardrobeDoorMaterial,FIND("(",WardrobeDoorMaterial)+1,2)/1000)*((((B173-76)+(C173-38))/1000)*2))+((((B173-236)/1000)+((C173-198)/1000)*2)*0.013)+(((B173/1000)*0.032)*2)+((((B173-76)/1000)*0.032)*2)+(((B173/1000)*0.019)*4)+(((C173/1000)*0.032)*2)+((((C173-38)/1000)*0.032)*2)+(((C173/1000)*0.038)*4),IF(ISERROR(FIND("drawer box",A173))=FALSE,((((B173/1000)*(D173/1000))+((B173/1000)*(C173/1000)))*4)+((((D173/1000)+(C173/1000))*0.016)*4)+(((C173/1000)*(D173/1000))*2),IF(OR(ISERROR(FIND("shelf",A173))=FALSE,ISERROR(FIND("Filler panel",A173))=FALSE),(((C173/1000)*(D173/1000))*2)+((((C173+D173)*2)/1000)*0.022),IF(ISERROR(FIND("Fireplace",A173))=FALSE,((B173/1000)*(C173/1000)),IF(ISERROR(FIND("Worktop",A173))=FALSE,(B173/1000)*(C173/1000),IF(ISERROR(FIND("table",A173))=FALSE,(B173/1000)*0.6,IF(ISERROR(FIND("arcass",A173))=FALSE,(((C173/1000)*(D173/1000))*2)+(((B173/1000)*(D173/1000))*2)+((B173/1000)*(C173/1000))+((((B173/1000)*0.025)+((C173/1000)*0.025))*2),IF(AND(ISERROR(FIND("door",A173))=FALSE,WardrobeDoorStyle="Flat"),(((B173/1000)*(C173/1000))*2)+(MID(WardrobeDoorMaterial,FIND("(",WardrobeDoorMaterial)+1,2)/1000)*(((B173+C173)/1000)*2),IF(AND(ISERROR(FIND("door",A173))=FALSE,LEFT(WardrobeDoorStyle,5)="Panel"),(((B173/1000)*(C173/1000))*2)+((MID(WardrobeDoorMaterial,FIND("(",WardrobeDoorMaterial)+1,2)/1000)*(((B173+C173)/1000)*2))+(((((B173-160)+(C173-160))*2)/1000)*(0.013)),IF(AND(ISERROR(FIND("door",A173))=FALSE,WardrobeDoorStyle="In-frame flat"),((((B173-76)/1000)*((C173-38)/1000))*2)+(MID(WardrobeDoorMaterial,FIND("(",WardrobeDoorMaterial)+1,2)/1000)*((((B173-76)+(C173-38))/1000)*2)+(((B173/1000)*0.032)*2)+((((B173-76)/1000)*0.032)*2)+(((B173/1000)*0.019)*4)+(((C173/1000)*0.032)*2)+((((C173-38)/1000)*0.032)*2)+(((C173/1000)*0.038)*4),IF(AND(ISERROR(FIND("door",A173))=FALSE,LEFT(WardrobeDoorStyle,14)="In-frame panel"),((((B173-76)/1000)*((C173-38)/1000))*2)+((MID(WardrobeDoorMaterial,FIND("(",WardrobeDoorMaterial)+1,2)/1000)*((((B173-76)+(C173-38))/1000)*2))+((((B173-236)/1000)+((C173-198)/1000)*2)*0.013)+(((B173/1000)*0.032)*2)+((((B173-76)/1000)*0.032)*2)+(((B173/1000)*0.019)*4)+(((C173/1000)*0.032)*2)+((((C173-38)/1000)*0.032)*2)+(((C173/1000)*0.038)*4),IF(ISERROR(FIND("Plinth",A173))=FALSE,((B173/1000)*(C173/1000))+(((C173/1000)*0.018)*2)+(((B173/1000)*0.018)*2),IF(ISERROR(FIND("Cornice",A173))=FALSE,(((C173/1000)*0.1)*2)+(((C173/1000)*0.044)*2)+(((B173/1000)*0.08)*2),IF(ISERROR(FIND("Office pod",A173))=FALSE,((2400/1000)*(1200/1000))*6,IF(ISERROR(FIND("panel",A173))=FALSE,((B173/1000)*(C173/1000))+(0.022*((B173/1000)+((C173/1000)*2)))+((B173/1000)*0.05),IF(ISERROR(FIND("Fillers",A173))=FALSE,((C173/1000)*0.06)+((C173/1000)*0.069)+((0.06*0.018)*2)+((0.06*0.009)*2)+((C173/1000)*0.009)+((C173/1000)*0.018),IF(ISERROR(FIND("Pelmet",A173))=FALSE,((C173/1000)*0.05)+((C173/1000)*0.068)+((0.05*0.018)*4)+(((C173/1000)*0.018))*2)))))))))))))))))))))</f>
        <v/>
      </c>
      <c r="N173" s="152" t="str">
        <f>IF(M173="","",IF(AND(ISERROR(FIND("carcass",A173))=TRUE,ISERROR(FIND("unit",A173))=TRUE,ISERROR(FIND("insert",A173))=TRUE,ISERROR(FIND("rack",A173))=TRUE,ISERROR(FIND("box",A173))=TRUE,ISERROR(FIND("shelf",A173))=TRUE),VLOOKUP(WardrobeDoorFinish,Finishing!$A$2:$K$10,9,0)*M173,IF(ISERROR(FIND("table",A173))=FALSE,VLOOKUP("Sayerlack AF0072 Interior Clear Self-Sealer",FinishingData,9,FALSE)*M173,VLOOKUP(WardrobeCarcassFinish,Finishing!$A$2:$K$40,9,0)*M173)))</f>
        <v/>
      </c>
      <c r="O173" s="155"/>
      <c r="P173" s="155"/>
      <c r="Q173" s="152" t="str">
        <f>IF(OR(O173="",P173=""),"",((O173*X173)*(VLOOKUP("Workshop",Labour!$A$3:$E$20,4,0)/8))+((P173*AE173)*(VLOOKUP("Finishing",Labour!$A$3:$E$20,4,0)/8)))</f>
        <v/>
      </c>
      <c r="R173" s="152" t="str">
        <f t="shared" si="4"/>
        <v/>
      </c>
      <c r="S173" s="156" t="str">
        <f>IF(OR(O173="",P173=""),"",IF(OR(ISERROR(FIND("carcass",$A173))=FALSE,ISERROR(FIND("unit",$A173))=FALSE),VLOOKUP(WardrobeCarcassMaterial,FixedListsCarcassMaterial,2,0),0))</f>
        <v/>
      </c>
      <c r="T173" s="156" t="str">
        <f>IF(OR(O173="",P173=""),"",IF(ISERROR(FIND("door",$A173))=FALSE,VLOOKUP(WardrobeDoorStyle,FixedListsDoorStyle,2,0),0))</f>
        <v/>
      </c>
      <c r="U173" s="156" t="str">
        <f>IF(OR(O173="",P173=""),"",IF(ISERROR(FIND("door",$A173))=FALSE,VLOOKUP(WardrobeDoorMaterial,FixedListsDoorMaterial,2,0),0))</f>
        <v/>
      </c>
      <c r="V173" s="156" t="str">
        <f>IF(OR(O173="",P173=""),"",IF(ISERROR(FIND("drawer",$A173))=FALSE,VLOOKUP(WardrobeDrawerType,FixedListsDrawerType,2,0),0))</f>
        <v/>
      </c>
      <c r="W173" s="156" t="str">
        <f>IF(OR(O173="",P173=""),"",IF(S173&gt;0,VLOOKUP(WardrobeHandleType,FixedListsHandleType,2,FALSE),0))</f>
        <v/>
      </c>
      <c r="X173" s="156" t="str">
        <f t="shared" si="5"/>
        <v/>
      </c>
      <c r="Y173" s="156" t="str">
        <f>IF(OR(O173="",P173=""),"",IF(OR(ISERROR(FIND("carcass",$A173))=FALSE,ISERROR(FIND("unit",$A173))=FALSE),VLOOKUP(WardrobeCarcassMaterial,FixedListsCarcassMaterial,3,0),0))</f>
        <v/>
      </c>
      <c r="Z173" s="156" t="str">
        <f>IF(OR(O173="",P173=""),"",IF(ISERROR(FIND("door",$A173))=FALSE,VLOOKUP(WardrobeDoorStyle,FixedListsDoorStyle,3,0),0))</f>
        <v/>
      </c>
      <c r="AA173" s="156" t="str">
        <f>IF(OR(O173="",P173=""),"",IF(ISERROR(FIND("door",$A173))=FALSE,VLOOKUP(WardrobeDoorMaterial,FixedListsDoorMaterial,3,0),0))</f>
        <v/>
      </c>
      <c r="AB173" s="156" t="str">
        <f>IF(OR(O173="",P173=""),"",IF(ISERROR(FIND("drawer",$A173))=FALSE,VLOOKUP(WardrobeDrawerType,FixedListsDrawerType,3,0),0))</f>
        <v/>
      </c>
      <c r="AC173" s="156" t="str">
        <f>IF(OR(O173="",P173=""),"",IF(S173&gt;0,VLOOKUP(WardrobeHandleType,FixedListsHandleType,3,FALSE),0))</f>
        <v/>
      </c>
      <c r="AD173" s="156" t="str">
        <f>IF(OR(O173="",P173=""),"",IF(OR(ISERROR(FIND("carcass",$A173))=FALSE,ISERROR(FIND("unit",$A173))=FALSE),VLOOKUP(WardrobeCarcassFinish,FixedListsFinishes,3,0),IF(OR(ISERROR(FIND("door",$A173))=FALSE,ISERROR(FIND("Plinth",$A173))=FALSE,ISERROR(FIND("Cornice",$A173))=FALSE,ISERROR(FIND("Fillers",$A173))=FALSE,ISERROR(FIND("Pelmet",$A173))=FALSE,ISERROR(FIND("panel",$A173))=FALSE,ISERROR(FIND("post",$A173))=FALSE),VLOOKUP(WardrobeDoorFinish,FixedListsFinishes,3,0),IF(OR(ISERROR(FIND("drawer",$A173))=FALSE,ISERROR(FIND("insert",$A173))=FALSE,ISERROR(FIND("rck",$A173))=FALSE),VLOOKUP(WardrobeCarcassFinish,FixedListsFinishes,3,0),0))))</f>
        <v/>
      </c>
      <c r="AE173" s="156" t="str">
        <f t="shared" si="6"/>
        <v/>
      </c>
      <c r="AF173" s="157" t="str">
        <f>IF(AND(WardrobeHandleType="Channel",OR(ISERROR(FIND("arcass",$A173))=FALSE,ISERROR(FIND("unit",$A173))=FALSE)),IF(ISERROR(FIND("Tower",$A173))=TRUE,IF(WardrobeHandleFinish="Match carcass",IF(ISERROR(FIND("Walnut",WardrobeCarcassMaterial))=FALSE,(0.035*0.075*($C173/1000))*VLOOKUP("Walnut (solid m3)",SolidData,4,FALSE),IF(ISERROR(FIND("Oak",WardrobeCarcassMaterial))=FALSE,(0.035*0.075*($C173/1000))*VLOOKUP("Oak (solid m3)",SolidData,4,FALSE),IF(ISERROR(FIND("ply",WardrobeCarcassMaterial))=FALSE,(0.1*($C173/1000))*VLOOKUP("Birch ply (24mm)",SheetsData,7,FALSE),IF(ISERROR(FIND("H/F",WardrobeCarcassMaterial))=FALSE,(0.1*($C173/1000))*VLOOKUP("H/F (22mm)",SheetsData,7,FALSE),"Carcass - not tower - new material")))),IF(WardrobeHandleFinish="Match door",IF(ISERROR(FIND("Walnut",WardrobeDoorMaterial))=FALSE,(0.035*0.075*($C173/1000))*VLOOKUP("Walnut (solid m3)",SolidData,4,FALSE),IF(ISERROR(FIND("Oak",WardrobeDoorMaterial))=FALSE,(0.035*0.075*($C173/1000))*VLOOKUP("Oak (solid m3)",SolidData,4,FALSE),IF(ISERROR(FIND("ply",WardrobeDoorMaterial))=FALSE,(0.1*($C173/1000))*VLOOKUP("Birch ply (24mm)",SheetsData,7,FALSE),IF(ISERROR(FIND("H/F",WardrobeCarcassMaterial))=FALSE,(0.1*($C173/1000))*VLOOKUP("H/F (22mm)",SheetsData,7,FALSE),"Door - not tower - new material")))),"Channel - not tower - handle set to other")),IF(ISERROR(FIND("Tower",$A173))=FALSE,IF(WardrobeHandleFinish="Match carcass",IF(ISERROR(FIND("Walnut",WardrobeCarcassMaterial))=FALSE,(0.035*0.075*($B173/1000))*VLOOKUP("Walnut (solid m3)",SolidData,4,FALSE),IF(ISERROR(FIND("Oak",WardrobeCarcassMaterial))=FALSE,(0.035*0.075*($B173/1000))*VLOOKUP("Oak (solid m3)",SolidData,4,FALSE),IF(ISERROR(FIND("ply",WardrobeCarcassMaterial))=FALSE,(0.1*($B173/1000))*VLOOKUP("Birch ply (24mm)",SheetsData,7,FALSE),IF(ISERROR(FIND("H/F",WardrobeCarcassMaterial))=FALSE,(0.1*($C173/1000))*VLOOKUP("H/F (22mm)",SheetsData,7,FALSE),"Carcass - tower - new material")))),IF(WardrobeHandleFinish="Match door",IF(ISERROR(FIND("Walnut",WardrobeDoorMaterial))=FALSE,(0.035*0.075*($B173/1000))*VLOOKUP("Walnut (solid m3)",SolidData,4,FALSE),IF(ISERROR(FIND("Oak",WardrobeDoorMaterial))=FALSE,(0.035*0.075*($B173/1000))*VLOOKUP("Oak (solid m3)",SolidData,4,FALSE),IF(ISERROR(FIND("ply",WardrobeDoorMaterial))=FALSE,(0.1*($B173/1000))*VLOOKUP("Birch ply (24mm)",SheetData,7,FALSE),IF(ISERROR(FIND("H/F",WardrobeCarcassMaterial))=FALSE,(0.1*($C173/1000))*VLOOKUP("H/F (22mm)",SheetsData,7,FALSE),"Door - tower - new material")))),"Channel - tower - handle set to other")))),"")</f>
        <v/>
      </c>
    </row>
    <row r="174">
      <c r="A174" s="158"/>
      <c r="B174" s="160" t="str">
        <f t="shared" si="1"/>
        <v/>
      </c>
      <c r="C174" s="160" t="str">
        <f>IFERROR(__xludf.DUMMYFUNCTION("IF(A174="""","""",IF(ISERROR(FIND(""arcass"",A174))=FALSE,MID(A174,FIND(""*"",A174)+1,FIND(""*"",A174,FIND(""*"",A174)+1)-FIND(""*"",A174)-1),IF(ISERROR(FIND(""End panel"",A174))=FALSE,RIGHT(A174,3),IF(OR(ISERROR(FIND(""drawer"",A174))=FALSE,ISERROR(FIND("&amp;"""door"",A174))=FALSE,ISERROR(FIND(""shelf"",A174))=FALSE,ISERROR(FIND(""panel"",A174))=FALSE,ISERROR(FIND(""Plinth"",A174))=FALSE,ISERROR(FIND(""Cornice"",A174))=FALSE,ISERROR(FIND(""Fillers"",A174))=FALSE,ISERROR(FIND(""Pelmet"",A174))=FALSE,ISERROR(FIN"&amp;"D(""Fireplace up to 1600"",A174))=FALSE),RIGHT(A174,LEN(A174)-LEN(regexextract(A174,"".* ""))),IF(ISERROR(FIND(""table"",A174))=FALSE,""560"",IF(ISERROR(FIND(""Office pod"",A174))=FALSE,""1600"",IF(ISERROR(FIND(""Fireplace over 1600"",A174))=FALSE,""2400"&amp;""",IF(ISERROR(FIND(""Worktop"",A174))=FALSE,""650"",""Whoops""))))))))"),"")</f>
        <v/>
      </c>
      <c r="D174" s="161" t="str">
        <f t="shared" si="2"/>
        <v/>
      </c>
      <c r="E174" s="152" t="str">
        <f>IF(OR(A174="",AND(ISERROR(FIND("drawer",A174))=FALSE,WardrobeDrawerType="")),"",IF(ISERROR(FIND("door",A174))=FALSE,IF(WardrobeDoorStyle="Flat",((B174/1000)*(C174/1000))*VLOOKUP(WardrobeDoorMaterial,SheetsData,8,0),IF(LEFT(WardrobeDoorStyle,5)="Panel",(((((B174/1000)*2)*0.08)+((((C174/1000)-0.16)*2)*0.08))*VLOOKUP("H/F (22mm)",SheetsData,8,0))+(((B174/1000)-0.14)*((C174/1000)-0.14)*VLOOKUP("H/F (9mm)",SheetsData,8,0)),IF(WardrobeDoorStyle="In-frame flat",((((((B174/1000)*0.019)*0.038)+((((C174-38)/1000)*0.038)*0.038))*2)*VLOOKUP("Tulip (solid m3)",SolidData,4,0))+(((B174-76)/1000)*((C174-38)/1000))*VLOOKUP("H/F (22mm)",SheetsData,8,0),IF(LEFT(WardrobeDoorStyle,14)="In-frame panel",(((((((B174/1000)*0.019)*0.038)+((((C174-38)/1000)*0.038)*0.038))*2)*VLOOKUP("Tulip (solid m3)",SolidData,4,0))+(((((((B174-76)/1000)*2)*0.08)+(((((C174-198)/1000)*2)*0.08)))*VLOOKUP("H/F (22mm)",SheetsData,8,0))+(((B174-216)/1000)*((C174-178)/1000)*VLOOKUP("H/F (9mm)",SheetsData,8,0)))))))),IF(AND(ISERROR(FIND("arcass",A174))=FALSE,ISERROR(FIND("ost corner",A174))=TRUE),IF(AND(VALUE(B174)&lt;1211,VALUE(C174)&lt;1211,VALUE(D174)&lt;606),1*VLOOKUP(WardrobeCarcassMaterial,SheetsData,5,FALSE),IF(AND(VALUE(B174)&lt;2421,VALUE(C174)&lt;2421,VALUE(D174)&lt;606),2*VLOOKUP(WardrobeCarcassMaterial,SheetsData,5,FALSE),IF(AND(VALUE(B174)&lt;2421,VALUE(C174)&lt;1211,VALUE(D174)&lt;1211),3*VLOOKUP(WardrobeCarcassMaterial,SheetsData,5,FALSE),IF(AND(VALUE(B174)&lt;2421,VALUE(C174)&lt;2421,VALUE(D174)&lt;1211),4*VLOOKUP(WardrobeCarcassMaterial,SheetsData,5,FALSE))))),IF(AND(ISERROR(FIND("arcass",A174))=FALSE,ISERROR(FIND("ost corner",A174))=FALSE),IF(AND(VALUE(B174)&lt;1211,VALUE(C174)&lt;1211,VALUE(D174)&lt;606),(1*VLOOKUP(WardrobeCarcassMaterial,SheetsData,5,FALSE))+(VLOOKUP("H/F (22mm)",SheetsData,7,FALSE)*1.44),IF(AND(VALUE(B174)&lt;2421,VALUE(C174)&lt;2421,VALUE(D174)&lt;606),(2*VLOOKUP(WardrobeCarcassMaterial,SheetsData,5,FALSE))+(VLOOKUP("H/F (22mm)",SheetsData,7,FALSE)*1.44),IF(AND(VALUE(B174)&lt;2421,VALUE(C174)&lt;1211,VALUE(D174)&lt;1211),(3*VLOOKUP(WardrobeCarcassMaterial,SheetsData,5,FALSE))+(VLOOKUP("H/F (22mm)",SheetsData,7,FALSE)*1.44),IF(AND(VALUE(B174)&lt;2421,VALUE(C174)&lt;2421,VALUE(D174)&lt;1211),(4*VLOOKUP(WardrobeCarcassMaterial,SheetsData,5,FALSE))+(VLOOKUP("H/F (22mm)",SheetsData,7,FALSE)*1.44))))),IF(ISERROR(FIND("drawer front",A174))=FALSE,((B174/1000)*(C174/1000))*VLOOKUP(WardrobeDoorMaterial,SheetsData,8,0),IF(AND(WardrobeDrawerType="Match carcass",ISERROR(FIND("drawer box",A174))=FALSE),(((((B174/1000)*(C174/1000))+((B174/1000)*(D174/1000)))*2)*VLOOKUP(WardrobeCarcassMaterial,SheetsData,8,0))+(((C174/1000)*(D174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box",A174))=FALSE),(((((B174/1000)*(C174/1000))+((B174/1000)*(D174/1000)))*2)*(16/1000)*VLOOKUP(LEFT(WardrobeCarcassMaterial,FIND(" ",WardrobeCarcassMaterial))&amp;"(solid m3)",SolidData,4,0))+(((C174/1000)*(D174/1000))*VLOOKUP(LEFT(WardrobeCarcassMaterial,FIND("(",WardrobeCarcassMaterial)-1)&amp;IF(OR(ISERROR(FIND("ply",WardrobeCarcassMaterial))=FALSE,ISERROR(FIND("H/F",WardrobeCarcassMaterial))=FALSE),"(9mm)","(10mm)"),SheetsData,8,0)),IF(ISERROR(FIND("shelf",A174))=FALSE,((C174/1000)*(D174/1000))*VLOOKUP(WardrobeCarcassMaterial,SheetsData,7,FALSE),IF(ISERROR(FIND("Office pod",A174))=FALSE,3*VLOOKUP(WardrobeCarcassMaterial,SheetsData,5,0),IF(ISERROR(FIND(" panel",A174))=FALSE,((B174/1000)*(C174/1000))*VLOOKUP(WardrobeDoorMaterial,SheetsData,8,0),IF(ISERROR(FIND("Fillers",A174))=FALSE,(((0.06*(C174/1000))*2)*VLOOKUP("H/F (18mm)",SheetsData,8,0))+(((0.06*(C174/1000))*2)*VLOOKUP("H/F (9mm)",SheetsData,8,0)),IF(ISERROR(FIND("Cornice (stacked)",A174))=FALSE,((0.08*(C174/1000))*2)*VLOOKUP("H/F (22mm)",SheetsData,8,0),IF(OR(ISERROR(FIND("Plinth",A174))=FALSE,ISERROR(FIND("Cornice (flat)",A174))=FALSE),((B174/1000)*(C174/1000))*VLOOKUP("H/F (18mm)",SheetsData,8,0),IF(ISERROR(FIND("Pelmet",A174))=FALSE,((((B174/1000)*(C174/1000))*2)*VLOOKUP("H/F (18mm)",SheetsData,8,0)),IF(ISERROR(FIND("Fireplace",A174))=FALSE,IF(ISERROR(FIND("over 1600",A174))=FALSE,2*VLOOKUP(WardrobeCarcassMaterial,SheetsData,5,FALSE),VLOOKUP(WardrobeCarcassMaterial,SheetsData,5,FALSE)),IF(ISERROR(FIND("table",A174))=FALSE,((B174/1000)*0.6)*VLOOKUP("Birch ply (24mm)",SheetsData,7,FALSE),IF(ISERROR(FIND("Worktop",A174))=FALSE,((B174/1000)*(C174/1000))*VLOOKUP(WardrobeDoorMaterial,SheetsData,7,FALSE),"Check formula")))))))))))))))))</f>
        <v/>
      </c>
      <c r="F174" s="152" t="str">
        <f>IFERROR(__xludf.DUMMYFUNCTION("IF(OR(A174="""",AND(ISERROR(FIND(""drawer box"",A174))=FALSE,WardrobeDrawerType=""Solid dovetail"")),"""",IF(ISERROR(FIND(""bins"",A174))=FALSE,VLOOKUP(""Base carcass 600"",Wardrobes_etcData,6,0),IF(OR(ISERROR(FIND(""larder"",A174))=FALSE,ISERROR(FIND(""u"&amp;"nit"",A174))=FALSE),VLOOKUP(LEFT(A174,FIND("" "",A174))&amp;""carcass ""&amp;RIGHT(A174,LEN(A174)-len(regexextract(A174,"".* ""))),Wardrobes_etcData,6,0),IF(ISERROR(FIND(""drawer front"",A174))=FALSE,IF(ISERROR(FIND(""veneer"",WardrobeCarcassMaterial))=TRUE,0,((("&amp;"B174+C174)/1000)*2)*VLOOKUP(""Edge banding (per M)"",SheetsData,5,0)),IF(ISERROR(FIND(""drawer box"",A174))=FALSE,IF(ISERROR(FIND(""veneer"",WardrobeCarcassMaterial))=TRUE,0,(((C174+D174)/1000)*2)*VLOOKUP(""Edge banding (per M)"",SheetsData,5,0)),IF(ISERR"&amp;"OR(FIND(""shelf"",A174))=FALSE,IF(ISERROR(FIND(""veneer"",WardrobeCarcassMaterial))=TRUE,0,(C174/1000)*VLOOKUP(""Edge banding (per M)"",SheetsData,5,0)),IF(AND(OR(ISERROR(FIND(""arcass"",A174))=FALSE,ISERROR(FIND(""Fireplace"",A174))=FALSE),ISERROR(FIND("&amp;"""shelf"",A174))=TRUE),IF(ISERROR(FIND(""veneer"",WardrobeCarcassMaterial))=TRUE,0,((2*(B174+C174))/1000)*VLOOKUP(""Edge banding (per M)"",SheetsData,5,0)),IF(ISERROR(FIND(""door"",A174))=TRUE,"""",IF(ISERROR(FIND(""veneer"",WardrobeDoorMaterial))=TRUE,"""&amp;""",((2*(B174+C174))/1000)*VLOOKUP(""Edge banding (per M)"",SheetsData,5,0))))))))))"),"")</f>
        <v/>
      </c>
      <c r="G174" s="153" t="str">
        <f>IF(A174="","",IF(AND(ISERROR(FIND("arcass",A174))=TRUE,ISERROR(FIND("Fireplace",A174))=TRUE),"",IF(VALUE(C174)&lt;606,4*VLOOKUP("Plinth foot (2 Parts 80mm)",FurnitureData,5,FALSE),IF(VALUE(C174)&lt;1211,6*VLOOKUP("Plinth foot (2 Parts 80mm)",FurnitureData,5,FALSE),8*VLOOKUP("Plinth foot (2 Parts 80mm)",FurnitureData,5,FALSE)))))</f>
        <v/>
      </c>
      <c r="H174" s="115" t="str">
        <f>IF(OR(A174="",ISERROR(FIND("door",A174))=TRUE),"",VLOOKUP("Hinges &amp; plates (Hettich thick door)",FurnitureData,5,0)*5)</f>
        <v/>
      </c>
      <c r="I174" s="115" t="str">
        <f>IF(ISERROR(FIND("shelf",A174))=FALSE,(VLOOKUP("Shelf pegs",FurnitureData,5,0)/100)*4,"")</f>
        <v/>
      </c>
      <c r="J174" s="152" t="str">
        <f>IF(OR(ISERROR(FIND("fridge/freezer",A174))=FALSE,ISERROR(FIND("sink",A174))=FALSE,ISERROR(FIND("larder",A174))=FALSE),VLOOKUP("Deep shelf "&amp;C174,Wardrobes_etcData,18,0),IF(OR(ISERROR(FIND("single oven",A174))=FALSE,ISERROR(FIND("Base carcass",A174))=FALSE),2*VLOOKUP("Deep shelf "&amp;C174,Wardrobes_etcData,18,0),IF(AND(ISERROR(FIND("wall carcass",A174))=FALSE,ISERROR(FIND("Boiler",A174))=TRUE),2*VLOOKUP("Shallow shelf "&amp;C174,Wardrobes_etcData,18,0),IF(ISERROR(FIND("double oven",A174))=FALSE,3*VLOOKUP("Deep shelf "&amp;C174,Wardrobes_etcData,18,0),IF(ISERROR(FIND("Tower carcass",A174))=FALSE,6*VLOOKUP("Deep shelf "&amp;C174,Wardrobes_etcData,18,0),"")))))</f>
        <v/>
      </c>
      <c r="K174" s="152" t="str">
        <f>IF(ISERROR(FIND("sink",A174))=FALSE,VLOOKUP("Sink liner - Aluminium "&amp;RIGHT(A174,LEN(A174)-22)&amp;"mm",ExceptionalData,5,0),IF(ISERROR(FIND("bins",A174))=FALSE,VLOOKUP("Drawer runners and clip set for bin unit (500) Dynapro",FurnitureData,5,0)+(2*VLOOKUP("Bin (42L Anthracite)",FurnitureData,5,0)),IF(ISERROR(FIND("larder",A174))=FALSE,VLOOKUP("Pull out larder unit 600mm",FurnitureData,5,0),IF(AND(ISERROR(FIND("drawer box",A174))=FALSE,ISERROR(FIND("internal",A174))=TRUE),VLOOKUP("Drawer runners and clip set (550) Dynapro",FurnitureData,5,0),IF(ISERROR(FIND("internal drawer box",A174))=FALSE,VLOOKUP("Drawer runners and clip set (450) Dynapro",FurnitureData,5,0),IF(ISERROR(FIND("table",A174))=FALSE,VLOOKUP("Hairpin Leg (12mm Black "&amp;MID(A174,FIND("(",A174)+1,LEN(A174)-(FIND("(",A174))-1)&amp;"mm)",ExceptionalData,4,FALSE),""))))))</f>
        <v/>
      </c>
      <c r="L174" s="152" t="str">
        <f t="shared" si="3"/>
        <v/>
      </c>
      <c r="M174" s="154" t="str">
        <f>IF(A174="","",IF(AND(ISERROR(FIND("drawer front",A174))=FALSE,WardrobeDoorStyle="Flat"),(((B174/1000)*(C174/1000))*2)+((((B174+C174)/1000)*2)*0.022),IF(AND(ISERROR(FIND("drawer front",A174))=FALSE,LEFT(WardrobeDoorStyle,5)="Panel"),(((B174/1000)*(C174/1000))*2)+((((B174+C174)/1000)*2)*0.022)+((((C174/1000)-0.16)*0.013)*2)+((((D174/1000)-0.16)*0.013)*2),IF(AND(ISERROR(FIND("drawer front",A174))=FALSE,WardrobeDoorStyle="In-frame flat"),((((B174-76)/1000)*((C174-38)/1000))*2)+(MID(WardrobeDoorMaterial,FIND("(",WardrobeDoorMaterial)+1,2)/1000)*((((B174-76)+(C174-38))/1000)*2)+(((B174/1000)*0.032)*2)+((((B174-76)/1000)*0.032)*2)+(((B174/1000)*0.019)*4)+(((C174/1000)*0.032)*2)+((((C174-38)/1000)*0.032)*2)+(((C174/1000)*0.038)*4),IF(AND(ISERROR(FIND("drawer front",A174))=FALSE,LEFT(WardrobeDoorStyle,14)="In-frame panel"),((((B174-76)/1000)*((C174-38)/1000))*2)+((MID(WardrobeDoorMaterial,FIND("(",WardrobeDoorMaterial)+1,2)/1000)*((((B174-76)+(C174-38))/1000)*2))+((((B174-236)/1000)+((C174-198)/1000)*2)*0.013)+(((B174/1000)*0.032)*2)+((((B174-76)/1000)*0.032)*2)+(((B174/1000)*0.019)*4)+(((C174/1000)*0.032)*2)+((((C174-38)/1000)*0.032)*2)+(((C174/1000)*0.038)*4),IF(ISERROR(FIND("drawer box",A174))=FALSE,((((B174/1000)*(D174/1000))+((B174/1000)*(C174/1000)))*4)+((((D174/1000)+(C174/1000))*0.016)*4)+(((C174/1000)*(D174/1000))*2),IF(OR(ISERROR(FIND("shelf",A174))=FALSE,ISERROR(FIND("Filler panel",A174))=FALSE),(((C174/1000)*(D174/1000))*2)+((((C174+D174)*2)/1000)*0.022),IF(ISERROR(FIND("Fireplace",A174))=FALSE,((B174/1000)*(C174/1000)),IF(ISERROR(FIND("Worktop",A174))=FALSE,(B174/1000)*(C174/1000),IF(ISERROR(FIND("table",A174))=FALSE,(B174/1000)*0.6,IF(ISERROR(FIND("arcass",A174))=FALSE,(((C174/1000)*(D174/1000))*2)+(((B174/1000)*(D174/1000))*2)+((B174/1000)*(C174/1000))+((((B174/1000)*0.025)+((C174/1000)*0.025))*2),IF(AND(ISERROR(FIND("door",A174))=FALSE,WardrobeDoorStyle="Flat"),(((B174/1000)*(C174/1000))*2)+(MID(WardrobeDoorMaterial,FIND("(",WardrobeDoorMaterial)+1,2)/1000)*(((B174+C174)/1000)*2),IF(AND(ISERROR(FIND("door",A174))=FALSE,LEFT(WardrobeDoorStyle,5)="Panel"),(((B174/1000)*(C174/1000))*2)+((MID(WardrobeDoorMaterial,FIND("(",WardrobeDoorMaterial)+1,2)/1000)*(((B174+C174)/1000)*2))+(((((B174-160)+(C174-160))*2)/1000)*(0.013)),IF(AND(ISERROR(FIND("door",A174))=FALSE,WardrobeDoorStyle="In-frame flat"),((((B174-76)/1000)*((C174-38)/1000))*2)+(MID(WardrobeDoorMaterial,FIND("(",WardrobeDoorMaterial)+1,2)/1000)*((((B174-76)+(C174-38))/1000)*2)+(((B174/1000)*0.032)*2)+((((B174-76)/1000)*0.032)*2)+(((B174/1000)*0.019)*4)+(((C174/1000)*0.032)*2)+((((C174-38)/1000)*0.032)*2)+(((C174/1000)*0.038)*4),IF(AND(ISERROR(FIND("door",A174))=FALSE,LEFT(WardrobeDoorStyle,14)="In-frame panel"),((((B174-76)/1000)*((C174-38)/1000))*2)+((MID(WardrobeDoorMaterial,FIND("(",WardrobeDoorMaterial)+1,2)/1000)*((((B174-76)+(C174-38))/1000)*2))+((((B174-236)/1000)+((C174-198)/1000)*2)*0.013)+(((B174/1000)*0.032)*2)+((((B174-76)/1000)*0.032)*2)+(((B174/1000)*0.019)*4)+(((C174/1000)*0.032)*2)+((((C174-38)/1000)*0.032)*2)+(((C174/1000)*0.038)*4),IF(ISERROR(FIND("Plinth",A174))=FALSE,((B174/1000)*(C174/1000))+(((C174/1000)*0.018)*2)+(((B174/1000)*0.018)*2),IF(ISERROR(FIND("Cornice",A174))=FALSE,(((C174/1000)*0.1)*2)+(((C174/1000)*0.044)*2)+(((B174/1000)*0.08)*2),IF(ISERROR(FIND("Office pod",A174))=FALSE,((2400/1000)*(1200/1000))*6,IF(ISERROR(FIND("panel",A174))=FALSE,((B174/1000)*(C174/1000))+(0.022*((B174/1000)+((C174/1000)*2)))+((B174/1000)*0.05),IF(ISERROR(FIND("Fillers",A174))=FALSE,((C174/1000)*0.06)+((C174/1000)*0.069)+((0.06*0.018)*2)+((0.06*0.009)*2)+((C174/1000)*0.009)+((C174/1000)*0.018),IF(ISERROR(FIND("Pelmet",A174))=FALSE,((C174/1000)*0.05)+((C174/1000)*0.068)+((0.05*0.018)*4)+(((C174/1000)*0.018))*2)))))))))))))))))))))</f>
        <v/>
      </c>
      <c r="N174" s="152" t="str">
        <f>IF(M174="","",IF(AND(ISERROR(FIND("carcass",A174))=TRUE,ISERROR(FIND("unit",A174))=TRUE,ISERROR(FIND("insert",A174))=TRUE,ISERROR(FIND("rack",A174))=TRUE,ISERROR(FIND("box",A174))=TRUE,ISERROR(FIND("shelf",A174))=TRUE),VLOOKUP(WardrobeDoorFinish,Finishing!$A$2:$K$10,9,0)*M174,IF(ISERROR(FIND("table",A174))=FALSE,VLOOKUP("Sayerlack AF0072 Interior Clear Self-Sealer",FinishingData,9,FALSE)*M174,VLOOKUP(WardrobeCarcassFinish,Finishing!$A$2:$K$40,9,0)*M174)))</f>
        <v/>
      </c>
      <c r="O174" s="155"/>
      <c r="P174" s="155"/>
      <c r="Q174" s="152" t="str">
        <f>IF(OR(O174="",P174=""),"",((O174*X174)*(VLOOKUP("Workshop",Labour!$A$3:$E$20,4,0)/8))+((P174*AE174)*(VLOOKUP("Finishing",Labour!$A$3:$E$20,4,0)/8)))</f>
        <v/>
      </c>
      <c r="R174" s="152" t="str">
        <f t="shared" si="4"/>
        <v/>
      </c>
      <c r="S174" s="156" t="str">
        <f>IF(OR(O174="",P174=""),"",IF(OR(ISERROR(FIND("carcass",$A174))=FALSE,ISERROR(FIND("unit",$A174))=FALSE),VLOOKUP(WardrobeCarcassMaterial,FixedListsCarcassMaterial,2,0),0))</f>
        <v/>
      </c>
      <c r="T174" s="156" t="str">
        <f>IF(OR(O174="",P174=""),"",IF(ISERROR(FIND("door",$A174))=FALSE,VLOOKUP(WardrobeDoorStyle,FixedListsDoorStyle,2,0),0))</f>
        <v/>
      </c>
      <c r="U174" s="156" t="str">
        <f>IF(OR(O174="",P174=""),"",IF(ISERROR(FIND("door",$A174))=FALSE,VLOOKUP(WardrobeDoorMaterial,FixedListsDoorMaterial,2,0),0))</f>
        <v/>
      </c>
      <c r="V174" s="156" t="str">
        <f>IF(OR(O174="",P174=""),"",IF(ISERROR(FIND("drawer",$A174))=FALSE,VLOOKUP(WardrobeDrawerType,FixedListsDrawerType,2,0),0))</f>
        <v/>
      </c>
      <c r="W174" s="156" t="str">
        <f>IF(OR(O174="",P174=""),"",IF(S174&gt;0,VLOOKUP(WardrobeHandleType,FixedListsHandleType,2,FALSE),0))</f>
        <v/>
      </c>
      <c r="X174" s="156" t="str">
        <f t="shared" si="5"/>
        <v/>
      </c>
      <c r="Y174" s="156" t="str">
        <f>IF(OR(O174="",P174=""),"",IF(OR(ISERROR(FIND("carcass",$A174))=FALSE,ISERROR(FIND("unit",$A174))=FALSE),VLOOKUP(WardrobeCarcassMaterial,FixedListsCarcassMaterial,3,0),0))</f>
        <v/>
      </c>
      <c r="Z174" s="156" t="str">
        <f>IF(OR(O174="",P174=""),"",IF(ISERROR(FIND("door",$A174))=FALSE,VLOOKUP(WardrobeDoorStyle,FixedListsDoorStyle,3,0),0))</f>
        <v/>
      </c>
      <c r="AA174" s="156" t="str">
        <f>IF(OR(O174="",P174=""),"",IF(ISERROR(FIND("door",$A174))=FALSE,VLOOKUP(WardrobeDoorMaterial,FixedListsDoorMaterial,3,0),0))</f>
        <v/>
      </c>
      <c r="AB174" s="156" t="str">
        <f>IF(OR(O174="",P174=""),"",IF(ISERROR(FIND("drawer",$A174))=FALSE,VLOOKUP(WardrobeDrawerType,FixedListsDrawerType,3,0),0))</f>
        <v/>
      </c>
      <c r="AC174" s="156" t="str">
        <f>IF(OR(O174="",P174=""),"",IF(S174&gt;0,VLOOKUP(WardrobeHandleType,FixedListsHandleType,3,FALSE),0))</f>
        <v/>
      </c>
      <c r="AD174" s="156" t="str">
        <f>IF(OR(O174="",P174=""),"",IF(OR(ISERROR(FIND("carcass",$A174))=FALSE,ISERROR(FIND("unit",$A174))=FALSE),VLOOKUP(WardrobeCarcassFinish,FixedListsFinishes,3,0),IF(OR(ISERROR(FIND("door",$A174))=FALSE,ISERROR(FIND("Plinth",$A174))=FALSE,ISERROR(FIND("Cornice",$A174))=FALSE,ISERROR(FIND("Fillers",$A174))=FALSE,ISERROR(FIND("Pelmet",$A174))=FALSE,ISERROR(FIND("panel",$A174))=FALSE,ISERROR(FIND("post",$A174))=FALSE),VLOOKUP(WardrobeDoorFinish,FixedListsFinishes,3,0),IF(OR(ISERROR(FIND("drawer",$A174))=FALSE,ISERROR(FIND("insert",$A174))=FALSE,ISERROR(FIND("rck",$A174))=FALSE),VLOOKUP(WardrobeCarcassFinish,FixedListsFinishes,3,0),0))))</f>
        <v/>
      </c>
      <c r="AE174" s="156" t="str">
        <f t="shared" si="6"/>
        <v/>
      </c>
      <c r="AF174" s="157" t="str">
        <f>IF(AND(WardrobeHandleType="Channel",OR(ISERROR(FIND("arcass",$A174))=FALSE,ISERROR(FIND("unit",$A174))=FALSE)),IF(ISERROR(FIND("Tower",$A174))=TRUE,IF(WardrobeHandleFinish="Match carcass",IF(ISERROR(FIND("Walnut",WardrobeCarcassMaterial))=FALSE,(0.035*0.075*($C174/1000))*VLOOKUP("Walnut (solid m3)",SolidData,4,FALSE),IF(ISERROR(FIND("Oak",WardrobeCarcassMaterial))=FALSE,(0.035*0.075*($C174/1000))*VLOOKUP("Oak (solid m3)",SolidData,4,FALSE),IF(ISERROR(FIND("ply",WardrobeCarcassMaterial))=FALSE,(0.1*($C174/1000))*VLOOKUP("Birch ply (24mm)",SheetsData,7,FALSE),IF(ISERROR(FIND("H/F",WardrobeCarcassMaterial))=FALSE,(0.1*($C174/1000))*VLOOKUP("H/F (22mm)",SheetsData,7,FALSE),"Carcass - not tower - new material")))),IF(WardrobeHandleFinish="Match door",IF(ISERROR(FIND("Walnut",WardrobeDoorMaterial))=FALSE,(0.035*0.075*($C174/1000))*VLOOKUP("Walnut (solid m3)",SolidData,4,FALSE),IF(ISERROR(FIND("Oak",WardrobeDoorMaterial))=FALSE,(0.035*0.075*($C174/1000))*VLOOKUP("Oak (solid m3)",SolidData,4,FALSE),IF(ISERROR(FIND("ply",WardrobeDoorMaterial))=FALSE,(0.1*($C174/1000))*VLOOKUP("Birch ply (24mm)",SheetsData,7,FALSE),IF(ISERROR(FIND("H/F",WardrobeCarcassMaterial))=FALSE,(0.1*($C174/1000))*VLOOKUP("H/F (22mm)",SheetsData,7,FALSE),"Door - not tower - new material")))),"Channel - not tower - handle set to other")),IF(ISERROR(FIND("Tower",$A174))=FALSE,IF(WardrobeHandleFinish="Match carcass",IF(ISERROR(FIND("Walnut",WardrobeCarcassMaterial))=FALSE,(0.035*0.075*($B174/1000))*VLOOKUP("Walnut (solid m3)",SolidData,4,FALSE),IF(ISERROR(FIND("Oak",WardrobeCarcassMaterial))=FALSE,(0.035*0.075*($B174/1000))*VLOOKUP("Oak (solid m3)",SolidData,4,FALSE),IF(ISERROR(FIND("ply",WardrobeCarcassMaterial))=FALSE,(0.1*($B174/1000))*VLOOKUP("Birch ply (24mm)",SheetsData,7,FALSE),IF(ISERROR(FIND("H/F",WardrobeCarcassMaterial))=FALSE,(0.1*($C174/1000))*VLOOKUP("H/F (22mm)",SheetsData,7,FALSE),"Carcass - tower - new material")))),IF(WardrobeHandleFinish="Match door",IF(ISERROR(FIND("Walnut",WardrobeDoorMaterial))=FALSE,(0.035*0.075*($B174/1000))*VLOOKUP("Walnut (solid m3)",SolidData,4,FALSE),IF(ISERROR(FIND("Oak",WardrobeDoorMaterial))=FALSE,(0.035*0.075*($B174/1000))*VLOOKUP("Oak (solid m3)",SolidData,4,FALSE),IF(ISERROR(FIND("ply",WardrobeDoorMaterial))=FALSE,(0.1*($B174/1000))*VLOOKUP("Birch ply (24mm)",SheetData,7,FALSE),IF(ISERROR(FIND("H/F",WardrobeCarcassMaterial))=FALSE,(0.1*($C174/1000))*VLOOKUP("H/F (22mm)",SheetsData,7,FALSE),"Door - tower - new material")))),"Channel - tower - handle set to other")))),"")</f>
        <v/>
      </c>
    </row>
    <row r="175">
      <c r="A175" s="150"/>
      <c r="B175" s="160" t="str">
        <f t="shared" si="1"/>
        <v/>
      </c>
      <c r="C175" s="160" t="str">
        <f>IFERROR(__xludf.DUMMYFUNCTION("IF(A175="""","""",IF(ISERROR(FIND(""arcass"",A175))=FALSE,MID(A175,FIND(""*"",A175)+1,FIND(""*"",A175,FIND(""*"",A175)+1)-FIND(""*"",A175)-1),IF(ISERROR(FIND(""End panel"",A175))=FALSE,RIGHT(A175,3),IF(OR(ISERROR(FIND(""drawer"",A175))=FALSE,ISERROR(FIND("&amp;"""door"",A175))=FALSE,ISERROR(FIND(""shelf"",A175))=FALSE,ISERROR(FIND(""panel"",A175))=FALSE,ISERROR(FIND(""Plinth"",A175))=FALSE,ISERROR(FIND(""Cornice"",A175))=FALSE,ISERROR(FIND(""Fillers"",A175))=FALSE,ISERROR(FIND(""Pelmet"",A175))=FALSE,ISERROR(FIN"&amp;"D(""Fireplace up to 1600"",A175))=FALSE),RIGHT(A175,LEN(A175)-LEN(regexextract(A175,"".* ""))),IF(ISERROR(FIND(""table"",A175))=FALSE,""560"",IF(ISERROR(FIND(""Office pod"",A175))=FALSE,""1600"",IF(ISERROR(FIND(""Fireplace over 1600"",A175))=FALSE,""2400"&amp;""",IF(ISERROR(FIND(""Worktop"",A175))=FALSE,""650"",""Whoops""))))))))"),"")</f>
        <v/>
      </c>
      <c r="D175" s="161" t="str">
        <f t="shared" si="2"/>
        <v/>
      </c>
      <c r="E175" s="152" t="str">
        <f>IF(OR(A175="",AND(ISERROR(FIND("drawer",A175))=FALSE,WardrobeDrawerType="")),"",IF(ISERROR(FIND("door",A175))=FALSE,IF(WardrobeDoorStyle="Flat",((B175/1000)*(C175/1000))*VLOOKUP(WardrobeDoorMaterial,SheetsData,8,0),IF(LEFT(WardrobeDoorStyle,5)="Panel",(((((B175/1000)*2)*0.08)+((((C175/1000)-0.16)*2)*0.08))*VLOOKUP("H/F (22mm)",SheetsData,8,0))+(((B175/1000)-0.14)*((C175/1000)-0.14)*VLOOKUP("H/F (9mm)",SheetsData,8,0)),IF(WardrobeDoorStyle="In-frame flat",((((((B175/1000)*0.019)*0.038)+((((C175-38)/1000)*0.038)*0.038))*2)*VLOOKUP("Tulip (solid m3)",SolidData,4,0))+(((B175-76)/1000)*((C175-38)/1000))*VLOOKUP("H/F (22mm)",SheetsData,8,0),IF(LEFT(WardrobeDoorStyle,14)="In-frame panel",(((((((B175/1000)*0.019)*0.038)+((((C175-38)/1000)*0.038)*0.038))*2)*VLOOKUP("Tulip (solid m3)",SolidData,4,0))+(((((((B175-76)/1000)*2)*0.08)+(((((C175-198)/1000)*2)*0.08)))*VLOOKUP("H/F (22mm)",SheetsData,8,0))+(((B175-216)/1000)*((C175-178)/1000)*VLOOKUP("H/F (9mm)",SheetsData,8,0)))))))),IF(AND(ISERROR(FIND("arcass",A175))=FALSE,ISERROR(FIND("ost corner",A175))=TRUE),IF(AND(VALUE(B175)&lt;1211,VALUE(C175)&lt;1211,VALUE(D175)&lt;606),1*VLOOKUP(WardrobeCarcassMaterial,SheetsData,5,FALSE),IF(AND(VALUE(B175)&lt;2421,VALUE(C175)&lt;2421,VALUE(D175)&lt;606),2*VLOOKUP(WardrobeCarcassMaterial,SheetsData,5,FALSE),IF(AND(VALUE(B175)&lt;2421,VALUE(C175)&lt;1211,VALUE(D175)&lt;1211),3*VLOOKUP(WardrobeCarcassMaterial,SheetsData,5,FALSE),IF(AND(VALUE(B175)&lt;2421,VALUE(C175)&lt;2421,VALUE(D175)&lt;1211),4*VLOOKUP(WardrobeCarcassMaterial,SheetsData,5,FALSE))))),IF(AND(ISERROR(FIND("arcass",A175))=FALSE,ISERROR(FIND("ost corner",A175))=FALSE),IF(AND(VALUE(B175)&lt;1211,VALUE(C175)&lt;1211,VALUE(D175)&lt;606),(1*VLOOKUP(WardrobeCarcassMaterial,SheetsData,5,FALSE))+(VLOOKUP("H/F (22mm)",SheetsData,7,FALSE)*1.44),IF(AND(VALUE(B175)&lt;2421,VALUE(C175)&lt;2421,VALUE(D175)&lt;606),(2*VLOOKUP(WardrobeCarcassMaterial,SheetsData,5,FALSE))+(VLOOKUP("H/F (22mm)",SheetsData,7,FALSE)*1.44),IF(AND(VALUE(B175)&lt;2421,VALUE(C175)&lt;1211,VALUE(D175)&lt;1211),(3*VLOOKUP(WardrobeCarcassMaterial,SheetsData,5,FALSE))+(VLOOKUP("H/F (22mm)",SheetsData,7,FALSE)*1.44),IF(AND(VALUE(B175)&lt;2421,VALUE(C175)&lt;2421,VALUE(D175)&lt;1211),(4*VLOOKUP(WardrobeCarcassMaterial,SheetsData,5,FALSE))+(VLOOKUP("H/F (22mm)",SheetsData,7,FALSE)*1.44))))),IF(ISERROR(FIND("drawer front",A175))=FALSE,((B175/1000)*(C175/1000))*VLOOKUP(WardrobeDoorMaterial,SheetsData,8,0),IF(AND(WardrobeDrawerType="Match carcass",ISERROR(FIND("drawer box",A175))=FALSE),(((((B175/1000)*(C175/1000))+((B175/1000)*(D175/1000)))*2)*VLOOKUP(WardrobeCarcassMaterial,SheetsData,8,0))+(((C175/1000)*(D175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box",A175))=FALSE),(((((B175/1000)*(C175/1000))+((B175/1000)*(D175/1000)))*2)*(16/1000)*VLOOKUP(LEFT(WardrobeCarcassMaterial,FIND(" ",WardrobeCarcassMaterial))&amp;"(solid m3)",SolidData,4,0))+(((C175/1000)*(D175/1000))*VLOOKUP(LEFT(WardrobeCarcassMaterial,FIND("(",WardrobeCarcassMaterial)-1)&amp;IF(OR(ISERROR(FIND("ply",WardrobeCarcassMaterial))=FALSE,ISERROR(FIND("H/F",WardrobeCarcassMaterial))=FALSE),"(9mm)","(10mm)"),SheetsData,8,0)),IF(ISERROR(FIND("shelf",A175))=FALSE,((C175/1000)*(D175/1000))*VLOOKUP(WardrobeCarcassMaterial,SheetsData,7,FALSE),IF(ISERROR(FIND("Office pod",A175))=FALSE,3*VLOOKUP(WardrobeCarcassMaterial,SheetsData,5,0),IF(ISERROR(FIND(" panel",A175))=FALSE,((B175/1000)*(C175/1000))*VLOOKUP(WardrobeDoorMaterial,SheetsData,8,0),IF(ISERROR(FIND("Fillers",A175))=FALSE,(((0.06*(C175/1000))*2)*VLOOKUP("H/F (18mm)",SheetsData,8,0))+(((0.06*(C175/1000))*2)*VLOOKUP("H/F (9mm)",SheetsData,8,0)),IF(ISERROR(FIND("Cornice (stacked)",A175))=FALSE,((0.08*(C175/1000))*2)*VLOOKUP("H/F (22mm)",SheetsData,8,0),IF(OR(ISERROR(FIND("Plinth",A175))=FALSE,ISERROR(FIND("Cornice (flat)",A175))=FALSE),((B175/1000)*(C175/1000))*VLOOKUP("H/F (18mm)",SheetsData,8,0),IF(ISERROR(FIND("Pelmet",A175))=FALSE,((((B175/1000)*(C175/1000))*2)*VLOOKUP("H/F (18mm)",SheetsData,8,0)),IF(ISERROR(FIND("Fireplace",A175))=FALSE,IF(ISERROR(FIND("over 1600",A175))=FALSE,2*VLOOKUP(WardrobeCarcassMaterial,SheetsData,5,FALSE),VLOOKUP(WardrobeCarcassMaterial,SheetsData,5,FALSE)),IF(ISERROR(FIND("table",A175))=FALSE,((B175/1000)*0.6)*VLOOKUP("Birch ply (24mm)",SheetsData,7,FALSE),IF(ISERROR(FIND("Worktop",A175))=FALSE,((B175/1000)*(C175/1000))*VLOOKUP(WardrobeDoorMaterial,SheetsData,7,FALSE),"Check formula")))))))))))))))))</f>
        <v/>
      </c>
      <c r="F175" s="152" t="str">
        <f>IFERROR(__xludf.DUMMYFUNCTION("IF(OR(A175="""",AND(ISERROR(FIND(""drawer box"",A175))=FALSE,WardrobeDrawerType=""Solid dovetail"")),"""",IF(ISERROR(FIND(""bins"",A175))=FALSE,VLOOKUP(""Base carcass 600"",Wardrobes_etcData,6,0),IF(OR(ISERROR(FIND(""larder"",A175))=FALSE,ISERROR(FIND(""u"&amp;"nit"",A175))=FALSE),VLOOKUP(LEFT(A175,FIND("" "",A175))&amp;""carcass ""&amp;RIGHT(A175,LEN(A175)-len(regexextract(A175,"".* ""))),Wardrobes_etcData,6,0),IF(ISERROR(FIND(""drawer front"",A175))=FALSE,IF(ISERROR(FIND(""veneer"",WardrobeCarcassMaterial))=TRUE,0,((("&amp;"B175+C175)/1000)*2)*VLOOKUP(""Edge banding (per M)"",SheetsData,5,0)),IF(ISERROR(FIND(""drawer box"",A175))=FALSE,IF(ISERROR(FIND(""veneer"",WardrobeCarcassMaterial))=TRUE,0,(((C175+D175)/1000)*2)*VLOOKUP(""Edge banding (per M)"",SheetsData,5,0)),IF(ISERR"&amp;"OR(FIND(""shelf"",A175))=FALSE,IF(ISERROR(FIND(""veneer"",WardrobeCarcassMaterial))=TRUE,0,(C175/1000)*VLOOKUP(""Edge banding (per M)"",SheetsData,5,0)),IF(AND(OR(ISERROR(FIND(""arcass"",A175))=FALSE,ISERROR(FIND(""Fireplace"",A175))=FALSE),ISERROR(FIND("&amp;"""shelf"",A175))=TRUE),IF(ISERROR(FIND(""veneer"",WardrobeCarcassMaterial))=TRUE,0,((2*(B175+C175))/1000)*VLOOKUP(""Edge banding (per M)"",SheetsData,5,0)),IF(ISERROR(FIND(""door"",A175))=TRUE,"""",IF(ISERROR(FIND(""veneer"",WardrobeDoorMaterial))=TRUE,"""&amp;""",((2*(B175+C175))/1000)*VLOOKUP(""Edge banding (per M)"",SheetsData,5,0))))))))))"),"")</f>
        <v/>
      </c>
      <c r="G175" s="153" t="str">
        <f>IF(A175="","",IF(AND(ISERROR(FIND("arcass",A175))=TRUE,ISERROR(FIND("Fireplace",A175))=TRUE),"",IF(VALUE(C175)&lt;606,4*VLOOKUP("Plinth foot (2 Parts 80mm)",FurnitureData,5,FALSE),IF(VALUE(C175)&lt;1211,6*VLOOKUP("Plinth foot (2 Parts 80mm)",FurnitureData,5,FALSE),8*VLOOKUP("Plinth foot (2 Parts 80mm)",FurnitureData,5,FALSE)))))</f>
        <v/>
      </c>
      <c r="H175" s="115" t="str">
        <f>IF(OR(A175="",ISERROR(FIND("door",A175))=TRUE),"",VLOOKUP("Hinges &amp; plates (Hettich thick door)",FurnitureData,5,0)*5)</f>
        <v/>
      </c>
      <c r="I175" s="115" t="str">
        <f>IF(ISERROR(FIND("shelf",A175))=FALSE,(VLOOKUP("Shelf pegs",FurnitureData,5,0)/100)*4,"")</f>
        <v/>
      </c>
      <c r="J175" s="152" t="str">
        <f>IF(OR(ISERROR(FIND("fridge/freezer",A175))=FALSE,ISERROR(FIND("sink",A175))=FALSE,ISERROR(FIND("larder",A175))=FALSE),VLOOKUP("Deep shelf "&amp;C175,Wardrobes_etcData,18,0),IF(OR(ISERROR(FIND("single oven",A175))=FALSE,ISERROR(FIND("Base carcass",A175))=FALSE),2*VLOOKUP("Deep shelf "&amp;C175,Wardrobes_etcData,18,0),IF(AND(ISERROR(FIND("wall carcass",A175))=FALSE,ISERROR(FIND("Boiler",A175))=TRUE),2*VLOOKUP("Shallow shelf "&amp;C175,Wardrobes_etcData,18,0),IF(ISERROR(FIND("double oven",A175))=FALSE,3*VLOOKUP("Deep shelf "&amp;C175,Wardrobes_etcData,18,0),IF(ISERROR(FIND("Tower carcass",A175))=FALSE,6*VLOOKUP("Deep shelf "&amp;C175,Wardrobes_etcData,18,0),"")))))</f>
        <v/>
      </c>
      <c r="K175" s="152" t="str">
        <f>IF(ISERROR(FIND("sink",A175))=FALSE,VLOOKUP("Sink liner - Aluminium "&amp;RIGHT(A175,LEN(A175)-22)&amp;"mm",ExceptionalData,5,0),IF(ISERROR(FIND("bins",A175))=FALSE,VLOOKUP("Drawer runners and clip set for bin unit (500) Dynapro",FurnitureData,5,0)+(2*VLOOKUP("Bin (42L Anthracite)",FurnitureData,5,0)),IF(ISERROR(FIND("larder",A175))=FALSE,VLOOKUP("Pull out larder unit 600mm",FurnitureData,5,0),IF(AND(ISERROR(FIND("drawer box",A175))=FALSE,ISERROR(FIND("internal",A175))=TRUE),VLOOKUP("Drawer runners and clip set (550) Dynapro",FurnitureData,5,0),IF(ISERROR(FIND("internal drawer box",A175))=FALSE,VLOOKUP("Drawer runners and clip set (450) Dynapro",FurnitureData,5,0),IF(ISERROR(FIND("table",A175))=FALSE,VLOOKUP("Hairpin Leg (12mm Black "&amp;MID(A175,FIND("(",A175)+1,LEN(A175)-(FIND("(",A175))-1)&amp;"mm)",ExceptionalData,4,FALSE),""))))))</f>
        <v/>
      </c>
      <c r="L175" s="152" t="str">
        <f t="shared" si="3"/>
        <v/>
      </c>
      <c r="M175" s="154" t="str">
        <f>IF(A175="","",IF(AND(ISERROR(FIND("drawer front",A175))=FALSE,WardrobeDoorStyle="Flat"),(((B175/1000)*(C175/1000))*2)+((((B175+C175)/1000)*2)*0.022),IF(AND(ISERROR(FIND("drawer front",A175))=FALSE,LEFT(WardrobeDoorStyle,5)="Panel"),(((B175/1000)*(C175/1000))*2)+((((B175+C175)/1000)*2)*0.022)+((((C175/1000)-0.16)*0.013)*2)+((((D175/1000)-0.16)*0.013)*2),IF(AND(ISERROR(FIND("drawer front",A175))=FALSE,WardrobeDoorStyle="In-frame flat"),((((B175-76)/1000)*((C175-38)/1000))*2)+(MID(WardrobeDoorMaterial,FIND("(",WardrobeDoorMaterial)+1,2)/1000)*((((B175-76)+(C175-38))/1000)*2)+(((B175/1000)*0.032)*2)+((((B175-76)/1000)*0.032)*2)+(((B175/1000)*0.019)*4)+(((C175/1000)*0.032)*2)+((((C175-38)/1000)*0.032)*2)+(((C175/1000)*0.038)*4),IF(AND(ISERROR(FIND("drawer front",A175))=FALSE,LEFT(WardrobeDoorStyle,14)="In-frame panel"),((((B175-76)/1000)*((C175-38)/1000))*2)+((MID(WardrobeDoorMaterial,FIND("(",WardrobeDoorMaterial)+1,2)/1000)*((((B175-76)+(C175-38))/1000)*2))+((((B175-236)/1000)+((C175-198)/1000)*2)*0.013)+(((B175/1000)*0.032)*2)+((((B175-76)/1000)*0.032)*2)+(((B175/1000)*0.019)*4)+(((C175/1000)*0.032)*2)+((((C175-38)/1000)*0.032)*2)+(((C175/1000)*0.038)*4),IF(ISERROR(FIND("drawer box",A175))=FALSE,((((B175/1000)*(D175/1000))+((B175/1000)*(C175/1000)))*4)+((((D175/1000)+(C175/1000))*0.016)*4)+(((C175/1000)*(D175/1000))*2),IF(OR(ISERROR(FIND("shelf",A175))=FALSE,ISERROR(FIND("Filler panel",A175))=FALSE),(((C175/1000)*(D175/1000))*2)+((((C175+D175)*2)/1000)*0.022),IF(ISERROR(FIND("Fireplace",A175))=FALSE,((B175/1000)*(C175/1000)),IF(ISERROR(FIND("Worktop",A175))=FALSE,(B175/1000)*(C175/1000),IF(ISERROR(FIND("table",A175))=FALSE,(B175/1000)*0.6,IF(ISERROR(FIND("arcass",A175))=FALSE,(((C175/1000)*(D175/1000))*2)+(((B175/1000)*(D175/1000))*2)+((B175/1000)*(C175/1000))+((((B175/1000)*0.025)+((C175/1000)*0.025))*2),IF(AND(ISERROR(FIND("door",A175))=FALSE,WardrobeDoorStyle="Flat"),(((B175/1000)*(C175/1000))*2)+(MID(WardrobeDoorMaterial,FIND("(",WardrobeDoorMaterial)+1,2)/1000)*(((B175+C175)/1000)*2),IF(AND(ISERROR(FIND("door",A175))=FALSE,LEFT(WardrobeDoorStyle,5)="Panel"),(((B175/1000)*(C175/1000))*2)+((MID(WardrobeDoorMaterial,FIND("(",WardrobeDoorMaterial)+1,2)/1000)*(((B175+C175)/1000)*2))+(((((B175-160)+(C175-160))*2)/1000)*(0.013)),IF(AND(ISERROR(FIND("door",A175))=FALSE,WardrobeDoorStyle="In-frame flat"),((((B175-76)/1000)*((C175-38)/1000))*2)+(MID(WardrobeDoorMaterial,FIND("(",WardrobeDoorMaterial)+1,2)/1000)*((((B175-76)+(C175-38))/1000)*2)+(((B175/1000)*0.032)*2)+((((B175-76)/1000)*0.032)*2)+(((B175/1000)*0.019)*4)+(((C175/1000)*0.032)*2)+((((C175-38)/1000)*0.032)*2)+(((C175/1000)*0.038)*4),IF(AND(ISERROR(FIND("door",A175))=FALSE,LEFT(WardrobeDoorStyle,14)="In-frame panel"),((((B175-76)/1000)*((C175-38)/1000))*2)+((MID(WardrobeDoorMaterial,FIND("(",WardrobeDoorMaterial)+1,2)/1000)*((((B175-76)+(C175-38))/1000)*2))+((((B175-236)/1000)+((C175-198)/1000)*2)*0.013)+(((B175/1000)*0.032)*2)+((((B175-76)/1000)*0.032)*2)+(((B175/1000)*0.019)*4)+(((C175/1000)*0.032)*2)+((((C175-38)/1000)*0.032)*2)+(((C175/1000)*0.038)*4),IF(ISERROR(FIND("Plinth",A175))=FALSE,((B175/1000)*(C175/1000))+(((C175/1000)*0.018)*2)+(((B175/1000)*0.018)*2),IF(ISERROR(FIND("Cornice",A175))=FALSE,(((C175/1000)*0.1)*2)+(((C175/1000)*0.044)*2)+(((B175/1000)*0.08)*2),IF(ISERROR(FIND("Office pod",A175))=FALSE,((2400/1000)*(1200/1000))*6,IF(ISERROR(FIND("panel",A175))=FALSE,((B175/1000)*(C175/1000))+(0.022*((B175/1000)+((C175/1000)*2)))+((B175/1000)*0.05),IF(ISERROR(FIND("Fillers",A175))=FALSE,((C175/1000)*0.06)+((C175/1000)*0.069)+((0.06*0.018)*2)+((0.06*0.009)*2)+((C175/1000)*0.009)+((C175/1000)*0.018),IF(ISERROR(FIND("Pelmet",A175))=FALSE,((C175/1000)*0.05)+((C175/1000)*0.068)+((0.05*0.018)*4)+(((C175/1000)*0.018))*2)))))))))))))))))))))</f>
        <v/>
      </c>
      <c r="N175" s="152" t="str">
        <f>IF(M175="","",IF(AND(ISERROR(FIND("carcass",A175))=TRUE,ISERROR(FIND("unit",A175))=TRUE,ISERROR(FIND("insert",A175))=TRUE,ISERROR(FIND("rack",A175))=TRUE,ISERROR(FIND("box",A175))=TRUE,ISERROR(FIND("shelf",A175))=TRUE),VLOOKUP(WardrobeDoorFinish,Finishing!$A$2:$K$10,9,0)*M175,IF(ISERROR(FIND("table",A175))=FALSE,VLOOKUP("Sayerlack AF0072 Interior Clear Self-Sealer",FinishingData,9,FALSE)*M175,VLOOKUP(WardrobeCarcassFinish,Finishing!$A$2:$K$40,9,0)*M175)))</f>
        <v/>
      </c>
      <c r="O175" s="155"/>
      <c r="P175" s="155"/>
      <c r="Q175" s="152" t="str">
        <f>IF(OR(O175="",P175=""),"",((O175*X175)*(VLOOKUP("Workshop",Labour!$A$3:$E$20,4,0)/8))+((P175*AE175)*(VLOOKUP("Finishing",Labour!$A$3:$E$20,4,0)/8)))</f>
        <v/>
      </c>
      <c r="R175" s="152" t="str">
        <f t="shared" si="4"/>
        <v/>
      </c>
      <c r="S175" s="156" t="str">
        <f>IF(OR(O175="",P175=""),"",IF(OR(ISERROR(FIND("carcass",$A175))=FALSE,ISERROR(FIND("unit",$A175))=FALSE),VLOOKUP(WardrobeCarcassMaterial,FixedListsCarcassMaterial,2,0),0))</f>
        <v/>
      </c>
      <c r="T175" s="156" t="str">
        <f>IF(OR(O175="",P175=""),"",IF(ISERROR(FIND("door",$A175))=FALSE,VLOOKUP(WardrobeDoorStyle,FixedListsDoorStyle,2,0),0))</f>
        <v/>
      </c>
      <c r="U175" s="156" t="str">
        <f>IF(OR(O175="",P175=""),"",IF(ISERROR(FIND("door",$A175))=FALSE,VLOOKUP(WardrobeDoorMaterial,FixedListsDoorMaterial,2,0),0))</f>
        <v/>
      </c>
      <c r="V175" s="156" t="str">
        <f>IF(OR(O175="",P175=""),"",IF(ISERROR(FIND("drawer",$A175))=FALSE,VLOOKUP(WardrobeDrawerType,FixedListsDrawerType,2,0),0))</f>
        <v/>
      </c>
      <c r="W175" s="156" t="str">
        <f>IF(OR(O175="",P175=""),"",IF(S175&gt;0,VLOOKUP(WardrobeHandleType,FixedListsHandleType,2,FALSE),0))</f>
        <v/>
      </c>
      <c r="X175" s="156" t="str">
        <f t="shared" si="5"/>
        <v/>
      </c>
      <c r="Y175" s="156" t="str">
        <f>IF(OR(O175="",P175=""),"",IF(OR(ISERROR(FIND("carcass",$A175))=FALSE,ISERROR(FIND("unit",$A175))=FALSE),VLOOKUP(WardrobeCarcassMaterial,FixedListsCarcassMaterial,3,0),0))</f>
        <v/>
      </c>
      <c r="Z175" s="156" t="str">
        <f>IF(OR(O175="",P175=""),"",IF(ISERROR(FIND("door",$A175))=FALSE,VLOOKUP(WardrobeDoorStyle,FixedListsDoorStyle,3,0),0))</f>
        <v/>
      </c>
      <c r="AA175" s="156" t="str">
        <f>IF(OR(O175="",P175=""),"",IF(ISERROR(FIND("door",$A175))=FALSE,VLOOKUP(WardrobeDoorMaterial,FixedListsDoorMaterial,3,0),0))</f>
        <v/>
      </c>
      <c r="AB175" s="156" t="str">
        <f>IF(OR(O175="",P175=""),"",IF(ISERROR(FIND("drawer",$A175))=FALSE,VLOOKUP(WardrobeDrawerType,FixedListsDrawerType,3,0),0))</f>
        <v/>
      </c>
      <c r="AC175" s="156" t="str">
        <f>IF(OR(O175="",P175=""),"",IF(S175&gt;0,VLOOKUP(WardrobeHandleType,FixedListsHandleType,3,FALSE),0))</f>
        <v/>
      </c>
      <c r="AD175" s="156" t="str">
        <f>IF(OR(O175="",P175=""),"",IF(OR(ISERROR(FIND("carcass",$A175))=FALSE,ISERROR(FIND("unit",$A175))=FALSE),VLOOKUP(WardrobeCarcassFinish,FixedListsFinishes,3,0),IF(OR(ISERROR(FIND("door",$A175))=FALSE,ISERROR(FIND("Plinth",$A175))=FALSE,ISERROR(FIND("Cornice",$A175))=FALSE,ISERROR(FIND("Fillers",$A175))=FALSE,ISERROR(FIND("Pelmet",$A175))=FALSE,ISERROR(FIND("panel",$A175))=FALSE,ISERROR(FIND("post",$A175))=FALSE),VLOOKUP(WardrobeDoorFinish,FixedListsFinishes,3,0),IF(OR(ISERROR(FIND("drawer",$A175))=FALSE,ISERROR(FIND("insert",$A175))=FALSE,ISERROR(FIND("rck",$A175))=FALSE),VLOOKUP(WardrobeCarcassFinish,FixedListsFinishes,3,0),0))))</f>
        <v/>
      </c>
      <c r="AE175" s="156" t="str">
        <f t="shared" si="6"/>
        <v/>
      </c>
      <c r="AF175" s="157" t="str">
        <f>IF(AND(WardrobeHandleType="Channel",OR(ISERROR(FIND("arcass",$A175))=FALSE,ISERROR(FIND("unit",$A175))=FALSE)),IF(ISERROR(FIND("Tower",$A175))=TRUE,IF(WardrobeHandleFinish="Match carcass",IF(ISERROR(FIND("Walnut",WardrobeCarcassMaterial))=FALSE,(0.035*0.075*($C175/1000))*VLOOKUP("Walnut (solid m3)",SolidData,4,FALSE),IF(ISERROR(FIND("Oak",WardrobeCarcassMaterial))=FALSE,(0.035*0.075*($C175/1000))*VLOOKUP("Oak (solid m3)",SolidData,4,FALSE),IF(ISERROR(FIND("ply",WardrobeCarcassMaterial))=FALSE,(0.1*($C175/1000))*VLOOKUP("Birch ply (24mm)",SheetsData,7,FALSE),IF(ISERROR(FIND("H/F",WardrobeCarcassMaterial))=FALSE,(0.1*($C175/1000))*VLOOKUP("H/F (22mm)",SheetsData,7,FALSE),"Carcass - not tower - new material")))),IF(WardrobeHandleFinish="Match door",IF(ISERROR(FIND("Walnut",WardrobeDoorMaterial))=FALSE,(0.035*0.075*($C175/1000))*VLOOKUP("Walnut (solid m3)",SolidData,4,FALSE),IF(ISERROR(FIND("Oak",WardrobeDoorMaterial))=FALSE,(0.035*0.075*($C175/1000))*VLOOKUP("Oak (solid m3)",SolidData,4,FALSE),IF(ISERROR(FIND("ply",WardrobeDoorMaterial))=FALSE,(0.1*($C175/1000))*VLOOKUP("Birch ply (24mm)",SheetsData,7,FALSE),IF(ISERROR(FIND("H/F",WardrobeCarcassMaterial))=FALSE,(0.1*($C175/1000))*VLOOKUP("H/F (22mm)",SheetsData,7,FALSE),"Door - not tower - new material")))),"Channel - not tower - handle set to other")),IF(ISERROR(FIND("Tower",$A175))=FALSE,IF(WardrobeHandleFinish="Match carcass",IF(ISERROR(FIND("Walnut",WardrobeCarcassMaterial))=FALSE,(0.035*0.075*($B175/1000))*VLOOKUP("Walnut (solid m3)",SolidData,4,FALSE),IF(ISERROR(FIND("Oak",WardrobeCarcassMaterial))=FALSE,(0.035*0.075*($B175/1000))*VLOOKUP("Oak (solid m3)",SolidData,4,FALSE),IF(ISERROR(FIND("ply",WardrobeCarcassMaterial))=FALSE,(0.1*($B175/1000))*VLOOKUP("Birch ply (24mm)",SheetsData,7,FALSE),IF(ISERROR(FIND("H/F",WardrobeCarcassMaterial))=FALSE,(0.1*($C175/1000))*VLOOKUP("H/F (22mm)",SheetsData,7,FALSE),"Carcass - tower - new material")))),IF(WardrobeHandleFinish="Match door",IF(ISERROR(FIND("Walnut",WardrobeDoorMaterial))=FALSE,(0.035*0.075*($B175/1000))*VLOOKUP("Walnut (solid m3)",SolidData,4,FALSE),IF(ISERROR(FIND("Oak",WardrobeDoorMaterial))=FALSE,(0.035*0.075*($B175/1000))*VLOOKUP("Oak (solid m3)",SolidData,4,FALSE),IF(ISERROR(FIND("ply",WardrobeDoorMaterial))=FALSE,(0.1*($B175/1000))*VLOOKUP("Birch ply (24mm)",SheetData,7,FALSE),IF(ISERROR(FIND("H/F",WardrobeCarcassMaterial))=FALSE,(0.1*($C175/1000))*VLOOKUP("H/F (22mm)",SheetsData,7,FALSE),"Door - tower - new material")))),"Channel - tower - handle set to other")))),"")</f>
        <v/>
      </c>
    </row>
    <row r="176">
      <c r="A176" s="158"/>
      <c r="B176" s="160" t="str">
        <f t="shared" si="1"/>
        <v/>
      </c>
      <c r="C176" s="160" t="str">
        <f>IFERROR(__xludf.DUMMYFUNCTION("IF(A176="""","""",IF(ISERROR(FIND(""arcass"",A176))=FALSE,MID(A176,FIND(""*"",A176)+1,FIND(""*"",A176,FIND(""*"",A176)+1)-FIND(""*"",A176)-1),IF(ISERROR(FIND(""End panel"",A176))=FALSE,RIGHT(A176,3),IF(OR(ISERROR(FIND(""drawer"",A176))=FALSE,ISERROR(FIND("&amp;"""door"",A176))=FALSE,ISERROR(FIND(""shelf"",A176))=FALSE,ISERROR(FIND(""panel"",A176))=FALSE,ISERROR(FIND(""Plinth"",A176))=FALSE,ISERROR(FIND(""Cornice"",A176))=FALSE,ISERROR(FIND(""Fillers"",A176))=FALSE,ISERROR(FIND(""Pelmet"",A176))=FALSE,ISERROR(FIN"&amp;"D(""Fireplace up to 1600"",A176))=FALSE),RIGHT(A176,LEN(A176)-LEN(regexextract(A176,"".* ""))),IF(ISERROR(FIND(""table"",A176))=FALSE,""560"",IF(ISERROR(FIND(""Office pod"",A176))=FALSE,""1600"",IF(ISERROR(FIND(""Fireplace over 1600"",A176))=FALSE,""2400"&amp;""",IF(ISERROR(FIND(""Worktop"",A176))=FALSE,""650"",""Whoops""))))))))"),"")</f>
        <v/>
      </c>
      <c r="D176" s="161" t="str">
        <f t="shared" si="2"/>
        <v/>
      </c>
      <c r="E176" s="152" t="str">
        <f>IF(OR(A176="",AND(ISERROR(FIND("drawer",A176))=FALSE,WardrobeDrawerType="")),"",IF(ISERROR(FIND("door",A176))=FALSE,IF(WardrobeDoorStyle="Flat",((B176/1000)*(C176/1000))*VLOOKUP(WardrobeDoorMaterial,SheetsData,8,0),IF(LEFT(WardrobeDoorStyle,5)="Panel",(((((B176/1000)*2)*0.08)+((((C176/1000)-0.16)*2)*0.08))*VLOOKUP("H/F (22mm)",SheetsData,8,0))+(((B176/1000)-0.14)*((C176/1000)-0.14)*VLOOKUP("H/F (9mm)",SheetsData,8,0)),IF(WardrobeDoorStyle="In-frame flat",((((((B176/1000)*0.019)*0.038)+((((C176-38)/1000)*0.038)*0.038))*2)*VLOOKUP("Tulip (solid m3)",SolidData,4,0))+(((B176-76)/1000)*((C176-38)/1000))*VLOOKUP("H/F (22mm)",SheetsData,8,0),IF(LEFT(WardrobeDoorStyle,14)="In-frame panel",(((((((B176/1000)*0.019)*0.038)+((((C176-38)/1000)*0.038)*0.038))*2)*VLOOKUP("Tulip (solid m3)",SolidData,4,0))+(((((((B176-76)/1000)*2)*0.08)+(((((C176-198)/1000)*2)*0.08)))*VLOOKUP("H/F (22mm)",SheetsData,8,0))+(((B176-216)/1000)*((C176-178)/1000)*VLOOKUP("H/F (9mm)",SheetsData,8,0)))))))),IF(AND(ISERROR(FIND("arcass",A176))=FALSE,ISERROR(FIND("ost corner",A176))=TRUE),IF(AND(VALUE(B176)&lt;1211,VALUE(C176)&lt;1211,VALUE(D176)&lt;606),1*VLOOKUP(WardrobeCarcassMaterial,SheetsData,5,FALSE),IF(AND(VALUE(B176)&lt;2421,VALUE(C176)&lt;2421,VALUE(D176)&lt;606),2*VLOOKUP(WardrobeCarcassMaterial,SheetsData,5,FALSE),IF(AND(VALUE(B176)&lt;2421,VALUE(C176)&lt;1211,VALUE(D176)&lt;1211),3*VLOOKUP(WardrobeCarcassMaterial,SheetsData,5,FALSE),IF(AND(VALUE(B176)&lt;2421,VALUE(C176)&lt;2421,VALUE(D176)&lt;1211),4*VLOOKUP(WardrobeCarcassMaterial,SheetsData,5,FALSE))))),IF(AND(ISERROR(FIND("arcass",A176))=FALSE,ISERROR(FIND("ost corner",A176))=FALSE),IF(AND(VALUE(B176)&lt;1211,VALUE(C176)&lt;1211,VALUE(D176)&lt;606),(1*VLOOKUP(WardrobeCarcassMaterial,SheetsData,5,FALSE))+(VLOOKUP("H/F (22mm)",SheetsData,7,FALSE)*1.44),IF(AND(VALUE(B176)&lt;2421,VALUE(C176)&lt;2421,VALUE(D176)&lt;606),(2*VLOOKUP(WardrobeCarcassMaterial,SheetsData,5,FALSE))+(VLOOKUP("H/F (22mm)",SheetsData,7,FALSE)*1.44),IF(AND(VALUE(B176)&lt;2421,VALUE(C176)&lt;1211,VALUE(D176)&lt;1211),(3*VLOOKUP(WardrobeCarcassMaterial,SheetsData,5,FALSE))+(VLOOKUP("H/F (22mm)",SheetsData,7,FALSE)*1.44),IF(AND(VALUE(B176)&lt;2421,VALUE(C176)&lt;2421,VALUE(D176)&lt;1211),(4*VLOOKUP(WardrobeCarcassMaterial,SheetsData,5,FALSE))+(VLOOKUP("H/F (22mm)",SheetsData,7,FALSE)*1.44))))),IF(ISERROR(FIND("drawer front",A176))=FALSE,((B176/1000)*(C176/1000))*VLOOKUP(WardrobeDoorMaterial,SheetsData,8,0),IF(AND(WardrobeDrawerType="Match carcass",ISERROR(FIND("drawer box",A176))=FALSE),(((((B176/1000)*(C176/1000))+((B176/1000)*(D176/1000)))*2)*VLOOKUP(WardrobeCarcassMaterial,SheetsData,8,0))+(((C176/1000)*(D176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box",A176))=FALSE),(((((B176/1000)*(C176/1000))+((B176/1000)*(D176/1000)))*2)*(16/1000)*VLOOKUP(LEFT(WardrobeCarcassMaterial,FIND(" ",WardrobeCarcassMaterial))&amp;"(solid m3)",SolidData,4,0))+(((C176/1000)*(D176/1000))*VLOOKUP(LEFT(WardrobeCarcassMaterial,FIND("(",WardrobeCarcassMaterial)-1)&amp;IF(OR(ISERROR(FIND("ply",WardrobeCarcassMaterial))=FALSE,ISERROR(FIND("H/F",WardrobeCarcassMaterial))=FALSE),"(9mm)","(10mm)"),SheetsData,8,0)),IF(ISERROR(FIND("shelf",A176))=FALSE,((C176/1000)*(D176/1000))*VLOOKUP(WardrobeCarcassMaterial,SheetsData,7,FALSE),IF(ISERROR(FIND("Office pod",A176))=FALSE,3*VLOOKUP(WardrobeCarcassMaterial,SheetsData,5,0),IF(ISERROR(FIND(" panel",A176))=FALSE,((B176/1000)*(C176/1000))*VLOOKUP(WardrobeDoorMaterial,SheetsData,8,0),IF(ISERROR(FIND("Fillers",A176))=FALSE,(((0.06*(C176/1000))*2)*VLOOKUP("H/F (18mm)",SheetsData,8,0))+(((0.06*(C176/1000))*2)*VLOOKUP("H/F (9mm)",SheetsData,8,0)),IF(ISERROR(FIND("Cornice (stacked)",A176))=FALSE,((0.08*(C176/1000))*2)*VLOOKUP("H/F (22mm)",SheetsData,8,0),IF(OR(ISERROR(FIND("Plinth",A176))=FALSE,ISERROR(FIND("Cornice (flat)",A176))=FALSE),((B176/1000)*(C176/1000))*VLOOKUP("H/F (18mm)",SheetsData,8,0),IF(ISERROR(FIND("Pelmet",A176))=FALSE,((((B176/1000)*(C176/1000))*2)*VLOOKUP("H/F (18mm)",SheetsData,8,0)),IF(ISERROR(FIND("Fireplace",A176))=FALSE,IF(ISERROR(FIND("over 1600",A176))=FALSE,2*VLOOKUP(WardrobeCarcassMaterial,SheetsData,5,FALSE),VLOOKUP(WardrobeCarcassMaterial,SheetsData,5,FALSE)),IF(ISERROR(FIND("table",A176))=FALSE,((B176/1000)*0.6)*VLOOKUP("Birch ply (24mm)",SheetsData,7,FALSE),IF(ISERROR(FIND("Worktop",A176))=FALSE,((B176/1000)*(C176/1000))*VLOOKUP(WardrobeDoorMaterial,SheetsData,7,FALSE),"Check formula")))))))))))))))))</f>
        <v/>
      </c>
      <c r="F176" s="152" t="str">
        <f>IFERROR(__xludf.DUMMYFUNCTION("IF(OR(A176="""",AND(ISERROR(FIND(""drawer box"",A176))=FALSE,WardrobeDrawerType=""Solid dovetail"")),"""",IF(ISERROR(FIND(""bins"",A176))=FALSE,VLOOKUP(""Base carcass 600"",Wardrobes_etcData,6,0),IF(OR(ISERROR(FIND(""larder"",A176))=FALSE,ISERROR(FIND(""u"&amp;"nit"",A176))=FALSE),VLOOKUP(LEFT(A176,FIND("" "",A176))&amp;""carcass ""&amp;RIGHT(A176,LEN(A176)-len(regexextract(A176,"".* ""))),Wardrobes_etcData,6,0),IF(ISERROR(FIND(""drawer front"",A176))=FALSE,IF(ISERROR(FIND(""veneer"",WardrobeCarcassMaterial))=TRUE,0,((("&amp;"B176+C176)/1000)*2)*VLOOKUP(""Edge banding (per M)"",SheetsData,5,0)),IF(ISERROR(FIND(""drawer box"",A176))=FALSE,IF(ISERROR(FIND(""veneer"",WardrobeCarcassMaterial))=TRUE,0,(((C176+D176)/1000)*2)*VLOOKUP(""Edge banding (per M)"",SheetsData,5,0)),IF(ISERR"&amp;"OR(FIND(""shelf"",A176))=FALSE,IF(ISERROR(FIND(""veneer"",WardrobeCarcassMaterial))=TRUE,0,(C176/1000)*VLOOKUP(""Edge banding (per M)"",SheetsData,5,0)),IF(AND(OR(ISERROR(FIND(""arcass"",A176))=FALSE,ISERROR(FIND(""Fireplace"",A176))=FALSE),ISERROR(FIND("&amp;"""shelf"",A176))=TRUE),IF(ISERROR(FIND(""veneer"",WardrobeCarcassMaterial))=TRUE,0,((2*(B176+C176))/1000)*VLOOKUP(""Edge banding (per M)"",SheetsData,5,0)),IF(ISERROR(FIND(""door"",A176))=TRUE,"""",IF(ISERROR(FIND(""veneer"",WardrobeDoorMaterial))=TRUE,"""&amp;""",((2*(B176+C176))/1000)*VLOOKUP(""Edge banding (per M)"",SheetsData,5,0))))))))))"),"")</f>
        <v/>
      </c>
      <c r="G176" s="153" t="str">
        <f>IF(A176="","",IF(AND(ISERROR(FIND("arcass",A176))=TRUE,ISERROR(FIND("Fireplace",A176))=TRUE),"",IF(VALUE(C176)&lt;606,4*VLOOKUP("Plinth foot (2 Parts 80mm)",FurnitureData,5,FALSE),IF(VALUE(C176)&lt;1211,6*VLOOKUP("Plinth foot (2 Parts 80mm)",FurnitureData,5,FALSE),8*VLOOKUP("Plinth foot (2 Parts 80mm)",FurnitureData,5,FALSE)))))</f>
        <v/>
      </c>
      <c r="H176" s="115" t="str">
        <f>IF(OR(A176="",ISERROR(FIND("door",A176))=TRUE),"",VLOOKUP("Hinges &amp; plates (Hettich thick door)",FurnitureData,5,0)*5)</f>
        <v/>
      </c>
      <c r="I176" s="115" t="str">
        <f>IF(ISERROR(FIND("shelf",A176))=FALSE,(VLOOKUP("Shelf pegs",FurnitureData,5,0)/100)*4,"")</f>
        <v/>
      </c>
      <c r="J176" s="152" t="str">
        <f>IF(OR(ISERROR(FIND("fridge/freezer",A176))=FALSE,ISERROR(FIND("sink",A176))=FALSE,ISERROR(FIND("larder",A176))=FALSE),VLOOKUP("Deep shelf "&amp;C176,Wardrobes_etcData,18,0),IF(OR(ISERROR(FIND("single oven",A176))=FALSE,ISERROR(FIND("Base carcass",A176))=FALSE),2*VLOOKUP("Deep shelf "&amp;C176,Wardrobes_etcData,18,0),IF(AND(ISERROR(FIND("wall carcass",A176))=FALSE,ISERROR(FIND("Boiler",A176))=TRUE),2*VLOOKUP("Shallow shelf "&amp;C176,Wardrobes_etcData,18,0),IF(ISERROR(FIND("double oven",A176))=FALSE,3*VLOOKUP("Deep shelf "&amp;C176,Wardrobes_etcData,18,0),IF(ISERROR(FIND("Tower carcass",A176))=FALSE,6*VLOOKUP("Deep shelf "&amp;C176,Wardrobes_etcData,18,0),"")))))</f>
        <v/>
      </c>
      <c r="K176" s="152" t="str">
        <f>IF(ISERROR(FIND("sink",A176))=FALSE,VLOOKUP("Sink liner - Aluminium "&amp;RIGHT(A176,LEN(A176)-22)&amp;"mm",ExceptionalData,5,0),IF(ISERROR(FIND("bins",A176))=FALSE,VLOOKUP("Drawer runners and clip set for bin unit (500) Dynapro",FurnitureData,5,0)+(2*VLOOKUP("Bin (42L Anthracite)",FurnitureData,5,0)),IF(ISERROR(FIND("larder",A176))=FALSE,VLOOKUP("Pull out larder unit 600mm",FurnitureData,5,0),IF(AND(ISERROR(FIND("drawer box",A176))=FALSE,ISERROR(FIND("internal",A176))=TRUE),VLOOKUP("Drawer runners and clip set (550) Dynapro",FurnitureData,5,0),IF(ISERROR(FIND("internal drawer box",A176))=FALSE,VLOOKUP("Drawer runners and clip set (450) Dynapro",FurnitureData,5,0),IF(ISERROR(FIND("table",A176))=FALSE,VLOOKUP("Hairpin Leg (12mm Black "&amp;MID(A176,FIND("(",A176)+1,LEN(A176)-(FIND("(",A176))-1)&amp;"mm)",ExceptionalData,4,FALSE),""))))))</f>
        <v/>
      </c>
      <c r="L176" s="152" t="str">
        <f t="shared" si="3"/>
        <v/>
      </c>
      <c r="M176" s="154" t="str">
        <f>IF(A176="","",IF(AND(ISERROR(FIND("drawer front",A176))=FALSE,WardrobeDoorStyle="Flat"),(((B176/1000)*(C176/1000))*2)+((((B176+C176)/1000)*2)*0.022),IF(AND(ISERROR(FIND("drawer front",A176))=FALSE,LEFT(WardrobeDoorStyle,5)="Panel"),(((B176/1000)*(C176/1000))*2)+((((B176+C176)/1000)*2)*0.022)+((((C176/1000)-0.16)*0.013)*2)+((((D176/1000)-0.16)*0.013)*2),IF(AND(ISERROR(FIND("drawer front",A176))=FALSE,WardrobeDoorStyle="In-frame flat"),((((B176-76)/1000)*((C176-38)/1000))*2)+(MID(WardrobeDoorMaterial,FIND("(",WardrobeDoorMaterial)+1,2)/1000)*((((B176-76)+(C176-38))/1000)*2)+(((B176/1000)*0.032)*2)+((((B176-76)/1000)*0.032)*2)+(((B176/1000)*0.019)*4)+(((C176/1000)*0.032)*2)+((((C176-38)/1000)*0.032)*2)+(((C176/1000)*0.038)*4),IF(AND(ISERROR(FIND("drawer front",A176))=FALSE,LEFT(WardrobeDoorStyle,14)="In-frame panel"),((((B176-76)/1000)*((C176-38)/1000))*2)+((MID(WardrobeDoorMaterial,FIND("(",WardrobeDoorMaterial)+1,2)/1000)*((((B176-76)+(C176-38))/1000)*2))+((((B176-236)/1000)+((C176-198)/1000)*2)*0.013)+(((B176/1000)*0.032)*2)+((((B176-76)/1000)*0.032)*2)+(((B176/1000)*0.019)*4)+(((C176/1000)*0.032)*2)+((((C176-38)/1000)*0.032)*2)+(((C176/1000)*0.038)*4),IF(ISERROR(FIND("drawer box",A176))=FALSE,((((B176/1000)*(D176/1000))+((B176/1000)*(C176/1000)))*4)+((((D176/1000)+(C176/1000))*0.016)*4)+(((C176/1000)*(D176/1000))*2),IF(OR(ISERROR(FIND("shelf",A176))=FALSE,ISERROR(FIND("Filler panel",A176))=FALSE),(((C176/1000)*(D176/1000))*2)+((((C176+D176)*2)/1000)*0.022),IF(ISERROR(FIND("Fireplace",A176))=FALSE,((B176/1000)*(C176/1000)),IF(ISERROR(FIND("Worktop",A176))=FALSE,(B176/1000)*(C176/1000),IF(ISERROR(FIND("table",A176))=FALSE,(B176/1000)*0.6,IF(ISERROR(FIND("arcass",A176))=FALSE,(((C176/1000)*(D176/1000))*2)+(((B176/1000)*(D176/1000))*2)+((B176/1000)*(C176/1000))+((((B176/1000)*0.025)+((C176/1000)*0.025))*2),IF(AND(ISERROR(FIND("door",A176))=FALSE,WardrobeDoorStyle="Flat"),(((B176/1000)*(C176/1000))*2)+(MID(WardrobeDoorMaterial,FIND("(",WardrobeDoorMaterial)+1,2)/1000)*(((B176+C176)/1000)*2),IF(AND(ISERROR(FIND("door",A176))=FALSE,LEFT(WardrobeDoorStyle,5)="Panel"),(((B176/1000)*(C176/1000))*2)+((MID(WardrobeDoorMaterial,FIND("(",WardrobeDoorMaterial)+1,2)/1000)*(((B176+C176)/1000)*2))+(((((B176-160)+(C176-160))*2)/1000)*(0.013)),IF(AND(ISERROR(FIND("door",A176))=FALSE,WardrobeDoorStyle="In-frame flat"),((((B176-76)/1000)*((C176-38)/1000))*2)+(MID(WardrobeDoorMaterial,FIND("(",WardrobeDoorMaterial)+1,2)/1000)*((((B176-76)+(C176-38))/1000)*2)+(((B176/1000)*0.032)*2)+((((B176-76)/1000)*0.032)*2)+(((B176/1000)*0.019)*4)+(((C176/1000)*0.032)*2)+((((C176-38)/1000)*0.032)*2)+(((C176/1000)*0.038)*4),IF(AND(ISERROR(FIND("door",A176))=FALSE,LEFT(WardrobeDoorStyle,14)="In-frame panel"),((((B176-76)/1000)*((C176-38)/1000))*2)+((MID(WardrobeDoorMaterial,FIND("(",WardrobeDoorMaterial)+1,2)/1000)*((((B176-76)+(C176-38))/1000)*2))+((((B176-236)/1000)+((C176-198)/1000)*2)*0.013)+(((B176/1000)*0.032)*2)+((((B176-76)/1000)*0.032)*2)+(((B176/1000)*0.019)*4)+(((C176/1000)*0.032)*2)+((((C176-38)/1000)*0.032)*2)+(((C176/1000)*0.038)*4),IF(ISERROR(FIND("Plinth",A176))=FALSE,((B176/1000)*(C176/1000))+(((C176/1000)*0.018)*2)+(((B176/1000)*0.018)*2),IF(ISERROR(FIND("Cornice",A176))=FALSE,(((C176/1000)*0.1)*2)+(((C176/1000)*0.044)*2)+(((B176/1000)*0.08)*2),IF(ISERROR(FIND("Office pod",A176))=FALSE,((2400/1000)*(1200/1000))*6,IF(ISERROR(FIND("panel",A176))=FALSE,((B176/1000)*(C176/1000))+(0.022*((B176/1000)+((C176/1000)*2)))+((B176/1000)*0.05),IF(ISERROR(FIND("Fillers",A176))=FALSE,((C176/1000)*0.06)+((C176/1000)*0.069)+((0.06*0.018)*2)+((0.06*0.009)*2)+((C176/1000)*0.009)+((C176/1000)*0.018),IF(ISERROR(FIND("Pelmet",A176))=FALSE,((C176/1000)*0.05)+((C176/1000)*0.068)+((0.05*0.018)*4)+(((C176/1000)*0.018))*2)))))))))))))))))))))</f>
        <v/>
      </c>
      <c r="N176" s="152" t="str">
        <f>IF(M176="","",IF(AND(ISERROR(FIND("carcass",A176))=TRUE,ISERROR(FIND("unit",A176))=TRUE,ISERROR(FIND("insert",A176))=TRUE,ISERROR(FIND("rack",A176))=TRUE,ISERROR(FIND("box",A176))=TRUE,ISERROR(FIND("shelf",A176))=TRUE),VLOOKUP(WardrobeDoorFinish,Finishing!$A$2:$K$10,9,0)*M176,IF(ISERROR(FIND("table",A176))=FALSE,VLOOKUP("Sayerlack AF0072 Interior Clear Self-Sealer",FinishingData,9,FALSE)*M176,VLOOKUP(WardrobeCarcassFinish,Finishing!$A$2:$K$40,9,0)*M176)))</f>
        <v/>
      </c>
      <c r="O176" s="155"/>
      <c r="P176" s="155"/>
      <c r="Q176" s="152" t="str">
        <f>IF(OR(O176="",P176=""),"",((O176*X176)*(VLOOKUP("Workshop",Labour!$A$3:$E$20,4,0)/8))+((P176*AE176)*(VLOOKUP("Finishing",Labour!$A$3:$E$20,4,0)/8)))</f>
        <v/>
      </c>
      <c r="R176" s="152" t="str">
        <f t="shared" si="4"/>
        <v/>
      </c>
      <c r="S176" s="156" t="str">
        <f>IF(OR(O176="",P176=""),"",IF(OR(ISERROR(FIND("carcass",$A176))=FALSE,ISERROR(FIND("unit",$A176))=FALSE),VLOOKUP(WardrobeCarcassMaterial,FixedListsCarcassMaterial,2,0),0))</f>
        <v/>
      </c>
      <c r="T176" s="156" t="str">
        <f>IF(OR(O176="",P176=""),"",IF(ISERROR(FIND("door",$A176))=FALSE,VLOOKUP(WardrobeDoorStyle,FixedListsDoorStyle,2,0),0))</f>
        <v/>
      </c>
      <c r="U176" s="156" t="str">
        <f>IF(OR(O176="",P176=""),"",IF(ISERROR(FIND("door",$A176))=FALSE,VLOOKUP(WardrobeDoorMaterial,FixedListsDoorMaterial,2,0),0))</f>
        <v/>
      </c>
      <c r="V176" s="156" t="str">
        <f>IF(OR(O176="",P176=""),"",IF(ISERROR(FIND("drawer",$A176))=FALSE,VLOOKUP(WardrobeDrawerType,FixedListsDrawerType,2,0),0))</f>
        <v/>
      </c>
      <c r="W176" s="156" t="str">
        <f>IF(OR(O176="",P176=""),"",IF(S176&gt;0,VLOOKUP(WardrobeHandleType,FixedListsHandleType,2,FALSE),0))</f>
        <v/>
      </c>
      <c r="X176" s="156" t="str">
        <f t="shared" si="5"/>
        <v/>
      </c>
      <c r="Y176" s="156" t="str">
        <f>IF(OR(O176="",P176=""),"",IF(OR(ISERROR(FIND("carcass",$A176))=FALSE,ISERROR(FIND("unit",$A176))=FALSE),VLOOKUP(WardrobeCarcassMaterial,FixedListsCarcassMaterial,3,0),0))</f>
        <v/>
      </c>
      <c r="Z176" s="156" t="str">
        <f>IF(OR(O176="",P176=""),"",IF(ISERROR(FIND("door",$A176))=FALSE,VLOOKUP(WardrobeDoorStyle,FixedListsDoorStyle,3,0),0))</f>
        <v/>
      </c>
      <c r="AA176" s="156" t="str">
        <f>IF(OR(O176="",P176=""),"",IF(ISERROR(FIND("door",$A176))=FALSE,VLOOKUP(WardrobeDoorMaterial,FixedListsDoorMaterial,3,0),0))</f>
        <v/>
      </c>
      <c r="AB176" s="156" t="str">
        <f>IF(OR(O176="",P176=""),"",IF(ISERROR(FIND("drawer",$A176))=FALSE,VLOOKUP(WardrobeDrawerType,FixedListsDrawerType,3,0),0))</f>
        <v/>
      </c>
      <c r="AC176" s="156" t="str">
        <f>IF(OR(O176="",P176=""),"",IF(S176&gt;0,VLOOKUP(WardrobeHandleType,FixedListsHandleType,3,FALSE),0))</f>
        <v/>
      </c>
      <c r="AD176" s="156" t="str">
        <f>IF(OR(O176="",P176=""),"",IF(OR(ISERROR(FIND("carcass",$A176))=FALSE,ISERROR(FIND("unit",$A176))=FALSE),VLOOKUP(WardrobeCarcassFinish,FixedListsFinishes,3,0),IF(OR(ISERROR(FIND("door",$A176))=FALSE,ISERROR(FIND("Plinth",$A176))=FALSE,ISERROR(FIND("Cornice",$A176))=FALSE,ISERROR(FIND("Fillers",$A176))=FALSE,ISERROR(FIND("Pelmet",$A176))=FALSE,ISERROR(FIND("panel",$A176))=FALSE,ISERROR(FIND("post",$A176))=FALSE),VLOOKUP(WardrobeDoorFinish,FixedListsFinishes,3,0),IF(OR(ISERROR(FIND("drawer",$A176))=FALSE,ISERROR(FIND("insert",$A176))=FALSE,ISERROR(FIND("rck",$A176))=FALSE),VLOOKUP(WardrobeCarcassFinish,FixedListsFinishes,3,0),0))))</f>
        <v/>
      </c>
      <c r="AE176" s="156" t="str">
        <f t="shared" si="6"/>
        <v/>
      </c>
      <c r="AF176" s="157" t="str">
        <f>IF(AND(WardrobeHandleType="Channel",OR(ISERROR(FIND("arcass",$A176))=FALSE,ISERROR(FIND("unit",$A176))=FALSE)),IF(ISERROR(FIND("Tower",$A176))=TRUE,IF(WardrobeHandleFinish="Match carcass",IF(ISERROR(FIND("Walnut",WardrobeCarcassMaterial))=FALSE,(0.035*0.075*($C176/1000))*VLOOKUP("Walnut (solid m3)",SolidData,4,FALSE),IF(ISERROR(FIND("Oak",WardrobeCarcassMaterial))=FALSE,(0.035*0.075*($C176/1000))*VLOOKUP("Oak (solid m3)",SolidData,4,FALSE),IF(ISERROR(FIND("ply",WardrobeCarcassMaterial))=FALSE,(0.1*($C176/1000))*VLOOKUP("Birch ply (24mm)",SheetsData,7,FALSE),IF(ISERROR(FIND("H/F",WardrobeCarcassMaterial))=FALSE,(0.1*($C176/1000))*VLOOKUP("H/F (22mm)",SheetsData,7,FALSE),"Carcass - not tower - new material")))),IF(WardrobeHandleFinish="Match door",IF(ISERROR(FIND("Walnut",WardrobeDoorMaterial))=FALSE,(0.035*0.075*($C176/1000))*VLOOKUP("Walnut (solid m3)",SolidData,4,FALSE),IF(ISERROR(FIND("Oak",WardrobeDoorMaterial))=FALSE,(0.035*0.075*($C176/1000))*VLOOKUP("Oak (solid m3)",SolidData,4,FALSE),IF(ISERROR(FIND("ply",WardrobeDoorMaterial))=FALSE,(0.1*($C176/1000))*VLOOKUP("Birch ply (24mm)",SheetsData,7,FALSE),IF(ISERROR(FIND("H/F",WardrobeCarcassMaterial))=FALSE,(0.1*($C176/1000))*VLOOKUP("H/F (22mm)",SheetsData,7,FALSE),"Door - not tower - new material")))),"Channel - not tower - handle set to other")),IF(ISERROR(FIND("Tower",$A176))=FALSE,IF(WardrobeHandleFinish="Match carcass",IF(ISERROR(FIND("Walnut",WardrobeCarcassMaterial))=FALSE,(0.035*0.075*($B176/1000))*VLOOKUP("Walnut (solid m3)",SolidData,4,FALSE),IF(ISERROR(FIND("Oak",WardrobeCarcassMaterial))=FALSE,(0.035*0.075*($B176/1000))*VLOOKUP("Oak (solid m3)",SolidData,4,FALSE),IF(ISERROR(FIND("ply",WardrobeCarcassMaterial))=FALSE,(0.1*($B176/1000))*VLOOKUP("Birch ply (24mm)",SheetsData,7,FALSE),IF(ISERROR(FIND("H/F",WardrobeCarcassMaterial))=FALSE,(0.1*($C176/1000))*VLOOKUP("H/F (22mm)",SheetsData,7,FALSE),"Carcass - tower - new material")))),IF(WardrobeHandleFinish="Match door",IF(ISERROR(FIND("Walnut",WardrobeDoorMaterial))=FALSE,(0.035*0.075*($B176/1000))*VLOOKUP("Walnut (solid m3)",SolidData,4,FALSE),IF(ISERROR(FIND("Oak",WardrobeDoorMaterial))=FALSE,(0.035*0.075*($B176/1000))*VLOOKUP("Oak (solid m3)",SolidData,4,FALSE),IF(ISERROR(FIND("ply",WardrobeDoorMaterial))=FALSE,(0.1*($B176/1000))*VLOOKUP("Birch ply (24mm)",SheetData,7,FALSE),IF(ISERROR(FIND("H/F",WardrobeCarcassMaterial))=FALSE,(0.1*($C176/1000))*VLOOKUP("H/F (22mm)",SheetsData,7,FALSE),"Door - tower - new material")))),"Channel - tower - handle set to other")))),"")</f>
        <v/>
      </c>
    </row>
    <row r="177">
      <c r="A177" s="150"/>
      <c r="B177" s="160" t="str">
        <f t="shared" si="1"/>
        <v/>
      </c>
      <c r="C177" s="160" t="str">
        <f>IFERROR(__xludf.DUMMYFUNCTION("IF(A177="""","""",IF(ISERROR(FIND(""arcass"",A177))=FALSE,MID(A177,FIND(""*"",A177)+1,FIND(""*"",A177,FIND(""*"",A177)+1)-FIND(""*"",A177)-1),IF(ISERROR(FIND(""End panel"",A177))=FALSE,RIGHT(A177,3),IF(OR(ISERROR(FIND(""drawer"",A177))=FALSE,ISERROR(FIND("&amp;"""door"",A177))=FALSE,ISERROR(FIND(""shelf"",A177))=FALSE,ISERROR(FIND(""panel"",A177))=FALSE,ISERROR(FIND(""Plinth"",A177))=FALSE,ISERROR(FIND(""Cornice"",A177))=FALSE,ISERROR(FIND(""Fillers"",A177))=FALSE,ISERROR(FIND(""Pelmet"",A177))=FALSE,ISERROR(FIN"&amp;"D(""Fireplace up to 1600"",A177))=FALSE),RIGHT(A177,LEN(A177)-LEN(regexextract(A177,"".* ""))),IF(ISERROR(FIND(""table"",A177))=FALSE,""560"",IF(ISERROR(FIND(""Office pod"",A177))=FALSE,""1600"",IF(ISERROR(FIND(""Fireplace over 1600"",A177))=FALSE,""2400"&amp;""",IF(ISERROR(FIND(""Worktop"",A177))=FALSE,""650"",""Whoops""))))))))"),"")</f>
        <v/>
      </c>
      <c r="D177" s="161" t="str">
        <f t="shared" si="2"/>
        <v/>
      </c>
      <c r="E177" s="152" t="str">
        <f>IF(OR(A177="",AND(ISERROR(FIND("drawer",A177))=FALSE,WardrobeDrawerType="")),"",IF(ISERROR(FIND("door",A177))=FALSE,IF(WardrobeDoorStyle="Flat",((B177/1000)*(C177/1000))*VLOOKUP(WardrobeDoorMaterial,SheetsData,8,0),IF(LEFT(WardrobeDoorStyle,5)="Panel",(((((B177/1000)*2)*0.08)+((((C177/1000)-0.16)*2)*0.08))*VLOOKUP("H/F (22mm)",SheetsData,8,0))+(((B177/1000)-0.14)*((C177/1000)-0.14)*VLOOKUP("H/F (9mm)",SheetsData,8,0)),IF(WardrobeDoorStyle="In-frame flat",((((((B177/1000)*0.019)*0.038)+((((C177-38)/1000)*0.038)*0.038))*2)*VLOOKUP("Tulip (solid m3)",SolidData,4,0))+(((B177-76)/1000)*((C177-38)/1000))*VLOOKUP("H/F (22mm)",SheetsData,8,0),IF(LEFT(WardrobeDoorStyle,14)="In-frame panel",(((((((B177/1000)*0.019)*0.038)+((((C177-38)/1000)*0.038)*0.038))*2)*VLOOKUP("Tulip (solid m3)",SolidData,4,0))+(((((((B177-76)/1000)*2)*0.08)+(((((C177-198)/1000)*2)*0.08)))*VLOOKUP("H/F (22mm)",SheetsData,8,0))+(((B177-216)/1000)*((C177-178)/1000)*VLOOKUP("H/F (9mm)",SheetsData,8,0)))))))),IF(AND(ISERROR(FIND("arcass",A177))=FALSE,ISERROR(FIND("ost corner",A177))=TRUE),IF(AND(VALUE(B177)&lt;1211,VALUE(C177)&lt;1211,VALUE(D177)&lt;606),1*VLOOKUP(WardrobeCarcassMaterial,SheetsData,5,FALSE),IF(AND(VALUE(B177)&lt;2421,VALUE(C177)&lt;2421,VALUE(D177)&lt;606),2*VLOOKUP(WardrobeCarcassMaterial,SheetsData,5,FALSE),IF(AND(VALUE(B177)&lt;2421,VALUE(C177)&lt;1211,VALUE(D177)&lt;1211),3*VLOOKUP(WardrobeCarcassMaterial,SheetsData,5,FALSE),IF(AND(VALUE(B177)&lt;2421,VALUE(C177)&lt;2421,VALUE(D177)&lt;1211),4*VLOOKUP(WardrobeCarcassMaterial,SheetsData,5,FALSE))))),IF(AND(ISERROR(FIND("arcass",A177))=FALSE,ISERROR(FIND("ost corner",A177))=FALSE),IF(AND(VALUE(B177)&lt;1211,VALUE(C177)&lt;1211,VALUE(D177)&lt;606),(1*VLOOKUP(WardrobeCarcassMaterial,SheetsData,5,FALSE))+(VLOOKUP("H/F (22mm)",SheetsData,7,FALSE)*1.44),IF(AND(VALUE(B177)&lt;2421,VALUE(C177)&lt;2421,VALUE(D177)&lt;606),(2*VLOOKUP(WardrobeCarcassMaterial,SheetsData,5,FALSE))+(VLOOKUP("H/F (22mm)",SheetsData,7,FALSE)*1.44),IF(AND(VALUE(B177)&lt;2421,VALUE(C177)&lt;1211,VALUE(D177)&lt;1211),(3*VLOOKUP(WardrobeCarcassMaterial,SheetsData,5,FALSE))+(VLOOKUP("H/F (22mm)",SheetsData,7,FALSE)*1.44),IF(AND(VALUE(B177)&lt;2421,VALUE(C177)&lt;2421,VALUE(D177)&lt;1211),(4*VLOOKUP(WardrobeCarcassMaterial,SheetsData,5,FALSE))+(VLOOKUP("H/F (22mm)",SheetsData,7,FALSE)*1.44))))),IF(ISERROR(FIND("drawer front",A177))=FALSE,((B177/1000)*(C177/1000))*VLOOKUP(WardrobeDoorMaterial,SheetsData,8,0),IF(AND(WardrobeDrawerType="Match carcass",ISERROR(FIND("drawer box",A177))=FALSE),(((((B177/1000)*(C177/1000))+((B177/1000)*(D177/1000)))*2)*VLOOKUP(WardrobeCarcassMaterial,SheetsData,8,0))+(((C177/1000)*(D177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box",A177))=FALSE),(((((B177/1000)*(C177/1000))+((B177/1000)*(D177/1000)))*2)*(16/1000)*VLOOKUP(LEFT(WardrobeCarcassMaterial,FIND(" ",WardrobeCarcassMaterial))&amp;"(solid m3)",SolidData,4,0))+(((C177/1000)*(D177/1000))*VLOOKUP(LEFT(WardrobeCarcassMaterial,FIND("(",WardrobeCarcassMaterial)-1)&amp;IF(OR(ISERROR(FIND("ply",WardrobeCarcassMaterial))=FALSE,ISERROR(FIND("H/F",WardrobeCarcassMaterial))=FALSE),"(9mm)","(10mm)"),SheetsData,8,0)),IF(ISERROR(FIND("shelf",A177))=FALSE,((C177/1000)*(D177/1000))*VLOOKUP(WardrobeCarcassMaterial,SheetsData,7,FALSE),IF(ISERROR(FIND("Office pod",A177))=FALSE,3*VLOOKUP(WardrobeCarcassMaterial,SheetsData,5,0),IF(ISERROR(FIND(" panel",A177))=FALSE,((B177/1000)*(C177/1000))*VLOOKUP(WardrobeDoorMaterial,SheetsData,8,0),IF(ISERROR(FIND("Fillers",A177))=FALSE,(((0.06*(C177/1000))*2)*VLOOKUP("H/F (18mm)",SheetsData,8,0))+(((0.06*(C177/1000))*2)*VLOOKUP("H/F (9mm)",SheetsData,8,0)),IF(ISERROR(FIND("Cornice (stacked)",A177))=FALSE,((0.08*(C177/1000))*2)*VLOOKUP("H/F (22mm)",SheetsData,8,0),IF(OR(ISERROR(FIND("Plinth",A177))=FALSE,ISERROR(FIND("Cornice (flat)",A177))=FALSE),((B177/1000)*(C177/1000))*VLOOKUP("H/F (18mm)",SheetsData,8,0),IF(ISERROR(FIND("Pelmet",A177))=FALSE,((((B177/1000)*(C177/1000))*2)*VLOOKUP("H/F (18mm)",SheetsData,8,0)),IF(ISERROR(FIND("Fireplace",A177))=FALSE,IF(ISERROR(FIND("over 1600",A177))=FALSE,2*VLOOKUP(WardrobeCarcassMaterial,SheetsData,5,FALSE),VLOOKUP(WardrobeCarcassMaterial,SheetsData,5,FALSE)),IF(ISERROR(FIND("table",A177))=FALSE,((B177/1000)*0.6)*VLOOKUP("Birch ply (24mm)",SheetsData,7,FALSE),IF(ISERROR(FIND("Worktop",A177))=FALSE,((B177/1000)*(C177/1000))*VLOOKUP(WardrobeDoorMaterial,SheetsData,7,FALSE),"Check formula")))))))))))))))))</f>
        <v/>
      </c>
      <c r="F177" s="152" t="str">
        <f>IFERROR(__xludf.DUMMYFUNCTION("IF(OR(A177="""",AND(ISERROR(FIND(""drawer box"",A177))=FALSE,WardrobeDrawerType=""Solid dovetail"")),"""",IF(ISERROR(FIND(""bins"",A177))=FALSE,VLOOKUP(""Base carcass 600"",Wardrobes_etcData,6,0),IF(OR(ISERROR(FIND(""larder"",A177))=FALSE,ISERROR(FIND(""u"&amp;"nit"",A177))=FALSE),VLOOKUP(LEFT(A177,FIND("" "",A177))&amp;""carcass ""&amp;RIGHT(A177,LEN(A177)-len(regexextract(A177,"".* ""))),Wardrobes_etcData,6,0),IF(ISERROR(FIND(""drawer front"",A177))=FALSE,IF(ISERROR(FIND(""veneer"",WardrobeCarcassMaterial))=TRUE,0,((("&amp;"B177+C177)/1000)*2)*VLOOKUP(""Edge banding (per M)"",SheetsData,5,0)),IF(ISERROR(FIND(""drawer box"",A177))=FALSE,IF(ISERROR(FIND(""veneer"",WardrobeCarcassMaterial))=TRUE,0,(((C177+D177)/1000)*2)*VLOOKUP(""Edge banding (per M)"",SheetsData,5,0)),IF(ISERR"&amp;"OR(FIND(""shelf"",A177))=FALSE,IF(ISERROR(FIND(""veneer"",WardrobeCarcassMaterial))=TRUE,0,(C177/1000)*VLOOKUP(""Edge banding (per M)"",SheetsData,5,0)),IF(AND(OR(ISERROR(FIND(""arcass"",A177))=FALSE,ISERROR(FIND(""Fireplace"",A177))=FALSE),ISERROR(FIND("&amp;"""shelf"",A177))=TRUE),IF(ISERROR(FIND(""veneer"",WardrobeCarcassMaterial))=TRUE,0,((2*(B177+C177))/1000)*VLOOKUP(""Edge banding (per M)"",SheetsData,5,0)),IF(ISERROR(FIND(""door"",A177))=TRUE,"""",IF(ISERROR(FIND(""veneer"",WardrobeDoorMaterial))=TRUE,"""&amp;""",((2*(B177+C177))/1000)*VLOOKUP(""Edge banding (per M)"",SheetsData,5,0))))))))))"),"")</f>
        <v/>
      </c>
      <c r="G177" s="153" t="str">
        <f>IF(A177="","",IF(AND(ISERROR(FIND("arcass",A177))=TRUE,ISERROR(FIND("Fireplace",A177))=TRUE),"",IF(VALUE(C177)&lt;606,4*VLOOKUP("Plinth foot (2 Parts 80mm)",FurnitureData,5,FALSE),IF(VALUE(C177)&lt;1211,6*VLOOKUP("Plinth foot (2 Parts 80mm)",FurnitureData,5,FALSE),8*VLOOKUP("Plinth foot (2 Parts 80mm)",FurnitureData,5,FALSE)))))</f>
        <v/>
      </c>
      <c r="H177" s="115" t="str">
        <f>IF(OR(A177="",ISERROR(FIND("door",A177))=TRUE),"",VLOOKUP("Hinges &amp; plates (Hettich thick door)",FurnitureData,5,0)*5)</f>
        <v/>
      </c>
      <c r="I177" s="115" t="str">
        <f>IF(ISERROR(FIND("shelf",A177))=FALSE,(VLOOKUP("Shelf pegs",FurnitureData,5,0)/100)*4,"")</f>
        <v/>
      </c>
      <c r="J177" s="152" t="str">
        <f>IF(OR(ISERROR(FIND("fridge/freezer",A177))=FALSE,ISERROR(FIND("sink",A177))=FALSE,ISERROR(FIND("larder",A177))=FALSE),VLOOKUP("Deep shelf "&amp;C177,Wardrobes_etcData,18,0),IF(OR(ISERROR(FIND("single oven",A177))=FALSE,ISERROR(FIND("Base carcass",A177))=FALSE),2*VLOOKUP("Deep shelf "&amp;C177,Wardrobes_etcData,18,0),IF(AND(ISERROR(FIND("wall carcass",A177))=FALSE,ISERROR(FIND("Boiler",A177))=TRUE),2*VLOOKUP("Shallow shelf "&amp;C177,Wardrobes_etcData,18,0),IF(ISERROR(FIND("double oven",A177))=FALSE,3*VLOOKUP("Deep shelf "&amp;C177,Wardrobes_etcData,18,0),IF(ISERROR(FIND("Tower carcass",A177))=FALSE,6*VLOOKUP("Deep shelf "&amp;C177,Wardrobes_etcData,18,0),"")))))</f>
        <v/>
      </c>
      <c r="K177" s="152" t="str">
        <f>IF(ISERROR(FIND("sink",A177))=FALSE,VLOOKUP("Sink liner - Aluminium "&amp;RIGHT(A177,LEN(A177)-22)&amp;"mm",ExceptionalData,5,0),IF(ISERROR(FIND("bins",A177))=FALSE,VLOOKUP("Drawer runners and clip set for bin unit (500) Dynapro",FurnitureData,5,0)+(2*VLOOKUP("Bin (42L Anthracite)",FurnitureData,5,0)),IF(ISERROR(FIND("larder",A177))=FALSE,VLOOKUP("Pull out larder unit 600mm",FurnitureData,5,0),IF(AND(ISERROR(FIND("drawer box",A177))=FALSE,ISERROR(FIND("internal",A177))=TRUE),VLOOKUP("Drawer runners and clip set (550) Dynapro",FurnitureData,5,0),IF(ISERROR(FIND("internal drawer box",A177))=FALSE,VLOOKUP("Drawer runners and clip set (450) Dynapro",FurnitureData,5,0),IF(ISERROR(FIND("table",A177))=FALSE,VLOOKUP("Hairpin Leg (12mm Black "&amp;MID(A177,FIND("(",A177)+1,LEN(A177)-(FIND("(",A177))-1)&amp;"mm)",ExceptionalData,4,FALSE),""))))))</f>
        <v/>
      </c>
      <c r="L177" s="152" t="str">
        <f t="shared" si="3"/>
        <v/>
      </c>
      <c r="M177" s="154" t="str">
        <f>IF(A177="","",IF(AND(ISERROR(FIND("drawer front",A177))=FALSE,WardrobeDoorStyle="Flat"),(((B177/1000)*(C177/1000))*2)+((((B177+C177)/1000)*2)*0.022),IF(AND(ISERROR(FIND("drawer front",A177))=FALSE,LEFT(WardrobeDoorStyle,5)="Panel"),(((B177/1000)*(C177/1000))*2)+((((B177+C177)/1000)*2)*0.022)+((((C177/1000)-0.16)*0.013)*2)+((((D177/1000)-0.16)*0.013)*2),IF(AND(ISERROR(FIND("drawer front",A177))=FALSE,WardrobeDoorStyle="In-frame flat"),((((B177-76)/1000)*((C177-38)/1000))*2)+(MID(WardrobeDoorMaterial,FIND("(",WardrobeDoorMaterial)+1,2)/1000)*((((B177-76)+(C177-38))/1000)*2)+(((B177/1000)*0.032)*2)+((((B177-76)/1000)*0.032)*2)+(((B177/1000)*0.019)*4)+(((C177/1000)*0.032)*2)+((((C177-38)/1000)*0.032)*2)+(((C177/1000)*0.038)*4),IF(AND(ISERROR(FIND("drawer front",A177))=FALSE,LEFT(WardrobeDoorStyle,14)="In-frame panel"),((((B177-76)/1000)*((C177-38)/1000))*2)+((MID(WardrobeDoorMaterial,FIND("(",WardrobeDoorMaterial)+1,2)/1000)*((((B177-76)+(C177-38))/1000)*2))+((((B177-236)/1000)+((C177-198)/1000)*2)*0.013)+(((B177/1000)*0.032)*2)+((((B177-76)/1000)*0.032)*2)+(((B177/1000)*0.019)*4)+(((C177/1000)*0.032)*2)+((((C177-38)/1000)*0.032)*2)+(((C177/1000)*0.038)*4),IF(ISERROR(FIND("drawer box",A177))=FALSE,((((B177/1000)*(D177/1000))+((B177/1000)*(C177/1000)))*4)+((((D177/1000)+(C177/1000))*0.016)*4)+(((C177/1000)*(D177/1000))*2),IF(OR(ISERROR(FIND("shelf",A177))=FALSE,ISERROR(FIND("Filler panel",A177))=FALSE),(((C177/1000)*(D177/1000))*2)+((((C177+D177)*2)/1000)*0.022),IF(ISERROR(FIND("Fireplace",A177))=FALSE,((B177/1000)*(C177/1000)),IF(ISERROR(FIND("Worktop",A177))=FALSE,(B177/1000)*(C177/1000),IF(ISERROR(FIND("table",A177))=FALSE,(B177/1000)*0.6,IF(ISERROR(FIND("arcass",A177))=FALSE,(((C177/1000)*(D177/1000))*2)+(((B177/1000)*(D177/1000))*2)+((B177/1000)*(C177/1000))+((((B177/1000)*0.025)+((C177/1000)*0.025))*2),IF(AND(ISERROR(FIND("door",A177))=FALSE,WardrobeDoorStyle="Flat"),(((B177/1000)*(C177/1000))*2)+(MID(WardrobeDoorMaterial,FIND("(",WardrobeDoorMaterial)+1,2)/1000)*(((B177+C177)/1000)*2),IF(AND(ISERROR(FIND("door",A177))=FALSE,LEFT(WardrobeDoorStyle,5)="Panel"),(((B177/1000)*(C177/1000))*2)+((MID(WardrobeDoorMaterial,FIND("(",WardrobeDoorMaterial)+1,2)/1000)*(((B177+C177)/1000)*2))+(((((B177-160)+(C177-160))*2)/1000)*(0.013)),IF(AND(ISERROR(FIND("door",A177))=FALSE,WardrobeDoorStyle="In-frame flat"),((((B177-76)/1000)*((C177-38)/1000))*2)+(MID(WardrobeDoorMaterial,FIND("(",WardrobeDoorMaterial)+1,2)/1000)*((((B177-76)+(C177-38))/1000)*2)+(((B177/1000)*0.032)*2)+((((B177-76)/1000)*0.032)*2)+(((B177/1000)*0.019)*4)+(((C177/1000)*0.032)*2)+((((C177-38)/1000)*0.032)*2)+(((C177/1000)*0.038)*4),IF(AND(ISERROR(FIND("door",A177))=FALSE,LEFT(WardrobeDoorStyle,14)="In-frame panel"),((((B177-76)/1000)*((C177-38)/1000))*2)+((MID(WardrobeDoorMaterial,FIND("(",WardrobeDoorMaterial)+1,2)/1000)*((((B177-76)+(C177-38))/1000)*2))+((((B177-236)/1000)+((C177-198)/1000)*2)*0.013)+(((B177/1000)*0.032)*2)+((((B177-76)/1000)*0.032)*2)+(((B177/1000)*0.019)*4)+(((C177/1000)*0.032)*2)+((((C177-38)/1000)*0.032)*2)+(((C177/1000)*0.038)*4),IF(ISERROR(FIND("Plinth",A177))=FALSE,((B177/1000)*(C177/1000))+(((C177/1000)*0.018)*2)+(((B177/1000)*0.018)*2),IF(ISERROR(FIND("Cornice",A177))=FALSE,(((C177/1000)*0.1)*2)+(((C177/1000)*0.044)*2)+(((B177/1000)*0.08)*2),IF(ISERROR(FIND("Office pod",A177))=FALSE,((2400/1000)*(1200/1000))*6,IF(ISERROR(FIND("panel",A177))=FALSE,((B177/1000)*(C177/1000))+(0.022*((B177/1000)+((C177/1000)*2)))+((B177/1000)*0.05),IF(ISERROR(FIND("Fillers",A177))=FALSE,((C177/1000)*0.06)+((C177/1000)*0.069)+((0.06*0.018)*2)+((0.06*0.009)*2)+((C177/1000)*0.009)+((C177/1000)*0.018),IF(ISERROR(FIND("Pelmet",A177))=FALSE,((C177/1000)*0.05)+((C177/1000)*0.068)+((0.05*0.018)*4)+(((C177/1000)*0.018))*2)))))))))))))))))))))</f>
        <v/>
      </c>
      <c r="N177" s="152" t="str">
        <f>IF(M177="","",IF(AND(ISERROR(FIND("carcass",A177))=TRUE,ISERROR(FIND("unit",A177))=TRUE,ISERROR(FIND("insert",A177))=TRUE,ISERROR(FIND("rack",A177))=TRUE,ISERROR(FIND("box",A177))=TRUE,ISERROR(FIND("shelf",A177))=TRUE),VLOOKUP(WardrobeDoorFinish,Finishing!$A$2:$K$10,9,0)*M177,IF(ISERROR(FIND("table",A177))=FALSE,VLOOKUP("Sayerlack AF0072 Interior Clear Self-Sealer",FinishingData,9,FALSE)*M177,VLOOKUP(WardrobeCarcassFinish,Finishing!$A$2:$K$40,9,0)*M177)))</f>
        <v/>
      </c>
      <c r="O177" s="155"/>
      <c r="P177" s="155"/>
      <c r="Q177" s="152" t="str">
        <f>IF(OR(O177="",P177=""),"",((O177*X177)*(VLOOKUP("Workshop",Labour!$A$3:$E$20,4,0)/8))+((P177*AE177)*(VLOOKUP("Finishing",Labour!$A$3:$E$20,4,0)/8)))</f>
        <v/>
      </c>
      <c r="R177" s="152" t="str">
        <f t="shared" si="4"/>
        <v/>
      </c>
      <c r="S177" s="156" t="str">
        <f>IF(OR(O177="",P177=""),"",IF(OR(ISERROR(FIND("carcass",$A177))=FALSE,ISERROR(FIND("unit",$A177))=FALSE),VLOOKUP(WardrobeCarcassMaterial,FixedListsCarcassMaterial,2,0),0))</f>
        <v/>
      </c>
      <c r="T177" s="156" t="str">
        <f>IF(OR(O177="",P177=""),"",IF(ISERROR(FIND("door",$A177))=FALSE,VLOOKUP(WardrobeDoorStyle,FixedListsDoorStyle,2,0),0))</f>
        <v/>
      </c>
      <c r="U177" s="156" t="str">
        <f>IF(OR(O177="",P177=""),"",IF(ISERROR(FIND("door",$A177))=FALSE,VLOOKUP(WardrobeDoorMaterial,FixedListsDoorMaterial,2,0),0))</f>
        <v/>
      </c>
      <c r="V177" s="156" t="str">
        <f>IF(OR(O177="",P177=""),"",IF(ISERROR(FIND("drawer",$A177))=FALSE,VLOOKUP(WardrobeDrawerType,FixedListsDrawerType,2,0),0))</f>
        <v/>
      </c>
      <c r="W177" s="156" t="str">
        <f>IF(OR(O177="",P177=""),"",IF(S177&gt;0,VLOOKUP(WardrobeHandleType,FixedListsHandleType,2,FALSE),0))</f>
        <v/>
      </c>
      <c r="X177" s="156" t="str">
        <f t="shared" si="5"/>
        <v/>
      </c>
      <c r="Y177" s="156" t="str">
        <f>IF(OR(O177="",P177=""),"",IF(OR(ISERROR(FIND("carcass",$A177))=FALSE,ISERROR(FIND("unit",$A177))=FALSE),VLOOKUP(WardrobeCarcassMaterial,FixedListsCarcassMaterial,3,0),0))</f>
        <v/>
      </c>
      <c r="Z177" s="156" t="str">
        <f>IF(OR(O177="",P177=""),"",IF(ISERROR(FIND("door",$A177))=FALSE,VLOOKUP(WardrobeDoorStyle,FixedListsDoorStyle,3,0),0))</f>
        <v/>
      </c>
      <c r="AA177" s="156" t="str">
        <f>IF(OR(O177="",P177=""),"",IF(ISERROR(FIND("door",$A177))=FALSE,VLOOKUP(WardrobeDoorMaterial,FixedListsDoorMaterial,3,0),0))</f>
        <v/>
      </c>
      <c r="AB177" s="156" t="str">
        <f>IF(OR(O177="",P177=""),"",IF(ISERROR(FIND("drawer",$A177))=FALSE,VLOOKUP(WardrobeDrawerType,FixedListsDrawerType,3,0),0))</f>
        <v/>
      </c>
      <c r="AC177" s="156" t="str">
        <f>IF(OR(O177="",P177=""),"",IF(S177&gt;0,VLOOKUP(WardrobeHandleType,FixedListsHandleType,3,FALSE),0))</f>
        <v/>
      </c>
      <c r="AD177" s="156" t="str">
        <f>IF(OR(O177="",P177=""),"",IF(OR(ISERROR(FIND("carcass",$A177))=FALSE,ISERROR(FIND("unit",$A177))=FALSE),VLOOKUP(WardrobeCarcassFinish,FixedListsFinishes,3,0),IF(OR(ISERROR(FIND("door",$A177))=FALSE,ISERROR(FIND("Plinth",$A177))=FALSE,ISERROR(FIND("Cornice",$A177))=FALSE,ISERROR(FIND("Fillers",$A177))=FALSE,ISERROR(FIND("Pelmet",$A177))=FALSE,ISERROR(FIND("panel",$A177))=FALSE,ISERROR(FIND("post",$A177))=FALSE),VLOOKUP(WardrobeDoorFinish,FixedListsFinishes,3,0),IF(OR(ISERROR(FIND("drawer",$A177))=FALSE,ISERROR(FIND("insert",$A177))=FALSE,ISERROR(FIND("rck",$A177))=FALSE),VLOOKUP(WardrobeCarcassFinish,FixedListsFinishes,3,0),0))))</f>
        <v/>
      </c>
      <c r="AE177" s="156" t="str">
        <f t="shared" si="6"/>
        <v/>
      </c>
      <c r="AF177" s="157" t="str">
        <f>IF(AND(WardrobeHandleType="Channel",OR(ISERROR(FIND("arcass",$A177))=FALSE,ISERROR(FIND("unit",$A177))=FALSE)),IF(ISERROR(FIND("Tower",$A177))=TRUE,IF(WardrobeHandleFinish="Match carcass",IF(ISERROR(FIND("Walnut",WardrobeCarcassMaterial))=FALSE,(0.035*0.075*($C177/1000))*VLOOKUP("Walnut (solid m3)",SolidData,4,FALSE),IF(ISERROR(FIND("Oak",WardrobeCarcassMaterial))=FALSE,(0.035*0.075*($C177/1000))*VLOOKUP("Oak (solid m3)",SolidData,4,FALSE),IF(ISERROR(FIND("ply",WardrobeCarcassMaterial))=FALSE,(0.1*($C177/1000))*VLOOKUP("Birch ply (24mm)",SheetsData,7,FALSE),IF(ISERROR(FIND("H/F",WardrobeCarcassMaterial))=FALSE,(0.1*($C177/1000))*VLOOKUP("H/F (22mm)",SheetsData,7,FALSE),"Carcass - not tower - new material")))),IF(WardrobeHandleFinish="Match door",IF(ISERROR(FIND("Walnut",WardrobeDoorMaterial))=FALSE,(0.035*0.075*($C177/1000))*VLOOKUP("Walnut (solid m3)",SolidData,4,FALSE),IF(ISERROR(FIND("Oak",WardrobeDoorMaterial))=FALSE,(0.035*0.075*($C177/1000))*VLOOKUP("Oak (solid m3)",SolidData,4,FALSE),IF(ISERROR(FIND("ply",WardrobeDoorMaterial))=FALSE,(0.1*($C177/1000))*VLOOKUP("Birch ply (24mm)",SheetsData,7,FALSE),IF(ISERROR(FIND("H/F",WardrobeCarcassMaterial))=FALSE,(0.1*($C177/1000))*VLOOKUP("H/F (22mm)",SheetsData,7,FALSE),"Door - not tower - new material")))),"Channel - not tower - handle set to other")),IF(ISERROR(FIND("Tower",$A177))=FALSE,IF(WardrobeHandleFinish="Match carcass",IF(ISERROR(FIND("Walnut",WardrobeCarcassMaterial))=FALSE,(0.035*0.075*($B177/1000))*VLOOKUP("Walnut (solid m3)",SolidData,4,FALSE),IF(ISERROR(FIND("Oak",WardrobeCarcassMaterial))=FALSE,(0.035*0.075*($B177/1000))*VLOOKUP("Oak (solid m3)",SolidData,4,FALSE),IF(ISERROR(FIND("ply",WardrobeCarcassMaterial))=FALSE,(0.1*($B177/1000))*VLOOKUP("Birch ply (24mm)",SheetsData,7,FALSE),IF(ISERROR(FIND("H/F",WardrobeCarcassMaterial))=FALSE,(0.1*($C177/1000))*VLOOKUP("H/F (22mm)",SheetsData,7,FALSE),"Carcass - tower - new material")))),IF(WardrobeHandleFinish="Match door",IF(ISERROR(FIND("Walnut",WardrobeDoorMaterial))=FALSE,(0.035*0.075*($B177/1000))*VLOOKUP("Walnut (solid m3)",SolidData,4,FALSE),IF(ISERROR(FIND("Oak",WardrobeDoorMaterial))=FALSE,(0.035*0.075*($B177/1000))*VLOOKUP("Oak (solid m3)",SolidData,4,FALSE),IF(ISERROR(FIND("ply",WardrobeDoorMaterial))=FALSE,(0.1*($B177/1000))*VLOOKUP("Birch ply (24mm)",SheetData,7,FALSE),IF(ISERROR(FIND("H/F",WardrobeCarcassMaterial))=FALSE,(0.1*($C177/1000))*VLOOKUP("H/F (22mm)",SheetsData,7,FALSE),"Door - tower - new material")))),"Channel - tower - handle set to other")))),"")</f>
        <v/>
      </c>
    </row>
    <row r="178">
      <c r="A178" s="158"/>
      <c r="B178" s="160" t="str">
        <f t="shared" si="1"/>
        <v/>
      </c>
      <c r="C178" s="160" t="str">
        <f>IFERROR(__xludf.DUMMYFUNCTION("IF(A178="""","""",IF(ISERROR(FIND(""arcass"",A178))=FALSE,MID(A178,FIND(""*"",A178)+1,FIND(""*"",A178,FIND(""*"",A178)+1)-FIND(""*"",A178)-1),IF(ISERROR(FIND(""End panel"",A178))=FALSE,RIGHT(A178,3),IF(OR(ISERROR(FIND(""drawer"",A178))=FALSE,ISERROR(FIND("&amp;"""door"",A178))=FALSE,ISERROR(FIND(""shelf"",A178))=FALSE,ISERROR(FIND(""panel"",A178))=FALSE,ISERROR(FIND(""Plinth"",A178))=FALSE,ISERROR(FIND(""Cornice"",A178))=FALSE,ISERROR(FIND(""Fillers"",A178))=FALSE,ISERROR(FIND(""Pelmet"",A178))=FALSE,ISERROR(FIN"&amp;"D(""Fireplace up to 1600"",A178))=FALSE),RIGHT(A178,LEN(A178)-LEN(regexextract(A178,"".* ""))),IF(ISERROR(FIND(""table"",A178))=FALSE,""560"",IF(ISERROR(FIND(""Office pod"",A178))=FALSE,""1600"",IF(ISERROR(FIND(""Fireplace over 1600"",A178))=FALSE,""2400"&amp;""",IF(ISERROR(FIND(""Worktop"",A178))=FALSE,""650"",""Whoops""))))))))"),"")</f>
        <v/>
      </c>
      <c r="D178" s="161" t="str">
        <f t="shared" si="2"/>
        <v/>
      </c>
      <c r="E178" s="152" t="str">
        <f>IF(OR(A178="",AND(ISERROR(FIND("drawer",A178))=FALSE,WardrobeDrawerType="")),"",IF(ISERROR(FIND("door",A178))=FALSE,IF(WardrobeDoorStyle="Flat",((B178/1000)*(C178/1000))*VLOOKUP(WardrobeDoorMaterial,SheetsData,8,0),IF(LEFT(WardrobeDoorStyle,5)="Panel",(((((B178/1000)*2)*0.08)+((((C178/1000)-0.16)*2)*0.08))*VLOOKUP("H/F (22mm)",SheetsData,8,0))+(((B178/1000)-0.14)*((C178/1000)-0.14)*VLOOKUP("H/F (9mm)",SheetsData,8,0)),IF(WardrobeDoorStyle="In-frame flat",((((((B178/1000)*0.019)*0.038)+((((C178-38)/1000)*0.038)*0.038))*2)*VLOOKUP("Tulip (solid m3)",SolidData,4,0))+(((B178-76)/1000)*((C178-38)/1000))*VLOOKUP("H/F (22mm)",SheetsData,8,0),IF(LEFT(WardrobeDoorStyle,14)="In-frame panel",(((((((B178/1000)*0.019)*0.038)+((((C178-38)/1000)*0.038)*0.038))*2)*VLOOKUP("Tulip (solid m3)",SolidData,4,0))+(((((((B178-76)/1000)*2)*0.08)+(((((C178-198)/1000)*2)*0.08)))*VLOOKUP("H/F (22mm)",SheetsData,8,0))+(((B178-216)/1000)*((C178-178)/1000)*VLOOKUP("H/F (9mm)",SheetsData,8,0)))))))),IF(AND(ISERROR(FIND("arcass",A178))=FALSE,ISERROR(FIND("ost corner",A178))=TRUE),IF(AND(VALUE(B178)&lt;1211,VALUE(C178)&lt;1211,VALUE(D178)&lt;606),1*VLOOKUP(WardrobeCarcassMaterial,SheetsData,5,FALSE),IF(AND(VALUE(B178)&lt;2421,VALUE(C178)&lt;2421,VALUE(D178)&lt;606),2*VLOOKUP(WardrobeCarcassMaterial,SheetsData,5,FALSE),IF(AND(VALUE(B178)&lt;2421,VALUE(C178)&lt;1211,VALUE(D178)&lt;1211),3*VLOOKUP(WardrobeCarcassMaterial,SheetsData,5,FALSE),IF(AND(VALUE(B178)&lt;2421,VALUE(C178)&lt;2421,VALUE(D178)&lt;1211),4*VLOOKUP(WardrobeCarcassMaterial,SheetsData,5,FALSE))))),IF(AND(ISERROR(FIND("arcass",A178))=FALSE,ISERROR(FIND("ost corner",A178))=FALSE),IF(AND(VALUE(B178)&lt;1211,VALUE(C178)&lt;1211,VALUE(D178)&lt;606),(1*VLOOKUP(WardrobeCarcassMaterial,SheetsData,5,FALSE))+(VLOOKUP("H/F (22mm)",SheetsData,7,FALSE)*1.44),IF(AND(VALUE(B178)&lt;2421,VALUE(C178)&lt;2421,VALUE(D178)&lt;606),(2*VLOOKUP(WardrobeCarcassMaterial,SheetsData,5,FALSE))+(VLOOKUP("H/F (22mm)",SheetsData,7,FALSE)*1.44),IF(AND(VALUE(B178)&lt;2421,VALUE(C178)&lt;1211,VALUE(D178)&lt;1211),(3*VLOOKUP(WardrobeCarcassMaterial,SheetsData,5,FALSE))+(VLOOKUP("H/F (22mm)",SheetsData,7,FALSE)*1.44),IF(AND(VALUE(B178)&lt;2421,VALUE(C178)&lt;2421,VALUE(D178)&lt;1211),(4*VLOOKUP(WardrobeCarcassMaterial,SheetsData,5,FALSE))+(VLOOKUP("H/F (22mm)",SheetsData,7,FALSE)*1.44))))),IF(ISERROR(FIND("drawer front",A178))=FALSE,((B178/1000)*(C178/1000))*VLOOKUP(WardrobeDoorMaterial,SheetsData,8,0),IF(AND(WardrobeDrawerType="Match carcass",ISERROR(FIND("drawer box",A178))=FALSE),(((((B178/1000)*(C178/1000))+((B178/1000)*(D178/1000)))*2)*VLOOKUP(WardrobeCarcassMaterial,SheetsData,8,0))+(((C178/1000)*(D178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box",A178))=FALSE),(((((B178/1000)*(C178/1000))+((B178/1000)*(D178/1000)))*2)*(16/1000)*VLOOKUP(LEFT(WardrobeCarcassMaterial,FIND(" ",WardrobeCarcassMaterial))&amp;"(solid m3)",SolidData,4,0))+(((C178/1000)*(D178/1000))*VLOOKUP(LEFT(WardrobeCarcassMaterial,FIND("(",WardrobeCarcassMaterial)-1)&amp;IF(OR(ISERROR(FIND("ply",WardrobeCarcassMaterial))=FALSE,ISERROR(FIND("H/F",WardrobeCarcassMaterial))=FALSE),"(9mm)","(10mm)"),SheetsData,8,0)),IF(ISERROR(FIND("shelf",A178))=FALSE,((C178/1000)*(D178/1000))*VLOOKUP(WardrobeCarcassMaterial,SheetsData,7,FALSE),IF(ISERROR(FIND("Office pod",A178))=FALSE,3*VLOOKUP(WardrobeCarcassMaterial,SheetsData,5,0),IF(ISERROR(FIND(" panel",A178))=FALSE,((B178/1000)*(C178/1000))*VLOOKUP(WardrobeDoorMaterial,SheetsData,8,0),IF(ISERROR(FIND("Fillers",A178))=FALSE,(((0.06*(C178/1000))*2)*VLOOKUP("H/F (18mm)",SheetsData,8,0))+(((0.06*(C178/1000))*2)*VLOOKUP("H/F (9mm)",SheetsData,8,0)),IF(ISERROR(FIND("Cornice (stacked)",A178))=FALSE,((0.08*(C178/1000))*2)*VLOOKUP("H/F (22mm)",SheetsData,8,0),IF(OR(ISERROR(FIND("Plinth",A178))=FALSE,ISERROR(FIND("Cornice (flat)",A178))=FALSE),((B178/1000)*(C178/1000))*VLOOKUP("H/F (18mm)",SheetsData,8,0),IF(ISERROR(FIND("Pelmet",A178))=FALSE,((((B178/1000)*(C178/1000))*2)*VLOOKUP("H/F (18mm)",SheetsData,8,0)),IF(ISERROR(FIND("Fireplace",A178))=FALSE,IF(ISERROR(FIND("over 1600",A178))=FALSE,2*VLOOKUP(WardrobeCarcassMaterial,SheetsData,5,FALSE),VLOOKUP(WardrobeCarcassMaterial,SheetsData,5,FALSE)),IF(ISERROR(FIND("table",A178))=FALSE,((B178/1000)*0.6)*VLOOKUP("Birch ply (24mm)",SheetsData,7,FALSE),IF(ISERROR(FIND("Worktop",A178))=FALSE,((B178/1000)*(C178/1000))*VLOOKUP(WardrobeDoorMaterial,SheetsData,7,FALSE),"Check formula")))))))))))))))))</f>
        <v/>
      </c>
      <c r="F178" s="152" t="str">
        <f>IFERROR(__xludf.DUMMYFUNCTION("IF(OR(A178="""",AND(ISERROR(FIND(""drawer box"",A178))=FALSE,WardrobeDrawerType=""Solid dovetail"")),"""",IF(ISERROR(FIND(""bins"",A178))=FALSE,VLOOKUP(""Base carcass 600"",Wardrobes_etcData,6,0),IF(OR(ISERROR(FIND(""larder"",A178))=FALSE,ISERROR(FIND(""u"&amp;"nit"",A178))=FALSE),VLOOKUP(LEFT(A178,FIND("" "",A178))&amp;""carcass ""&amp;RIGHT(A178,LEN(A178)-len(regexextract(A178,"".* ""))),Wardrobes_etcData,6,0),IF(ISERROR(FIND(""drawer front"",A178))=FALSE,IF(ISERROR(FIND(""veneer"",WardrobeCarcassMaterial))=TRUE,0,((("&amp;"B178+C178)/1000)*2)*VLOOKUP(""Edge banding (per M)"",SheetsData,5,0)),IF(ISERROR(FIND(""drawer box"",A178))=FALSE,IF(ISERROR(FIND(""veneer"",WardrobeCarcassMaterial))=TRUE,0,(((C178+D178)/1000)*2)*VLOOKUP(""Edge banding (per M)"",SheetsData,5,0)),IF(ISERR"&amp;"OR(FIND(""shelf"",A178))=FALSE,IF(ISERROR(FIND(""veneer"",WardrobeCarcassMaterial))=TRUE,0,(C178/1000)*VLOOKUP(""Edge banding (per M)"",SheetsData,5,0)),IF(AND(OR(ISERROR(FIND(""arcass"",A178))=FALSE,ISERROR(FIND(""Fireplace"",A178))=FALSE),ISERROR(FIND("&amp;"""shelf"",A178))=TRUE),IF(ISERROR(FIND(""veneer"",WardrobeCarcassMaterial))=TRUE,0,((2*(B178+C178))/1000)*VLOOKUP(""Edge banding (per M)"",SheetsData,5,0)),IF(ISERROR(FIND(""door"",A178))=TRUE,"""",IF(ISERROR(FIND(""veneer"",WardrobeDoorMaterial))=TRUE,"""&amp;""",((2*(B178+C178))/1000)*VLOOKUP(""Edge banding (per M)"",SheetsData,5,0))))))))))"),"")</f>
        <v/>
      </c>
      <c r="G178" s="153" t="str">
        <f>IF(A178="","",IF(AND(ISERROR(FIND("arcass",A178))=TRUE,ISERROR(FIND("Fireplace",A178))=TRUE),"",IF(VALUE(C178)&lt;606,4*VLOOKUP("Plinth foot (2 Parts 80mm)",FurnitureData,5,FALSE),IF(VALUE(C178)&lt;1211,6*VLOOKUP("Plinth foot (2 Parts 80mm)",FurnitureData,5,FALSE),8*VLOOKUP("Plinth foot (2 Parts 80mm)",FurnitureData,5,FALSE)))))</f>
        <v/>
      </c>
      <c r="H178" s="115" t="str">
        <f>IF(OR(A178="",ISERROR(FIND("door",A178))=TRUE),"",VLOOKUP("Hinges &amp; plates (Hettich thick door)",FurnitureData,5,0)*5)</f>
        <v/>
      </c>
      <c r="I178" s="115" t="str">
        <f>IF(ISERROR(FIND("shelf",A178))=FALSE,(VLOOKUP("Shelf pegs",FurnitureData,5,0)/100)*4,"")</f>
        <v/>
      </c>
      <c r="J178" s="152" t="str">
        <f>IF(OR(ISERROR(FIND("fridge/freezer",A178))=FALSE,ISERROR(FIND("sink",A178))=FALSE,ISERROR(FIND("larder",A178))=FALSE),VLOOKUP("Deep shelf "&amp;C178,Wardrobes_etcData,18,0),IF(OR(ISERROR(FIND("single oven",A178))=FALSE,ISERROR(FIND("Base carcass",A178))=FALSE),2*VLOOKUP("Deep shelf "&amp;C178,Wardrobes_etcData,18,0),IF(AND(ISERROR(FIND("wall carcass",A178))=FALSE,ISERROR(FIND("Boiler",A178))=TRUE),2*VLOOKUP("Shallow shelf "&amp;C178,Wardrobes_etcData,18,0),IF(ISERROR(FIND("double oven",A178))=FALSE,3*VLOOKUP("Deep shelf "&amp;C178,Wardrobes_etcData,18,0),IF(ISERROR(FIND("Tower carcass",A178))=FALSE,6*VLOOKUP("Deep shelf "&amp;C178,Wardrobes_etcData,18,0),"")))))</f>
        <v/>
      </c>
      <c r="K178" s="152" t="str">
        <f>IF(ISERROR(FIND("sink",A178))=FALSE,VLOOKUP("Sink liner - Aluminium "&amp;RIGHT(A178,LEN(A178)-22)&amp;"mm",ExceptionalData,5,0),IF(ISERROR(FIND("bins",A178))=FALSE,VLOOKUP("Drawer runners and clip set for bin unit (500) Dynapro",FurnitureData,5,0)+(2*VLOOKUP("Bin (42L Anthracite)",FurnitureData,5,0)),IF(ISERROR(FIND("larder",A178))=FALSE,VLOOKUP("Pull out larder unit 600mm",FurnitureData,5,0),IF(AND(ISERROR(FIND("drawer box",A178))=FALSE,ISERROR(FIND("internal",A178))=TRUE),VLOOKUP("Drawer runners and clip set (550) Dynapro",FurnitureData,5,0),IF(ISERROR(FIND("internal drawer box",A178))=FALSE,VLOOKUP("Drawer runners and clip set (450) Dynapro",FurnitureData,5,0),IF(ISERROR(FIND("table",A178))=FALSE,VLOOKUP("Hairpin Leg (12mm Black "&amp;MID(A178,FIND("(",A178)+1,LEN(A178)-(FIND("(",A178))-1)&amp;"mm)",ExceptionalData,4,FALSE),""))))))</f>
        <v/>
      </c>
      <c r="L178" s="152" t="str">
        <f t="shared" si="3"/>
        <v/>
      </c>
      <c r="M178" s="154" t="str">
        <f>IF(A178="","",IF(AND(ISERROR(FIND("drawer front",A178))=FALSE,WardrobeDoorStyle="Flat"),(((B178/1000)*(C178/1000))*2)+((((B178+C178)/1000)*2)*0.022),IF(AND(ISERROR(FIND("drawer front",A178))=FALSE,LEFT(WardrobeDoorStyle,5)="Panel"),(((B178/1000)*(C178/1000))*2)+((((B178+C178)/1000)*2)*0.022)+((((C178/1000)-0.16)*0.013)*2)+((((D178/1000)-0.16)*0.013)*2),IF(AND(ISERROR(FIND("drawer front",A178))=FALSE,WardrobeDoorStyle="In-frame flat"),((((B178-76)/1000)*((C178-38)/1000))*2)+(MID(WardrobeDoorMaterial,FIND("(",WardrobeDoorMaterial)+1,2)/1000)*((((B178-76)+(C178-38))/1000)*2)+(((B178/1000)*0.032)*2)+((((B178-76)/1000)*0.032)*2)+(((B178/1000)*0.019)*4)+(((C178/1000)*0.032)*2)+((((C178-38)/1000)*0.032)*2)+(((C178/1000)*0.038)*4),IF(AND(ISERROR(FIND("drawer front",A178))=FALSE,LEFT(WardrobeDoorStyle,14)="In-frame panel"),((((B178-76)/1000)*((C178-38)/1000))*2)+((MID(WardrobeDoorMaterial,FIND("(",WardrobeDoorMaterial)+1,2)/1000)*((((B178-76)+(C178-38))/1000)*2))+((((B178-236)/1000)+((C178-198)/1000)*2)*0.013)+(((B178/1000)*0.032)*2)+((((B178-76)/1000)*0.032)*2)+(((B178/1000)*0.019)*4)+(((C178/1000)*0.032)*2)+((((C178-38)/1000)*0.032)*2)+(((C178/1000)*0.038)*4),IF(ISERROR(FIND("drawer box",A178))=FALSE,((((B178/1000)*(D178/1000))+((B178/1000)*(C178/1000)))*4)+((((D178/1000)+(C178/1000))*0.016)*4)+(((C178/1000)*(D178/1000))*2),IF(OR(ISERROR(FIND("shelf",A178))=FALSE,ISERROR(FIND("Filler panel",A178))=FALSE),(((C178/1000)*(D178/1000))*2)+((((C178+D178)*2)/1000)*0.022),IF(ISERROR(FIND("Fireplace",A178))=FALSE,((B178/1000)*(C178/1000)),IF(ISERROR(FIND("Worktop",A178))=FALSE,(B178/1000)*(C178/1000),IF(ISERROR(FIND("table",A178))=FALSE,(B178/1000)*0.6,IF(ISERROR(FIND("arcass",A178))=FALSE,(((C178/1000)*(D178/1000))*2)+(((B178/1000)*(D178/1000))*2)+((B178/1000)*(C178/1000))+((((B178/1000)*0.025)+((C178/1000)*0.025))*2),IF(AND(ISERROR(FIND("door",A178))=FALSE,WardrobeDoorStyle="Flat"),(((B178/1000)*(C178/1000))*2)+(MID(WardrobeDoorMaterial,FIND("(",WardrobeDoorMaterial)+1,2)/1000)*(((B178+C178)/1000)*2),IF(AND(ISERROR(FIND("door",A178))=FALSE,LEFT(WardrobeDoorStyle,5)="Panel"),(((B178/1000)*(C178/1000))*2)+((MID(WardrobeDoorMaterial,FIND("(",WardrobeDoorMaterial)+1,2)/1000)*(((B178+C178)/1000)*2))+(((((B178-160)+(C178-160))*2)/1000)*(0.013)),IF(AND(ISERROR(FIND("door",A178))=FALSE,WardrobeDoorStyle="In-frame flat"),((((B178-76)/1000)*((C178-38)/1000))*2)+(MID(WardrobeDoorMaterial,FIND("(",WardrobeDoorMaterial)+1,2)/1000)*((((B178-76)+(C178-38))/1000)*2)+(((B178/1000)*0.032)*2)+((((B178-76)/1000)*0.032)*2)+(((B178/1000)*0.019)*4)+(((C178/1000)*0.032)*2)+((((C178-38)/1000)*0.032)*2)+(((C178/1000)*0.038)*4),IF(AND(ISERROR(FIND("door",A178))=FALSE,LEFT(WardrobeDoorStyle,14)="In-frame panel"),((((B178-76)/1000)*((C178-38)/1000))*2)+((MID(WardrobeDoorMaterial,FIND("(",WardrobeDoorMaterial)+1,2)/1000)*((((B178-76)+(C178-38))/1000)*2))+((((B178-236)/1000)+((C178-198)/1000)*2)*0.013)+(((B178/1000)*0.032)*2)+((((B178-76)/1000)*0.032)*2)+(((B178/1000)*0.019)*4)+(((C178/1000)*0.032)*2)+((((C178-38)/1000)*0.032)*2)+(((C178/1000)*0.038)*4),IF(ISERROR(FIND("Plinth",A178))=FALSE,((B178/1000)*(C178/1000))+(((C178/1000)*0.018)*2)+(((B178/1000)*0.018)*2),IF(ISERROR(FIND("Cornice",A178))=FALSE,(((C178/1000)*0.1)*2)+(((C178/1000)*0.044)*2)+(((B178/1000)*0.08)*2),IF(ISERROR(FIND("Office pod",A178))=FALSE,((2400/1000)*(1200/1000))*6,IF(ISERROR(FIND("panel",A178))=FALSE,((B178/1000)*(C178/1000))+(0.022*((B178/1000)+((C178/1000)*2)))+((B178/1000)*0.05),IF(ISERROR(FIND("Fillers",A178))=FALSE,((C178/1000)*0.06)+((C178/1000)*0.069)+((0.06*0.018)*2)+((0.06*0.009)*2)+((C178/1000)*0.009)+((C178/1000)*0.018),IF(ISERROR(FIND("Pelmet",A178))=FALSE,((C178/1000)*0.05)+((C178/1000)*0.068)+((0.05*0.018)*4)+(((C178/1000)*0.018))*2)))))))))))))))))))))</f>
        <v/>
      </c>
      <c r="N178" s="152" t="str">
        <f>IF(M178="","",IF(AND(ISERROR(FIND("carcass",A178))=TRUE,ISERROR(FIND("unit",A178))=TRUE,ISERROR(FIND("insert",A178))=TRUE,ISERROR(FIND("rack",A178))=TRUE,ISERROR(FIND("box",A178))=TRUE,ISERROR(FIND("shelf",A178))=TRUE),VLOOKUP(WardrobeDoorFinish,Finishing!$A$2:$K$10,9,0)*M178,IF(ISERROR(FIND("table",A178))=FALSE,VLOOKUP("Sayerlack AF0072 Interior Clear Self-Sealer",FinishingData,9,FALSE)*M178,VLOOKUP(WardrobeCarcassFinish,Finishing!$A$2:$K$40,9,0)*M178)))</f>
        <v/>
      </c>
      <c r="O178" s="155"/>
      <c r="P178" s="155"/>
      <c r="Q178" s="152" t="str">
        <f>IF(OR(O178="",P178=""),"",((O178*X178)*(VLOOKUP("Workshop",Labour!$A$3:$E$20,4,0)/8))+((P178*AE178)*(VLOOKUP("Finishing",Labour!$A$3:$E$20,4,0)/8)))</f>
        <v/>
      </c>
      <c r="R178" s="152" t="str">
        <f t="shared" si="4"/>
        <v/>
      </c>
      <c r="S178" s="156" t="str">
        <f>IF(OR(O178="",P178=""),"",IF(OR(ISERROR(FIND("carcass",$A178))=FALSE,ISERROR(FIND("unit",$A178))=FALSE),VLOOKUP(WardrobeCarcassMaterial,FixedListsCarcassMaterial,2,0),0))</f>
        <v/>
      </c>
      <c r="T178" s="156" t="str">
        <f>IF(OR(O178="",P178=""),"",IF(ISERROR(FIND("door",$A178))=FALSE,VLOOKUP(WardrobeDoorStyle,FixedListsDoorStyle,2,0),0))</f>
        <v/>
      </c>
      <c r="U178" s="156" t="str">
        <f>IF(OR(O178="",P178=""),"",IF(ISERROR(FIND("door",$A178))=FALSE,VLOOKUP(WardrobeDoorMaterial,FixedListsDoorMaterial,2,0),0))</f>
        <v/>
      </c>
      <c r="V178" s="156" t="str">
        <f>IF(OR(O178="",P178=""),"",IF(ISERROR(FIND("drawer",$A178))=FALSE,VLOOKUP(WardrobeDrawerType,FixedListsDrawerType,2,0),0))</f>
        <v/>
      </c>
      <c r="W178" s="156" t="str">
        <f>IF(OR(O178="",P178=""),"",IF(S178&gt;0,VLOOKUP(WardrobeHandleType,FixedListsHandleType,2,FALSE),0))</f>
        <v/>
      </c>
      <c r="X178" s="156" t="str">
        <f t="shared" si="5"/>
        <v/>
      </c>
      <c r="Y178" s="156" t="str">
        <f>IF(OR(O178="",P178=""),"",IF(OR(ISERROR(FIND("carcass",$A178))=FALSE,ISERROR(FIND("unit",$A178))=FALSE),VLOOKUP(WardrobeCarcassMaterial,FixedListsCarcassMaterial,3,0),0))</f>
        <v/>
      </c>
      <c r="Z178" s="156" t="str">
        <f>IF(OR(O178="",P178=""),"",IF(ISERROR(FIND("door",$A178))=FALSE,VLOOKUP(WardrobeDoorStyle,FixedListsDoorStyle,3,0),0))</f>
        <v/>
      </c>
      <c r="AA178" s="156" t="str">
        <f>IF(OR(O178="",P178=""),"",IF(ISERROR(FIND("door",$A178))=FALSE,VLOOKUP(WardrobeDoorMaterial,FixedListsDoorMaterial,3,0),0))</f>
        <v/>
      </c>
      <c r="AB178" s="156" t="str">
        <f>IF(OR(O178="",P178=""),"",IF(ISERROR(FIND("drawer",$A178))=FALSE,VLOOKUP(WardrobeDrawerType,FixedListsDrawerType,3,0),0))</f>
        <v/>
      </c>
      <c r="AC178" s="156" t="str">
        <f>IF(OR(O178="",P178=""),"",IF(S178&gt;0,VLOOKUP(WardrobeHandleType,FixedListsHandleType,3,FALSE),0))</f>
        <v/>
      </c>
      <c r="AD178" s="156" t="str">
        <f>IF(OR(O178="",P178=""),"",IF(OR(ISERROR(FIND("carcass",$A178))=FALSE,ISERROR(FIND("unit",$A178))=FALSE),VLOOKUP(WardrobeCarcassFinish,FixedListsFinishes,3,0),IF(OR(ISERROR(FIND("door",$A178))=FALSE,ISERROR(FIND("Plinth",$A178))=FALSE,ISERROR(FIND("Cornice",$A178))=FALSE,ISERROR(FIND("Fillers",$A178))=FALSE,ISERROR(FIND("Pelmet",$A178))=FALSE,ISERROR(FIND("panel",$A178))=FALSE,ISERROR(FIND("post",$A178))=FALSE),VLOOKUP(WardrobeDoorFinish,FixedListsFinishes,3,0),IF(OR(ISERROR(FIND("drawer",$A178))=FALSE,ISERROR(FIND("insert",$A178))=FALSE,ISERROR(FIND("rck",$A178))=FALSE),VLOOKUP(WardrobeCarcassFinish,FixedListsFinishes,3,0),0))))</f>
        <v/>
      </c>
      <c r="AE178" s="156" t="str">
        <f t="shared" si="6"/>
        <v/>
      </c>
      <c r="AF178" s="157" t="str">
        <f>IF(AND(WardrobeHandleType="Channel",OR(ISERROR(FIND("arcass",$A178))=FALSE,ISERROR(FIND("unit",$A178))=FALSE)),IF(ISERROR(FIND("Tower",$A178))=TRUE,IF(WardrobeHandleFinish="Match carcass",IF(ISERROR(FIND("Walnut",WardrobeCarcassMaterial))=FALSE,(0.035*0.075*($C178/1000))*VLOOKUP("Walnut (solid m3)",SolidData,4,FALSE),IF(ISERROR(FIND("Oak",WardrobeCarcassMaterial))=FALSE,(0.035*0.075*($C178/1000))*VLOOKUP("Oak (solid m3)",SolidData,4,FALSE),IF(ISERROR(FIND("ply",WardrobeCarcassMaterial))=FALSE,(0.1*($C178/1000))*VLOOKUP("Birch ply (24mm)",SheetsData,7,FALSE),IF(ISERROR(FIND("H/F",WardrobeCarcassMaterial))=FALSE,(0.1*($C178/1000))*VLOOKUP("H/F (22mm)",SheetsData,7,FALSE),"Carcass - not tower - new material")))),IF(WardrobeHandleFinish="Match door",IF(ISERROR(FIND("Walnut",WardrobeDoorMaterial))=FALSE,(0.035*0.075*($C178/1000))*VLOOKUP("Walnut (solid m3)",SolidData,4,FALSE),IF(ISERROR(FIND("Oak",WardrobeDoorMaterial))=FALSE,(0.035*0.075*($C178/1000))*VLOOKUP("Oak (solid m3)",SolidData,4,FALSE),IF(ISERROR(FIND("ply",WardrobeDoorMaterial))=FALSE,(0.1*($C178/1000))*VLOOKUP("Birch ply (24mm)",SheetsData,7,FALSE),IF(ISERROR(FIND("H/F",WardrobeCarcassMaterial))=FALSE,(0.1*($C178/1000))*VLOOKUP("H/F (22mm)",SheetsData,7,FALSE),"Door - not tower - new material")))),"Channel - not tower - handle set to other")),IF(ISERROR(FIND("Tower",$A178))=FALSE,IF(WardrobeHandleFinish="Match carcass",IF(ISERROR(FIND("Walnut",WardrobeCarcassMaterial))=FALSE,(0.035*0.075*($B178/1000))*VLOOKUP("Walnut (solid m3)",SolidData,4,FALSE),IF(ISERROR(FIND("Oak",WardrobeCarcassMaterial))=FALSE,(0.035*0.075*($B178/1000))*VLOOKUP("Oak (solid m3)",SolidData,4,FALSE),IF(ISERROR(FIND("ply",WardrobeCarcassMaterial))=FALSE,(0.1*($B178/1000))*VLOOKUP("Birch ply (24mm)",SheetsData,7,FALSE),IF(ISERROR(FIND("H/F",WardrobeCarcassMaterial))=FALSE,(0.1*($C178/1000))*VLOOKUP("H/F (22mm)",SheetsData,7,FALSE),"Carcass - tower - new material")))),IF(WardrobeHandleFinish="Match door",IF(ISERROR(FIND("Walnut",WardrobeDoorMaterial))=FALSE,(0.035*0.075*($B178/1000))*VLOOKUP("Walnut (solid m3)",SolidData,4,FALSE),IF(ISERROR(FIND("Oak",WardrobeDoorMaterial))=FALSE,(0.035*0.075*($B178/1000))*VLOOKUP("Oak (solid m3)",SolidData,4,FALSE),IF(ISERROR(FIND("ply",WardrobeDoorMaterial))=FALSE,(0.1*($B178/1000))*VLOOKUP("Birch ply (24mm)",SheetData,7,FALSE),IF(ISERROR(FIND("H/F",WardrobeCarcassMaterial))=FALSE,(0.1*($C178/1000))*VLOOKUP("H/F (22mm)",SheetsData,7,FALSE),"Door - tower - new material")))),"Channel - tower - handle set to other")))),"")</f>
        <v/>
      </c>
    </row>
    <row r="179">
      <c r="A179" s="150"/>
      <c r="B179" s="160" t="str">
        <f t="shared" si="1"/>
        <v/>
      </c>
      <c r="C179" s="160" t="str">
        <f>IFERROR(__xludf.DUMMYFUNCTION("IF(A179="""","""",IF(ISERROR(FIND(""arcass"",A179))=FALSE,MID(A179,FIND(""*"",A179)+1,FIND(""*"",A179,FIND(""*"",A179)+1)-FIND(""*"",A179)-1),IF(ISERROR(FIND(""End panel"",A179))=FALSE,RIGHT(A179,3),IF(OR(ISERROR(FIND(""drawer"",A179))=FALSE,ISERROR(FIND("&amp;"""door"",A179))=FALSE,ISERROR(FIND(""shelf"",A179))=FALSE,ISERROR(FIND(""panel"",A179))=FALSE,ISERROR(FIND(""Plinth"",A179))=FALSE,ISERROR(FIND(""Cornice"",A179))=FALSE,ISERROR(FIND(""Fillers"",A179))=FALSE,ISERROR(FIND(""Pelmet"",A179))=FALSE,ISERROR(FIN"&amp;"D(""Fireplace up to 1600"",A179))=FALSE),RIGHT(A179,LEN(A179)-LEN(regexextract(A179,"".* ""))),IF(ISERROR(FIND(""table"",A179))=FALSE,""560"",IF(ISERROR(FIND(""Office pod"",A179))=FALSE,""1600"",IF(ISERROR(FIND(""Fireplace over 1600"",A179))=FALSE,""2400"&amp;""",IF(ISERROR(FIND(""Worktop"",A179))=FALSE,""650"",""Whoops""))))))))"),"")</f>
        <v/>
      </c>
      <c r="D179" s="161" t="str">
        <f t="shared" si="2"/>
        <v/>
      </c>
      <c r="E179" s="152" t="str">
        <f>IF(OR(A179="",AND(ISERROR(FIND("drawer",A179))=FALSE,WardrobeDrawerType="")),"",IF(ISERROR(FIND("door",A179))=FALSE,IF(WardrobeDoorStyle="Flat",((B179/1000)*(C179/1000))*VLOOKUP(WardrobeDoorMaterial,SheetsData,8,0),IF(LEFT(WardrobeDoorStyle,5)="Panel",(((((B179/1000)*2)*0.08)+((((C179/1000)-0.16)*2)*0.08))*VLOOKUP("H/F (22mm)",SheetsData,8,0))+(((B179/1000)-0.14)*((C179/1000)-0.14)*VLOOKUP("H/F (9mm)",SheetsData,8,0)),IF(WardrobeDoorStyle="In-frame flat",((((((B179/1000)*0.019)*0.038)+((((C179-38)/1000)*0.038)*0.038))*2)*VLOOKUP("Tulip (solid m3)",SolidData,4,0))+(((B179-76)/1000)*((C179-38)/1000))*VLOOKUP("H/F (22mm)",SheetsData,8,0),IF(LEFT(WardrobeDoorStyle,14)="In-frame panel",(((((((B179/1000)*0.019)*0.038)+((((C179-38)/1000)*0.038)*0.038))*2)*VLOOKUP("Tulip (solid m3)",SolidData,4,0))+(((((((B179-76)/1000)*2)*0.08)+(((((C179-198)/1000)*2)*0.08)))*VLOOKUP("H/F (22mm)",SheetsData,8,0))+(((B179-216)/1000)*((C179-178)/1000)*VLOOKUP("H/F (9mm)",SheetsData,8,0)))))))),IF(AND(ISERROR(FIND("arcass",A179))=FALSE,ISERROR(FIND("ost corner",A179))=TRUE),IF(AND(VALUE(B179)&lt;1211,VALUE(C179)&lt;1211,VALUE(D179)&lt;606),1*VLOOKUP(WardrobeCarcassMaterial,SheetsData,5,FALSE),IF(AND(VALUE(B179)&lt;2421,VALUE(C179)&lt;2421,VALUE(D179)&lt;606),2*VLOOKUP(WardrobeCarcassMaterial,SheetsData,5,FALSE),IF(AND(VALUE(B179)&lt;2421,VALUE(C179)&lt;1211,VALUE(D179)&lt;1211),3*VLOOKUP(WardrobeCarcassMaterial,SheetsData,5,FALSE),IF(AND(VALUE(B179)&lt;2421,VALUE(C179)&lt;2421,VALUE(D179)&lt;1211),4*VLOOKUP(WardrobeCarcassMaterial,SheetsData,5,FALSE))))),IF(AND(ISERROR(FIND("arcass",A179))=FALSE,ISERROR(FIND("ost corner",A179))=FALSE),IF(AND(VALUE(B179)&lt;1211,VALUE(C179)&lt;1211,VALUE(D179)&lt;606),(1*VLOOKUP(WardrobeCarcassMaterial,SheetsData,5,FALSE))+(VLOOKUP("H/F (22mm)",SheetsData,7,FALSE)*1.44),IF(AND(VALUE(B179)&lt;2421,VALUE(C179)&lt;2421,VALUE(D179)&lt;606),(2*VLOOKUP(WardrobeCarcassMaterial,SheetsData,5,FALSE))+(VLOOKUP("H/F (22mm)",SheetsData,7,FALSE)*1.44),IF(AND(VALUE(B179)&lt;2421,VALUE(C179)&lt;1211,VALUE(D179)&lt;1211),(3*VLOOKUP(WardrobeCarcassMaterial,SheetsData,5,FALSE))+(VLOOKUP("H/F (22mm)",SheetsData,7,FALSE)*1.44),IF(AND(VALUE(B179)&lt;2421,VALUE(C179)&lt;2421,VALUE(D179)&lt;1211),(4*VLOOKUP(WardrobeCarcassMaterial,SheetsData,5,FALSE))+(VLOOKUP("H/F (22mm)",SheetsData,7,FALSE)*1.44))))),IF(ISERROR(FIND("drawer front",A179))=FALSE,((B179/1000)*(C179/1000))*VLOOKUP(WardrobeDoorMaterial,SheetsData,8,0),IF(AND(WardrobeDrawerType="Match carcass",ISERROR(FIND("drawer box",A179))=FALSE),(((((B179/1000)*(C179/1000))+((B179/1000)*(D179/1000)))*2)*VLOOKUP(WardrobeCarcassMaterial,SheetsData,8,0))+(((C179/1000)*(D179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box",A179))=FALSE),(((((B179/1000)*(C179/1000))+((B179/1000)*(D179/1000)))*2)*(16/1000)*VLOOKUP(LEFT(WardrobeCarcassMaterial,FIND(" ",WardrobeCarcassMaterial))&amp;"(solid m3)",SolidData,4,0))+(((C179/1000)*(D179/1000))*VLOOKUP(LEFT(WardrobeCarcassMaterial,FIND("(",WardrobeCarcassMaterial)-1)&amp;IF(OR(ISERROR(FIND("ply",WardrobeCarcassMaterial))=FALSE,ISERROR(FIND("H/F",WardrobeCarcassMaterial))=FALSE),"(9mm)","(10mm)"),SheetsData,8,0)),IF(ISERROR(FIND("shelf",A179))=FALSE,((C179/1000)*(D179/1000))*VLOOKUP(WardrobeCarcassMaterial,SheetsData,7,FALSE),IF(ISERROR(FIND("Office pod",A179))=FALSE,3*VLOOKUP(WardrobeCarcassMaterial,SheetsData,5,0),IF(ISERROR(FIND(" panel",A179))=FALSE,((B179/1000)*(C179/1000))*VLOOKUP(WardrobeDoorMaterial,SheetsData,8,0),IF(ISERROR(FIND("Fillers",A179))=FALSE,(((0.06*(C179/1000))*2)*VLOOKUP("H/F (18mm)",SheetsData,8,0))+(((0.06*(C179/1000))*2)*VLOOKUP("H/F (9mm)",SheetsData,8,0)),IF(ISERROR(FIND("Cornice (stacked)",A179))=FALSE,((0.08*(C179/1000))*2)*VLOOKUP("H/F (22mm)",SheetsData,8,0),IF(OR(ISERROR(FIND("Plinth",A179))=FALSE,ISERROR(FIND("Cornice (flat)",A179))=FALSE),((B179/1000)*(C179/1000))*VLOOKUP("H/F (18mm)",SheetsData,8,0),IF(ISERROR(FIND("Pelmet",A179))=FALSE,((((B179/1000)*(C179/1000))*2)*VLOOKUP("H/F (18mm)",SheetsData,8,0)),IF(ISERROR(FIND("Fireplace",A179))=FALSE,IF(ISERROR(FIND("over 1600",A179))=FALSE,2*VLOOKUP(WardrobeCarcassMaterial,SheetsData,5,FALSE),VLOOKUP(WardrobeCarcassMaterial,SheetsData,5,FALSE)),IF(ISERROR(FIND("table",A179))=FALSE,((B179/1000)*0.6)*VLOOKUP("Birch ply (24mm)",SheetsData,7,FALSE),IF(ISERROR(FIND("Worktop",A179))=FALSE,((B179/1000)*(C179/1000))*VLOOKUP(WardrobeDoorMaterial,SheetsData,7,FALSE),"Check formula")))))))))))))))))</f>
        <v/>
      </c>
      <c r="F179" s="152" t="str">
        <f>IFERROR(__xludf.DUMMYFUNCTION("IF(OR(A179="""",AND(ISERROR(FIND(""drawer box"",A179))=FALSE,WardrobeDrawerType=""Solid dovetail"")),"""",IF(ISERROR(FIND(""bins"",A179))=FALSE,VLOOKUP(""Base carcass 600"",Wardrobes_etcData,6,0),IF(OR(ISERROR(FIND(""larder"",A179))=FALSE,ISERROR(FIND(""u"&amp;"nit"",A179))=FALSE),VLOOKUP(LEFT(A179,FIND("" "",A179))&amp;""carcass ""&amp;RIGHT(A179,LEN(A179)-len(regexextract(A179,"".* ""))),Wardrobes_etcData,6,0),IF(ISERROR(FIND(""drawer front"",A179))=FALSE,IF(ISERROR(FIND(""veneer"",WardrobeCarcassMaterial))=TRUE,0,((("&amp;"B179+C179)/1000)*2)*VLOOKUP(""Edge banding (per M)"",SheetsData,5,0)),IF(ISERROR(FIND(""drawer box"",A179))=FALSE,IF(ISERROR(FIND(""veneer"",WardrobeCarcassMaterial))=TRUE,0,(((C179+D179)/1000)*2)*VLOOKUP(""Edge banding (per M)"",SheetsData,5,0)),IF(ISERR"&amp;"OR(FIND(""shelf"",A179))=FALSE,IF(ISERROR(FIND(""veneer"",WardrobeCarcassMaterial))=TRUE,0,(C179/1000)*VLOOKUP(""Edge banding (per M)"",SheetsData,5,0)),IF(AND(OR(ISERROR(FIND(""arcass"",A179))=FALSE,ISERROR(FIND(""Fireplace"",A179))=FALSE),ISERROR(FIND("&amp;"""shelf"",A179))=TRUE),IF(ISERROR(FIND(""veneer"",WardrobeCarcassMaterial))=TRUE,0,((2*(B179+C179))/1000)*VLOOKUP(""Edge banding (per M)"",SheetsData,5,0)),IF(ISERROR(FIND(""door"",A179))=TRUE,"""",IF(ISERROR(FIND(""veneer"",WardrobeDoorMaterial))=TRUE,"""&amp;""",((2*(B179+C179))/1000)*VLOOKUP(""Edge banding (per M)"",SheetsData,5,0))))))))))"),"")</f>
        <v/>
      </c>
      <c r="G179" s="153" t="str">
        <f>IF(A179="","",IF(AND(ISERROR(FIND("arcass",A179))=TRUE,ISERROR(FIND("Fireplace",A179))=TRUE),"",IF(VALUE(C179)&lt;606,4*VLOOKUP("Plinth foot (2 Parts 80mm)",FurnitureData,5,FALSE),IF(VALUE(C179)&lt;1211,6*VLOOKUP("Plinth foot (2 Parts 80mm)",FurnitureData,5,FALSE),8*VLOOKUP("Plinth foot (2 Parts 80mm)",FurnitureData,5,FALSE)))))</f>
        <v/>
      </c>
      <c r="H179" s="115" t="str">
        <f>IF(OR(A179="",ISERROR(FIND("door",A179))=TRUE),"",VLOOKUP("Hinges &amp; plates (Hettich thick door)",FurnitureData,5,0)*5)</f>
        <v/>
      </c>
      <c r="I179" s="115" t="str">
        <f>IF(ISERROR(FIND("shelf",A179))=FALSE,(VLOOKUP("Shelf pegs",FurnitureData,5,0)/100)*4,"")</f>
        <v/>
      </c>
      <c r="J179" s="152" t="str">
        <f>IF(OR(ISERROR(FIND("fridge/freezer",A179))=FALSE,ISERROR(FIND("sink",A179))=FALSE,ISERROR(FIND("larder",A179))=FALSE),VLOOKUP("Deep shelf "&amp;C179,Wardrobes_etcData,18,0),IF(OR(ISERROR(FIND("single oven",A179))=FALSE,ISERROR(FIND("Base carcass",A179))=FALSE),2*VLOOKUP("Deep shelf "&amp;C179,Wardrobes_etcData,18,0),IF(AND(ISERROR(FIND("wall carcass",A179))=FALSE,ISERROR(FIND("Boiler",A179))=TRUE),2*VLOOKUP("Shallow shelf "&amp;C179,Wardrobes_etcData,18,0),IF(ISERROR(FIND("double oven",A179))=FALSE,3*VLOOKUP("Deep shelf "&amp;C179,Wardrobes_etcData,18,0),IF(ISERROR(FIND("Tower carcass",A179))=FALSE,6*VLOOKUP("Deep shelf "&amp;C179,Wardrobes_etcData,18,0),"")))))</f>
        <v/>
      </c>
      <c r="K179" s="152" t="str">
        <f>IF(ISERROR(FIND("sink",A179))=FALSE,VLOOKUP("Sink liner - Aluminium "&amp;RIGHT(A179,LEN(A179)-22)&amp;"mm",ExceptionalData,5,0),IF(ISERROR(FIND("bins",A179))=FALSE,VLOOKUP("Drawer runners and clip set for bin unit (500) Dynapro",FurnitureData,5,0)+(2*VLOOKUP("Bin (42L Anthracite)",FurnitureData,5,0)),IF(ISERROR(FIND("larder",A179))=FALSE,VLOOKUP("Pull out larder unit 600mm",FurnitureData,5,0),IF(AND(ISERROR(FIND("drawer box",A179))=FALSE,ISERROR(FIND("internal",A179))=TRUE),VLOOKUP("Drawer runners and clip set (550) Dynapro",FurnitureData,5,0),IF(ISERROR(FIND("internal drawer box",A179))=FALSE,VLOOKUP("Drawer runners and clip set (450) Dynapro",FurnitureData,5,0),IF(ISERROR(FIND("table",A179))=FALSE,VLOOKUP("Hairpin Leg (12mm Black "&amp;MID(A179,FIND("(",A179)+1,LEN(A179)-(FIND("(",A179))-1)&amp;"mm)",ExceptionalData,4,FALSE),""))))))</f>
        <v/>
      </c>
      <c r="L179" s="152" t="str">
        <f t="shared" si="3"/>
        <v/>
      </c>
      <c r="M179" s="154" t="str">
        <f>IF(A179="","",IF(AND(ISERROR(FIND("drawer front",A179))=FALSE,WardrobeDoorStyle="Flat"),(((B179/1000)*(C179/1000))*2)+((((B179+C179)/1000)*2)*0.022),IF(AND(ISERROR(FIND("drawer front",A179))=FALSE,LEFT(WardrobeDoorStyle,5)="Panel"),(((B179/1000)*(C179/1000))*2)+((((B179+C179)/1000)*2)*0.022)+((((C179/1000)-0.16)*0.013)*2)+((((D179/1000)-0.16)*0.013)*2),IF(AND(ISERROR(FIND("drawer front",A179))=FALSE,WardrobeDoorStyle="In-frame flat"),((((B179-76)/1000)*((C179-38)/1000))*2)+(MID(WardrobeDoorMaterial,FIND("(",WardrobeDoorMaterial)+1,2)/1000)*((((B179-76)+(C179-38))/1000)*2)+(((B179/1000)*0.032)*2)+((((B179-76)/1000)*0.032)*2)+(((B179/1000)*0.019)*4)+(((C179/1000)*0.032)*2)+((((C179-38)/1000)*0.032)*2)+(((C179/1000)*0.038)*4),IF(AND(ISERROR(FIND("drawer front",A179))=FALSE,LEFT(WardrobeDoorStyle,14)="In-frame panel"),((((B179-76)/1000)*((C179-38)/1000))*2)+((MID(WardrobeDoorMaterial,FIND("(",WardrobeDoorMaterial)+1,2)/1000)*((((B179-76)+(C179-38))/1000)*2))+((((B179-236)/1000)+((C179-198)/1000)*2)*0.013)+(((B179/1000)*0.032)*2)+((((B179-76)/1000)*0.032)*2)+(((B179/1000)*0.019)*4)+(((C179/1000)*0.032)*2)+((((C179-38)/1000)*0.032)*2)+(((C179/1000)*0.038)*4),IF(ISERROR(FIND("drawer box",A179))=FALSE,((((B179/1000)*(D179/1000))+((B179/1000)*(C179/1000)))*4)+((((D179/1000)+(C179/1000))*0.016)*4)+(((C179/1000)*(D179/1000))*2),IF(OR(ISERROR(FIND("shelf",A179))=FALSE,ISERROR(FIND("Filler panel",A179))=FALSE),(((C179/1000)*(D179/1000))*2)+((((C179+D179)*2)/1000)*0.022),IF(ISERROR(FIND("Fireplace",A179))=FALSE,((B179/1000)*(C179/1000)),IF(ISERROR(FIND("Worktop",A179))=FALSE,(B179/1000)*(C179/1000),IF(ISERROR(FIND("table",A179))=FALSE,(B179/1000)*0.6,IF(ISERROR(FIND("arcass",A179))=FALSE,(((C179/1000)*(D179/1000))*2)+(((B179/1000)*(D179/1000))*2)+((B179/1000)*(C179/1000))+((((B179/1000)*0.025)+((C179/1000)*0.025))*2),IF(AND(ISERROR(FIND("door",A179))=FALSE,WardrobeDoorStyle="Flat"),(((B179/1000)*(C179/1000))*2)+(MID(WardrobeDoorMaterial,FIND("(",WardrobeDoorMaterial)+1,2)/1000)*(((B179+C179)/1000)*2),IF(AND(ISERROR(FIND("door",A179))=FALSE,LEFT(WardrobeDoorStyle,5)="Panel"),(((B179/1000)*(C179/1000))*2)+((MID(WardrobeDoorMaterial,FIND("(",WardrobeDoorMaterial)+1,2)/1000)*(((B179+C179)/1000)*2))+(((((B179-160)+(C179-160))*2)/1000)*(0.013)),IF(AND(ISERROR(FIND("door",A179))=FALSE,WardrobeDoorStyle="In-frame flat"),((((B179-76)/1000)*((C179-38)/1000))*2)+(MID(WardrobeDoorMaterial,FIND("(",WardrobeDoorMaterial)+1,2)/1000)*((((B179-76)+(C179-38))/1000)*2)+(((B179/1000)*0.032)*2)+((((B179-76)/1000)*0.032)*2)+(((B179/1000)*0.019)*4)+(((C179/1000)*0.032)*2)+((((C179-38)/1000)*0.032)*2)+(((C179/1000)*0.038)*4),IF(AND(ISERROR(FIND("door",A179))=FALSE,LEFT(WardrobeDoorStyle,14)="In-frame panel"),((((B179-76)/1000)*((C179-38)/1000))*2)+((MID(WardrobeDoorMaterial,FIND("(",WardrobeDoorMaterial)+1,2)/1000)*((((B179-76)+(C179-38))/1000)*2))+((((B179-236)/1000)+((C179-198)/1000)*2)*0.013)+(((B179/1000)*0.032)*2)+((((B179-76)/1000)*0.032)*2)+(((B179/1000)*0.019)*4)+(((C179/1000)*0.032)*2)+((((C179-38)/1000)*0.032)*2)+(((C179/1000)*0.038)*4),IF(ISERROR(FIND("Plinth",A179))=FALSE,((B179/1000)*(C179/1000))+(((C179/1000)*0.018)*2)+(((B179/1000)*0.018)*2),IF(ISERROR(FIND("Cornice",A179))=FALSE,(((C179/1000)*0.1)*2)+(((C179/1000)*0.044)*2)+(((B179/1000)*0.08)*2),IF(ISERROR(FIND("Office pod",A179))=FALSE,((2400/1000)*(1200/1000))*6,IF(ISERROR(FIND("panel",A179))=FALSE,((B179/1000)*(C179/1000))+(0.022*((B179/1000)+((C179/1000)*2)))+((B179/1000)*0.05),IF(ISERROR(FIND("Fillers",A179))=FALSE,((C179/1000)*0.06)+((C179/1000)*0.069)+((0.06*0.018)*2)+((0.06*0.009)*2)+((C179/1000)*0.009)+((C179/1000)*0.018),IF(ISERROR(FIND("Pelmet",A179))=FALSE,((C179/1000)*0.05)+((C179/1000)*0.068)+((0.05*0.018)*4)+(((C179/1000)*0.018))*2)))))))))))))))))))))</f>
        <v/>
      </c>
      <c r="N179" s="152" t="str">
        <f>IF(M179="","",IF(AND(ISERROR(FIND("carcass",A179))=TRUE,ISERROR(FIND("unit",A179))=TRUE,ISERROR(FIND("insert",A179))=TRUE,ISERROR(FIND("rack",A179))=TRUE,ISERROR(FIND("box",A179))=TRUE,ISERROR(FIND("shelf",A179))=TRUE),VLOOKUP(WardrobeDoorFinish,Finishing!$A$2:$K$10,9,0)*M179,IF(ISERROR(FIND("table",A179))=FALSE,VLOOKUP("Sayerlack AF0072 Interior Clear Self-Sealer",FinishingData,9,FALSE)*M179,VLOOKUP(WardrobeCarcassFinish,Finishing!$A$2:$K$40,9,0)*M179)))</f>
        <v/>
      </c>
      <c r="O179" s="155"/>
      <c r="P179" s="155"/>
      <c r="Q179" s="152" t="str">
        <f>IF(OR(O179="",P179=""),"",((O179*X179)*(VLOOKUP("Workshop",Labour!$A$3:$E$20,4,0)/8))+((P179*AE179)*(VLOOKUP("Finishing",Labour!$A$3:$E$20,4,0)/8)))</f>
        <v/>
      </c>
      <c r="R179" s="152" t="str">
        <f t="shared" si="4"/>
        <v/>
      </c>
      <c r="S179" s="156" t="str">
        <f>IF(OR(O179="",P179=""),"",IF(OR(ISERROR(FIND("carcass",$A179))=FALSE,ISERROR(FIND("unit",$A179))=FALSE),VLOOKUP(WardrobeCarcassMaterial,FixedListsCarcassMaterial,2,0),0))</f>
        <v/>
      </c>
      <c r="T179" s="156" t="str">
        <f>IF(OR(O179="",P179=""),"",IF(ISERROR(FIND("door",$A179))=FALSE,VLOOKUP(WardrobeDoorStyle,FixedListsDoorStyle,2,0),0))</f>
        <v/>
      </c>
      <c r="U179" s="156" t="str">
        <f>IF(OR(O179="",P179=""),"",IF(ISERROR(FIND("door",$A179))=FALSE,VLOOKUP(WardrobeDoorMaterial,FixedListsDoorMaterial,2,0),0))</f>
        <v/>
      </c>
      <c r="V179" s="156" t="str">
        <f>IF(OR(O179="",P179=""),"",IF(ISERROR(FIND("drawer",$A179))=FALSE,VLOOKUP(WardrobeDrawerType,FixedListsDrawerType,2,0),0))</f>
        <v/>
      </c>
      <c r="W179" s="156" t="str">
        <f>IF(OR(O179="",P179=""),"",IF(S179&gt;0,VLOOKUP(WardrobeHandleType,FixedListsHandleType,2,FALSE),0))</f>
        <v/>
      </c>
      <c r="X179" s="156" t="str">
        <f t="shared" si="5"/>
        <v/>
      </c>
      <c r="Y179" s="156" t="str">
        <f>IF(OR(O179="",P179=""),"",IF(OR(ISERROR(FIND("carcass",$A179))=FALSE,ISERROR(FIND("unit",$A179))=FALSE),VLOOKUP(WardrobeCarcassMaterial,FixedListsCarcassMaterial,3,0),0))</f>
        <v/>
      </c>
      <c r="Z179" s="156" t="str">
        <f>IF(OR(O179="",P179=""),"",IF(ISERROR(FIND("door",$A179))=FALSE,VLOOKUP(WardrobeDoorStyle,FixedListsDoorStyle,3,0),0))</f>
        <v/>
      </c>
      <c r="AA179" s="156" t="str">
        <f>IF(OR(O179="",P179=""),"",IF(ISERROR(FIND("door",$A179))=FALSE,VLOOKUP(WardrobeDoorMaterial,FixedListsDoorMaterial,3,0),0))</f>
        <v/>
      </c>
      <c r="AB179" s="156" t="str">
        <f>IF(OR(O179="",P179=""),"",IF(ISERROR(FIND("drawer",$A179))=FALSE,VLOOKUP(WardrobeDrawerType,FixedListsDrawerType,3,0),0))</f>
        <v/>
      </c>
      <c r="AC179" s="156" t="str">
        <f>IF(OR(O179="",P179=""),"",IF(S179&gt;0,VLOOKUP(WardrobeHandleType,FixedListsHandleType,3,FALSE),0))</f>
        <v/>
      </c>
      <c r="AD179" s="156" t="str">
        <f>IF(OR(O179="",P179=""),"",IF(OR(ISERROR(FIND("carcass",$A179))=FALSE,ISERROR(FIND("unit",$A179))=FALSE),VLOOKUP(WardrobeCarcassFinish,FixedListsFinishes,3,0),IF(OR(ISERROR(FIND("door",$A179))=FALSE,ISERROR(FIND("Plinth",$A179))=FALSE,ISERROR(FIND("Cornice",$A179))=FALSE,ISERROR(FIND("Fillers",$A179))=FALSE,ISERROR(FIND("Pelmet",$A179))=FALSE,ISERROR(FIND("panel",$A179))=FALSE,ISERROR(FIND("post",$A179))=FALSE),VLOOKUP(WardrobeDoorFinish,FixedListsFinishes,3,0),IF(OR(ISERROR(FIND("drawer",$A179))=FALSE,ISERROR(FIND("insert",$A179))=FALSE,ISERROR(FIND("rck",$A179))=FALSE),VLOOKUP(WardrobeCarcassFinish,FixedListsFinishes,3,0),0))))</f>
        <v/>
      </c>
      <c r="AE179" s="156" t="str">
        <f t="shared" si="6"/>
        <v/>
      </c>
      <c r="AF179" s="157" t="str">
        <f>IF(AND(WardrobeHandleType="Channel",OR(ISERROR(FIND("arcass",$A179))=FALSE,ISERROR(FIND("unit",$A179))=FALSE)),IF(ISERROR(FIND("Tower",$A179))=TRUE,IF(WardrobeHandleFinish="Match carcass",IF(ISERROR(FIND("Walnut",WardrobeCarcassMaterial))=FALSE,(0.035*0.075*($C179/1000))*VLOOKUP("Walnut (solid m3)",SolidData,4,FALSE),IF(ISERROR(FIND("Oak",WardrobeCarcassMaterial))=FALSE,(0.035*0.075*($C179/1000))*VLOOKUP("Oak (solid m3)",SolidData,4,FALSE),IF(ISERROR(FIND("ply",WardrobeCarcassMaterial))=FALSE,(0.1*($C179/1000))*VLOOKUP("Birch ply (24mm)",SheetsData,7,FALSE),IF(ISERROR(FIND("H/F",WardrobeCarcassMaterial))=FALSE,(0.1*($C179/1000))*VLOOKUP("H/F (22mm)",SheetsData,7,FALSE),"Carcass - not tower - new material")))),IF(WardrobeHandleFinish="Match door",IF(ISERROR(FIND("Walnut",WardrobeDoorMaterial))=FALSE,(0.035*0.075*($C179/1000))*VLOOKUP("Walnut (solid m3)",SolidData,4,FALSE),IF(ISERROR(FIND("Oak",WardrobeDoorMaterial))=FALSE,(0.035*0.075*($C179/1000))*VLOOKUP("Oak (solid m3)",SolidData,4,FALSE),IF(ISERROR(FIND("ply",WardrobeDoorMaterial))=FALSE,(0.1*($C179/1000))*VLOOKUP("Birch ply (24mm)",SheetsData,7,FALSE),IF(ISERROR(FIND("H/F",WardrobeCarcassMaterial))=FALSE,(0.1*($C179/1000))*VLOOKUP("H/F (22mm)",SheetsData,7,FALSE),"Door - not tower - new material")))),"Channel - not tower - handle set to other")),IF(ISERROR(FIND("Tower",$A179))=FALSE,IF(WardrobeHandleFinish="Match carcass",IF(ISERROR(FIND("Walnut",WardrobeCarcassMaterial))=FALSE,(0.035*0.075*($B179/1000))*VLOOKUP("Walnut (solid m3)",SolidData,4,FALSE),IF(ISERROR(FIND("Oak",WardrobeCarcassMaterial))=FALSE,(0.035*0.075*($B179/1000))*VLOOKUP("Oak (solid m3)",SolidData,4,FALSE),IF(ISERROR(FIND("ply",WardrobeCarcassMaterial))=FALSE,(0.1*($B179/1000))*VLOOKUP("Birch ply (24mm)",SheetsData,7,FALSE),IF(ISERROR(FIND("H/F",WardrobeCarcassMaterial))=FALSE,(0.1*($C179/1000))*VLOOKUP("H/F (22mm)",SheetsData,7,FALSE),"Carcass - tower - new material")))),IF(WardrobeHandleFinish="Match door",IF(ISERROR(FIND("Walnut",WardrobeDoorMaterial))=FALSE,(0.035*0.075*($B179/1000))*VLOOKUP("Walnut (solid m3)",SolidData,4,FALSE),IF(ISERROR(FIND("Oak",WardrobeDoorMaterial))=FALSE,(0.035*0.075*($B179/1000))*VLOOKUP("Oak (solid m3)",SolidData,4,FALSE),IF(ISERROR(FIND("ply",WardrobeDoorMaterial))=FALSE,(0.1*($B179/1000))*VLOOKUP("Birch ply (24mm)",SheetData,7,FALSE),IF(ISERROR(FIND("H/F",WardrobeCarcassMaterial))=FALSE,(0.1*($C179/1000))*VLOOKUP("H/F (22mm)",SheetsData,7,FALSE),"Door - tower - new material")))),"Channel - tower - handle set to other")))),"")</f>
        <v/>
      </c>
    </row>
    <row r="180">
      <c r="A180" s="150"/>
      <c r="B180" s="160" t="str">
        <f t="shared" si="1"/>
        <v/>
      </c>
      <c r="C180" s="160" t="str">
        <f>IFERROR(__xludf.DUMMYFUNCTION("IF(A180="""","""",IF(ISERROR(FIND(""arcass"",A180))=FALSE,MID(A180,FIND(""*"",A180)+1,FIND(""*"",A180,FIND(""*"",A180)+1)-FIND(""*"",A180)-1),IF(ISERROR(FIND(""End panel"",A180))=FALSE,RIGHT(A180,3),IF(OR(ISERROR(FIND(""drawer"",A180))=FALSE,ISERROR(FIND("&amp;"""door"",A180))=FALSE,ISERROR(FIND(""shelf"",A180))=FALSE,ISERROR(FIND(""panel"",A180))=FALSE,ISERROR(FIND(""Plinth"",A180))=FALSE,ISERROR(FIND(""Cornice"",A180))=FALSE,ISERROR(FIND(""Fillers"",A180))=FALSE,ISERROR(FIND(""Pelmet"",A180))=FALSE,ISERROR(FIN"&amp;"D(""Fireplace up to 1600"",A180))=FALSE),RIGHT(A180,LEN(A180)-LEN(regexextract(A180,"".* ""))),IF(ISERROR(FIND(""table"",A180))=FALSE,""560"",IF(ISERROR(FIND(""Office pod"",A180))=FALSE,""1600"",IF(ISERROR(FIND(""Fireplace over 1600"",A180))=FALSE,""2400"&amp;""",IF(ISERROR(FIND(""Worktop"",A180))=FALSE,""650"",""Whoops""))))))))"),"")</f>
        <v/>
      </c>
      <c r="D180" s="161" t="str">
        <f t="shared" si="2"/>
        <v/>
      </c>
      <c r="E180" s="152" t="str">
        <f>IF(OR(A180="",AND(ISERROR(FIND("drawer",A180))=FALSE,WardrobeDrawerType="")),"",IF(ISERROR(FIND("door",A180))=FALSE,IF(WardrobeDoorStyle="Flat",((B180/1000)*(C180/1000))*VLOOKUP(WardrobeDoorMaterial,SheetsData,8,0),IF(LEFT(WardrobeDoorStyle,5)="Panel",(((((B180/1000)*2)*0.08)+((((C180/1000)-0.16)*2)*0.08))*VLOOKUP("H/F (22mm)",SheetsData,8,0))+(((B180/1000)-0.14)*((C180/1000)-0.14)*VLOOKUP("H/F (9mm)",SheetsData,8,0)),IF(WardrobeDoorStyle="In-frame flat",((((((B180/1000)*0.019)*0.038)+((((C180-38)/1000)*0.038)*0.038))*2)*VLOOKUP("Tulip (solid m3)",SolidData,4,0))+(((B180-76)/1000)*((C180-38)/1000))*VLOOKUP("H/F (22mm)",SheetsData,8,0),IF(LEFT(WardrobeDoorStyle,14)="In-frame panel",(((((((B180/1000)*0.019)*0.038)+((((C180-38)/1000)*0.038)*0.038))*2)*VLOOKUP("Tulip (solid m3)",SolidData,4,0))+(((((((B180-76)/1000)*2)*0.08)+(((((C180-198)/1000)*2)*0.08)))*VLOOKUP("H/F (22mm)",SheetsData,8,0))+(((B180-216)/1000)*((C180-178)/1000)*VLOOKUP("H/F (9mm)",SheetsData,8,0)))))))),IF(AND(ISERROR(FIND("arcass",A180))=FALSE,ISERROR(FIND("ost corner",A180))=TRUE),IF(AND(VALUE(B180)&lt;1211,VALUE(C180)&lt;1211,VALUE(D180)&lt;606),1*VLOOKUP(WardrobeCarcassMaterial,SheetsData,5,FALSE),IF(AND(VALUE(B180)&lt;2421,VALUE(C180)&lt;2421,VALUE(D180)&lt;606),2*VLOOKUP(WardrobeCarcassMaterial,SheetsData,5,FALSE),IF(AND(VALUE(B180)&lt;2421,VALUE(C180)&lt;1211,VALUE(D180)&lt;1211),3*VLOOKUP(WardrobeCarcassMaterial,SheetsData,5,FALSE),IF(AND(VALUE(B180)&lt;2421,VALUE(C180)&lt;2421,VALUE(D180)&lt;1211),4*VLOOKUP(WardrobeCarcassMaterial,SheetsData,5,FALSE))))),IF(AND(ISERROR(FIND("arcass",A180))=FALSE,ISERROR(FIND("ost corner",A180))=FALSE),IF(AND(VALUE(B180)&lt;1211,VALUE(C180)&lt;1211,VALUE(D180)&lt;606),(1*VLOOKUP(WardrobeCarcassMaterial,SheetsData,5,FALSE))+(VLOOKUP("H/F (22mm)",SheetsData,7,FALSE)*1.44),IF(AND(VALUE(B180)&lt;2421,VALUE(C180)&lt;2421,VALUE(D180)&lt;606),(2*VLOOKUP(WardrobeCarcassMaterial,SheetsData,5,FALSE))+(VLOOKUP("H/F (22mm)",SheetsData,7,FALSE)*1.44),IF(AND(VALUE(B180)&lt;2421,VALUE(C180)&lt;1211,VALUE(D180)&lt;1211),(3*VLOOKUP(WardrobeCarcassMaterial,SheetsData,5,FALSE))+(VLOOKUP("H/F (22mm)",SheetsData,7,FALSE)*1.44),IF(AND(VALUE(B180)&lt;2421,VALUE(C180)&lt;2421,VALUE(D180)&lt;1211),(4*VLOOKUP(WardrobeCarcassMaterial,SheetsData,5,FALSE))+(VLOOKUP("H/F (22mm)",SheetsData,7,FALSE)*1.44))))),IF(ISERROR(FIND("drawer front",A180))=FALSE,((B180/1000)*(C180/1000))*VLOOKUP(WardrobeDoorMaterial,SheetsData,8,0),IF(AND(WardrobeDrawerType="Match carcass",ISERROR(FIND("drawer box",A180))=FALSE),(((((B180/1000)*(C180/1000))+((B180/1000)*(D180/1000)))*2)*VLOOKUP(WardrobeCarcassMaterial,SheetsData,8,0))+(((C180/1000)*(D180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box",A180))=FALSE),(((((B180/1000)*(C180/1000))+((B180/1000)*(D180/1000)))*2)*(16/1000)*VLOOKUP(LEFT(WardrobeCarcassMaterial,FIND(" ",WardrobeCarcassMaterial))&amp;"(solid m3)",SolidData,4,0))+(((C180/1000)*(D180/1000))*VLOOKUP(LEFT(WardrobeCarcassMaterial,FIND("(",WardrobeCarcassMaterial)-1)&amp;IF(OR(ISERROR(FIND("ply",WardrobeCarcassMaterial))=FALSE,ISERROR(FIND("H/F",WardrobeCarcassMaterial))=FALSE),"(9mm)","(10mm)"),SheetsData,8,0)),IF(ISERROR(FIND("shelf",A180))=FALSE,((C180/1000)*(D180/1000))*VLOOKUP(WardrobeCarcassMaterial,SheetsData,7,FALSE),IF(ISERROR(FIND("Office pod",A180))=FALSE,3*VLOOKUP(WardrobeCarcassMaterial,SheetsData,5,0),IF(ISERROR(FIND(" panel",A180))=FALSE,((B180/1000)*(C180/1000))*VLOOKUP(WardrobeDoorMaterial,SheetsData,8,0),IF(ISERROR(FIND("Fillers",A180))=FALSE,(((0.06*(C180/1000))*2)*VLOOKUP("H/F (18mm)",SheetsData,8,0))+(((0.06*(C180/1000))*2)*VLOOKUP("H/F (9mm)",SheetsData,8,0)),IF(ISERROR(FIND("Cornice (stacked)",A180))=FALSE,((0.08*(C180/1000))*2)*VLOOKUP("H/F (22mm)",SheetsData,8,0),IF(OR(ISERROR(FIND("Plinth",A180))=FALSE,ISERROR(FIND("Cornice (flat)",A180))=FALSE),((B180/1000)*(C180/1000))*VLOOKUP("H/F (18mm)",SheetsData,8,0),IF(ISERROR(FIND("Pelmet",A180))=FALSE,((((B180/1000)*(C180/1000))*2)*VLOOKUP("H/F (18mm)",SheetsData,8,0)),IF(ISERROR(FIND("Fireplace",A180))=FALSE,IF(ISERROR(FIND("over 1600",A180))=FALSE,2*VLOOKUP(WardrobeCarcassMaterial,SheetsData,5,FALSE),VLOOKUP(WardrobeCarcassMaterial,SheetsData,5,FALSE)),IF(ISERROR(FIND("table",A180))=FALSE,((B180/1000)*0.6)*VLOOKUP("Birch ply (24mm)",SheetsData,7,FALSE),IF(ISERROR(FIND("Worktop",A180))=FALSE,((B180/1000)*(C180/1000))*VLOOKUP(WardrobeDoorMaterial,SheetsData,7,FALSE),"Check formula")))))))))))))))))</f>
        <v/>
      </c>
      <c r="F180" s="152" t="str">
        <f>IFERROR(__xludf.DUMMYFUNCTION("IF(OR(A180="""",AND(ISERROR(FIND(""drawer box"",A180))=FALSE,WardrobeDrawerType=""Solid dovetail"")),"""",IF(ISERROR(FIND(""bins"",A180))=FALSE,VLOOKUP(""Base carcass 600"",Wardrobes_etcData,6,0),IF(OR(ISERROR(FIND(""larder"",A180))=FALSE,ISERROR(FIND(""u"&amp;"nit"",A180))=FALSE),VLOOKUP(LEFT(A180,FIND("" "",A180))&amp;""carcass ""&amp;RIGHT(A180,LEN(A180)-len(regexextract(A180,"".* ""))),Wardrobes_etcData,6,0),IF(ISERROR(FIND(""drawer front"",A180))=FALSE,IF(ISERROR(FIND(""veneer"",WardrobeCarcassMaterial))=TRUE,0,((("&amp;"B180+C180)/1000)*2)*VLOOKUP(""Edge banding (per M)"",SheetsData,5,0)),IF(ISERROR(FIND(""drawer box"",A180))=FALSE,IF(ISERROR(FIND(""veneer"",WardrobeCarcassMaterial))=TRUE,0,(((C180+D180)/1000)*2)*VLOOKUP(""Edge banding (per M)"",SheetsData,5,0)),IF(ISERR"&amp;"OR(FIND(""shelf"",A180))=FALSE,IF(ISERROR(FIND(""veneer"",WardrobeCarcassMaterial))=TRUE,0,(C180/1000)*VLOOKUP(""Edge banding (per M)"",SheetsData,5,0)),IF(AND(OR(ISERROR(FIND(""arcass"",A180))=FALSE,ISERROR(FIND(""Fireplace"",A180))=FALSE),ISERROR(FIND("&amp;"""shelf"",A180))=TRUE),IF(ISERROR(FIND(""veneer"",WardrobeCarcassMaterial))=TRUE,0,((2*(B180+C180))/1000)*VLOOKUP(""Edge banding (per M)"",SheetsData,5,0)),IF(ISERROR(FIND(""door"",A180))=TRUE,"""",IF(ISERROR(FIND(""veneer"",WardrobeDoorMaterial))=TRUE,"""&amp;""",((2*(B180+C180))/1000)*VLOOKUP(""Edge banding (per M)"",SheetsData,5,0))))))))))"),"")</f>
        <v/>
      </c>
      <c r="G180" s="153" t="str">
        <f>IF(A180="","",IF(AND(ISERROR(FIND("arcass",A180))=TRUE,ISERROR(FIND("Fireplace",A180))=TRUE),"",IF(VALUE(C180)&lt;606,4*VLOOKUP("Plinth foot (2 Parts 80mm)",FurnitureData,5,FALSE),IF(VALUE(C180)&lt;1211,6*VLOOKUP("Plinth foot (2 Parts 80mm)",FurnitureData,5,FALSE),8*VLOOKUP("Plinth foot (2 Parts 80mm)",FurnitureData,5,FALSE)))))</f>
        <v/>
      </c>
      <c r="H180" s="115" t="str">
        <f>IF(OR(A180="",ISERROR(FIND("door",A180))=TRUE),"",VLOOKUP("Hinges &amp; plates (Hettich thick door)",FurnitureData,5,0)*5)</f>
        <v/>
      </c>
      <c r="I180" s="115" t="str">
        <f>IF(ISERROR(FIND("shelf",A180))=FALSE,(VLOOKUP("Shelf pegs",FurnitureData,5,0)/100)*4,"")</f>
        <v/>
      </c>
      <c r="J180" s="152" t="str">
        <f>IF(OR(ISERROR(FIND("fridge/freezer",A180))=FALSE,ISERROR(FIND("sink",A180))=FALSE,ISERROR(FIND("larder",A180))=FALSE),VLOOKUP("Deep shelf "&amp;C180,Wardrobes_etcData,18,0),IF(OR(ISERROR(FIND("single oven",A180))=FALSE,ISERROR(FIND("Base carcass",A180))=FALSE),2*VLOOKUP("Deep shelf "&amp;C180,Wardrobes_etcData,18,0),IF(AND(ISERROR(FIND("wall carcass",A180))=FALSE,ISERROR(FIND("Boiler",A180))=TRUE),2*VLOOKUP("Shallow shelf "&amp;C180,Wardrobes_etcData,18,0),IF(ISERROR(FIND("double oven",A180))=FALSE,3*VLOOKUP("Deep shelf "&amp;C180,Wardrobes_etcData,18,0),IF(ISERROR(FIND("Tower carcass",A180))=FALSE,6*VLOOKUP("Deep shelf "&amp;C180,Wardrobes_etcData,18,0),"")))))</f>
        <v/>
      </c>
      <c r="K180" s="152" t="str">
        <f>IF(ISERROR(FIND("sink",A180))=FALSE,VLOOKUP("Sink liner - Aluminium "&amp;RIGHT(A180,LEN(A180)-22)&amp;"mm",ExceptionalData,5,0),IF(ISERROR(FIND("bins",A180))=FALSE,VLOOKUP("Drawer runners and clip set for bin unit (500) Dynapro",FurnitureData,5,0)+(2*VLOOKUP("Bin (42L Anthracite)",FurnitureData,5,0)),IF(ISERROR(FIND("larder",A180))=FALSE,VLOOKUP("Pull out larder unit 600mm",FurnitureData,5,0),IF(AND(ISERROR(FIND("drawer box",A180))=FALSE,ISERROR(FIND("internal",A180))=TRUE),VLOOKUP("Drawer runners and clip set (550) Dynapro",FurnitureData,5,0),IF(ISERROR(FIND("internal drawer box",A180))=FALSE,VLOOKUP("Drawer runners and clip set (450) Dynapro",FurnitureData,5,0),IF(ISERROR(FIND("table",A180))=FALSE,VLOOKUP("Hairpin Leg (12mm Black "&amp;MID(A180,FIND("(",A180)+1,LEN(A180)-(FIND("(",A180))-1)&amp;"mm)",ExceptionalData,4,FALSE),""))))))</f>
        <v/>
      </c>
      <c r="L180" s="152" t="str">
        <f t="shared" si="3"/>
        <v/>
      </c>
      <c r="M180" s="154" t="str">
        <f>IF(A180="","",IF(AND(ISERROR(FIND("drawer front",A180))=FALSE,WardrobeDoorStyle="Flat"),(((B180/1000)*(C180/1000))*2)+((((B180+C180)/1000)*2)*0.022),IF(AND(ISERROR(FIND("drawer front",A180))=FALSE,LEFT(WardrobeDoorStyle,5)="Panel"),(((B180/1000)*(C180/1000))*2)+((((B180+C180)/1000)*2)*0.022)+((((C180/1000)-0.16)*0.013)*2)+((((D180/1000)-0.16)*0.013)*2),IF(AND(ISERROR(FIND("drawer front",A180))=FALSE,WardrobeDoorStyle="In-frame flat"),((((B180-76)/1000)*((C180-38)/1000))*2)+(MID(WardrobeDoorMaterial,FIND("(",WardrobeDoorMaterial)+1,2)/1000)*((((B180-76)+(C180-38))/1000)*2)+(((B180/1000)*0.032)*2)+((((B180-76)/1000)*0.032)*2)+(((B180/1000)*0.019)*4)+(((C180/1000)*0.032)*2)+((((C180-38)/1000)*0.032)*2)+(((C180/1000)*0.038)*4),IF(AND(ISERROR(FIND("drawer front",A180))=FALSE,LEFT(WardrobeDoorStyle,14)="In-frame panel"),((((B180-76)/1000)*((C180-38)/1000))*2)+((MID(WardrobeDoorMaterial,FIND("(",WardrobeDoorMaterial)+1,2)/1000)*((((B180-76)+(C180-38))/1000)*2))+((((B180-236)/1000)+((C180-198)/1000)*2)*0.013)+(((B180/1000)*0.032)*2)+((((B180-76)/1000)*0.032)*2)+(((B180/1000)*0.019)*4)+(((C180/1000)*0.032)*2)+((((C180-38)/1000)*0.032)*2)+(((C180/1000)*0.038)*4),IF(ISERROR(FIND("drawer box",A180))=FALSE,((((B180/1000)*(D180/1000))+((B180/1000)*(C180/1000)))*4)+((((D180/1000)+(C180/1000))*0.016)*4)+(((C180/1000)*(D180/1000))*2),IF(OR(ISERROR(FIND("shelf",A180))=FALSE,ISERROR(FIND("Filler panel",A180))=FALSE),(((C180/1000)*(D180/1000))*2)+((((C180+D180)*2)/1000)*0.022),IF(ISERROR(FIND("Fireplace",A180))=FALSE,((B180/1000)*(C180/1000)),IF(ISERROR(FIND("Worktop",A180))=FALSE,(B180/1000)*(C180/1000),IF(ISERROR(FIND("table",A180))=FALSE,(B180/1000)*0.6,IF(ISERROR(FIND("arcass",A180))=FALSE,(((C180/1000)*(D180/1000))*2)+(((B180/1000)*(D180/1000))*2)+((B180/1000)*(C180/1000))+((((B180/1000)*0.025)+((C180/1000)*0.025))*2),IF(AND(ISERROR(FIND("door",A180))=FALSE,WardrobeDoorStyle="Flat"),(((B180/1000)*(C180/1000))*2)+(MID(WardrobeDoorMaterial,FIND("(",WardrobeDoorMaterial)+1,2)/1000)*(((B180+C180)/1000)*2),IF(AND(ISERROR(FIND("door",A180))=FALSE,LEFT(WardrobeDoorStyle,5)="Panel"),(((B180/1000)*(C180/1000))*2)+((MID(WardrobeDoorMaterial,FIND("(",WardrobeDoorMaterial)+1,2)/1000)*(((B180+C180)/1000)*2))+(((((B180-160)+(C180-160))*2)/1000)*(0.013)),IF(AND(ISERROR(FIND("door",A180))=FALSE,WardrobeDoorStyle="In-frame flat"),((((B180-76)/1000)*((C180-38)/1000))*2)+(MID(WardrobeDoorMaterial,FIND("(",WardrobeDoorMaterial)+1,2)/1000)*((((B180-76)+(C180-38))/1000)*2)+(((B180/1000)*0.032)*2)+((((B180-76)/1000)*0.032)*2)+(((B180/1000)*0.019)*4)+(((C180/1000)*0.032)*2)+((((C180-38)/1000)*0.032)*2)+(((C180/1000)*0.038)*4),IF(AND(ISERROR(FIND("door",A180))=FALSE,LEFT(WardrobeDoorStyle,14)="In-frame panel"),((((B180-76)/1000)*((C180-38)/1000))*2)+((MID(WardrobeDoorMaterial,FIND("(",WardrobeDoorMaterial)+1,2)/1000)*((((B180-76)+(C180-38))/1000)*2))+((((B180-236)/1000)+((C180-198)/1000)*2)*0.013)+(((B180/1000)*0.032)*2)+((((B180-76)/1000)*0.032)*2)+(((B180/1000)*0.019)*4)+(((C180/1000)*0.032)*2)+((((C180-38)/1000)*0.032)*2)+(((C180/1000)*0.038)*4),IF(ISERROR(FIND("Plinth",A180))=FALSE,((B180/1000)*(C180/1000))+(((C180/1000)*0.018)*2)+(((B180/1000)*0.018)*2),IF(ISERROR(FIND("Cornice",A180))=FALSE,(((C180/1000)*0.1)*2)+(((C180/1000)*0.044)*2)+(((B180/1000)*0.08)*2),IF(ISERROR(FIND("Office pod",A180))=FALSE,((2400/1000)*(1200/1000))*6,IF(ISERROR(FIND("panel",A180))=FALSE,((B180/1000)*(C180/1000))+(0.022*((B180/1000)+((C180/1000)*2)))+((B180/1000)*0.05),IF(ISERROR(FIND("Fillers",A180))=FALSE,((C180/1000)*0.06)+((C180/1000)*0.069)+((0.06*0.018)*2)+((0.06*0.009)*2)+((C180/1000)*0.009)+((C180/1000)*0.018),IF(ISERROR(FIND("Pelmet",A180))=FALSE,((C180/1000)*0.05)+((C180/1000)*0.068)+((0.05*0.018)*4)+(((C180/1000)*0.018))*2)))))))))))))))))))))</f>
        <v/>
      </c>
      <c r="N180" s="152" t="str">
        <f>IF(M180="","",IF(AND(ISERROR(FIND("carcass",A180))=TRUE,ISERROR(FIND("unit",A180))=TRUE,ISERROR(FIND("insert",A180))=TRUE,ISERROR(FIND("rack",A180))=TRUE,ISERROR(FIND("box",A180))=TRUE,ISERROR(FIND("shelf",A180))=TRUE),VLOOKUP(WardrobeDoorFinish,Finishing!$A$2:$K$10,9,0)*M180,IF(ISERROR(FIND("table",A180))=FALSE,VLOOKUP("Sayerlack AF0072 Interior Clear Self-Sealer",FinishingData,9,FALSE)*M180,VLOOKUP(WardrobeCarcassFinish,Finishing!$A$2:$K$40,9,0)*M180)))</f>
        <v/>
      </c>
      <c r="O180" s="155"/>
      <c r="P180" s="155"/>
      <c r="Q180" s="152" t="str">
        <f>IF(OR(O180="",P180=""),"",((O180*X180)*(VLOOKUP("Workshop",Labour!$A$3:$E$20,4,0)/8))+((P180*AE180)*(VLOOKUP("Finishing",Labour!$A$3:$E$20,4,0)/8)))</f>
        <v/>
      </c>
      <c r="R180" s="152" t="str">
        <f t="shared" si="4"/>
        <v/>
      </c>
      <c r="S180" s="156" t="str">
        <f>IF(OR(O180="",P180=""),"",IF(OR(ISERROR(FIND("carcass",$A180))=FALSE,ISERROR(FIND("unit",$A180))=FALSE),VLOOKUP(WardrobeCarcassMaterial,FixedListsCarcassMaterial,2,0),0))</f>
        <v/>
      </c>
      <c r="T180" s="156" t="str">
        <f>IF(OR(O180="",P180=""),"",IF(ISERROR(FIND("door",$A180))=FALSE,VLOOKUP(WardrobeDoorStyle,FixedListsDoorStyle,2,0),0))</f>
        <v/>
      </c>
      <c r="U180" s="156" t="str">
        <f>IF(OR(O180="",P180=""),"",IF(ISERROR(FIND("door",$A180))=FALSE,VLOOKUP(WardrobeDoorMaterial,FixedListsDoorMaterial,2,0),0))</f>
        <v/>
      </c>
      <c r="V180" s="156" t="str">
        <f>IF(OR(O180="",P180=""),"",IF(ISERROR(FIND("drawer",$A180))=FALSE,VLOOKUP(WardrobeDrawerType,FixedListsDrawerType,2,0),0))</f>
        <v/>
      </c>
      <c r="W180" s="156" t="str">
        <f>IF(OR(O180="",P180=""),"",IF(S180&gt;0,VLOOKUP(WardrobeHandleType,FixedListsHandleType,2,FALSE),0))</f>
        <v/>
      </c>
      <c r="X180" s="156" t="str">
        <f t="shared" si="5"/>
        <v/>
      </c>
      <c r="Y180" s="156" t="str">
        <f>IF(OR(O180="",P180=""),"",IF(OR(ISERROR(FIND("carcass",$A180))=FALSE,ISERROR(FIND("unit",$A180))=FALSE),VLOOKUP(WardrobeCarcassMaterial,FixedListsCarcassMaterial,3,0),0))</f>
        <v/>
      </c>
      <c r="Z180" s="156" t="str">
        <f>IF(OR(O180="",P180=""),"",IF(ISERROR(FIND("door",$A180))=FALSE,VLOOKUP(WardrobeDoorStyle,FixedListsDoorStyle,3,0),0))</f>
        <v/>
      </c>
      <c r="AA180" s="156" t="str">
        <f>IF(OR(O180="",P180=""),"",IF(ISERROR(FIND("door",$A180))=FALSE,VLOOKUP(WardrobeDoorMaterial,FixedListsDoorMaterial,3,0),0))</f>
        <v/>
      </c>
      <c r="AB180" s="156" t="str">
        <f>IF(OR(O180="",P180=""),"",IF(ISERROR(FIND("drawer",$A180))=FALSE,VLOOKUP(WardrobeDrawerType,FixedListsDrawerType,3,0),0))</f>
        <v/>
      </c>
      <c r="AC180" s="156" t="str">
        <f>IF(OR(O180="",P180=""),"",IF(S180&gt;0,VLOOKUP(WardrobeHandleType,FixedListsHandleType,3,FALSE),0))</f>
        <v/>
      </c>
      <c r="AD180" s="156" t="str">
        <f>IF(OR(O180="",P180=""),"",IF(OR(ISERROR(FIND("carcass",$A180))=FALSE,ISERROR(FIND("unit",$A180))=FALSE),VLOOKUP(WardrobeCarcassFinish,FixedListsFinishes,3,0),IF(OR(ISERROR(FIND("door",$A180))=FALSE,ISERROR(FIND("Plinth",$A180))=FALSE,ISERROR(FIND("Cornice",$A180))=FALSE,ISERROR(FIND("Fillers",$A180))=FALSE,ISERROR(FIND("Pelmet",$A180))=FALSE,ISERROR(FIND("panel",$A180))=FALSE,ISERROR(FIND("post",$A180))=FALSE),VLOOKUP(WardrobeDoorFinish,FixedListsFinishes,3,0),IF(OR(ISERROR(FIND("drawer",$A180))=FALSE,ISERROR(FIND("insert",$A180))=FALSE,ISERROR(FIND("rck",$A180))=FALSE),VLOOKUP(WardrobeCarcassFinish,FixedListsFinishes,3,0),0))))</f>
        <v/>
      </c>
      <c r="AE180" s="156" t="str">
        <f t="shared" si="6"/>
        <v/>
      </c>
      <c r="AF180" s="157" t="str">
        <f>IF(AND(WardrobeHandleType="Channel",OR(ISERROR(FIND("arcass",$A180))=FALSE,ISERROR(FIND("unit",$A180))=FALSE)),IF(ISERROR(FIND("Tower",$A180))=TRUE,IF(WardrobeHandleFinish="Match carcass",IF(ISERROR(FIND("Walnut",WardrobeCarcassMaterial))=FALSE,(0.035*0.075*($C180/1000))*VLOOKUP("Walnut (solid m3)",SolidData,4,FALSE),IF(ISERROR(FIND("Oak",WardrobeCarcassMaterial))=FALSE,(0.035*0.075*($C180/1000))*VLOOKUP("Oak (solid m3)",SolidData,4,FALSE),IF(ISERROR(FIND("ply",WardrobeCarcassMaterial))=FALSE,(0.1*($C180/1000))*VLOOKUP("Birch ply (24mm)",SheetsData,7,FALSE),IF(ISERROR(FIND("H/F",WardrobeCarcassMaterial))=FALSE,(0.1*($C180/1000))*VLOOKUP("H/F (22mm)",SheetsData,7,FALSE),"Carcass - not tower - new material")))),IF(WardrobeHandleFinish="Match door",IF(ISERROR(FIND("Walnut",WardrobeDoorMaterial))=FALSE,(0.035*0.075*($C180/1000))*VLOOKUP("Walnut (solid m3)",SolidData,4,FALSE),IF(ISERROR(FIND("Oak",WardrobeDoorMaterial))=FALSE,(0.035*0.075*($C180/1000))*VLOOKUP("Oak (solid m3)",SolidData,4,FALSE),IF(ISERROR(FIND("ply",WardrobeDoorMaterial))=FALSE,(0.1*($C180/1000))*VLOOKUP("Birch ply (24mm)",SheetsData,7,FALSE),IF(ISERROR(FIND("H/F",WardrobeCarcassMaterial))=FALSE,(0.1*($C180/1000))*VLOOKUP("H/F (22mm)",SheetsData,7,FALSE),"Door - not tower - new material")))),"Channel - not tower - handle set to other")),IF(ISERROR(FIND("Tower",$A180))=FALSE,IF(WardrobeHandleFinish="Match carcass",IF(ISERROR(FIND("Walnut",WardrobeCarcassMaterial))=FALSE,(0.035*0.075*($B180/1000))*VLOOKUP("Walnut (solid m3)",SolidData,4,FALSE),IF(ISERROR(FIND("Oak",WardrobeCarcassMaterial))=FALSE,(0.035*0.075*($B180/1000))*VLOOKUP("Oak (solid m3)",SolidData,4,FALSE),IF(ISERROR(FIND("ply",WardrobeCarcassMaterial))=FALSE,(0.1*($B180/1000))*VLOOKUP("Birch ply (24mm)",SheetsData,7,FALSE),IF(ISERROR(FIND("H/F",WardrobeCarcassMaterial))=FALSE,(0.1*($C180/1000))*VLOOKUP("H/F (22mm)",SheetsData,7,FALSE),"Carcass - tower - new material")))),IF(WardrobeHandleFinish="Match door",IF(ISERROR(FIND("Walnut",WardrobeDoorMaterial))=FALSE,(0.035*0.075*($B180/1000))*VLOOKUP("Walnut (solid m3)",SolidData,4,FALSE),IF(ISERROR(FIND("Oak",WardrobeDoorMaterial))=FALSE,(0.035*0.075*($B180/1000))*VLOOKUP("Oak (solid m3)",SolidData,4,FALSE),IF(ISERROR(FIND("ply",WardrobeDoorMaterial))=FALSE,(0.1*($B180/1000))*VLOOKUP("Birch ply (24mm)",SheetData,7,FALSE),IF(ISERROR(FIND("H/F",WardrobeCarcassMaterial))=FALSE,(0.1*($C180/1000))*VLOOKUP("H/F (22mm)",SheetsData,7,FALSE),"Door - tower - new material")))),"Channel - tower - handle set to other")))),"")</f>
        <v/>
      </c>
    </row>
    <row r="181">
      <c r="A181" s="150"/>
      <c r="B181" s="160" t="str">
        <f t="shared" si="1"/>
        <v/>
      </c>
      <c r="C181" s="160" t="str">
        <f>IFERROR(__xludf.DUMMYFUNCTION("IF(A181="""","""",IF(ISERROR(FIND(""arcass"",A181))=FALSE,MID(A181,FIND(""*"",A181)+1,FIND(""*"",A181,FIND(""*"",A181)+1)-FIND(""*"",A181)-1),IF(ISERROR(FIND(""End panel"",A181))=FALSE,RIGHT(A181,3),IF(OR(ISERROR(FIND(""drawer"",A181))=FALSE,ISERROR(FIND("&amp;"""door"",A181))=FALSE,ISERROR(FIND(""shelf"",A181))=FALSE,ISERROR(FIND(""panel"",A181))=FALSE,ISERROR(FIND(""Plinth"",A181))=FALSE,ISERROR(FIND(""Cornice"",A181))=FALSE,ISERROR(FIND(""Fillers"",A181))=FALSE,ISERROR(FIND(""Pelmet"",A181))=FALSE,ISERROR(FIN"&amp;"D(""Fireplace up to 1600"",A181))=FALSE),RIGHT(A181,LEN(A181)-LEN(regexextract(A181,"".* ""))),IF(ISERROR(FIND(""table"",A181))=FALSE,""560"",IF(ISERROR(FIND(""Office pod"",A181))=FALSE,""1600"",IF(ISERROR(FIND(""Fireplace over 1600"",A181))=FALSE,""2400"&amp;""",IF(ISERROR(FIND(""Worktop"",A181))=FALSE,""650"",""Whoops""))))))))"),"")</f>
        <v/>
      </c>
      <c r="D181" s="161" t="str">
        <f t="shared" si="2"/>
        <v/>
      </c>
      <c r="E181" s="152" t="str">
        <f>IF(OR(A181="",AND(ISERROR(FIND("drawer",A181))=FALSE,WardrobeDrawerType="")),"",IF(ISERROR(FIND("door",A181))=FALSE,IF(WardrobeDoorStyle="Flat",((B181/1000)*(C181/1000))*VLOOKUP(WardrobeDoorMaterial,SheetsData,8,0),IF(LEFT(WardrobeDoorStyle,5)="Panel",(((((B181/1000)*2)*0.08)+((((C181/1000)-0.16)*2)*0.08))*VLOOKUP("H/F (22mm)",SheetsData,8,0))+(((B181/1000)-0.14)*((C181/1000)-0.14)*VLOOKUP("H/F (9mm)",SheetsData,8,0)),IF(WardrobeDoorStyle="In-frame flat",((((((B181/1000)*0.019)*0.038)+((((C181-38)/1000)*0.038)*0.038))*2)*VLOOKUP("Tulip (solid m3)",SolidData,4,0))+(((B181-76)/1000)*((C181-38)/1000))*VLOOKUP("H/F (22mm)",SheetsData,8,0),IF(LEFT(WardrobeDoorStyle,14)="In-frame panel",(((((((B181/1000)*0.019)*0.038)+((((C181-38)/1000)*0.038)*0.038))*2)*VLOOKUP("Tulip (solid m3)",SolidData,4,0))+(((((((B181-76)/1000)*2)*0.08)+(((((C181-198)/1000)*2)*0.08)))*VLOOKUP("H/F (22mm)",SheetsData,8,0))+(((B181-216)/1000)*((C181-178)/1000)*VLOOKUP("H/F (9mm)",SheetsData,8,0)))))))),IF(AND(ISERROR(FIND("arcass",A181))=FALSE,ISERROR(FIND("ost corner",A181))=TRUE),IF(AND(VALUE(B181)&lt;1211,VALUE(C181)&lt;1211,VALUE(D181)&lt;606),1*VLOOKUP(WardrobeCarcassMaterial,SheetsData,5,FALSE),IF(AND(VALUE(B181)&lt;2421,VALUE(C181)&lt;2421,VALUE(D181)&lt;606),2*VLOOKUP(WardrobeCarcassMaterial,SheetsData,5,FALSE),IF(AND(VALUE(B181)&lt;2421,VALUE(C181)&lt;1211,VALUE(D181)&lt;1211),3*VLOOKUP(WardrobeCarcassMaterial,SheetsData,5,FALSE),IF(AND(VALUE(B181)&lt;2421,VALUE(C181)&lt;2421,VALUE(D181)&lt;1211),4*VLOOKUP(WardrobeCarcassMaterial,SheetsData,5,FALSE))))),IF(AND(ISERROR(FIND("arcass",A181))=FALSE,ISERROR(FIND("ost corner",A181))=FALSE),IF(AND(VALUE(B181)&lt;1211,VALUE(C181)&lt;1211,VALUE(D181)&lt;606),(1*VLOOKUP(WardrobeCarcassMaterial,SheetsData,5,FALSE))+(VLOOKUP("H/F (22mm)",SheetsData,7,FALSE)*1.44),IF(AND(VALUE(B181)&lt;2421,VALUE(C181)&lt;2421,VALUE(D181)&lt;606),(2*VLOOKUP(WardrobeCarcassMaterial,SheetsData,5,FALSE))+(VLOOKUP("H/F (22mm)",SheetsData,7,FALSE)*1.44),IF(AND(VALUE(B181)&lt;2421,VALUE(C181)&lt;1211,VALUE(D181)&lt;1211),(3*VLOOKUP(WardrobeCarcassMaterial,SheetsData,5,FALSE))+(VLOOKUP("H/F (22mm)",SheetsData,7,FALSE)*1.44),IF(AND(VALUE(B181)&lt;2421,VALUE(C181)&lt;2421,VALUE(D181)&lt;1211),(4*VLOOKUP(WardrobeCarcassMaterial,SheetsData,5,FALSE))+(VLOOKUP("H/F (22mm)",SheetsData,7,FALSE)*1.44))))),IF(ISERROR(FIND("drawer front",A181))=FALSE,((B181/1000)*(C181/1000))*VLOOKUP(WardrobeDoorMaterial,SheetsData,8,0),IF(AND(WardrobeDrawerType="Match carcass",ISERROR(FIND("drawer box",A181))=FALSE),(((((B181/1000)*(C181/1000))+((B181/1000)*(D181/1000)))*2)*VLOOKUP(WardrobeCarcassMaterial,SheetsData,8,0))+(((C181/1000)*(D181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box",A181))=FALSE),(((((B181/1000)*(C181/1000))+((B181/1000)*(D181/1000)))*2)*(16/1000)*VLOOKUP(LEFT(WardrobeCarcassMaterial,FIND(" ",WardrobeCarcassMaterial))&amp;"(solid m3)",SolidData,4,0))+(((C181/1000)*(D181/1000))*VLOOKUP(LEFT(WardrobeCarcassMaterial,FIND("(",WardrobeCarcassMaterial)-1)&amp;IF(OR(ISERROR(FIND("ply",WardrobeCarcassMaterial))=FALSE,ISERROR(FIND("H/F",WardrobeCarcassMaterial))=FALSE),"(9mm)","(10mm)"),SheetsData,8,0)),IF(ISERROR(FIND("shelf",A181))=FALSE,((C181/1000)*(D181/1000))*VLOOKUP(WardrobeCarcassMaterial,SheetsData,7,FALSE),IF(ISERROR(FIND("Office pod",A181))=FALSE,3*VLOOKUP(WardrobeCarcassMaterial,SheetsData,5,0),IF(ISERROR(FIND(" panel",A181))=FALSE,((B181/1000)*(C181/1000))*VLOOKUP(WardrobeDoorMaterial,SheetsData,8,0),IF(ISERROR(FIND("Fillers",A181))=FALSE,(((0.06*(C181/1000))*2)*VLOOKUP("H/F (18mm)",SheetsData,8,0))+(((0.06*(C181/1000))*2)*VLOOKUP("H/F (9mm)",SheetsData,8,0)),IF(ISERROR(FIND("Cornice (stacked)",A181))=FALSE,((0.08*(C181/1000))*2)*VLOOKUP("H/F (22mm)",SheetsData,8,0),IF(OR(ISERROR(FIND("Plinth",A181))=FALSE,ISERROR(FIND("Cornice (flat)",A181))=FALSE),((B181/1000)*(C181/1000))*VLOOKUP("H/F (18mm)",SheetsData,8,0),IF(ISERROR(FIND("Pelmet",A181))=FALSE,((((B181/1000)*(C181/1000))*2)*VLOOKUP("H/F (18mm)",SheetsData,8,0)),IF(ISERROR(FIND("Fireplace",A181))=FALSE,IF(ISERROR(FIND("over 1600",A181))=FALSE,2*VLOOKUP(WardrobeCarcassMaterial,SheetsData,5,FALSE),VLOOKUP(WardrobeCarcassMaterial,SheetsData,5,FALSE)),IF(ISERROR(FIND("table",A181))=FALSE,((B181/1000)*0.6)*VLOOKUP("Birch ply (24mm)",SheetsData,7,FALSE),IF(ISERROR(FIND("Worktop",A181))=FALSE,((B181/1000)*(C181/1000))*VLOOKUP(WardrobeDoorMaterial,SheetsData,7,FALSE),"Check formula")))))))))))))))))</f>
        <v/>
      </c>
      <c r="F181" s="152" t="str">
        <f>IFERROR(__xludf.DUMMYFUNCTION("IF(OR(A181="""",AND(ISERROR(FIND(""drawer box"",A181))=FALSE,WardrobeDrawerType=""Solid dovetail"")),"""",IF(ISERROR(FIND(""bins"",A181))=FALSE,VLOOKUP(""Base carcass 600"",Wardrobes_etcData,6,0),IF(OR(ISERROR(FIND(""larder"",A181))=FALSE,ISERROR(FIND(""u"&amp;"nit"",A181))=FALSE),VLOOKUP(LEFT(A181,FIND("" "",A181))&amp;""carcass ""&amp;RIGHT(A181,LEN(A181)-len(regexextract(A181,"".* ""))),Wardrobes_etcData,6,0),IF(ISERROR(FIND(""drawer front"",A181))=FALSE,IF(ISERROR(FIND(""veneer"",WardrobeCarcassMaterial))=TRUE,0,((("&amp;"B181+C181)/1000)*2)*VLOOKUP(""Edge banding (per M)"",SheetsData,5,0)),IF(ISERROR(FIND(""drawer box"",A181))=FALSE,IF(ISERROR(FIND(""veneer"",WardrobeCarcassMaterial))=TRUE,0,(((C181+D181)/1000)*2)*VLOOKUP(""Edge banding (per M)"",SheetsData,5,0)),IF(ISERR"&amp;"OR(FIND(""shelf"",A181))=FALSE,IF(ISERROR(FIND(""veneer"",WardrobeCarcassMaterial))=TRUE,0,(C181/1000)*VLOOKUP(""Edge banding (per M)"",SheetsData,5,0)),IF(AND(OR(ISERROR(FIND(""arcass"",A181))=FALSE,ISERROR(FIND(""Fireplace"",A181))=FALSE),ISERROR(FIND("&amp;"""shelf"",A181))=TRUE),IF(ISERROR(FIND(""veneer"",WardrobeCarcassMaterial))=TRUE,0,((2*(B181+C181))/1000)*VLOOKUP(""Edge banding (per M)"",SheetsData,5,0)),IF(ISERROR(FIND(""door"",A181))=TRUE,"""",IF(ISERROR(FIND(""veneer"",WardrobeDoorMaterial))=TRUE,"""&amp;""",((2*(B181+C181))/1000)*VLOOKUP(""Edge banding (per M)"",SheetsData,5,0))))))))))"),"")</f>
        <v/>
      </c>
      <c r="G181" s="153" t="str">
        <f>IF(A181="","",IF(AND(ISERROR(FIND("arcass",A181))=TRUE,ISERROR(FIND("Fireplace",A181))=TRUE),"",IF(VALUE(C181)&lt;606,4*VLOOKUP("Plinth foot (2 Parts 80mm)",FurnitureData,5,FALSE),IF(VALUE(C181)&lt;1211,6*VLOOKUP("Plinth foot (2 Parts 80mm)",FurnitureData,5,FALSE),8*VLOOKUP("Plinth foot (2 Parts 80mm)",FurnitureData,5,FALSE)))))</f>
        <v/>
      </c>
      <c r="H181" s="115" t="str">
        <f>IF(OR(A181="",ISERROR(FIND("door",A181))=TRUE),"",VLOOKUP("Hinges &amp; plates (Hettich thick door)",FurnitureData,5,0)*5)</f>
        <v/>
      </c>
      <c r="I181" s="115" t="str">
        <f>IF(ISERROR(FIND("shelf",A181))=FALSE,(VLOOKUP("Shelf pegs",FurnitureData,5,0)/100)*4,"")</f>
        <v/>
      </c>
      <c r="J181" s="152" t="str">
        <f>IF(OR(ISERROR(FIND("fridge/freezer",A181))=FALSE,ISERROR(FIND("sink",A181))=FALSE,ISERROR(FIND("larder",A181))=FALSE),VLOOKUP("Deep shelf "&amp;C181,Wardrobes_etcData,18,0),IF(OR(ISERROR(FIND("single oven",A181))=FALSE,ISERROR(FIND("Base carcass",A181))=FALSE),2*VLOOKUP("Deep shelf "&amp;C181,Wardrobes_etcData,18,0),IF(AND(ISERROR(FIND("wall carcass",A181))=FALSE,ISERROR(FIND("Boiler",A181))=TRUE),2*VLOOKUP("Shallow shelf "&amp;C181,Wardrobes_etcData,18,0),IF(ISERROR(FIND("double oven",A181))=FALSE,3*VLOOKUP("Deep shelf "&amp;C181,Wardrobes_etcData,18,0),IF(ISERROR(FIND("Tower carcass",A181))=FALSE,6*VLOOKUP("Deep shelf "&amp;C181,Wardrobes_etcData,18,0),"")))))</f>
        <v/>
      </c>
      <c r="K181" s="152" t="str">
        <f>IF(ISERROR(FIND("sink",A181))=FALSE,VLOOKUP("Sink liner - Aluminium "&amp;RIGHT(A181,LEN(A181)-22)&amp;"mm",ExceptionalData,5,0),IF(ISERROR(FIND("bins",A181))=FALSE,VLOOKUP("Drawer runners and clip set for bin unit (500) Dynapro",FurnitureData,5,0)+(2*VLOOKUP("Bin (42L Anthracite)",FurnitureData,5,0)),IF(ISERROR(FIND("larder",A181))=FALSE,VLOOKUP("Pull out larder unit 600mm",FurnitureData,5,0),IF(AND(ISERROR(FIND("drawer box",A181))=FALSE,ISERROR(FIND("internal",A181))=TRUE),VLOOKUP("Drawer runners and clip set (550) Dynapro",FurnitureData,5,0),IF(ISERROR(FIND("internal drawer box",A181))=FALSE,VLOOKUP("Drawer runners and clip set (450) Dynapro",FurnitureData,5,0),IF(ISERROR(FIND("table",A181))=FALSE,VLOOKUP("Hairpin Leg (12mm Black "&amp;MID(A181,FIND("(",A181)+1,LEN(A181)-(FIND("(",A181))-1)&amp;"mm)",ExceptionalData,4,FALSE),""))))))</f>
        <v/>
      </c>
      <c r="L181" s="152" t="str">
        <f t="shared" si="3"/>
        <v/>
      </c>
      <c r="M181" s="154" t="str">
        <f>IF(A181="","",IF(AND(ISERROR(FIND("drawer front",A181))=FALSE,WardrobeDoorStyle="Flat"),(((B181/1000)*(C181/1000))*2)+((((B181+C181)/1000)*2)*0.022),IF(AND(ISERROR(FIND("drawer front",A181))=FALSE,LEFT(WardrobeDoorStyle,5)="Panel"),(((B181/1000)*(C181/1000))*2)+((((B181+C181)/1000)*2)*0.022)+((((C181/1000)-0.16)*0.013)*2)+((((D181/1000)-0.16)*0.013)*2),IF(AND(ISERROR(FIND("drawer front",A181))=FALSE,WardrobeDoorStyle="In-frame flat"),((((B181-76)/1000)*((C181-38)/1000))*2)+(MID(WardrobeDoorMaterial,FIND("(",WardrobeDoorMaterial)+1,2)/1000)*((((B181-76)+(C181-38))/1000)*2)+(((B181/1000)*0.032)*2)+((((B181-76)/1000)*0.032)*2)+(((B181/1000)*0.019)*4)+(((C181/1000)*0.032)*2)+((((C181-38)/1000)*0.032)*2)+(((C181/1000)*0.038)*4),IF(AND(ISERROR(FIND("drawer front",A181))=FALSE,LEFT(WardrobeDoorStyle,14)="In-frame panel"),((((B181-76)/1000)*((C181-38)/1000))*2)+((MID(WardrobeDoorMaterial,FIND("(",WardrobeDoorMaterial)+1,2)/1000)*((((B181-76)+(C181-38))/1000)*2))+((((B181-236)/1000)+((C181-198)/1000)*2)*0.013)+(((B181/1000)*0.032)*2)+((((B181-76)/1000)*0.032)*2)+(((B181/1000)*0.019)*4)+(((C181/1000)*0.032)*2)+((((C181-38)/1000)*0.032)*2)+(((C181/1000)*0.038)*4),IF(ISERROR(FIND("drawer box",A181))=FALSE,((((B181/1000)*(D181/1000))+((B181/1000)*(C181/1000)))*4)+((((D181/1000)+(C181/1000))*0.016)*4)+(((C181/1000)*(D181/1000))*2),IF(OR(ISERROR(FIND("shelf",A181))=FALSE,ISERROR(FIND("Filler panel",A181))=FALSE),(((C181/1000)*(D181/1000))*2)+((((C181+D181)*2)/1000)*0.022),IF(ISERROR(FIND("Fireplace",A181))=FALSE,((B181/1000)*(C181/1000)),IF(ISERROR(FIND("Worktop",A181))=FALSE,(B181/1000)*(C181/1000),IF(ISERROR(FIND("table",A181))=FALSE,(B181/1000)*0.6,IF(ISERROR(FIND("arcass",A181))=FALSE,(((C181/1000)*(D181/1000))*2)+(((B181/1000)*(D181/1000))*2)+((B181/1000)*(C181/1000))+((((B181/1000)*0.025)+((C181/1000)*0.025))*2),IF(AND(ISERROR(FIND("door",A181))=FALSE,WardrobeDoorStyle="Flat"),(((B181/1000)*(C181/1000))*2)+(MID(WardrobeDoorMaterial,FIND("(",WardrobeDoorMaterial)+1,2)/1000)*(((B181+C181)/1000)*2),IF(AND(ISERROR(FIND("door",A181))=FALSE,LEFT(WardrobeDoorStyle,5)="Panel"),(((B181/1000)*(C181/1000))*2)+((MID(WardrobeDoorMaterial,FIND("(",WardrobeDoorMaterial)+1,2)/1000)*(((B181+C181)/1000)*2))+(((((B181-160)+(C181-160))*2)/1000)*(0.013)),IF(AND(ISERROR(FIND("door",A181))=FALSE,WardrobeDoorStyle="In-frame flat"),((((B181-76)/1000)*((C181-38)/1000))*2)+(MID(WardrobeDoorMaterial,FIND("(",WardrobeDoorMaterial)+1,2)/1000)*((((B181-76)+(C181-38))/1000)*2)+(((B181/1000)*0.032)*2)+((((B181-76)/1000)*0.032)*2)+(((B181/1000)*0.019)*4)+(((C181/1000)*0.032)*2)+((((C181-38)/1000)*0.032)*2)+(((C181/1000)*0.038)*4),IF(AND(ISERROR(FIND("door",A181))=FALSE,LEFT(WardrobeDoorStyle,14)="In-frame panel"),((((B181-76)/1000)*((C181-38)/1000))*2)+((MID(WardrobeDoorMaterial,FIND("(",WardrobeDoorMaterial)+1,2)/1000)*((((B181-76)+(C181-38))/1000)*2))+((((B181-236)/1000)+((C181-198)/1000)*2)*0.013)+(((B181/1000)*0.032)*2)+((((B181-76)/1000)*0.032)*2)+(((B181/1000)*0.019)*4)+(((C181/1000)*0.032)*2)+((((C181-38)/1000)*0.032)*2)+(((C181/1000)*0.038)*4),IF(ISERROR(FIND("Plinth",A181))=FALSE,((B181/1000)*(C181/1000))+(((C181/1000)*0.018)*2)+(((B181/1000)*0.018)*2),IF(ISERROR(FIND("Cornice",A181))=FALSE,(((C181/1000)*0.1)*2)+(((C181/1000)*0.044)*2)+(((B181/1000)*0.08)*2),IF(ISERROR(FIND("Office pod",A181))=FALSE,((2400/1000)*(1200/1000))*6,IF(ISERROR(FIND("panel",A181))=FALSE,((B181/1000)*(C181/1000))+(0.022*((B181/1000)+((C181/1000)*2)))+((B181/1000)*0.05),IF(ISERROR(FIND("Fillers",A181))=FALSE,((C181/1000)*0.06)+((C181/1000)*0.069)+((0.06*0.018)*2)+((0.06*0.009)*2)+((C181/1000)*0.009)+((C181/1000)*0.018),IF(ISERROR(FIND("Pelmet",A181))=FALSE,((C181/1000)*0.05)+((C181/1000)*0.068)+((0.05*0.018)*4)+(((C181/1000)*0.018))*2)))))))))))))))))))))</f>
        <v/>
      </c>
      <c r="N181" s="152" t="str">
        <f>IF(M181="","",IF(AND(ISERROR(FIND("carcass",A181))=TRUE,ISERROR(FIND("unit",A181))=TRUE,ISERROR(FIND("insert",A181))=TRUE,ISERROR(FIND("rack",A181))=TRUE,ISERROR(FIND("box",A181))=TRUE,ISERROR(FIND("shelf",A181))=TRUE),VLOOKUP(WardrobeDoorFinish,Finishing!$A$2:$K$10,9,0)*M181,IF(ISERROR(FIND("table",A181))=FALSE,VLOOKUP("Sayerlack AF0072 Interior Clear Self-Sealer",FinishingData,9,FALSE)*M181,VLOOKUP(WardrobeCarcassFinish,Finishing!$A$2:$K$40,9,0)*M181)))</f>
        <v/>
      </c>
      <c r="O181" s="155"/>
      <c r="P181" s="155"/>
      <c r="Q181" s="152" t="str">
        <f>IF(OR(O181="",P181=""),"",((O181*X181)*(VLOOKUP("Workshop",Labour!$A$3:$E$20,4,0)/8))+((P181*AE181)*(VLOOKUP("Finishing",Labour!$A$3:$E$20,4,0)/8)))</f>
        <v/>
      </c>
      <c r="R181" s="152" t="str">
        <f t="shared" si="4"/>
        <v/>
      </c>
      <c r="S181" s="156" t="str">
        <f>IF(OR(O181="",P181=""),"",IF(OR(ISERROR(FIND("carcass",$A181))=FALSE,ISERROR(FIND("unit",$A181))=FALSE),VLOOKUP(WardrobeCarcassMaterial,FixedListsCarcassMaterial,2,0),0))</f>
        <v/>
      </c>
      <c r="T181" s="156" t="str">
        <f>IF(OR(O181="",P181=""),"",IF(ISERROR(FIND("door",$A181))=FALSE,VLOOKUP(WardrobeDoorStyle,FixedListsDoorStyle,2,0),0))</f>
        <v/>
      </c>
      <c r="U181" s="156" t="str">
        <f>IF(OR(O181="",P181=""),"",IF(ISERROR(FIND("door",$A181))=FALSE,VLOOKUP(WardrobeDoorMaterial,FixedListsDoorMaterial,2,0),0))</f>
        <v/>
      </c>
      <c r="V181" s="156" t="str">
        <f>IF(OR(O181="",P181=""),"",IF(ISERROR(FIND("drawer",$A181))=FALSE,VLOOKUP(WardrobeDrawerType,FixedListsDrawerType,2,0),0))</f>
        <v/>
      </c>
      <c r="W181" s="156" t="str">
        <f>IF(OR(O181="",P181=""),"",IF(S181&gt;0,VLOOKUP(WardrobeHandleType,FixedListsHandleType,2,FALSE),0))</f>
        <v/>
      </c>
      <c r="X181" s="156" t="str">
        <f t="shared" si="5"/>
        <v/>
      </c>
      <c r="Y181" s="156" t="str">
        <f>IF(OR(O181="",P181=""),"",IF(OR(ISERROR(FIND("carcass",$A181))=FALSE,ISERROR(FIND("unit",$A181))=FALSE),VLOOKUP(WardrobeCarcassMaterial,FixedListsCarcassMaterial,3,0),0))</f>
        <v/>
      </c>
      <c r="Z181" s="156" t="str">
        <f>IF(OR(O181="",P181=""),"",IF(ISERROR(FIND("door",$A181))=FALSE,VLOOKUP(WardrobeDoorStyle,FixedListsDoorStyle,3,0),0))</f>
        <v/>
      </c>
      <c r="AA181" s="156" t="str">
        <f>IF(OR(O181="",P181=""),"",IF(ISERROR(FIND("door",$A181))=FALSE,VLOOKUP(WardrobeDoorMaterial,FixedListsDoorMaterial,3,0),0))</f>
        <v/>
      </c>
      <c r="AB181" s="156" t="str">
        <f>IF(OR(O181="",P181=""),"",IF(ISERROR(FIND("drawer",$A181))=FALSE,VLOOKUP(WardrobeDrawerType,FixedListsDrawerType,3,0),0))</f>
        <v/>
      </c>
      <c r="AC181" s="156" t="str">
        <f>IF(OR(O181="",P181=""),"",IF(S181&gt;0,VLOOKUP(WardrobeHandleType,FixedListsHandleType,3,FALSE),0))</f>
        <v/>
      </c>
      <c r="AD181" s="156" t="str">
        <f>IF(OR(O181="",P181=""),"",IF(OR(ISERROR(FIND("carcass",$A181))=FALSE,ISERROR(FIND("unit",$A181))=FALSE),VLOOKUP(WardrobeCarcassFinish,FixedListsFinishes,3,0),IF(OR(ISERROR(FIND("door",$A181))=FALSE,ISERROR(FIND("Plinth",$A181))=FALSE,ISERROR(FIND("Cornice",$A181))=FALSE,ISERROR(FIND("Fillers",$A181))=FALSE,ISERROR(FIND("Pelmet",$A181))=FALSE,ISERROR(FIND("panel",$A181))=FALSE,ISERROR(FIND("post",$A181))=FALSE),VLOOKUP(WardrobeDoorFinish,FixedListsFinishes,3,0),IF(OR(ISERROR(FIND("drawer",$A181))=FALSE,ISERROR(FIND("insert",$A181))=FALSE,ISERROR(FIND("rck",$A181))=FALSE),VLOOKUP(WardrobeCarcassFinish,FixedListsFinishes,3,0),0))))</f>
        <v/>
      </c>
      <c r="AE181" s="156" t="str">
        <f t="shared" si="6"/>
        <v/>
      </c>
      <c r="AF181" s="157" t="str">
        <f>IF(AND(WardrobeHandleType="Channel",OR(ISERROR(FIND("arcass",$A181))=FALSE,ISERROR(FIND("unit",$A181))=FALSE)),IF(ISERROR(FIND("Tower",$A181))=TRUE,IF(WardrobeHandleFinish="Match carcass",IF(ISERROR(FIND("Walnut",WardrobeCarcassMaterial))=FALSE,(0.035*0.075*($C181/1000))*VLOOKUP("Walnut (solid m3)",SolidData,4,FALSE),IF(ISERROR(FIND("Oak",WardrobeCarcassMaterial))=FALSE,(0.035*0.075*($C181/1000))*VLOOKUP("Oak (solid m3)",SolidData,4,FALSE),IF(ISERROR(FIND("ply",WardrobeCarcassMaterial))=FALSE,(0.1*($C181/1000))*VLOOKUP("Birch ply (24mm)",SheetsData,7,FALSE),IF(ISERROR(FIND("H/F",WardrobeCarcassMaterial))=FALSE,(0.1*($C181/1000))*VLOOKUP("H/F (22mm)",SheetsData,7,FALSE),"Carcass - not tower - new material")))),IF(WardrobeHandleFinish="Match door",IF(ISERROR(FIND("Walnut",WardrobeDoorMaterial))=FALSE,(0.035*0.075*($C181/1000))*VLOOKUP("Walnut (solid m3)",SolidData,4,FALSE),IF(ISERROR(FIND("Oak",WardrobeDoorMaterial))=FALSE,(0.035*0.075*($C181/1000))*VLOOKUP("Oak (solid m3)",SolidData,4,FALSE),IF(ISERROR(FIND("ply",WardrobeDoorMaterial))=FALSE,(0.1*($C181/1000))*VLOOKUP("Birch ply (24mm)",SheetsData,7,FALSE),IF(ISERROR(FIND("H/F",WardrobeCarcassMaterial))=FALSE,(0.1*($C181/1000))*VLOOKUP("H/F (22mm)",SheetsData,7,FALSE),"Door - not tower - new material")))),"Channel - not tower - handle set to other")),IF(ISERROR(FIND("Tower",$A181))=FALSE,IF(WardrobeHandleFinish="Match carcass",IF(ISERROR(FIND("Walnut",WardrobeCarcassMaterial))=FALSE,(0.035*0.075*($B181/1000))*VLOOKUP("Walnut (solid m3)",SolidData,4,FALSE),IF(ISERROR(FIND("Oak",WardrobeCarcassMaterial))=FALSE,(0.035*0.075*($B181/1000))*VLOOKUP("Oak (solid m3)",SolidData,4,FALSE),IF(ISERROR(FIND("ply",WardrobeCarcassMaterial))=FALSE,(0.1*($B181/1000))*VLOOKUP("Birch ply (24mm)",SheetsData,7,FALSE),IF(ISERROR(FIND("H/F",WardrobeCarcassMaterial))=FALSE,(0.1*($C181/1000))*VLOOKUP("H/F (22mm)",SheetsData,7,FALSE),"Carcass - tower - new material")))),IF(WardrobeHandleFinish="Match door",IF(ISERROR(FIND("Walnut",WardrobeDoorMaterial))=FALSE,(0.035*0.075*($B181/1000))*VLOOKUP("Walnut (solid m3)",SolidData,4,FALSE),IF(ISERROR(FIND("Oak",WardrobeDoorMaterial))=FALSE,(0.035*0.075*($B181/1000))*VLOOKUP("Oak (solid m3)",SolidData,4,FALSE),IF(ISERROR(FIND("ply",WardrobeDoorMaterial))=FALSE,(0.1*($B181/1000))*VLOOKUP("Birch ply (24mm)",SheetData,7,FALSE),IF(ISERROR(FIND("H/F",WardrobeCarcassMaterial))=FALSE,(0.1*($C181/1000))*VLOOKUP("H/F (22mm)",SheetsData,7,FALSE),"Door - tower - new material")))),"Channel - tower - handle set to other")))),"")</f>
        <v/>
      </c>
    </row>
    <row r="182">
      <c r="A182" s="150"/>
      <c r="B182" s="160" t="str">
        <f t="shared" si="1"/>
        <v/>
      </c>
      <c r="C182" s="160" t="str">
        <f>IFERROR(__xludf.DUMMYFUNCTION("IF(A182="""","""",IF(ISERROR(FIND(""arcass"",A182))=FALSE,MID(A182,FIND(""*"",A182)+1,FIND(""*"",A182,FIND(""*"",A182)+1)-FIND(""*"",A182)-1),IF(ISERROR(FIND(""End panel"",A182))=FALSE,RIGHT(A182,3),IF(OR(ISERROR(FIND(""drawer"",A182))=FALSE,ISERROR(FIND("&amp;"""door"",A182))=FALSE,ISERROR(FIND(""shelf"",A182))=FALSE,ISERROR(FIND(""panel"",A182))=FALSE,ISERROR(FIND(""Plinth"",A182))=FALSE,ISERROR(FIND(""Cornice"",A182))=FALSE,ISERROR(FIND(""Fillers"",A182))=FALSE,ISERROR(FIND(""Pelmet"",A182))=FALSE,ISERROR(FIN"&amp;"D(""Fireplace up to 1600"",A182))=FALSE),RIGHT(A182,LEN(A182)-LEN(regexextract(A182,"".* ""))),IF(ISERROR(FIND(""table"",A182))=FALSE,""560"",IF(ISERROR(FIND(""Office pod"",A182))=FALSE,""1600"",IF(ISERROR(FIND(""Fireplace over 1600"",A182))=FALSE,""2400"&amp;""",IF(ISERROR(FIND(""Worktop"",A182))=FALSE,""650"",""Whoops""))))))))"),"")</f>
        <v/>
      </c>
      <c r="D182" s="161" t="str">
        <f t="shared" si="2"/>
        <v/>
      </c>
      <c r="E182" s="152" t="str">
        <f>IF(OR(A182="",AND(ISERROR(FIND("drawer",A182))=FALSE,WardrobeDrawerType="")),"",IF(ISERROR(FIND("door",A182))=FALSE,IF(WardrobeDoorStyle="Flat",((B182/1000)*(C182/1000))*VLOOKUP(WardrobeDoorMaterial,SheetsData,8,0),IF(LEFT(WardrobeDoorStyle,5)="Panel",(((((B182/1000)*2)*0.08)+((((C182/1000)-0.16)*2)*0.08))*VLOOKUP("H/F (22mm)",SheetsData,8,0))+(((B182/1000)-0.14)*((C182/1000)-0.14)*VLOOKUP("H/F (9mm)",SheetsData,8,0)),IF(WardrobeDoorStyle="In-frame flat",((((((B182/1000)*0.019)*0.038)+((((C182-38)/1000)*0.038)*0.038))*2)*VLOOKUP("Tulip (solid m3)",SolidData,4,0))+(((B182-76)/1000)*((C182-38)/1000))*VLOOKUP("H/F (22mm)",SheetsData,8,0),IF(LEFT(WardrobeDoorStyle,14)="In-frame panel",(((((((B182/1000)*0.019)*0.038)+((((C182-38)/1000)*0.038)*0.038))*2)*VLOOKUP("Tulip (solid m3)",SolidData,4,0))+(((((((B182-76)/1000)*2)*0.08)+(((((C182-198)/1000)*2)*0.08)))*VLOOKUP("H/F (22mm)",SheetsData,8,0))+(((B182-216)/1000)*((C182-178)/1000)*VLOOKUP("H/F (9mm)",SheetsData,8,0)))))))),IF(AND(ISERROR(FIND("arcass",A182))=FALSE,ISERROR(FIND("ost corner",A182))=TRUE),IF(AND(VALUE(B182)&lt;1211,VALUE(C182)&lt;1211,VALUE(D182)&lt;606),1*VLOOKUP(WardrobeCarcassMaterial,SheetsData,5,FALSE),IF(AND(VALUE(B182)&lt;2421,VALUE(C182)&lt;2421,VALUE(D182)&lt;606),2*VLOOKUP(WardrobeCarcassMaterial,SheetsData,5,FALSE),IF(AND(VALUE(B182)&lt;2421,VALUE(C182)&lt;1211,VALUE(D182)&lt;1211),3*VLOOKUP(WardrobeCarcassMaterial,SheetsData,5,FALSE),IF(AND(VALUE(B182)&lt;2421,VALUE(C182)&lt;2421,VALUE(D182)&lt;1211),4*VLOOKUP(WardrobeCarcassMaterial,SheetsData,5,FALSE))))),IF(AND(ISERROR(FIND("arcass",A182))=FALSE,ISERROR(FIND("ost corner",A182))=FALSE),IF(AND(VALUE(B182)&lt;1211,VALUE(C182)&lt;1211,VALUE(D182)&lt;606),(1*VLOOKUP(WardrobeCarcassMaterial,SheetsData,5,FALSE))+(VLOOKUP("H/F (22mm)",SheetsData,7,FALSE)*1.44),IF(AND(VALUE(B182)&lt;2421,VALUE(C182)&lt;2421,VALUE(D182)&lt;606),(2*VLOOKUP(WardrobeCarcassMaterial,SheetsData,5,FALSE))+(VLOOKUP("H/F (22mm)",SheetsData,7,FALSE)*1.44),IF(AND(VALUE(B182)&lt;2421,VALUE(C182)&lt;1211,VALUE(D182)&lt;1211),(3*VLOOKUP(WardrobeCarcassMaterial,SheetsData,5,FALSE))+(VLOOKUP("H/F (22mm)",SheetsData,7,FALSE)*1.44),IF(AND(VALUE(B182)&lt;2421,VALUE(C182)&lt;2421,VALUE(D182)&lt;1211),(4*VLOOKUP(WardrobeCarcassMaterial,SheetsData,5,FALSE))+(VLOOKUP("H/F (22mm)",SheetsData,7,FALSE)*1.44))))),IF(ISERROR(FIND("drawer front",A182))=FALSE,((B182/1000)*(C182/1000))*VLOOKUP(WardrobeDoorMaterial,SheetsData,8,0),IF(AND(WardrobeDrawerType="Match carcass",ISERROR(FIND("drawer box",A182))=FALSE),(((((B182/1000)*(C182/1000))+((B182/1000)*(D182/1000)))*2)*VLOOKUP(WardrobeCarcassMaterial,SheetsData,8,0))+(((C182/1000)*(D182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box",A182))=FALSE),(((((B182/1000)*(C182/1000))+((B182/1000)*(D182/1000)))*2)*(16/1000)*VLOOKUP(LEFT(WardrobeCarcassMaterial,FIND(" ",WardrobeCarcassMaterial))&amp;"(solid m3)",SolidData,4,0))+(((C182/1000)*(D182/1000))*VLOOKUP(LEFT(WardrobeCarcassMaterial,FIND("(",WardrobeCarcassMaterial)-1)&amp;IF(OR(ISERROR(FIND("ply",WardrobeCarcassMaterial))=FALSE,ISERROR(FIND("H/F",WardrobeCarcassMaterial))=FALSE),"(9mm)","(10mm)"),SheetsData,8,0)),IF(ISERROR(FIND("shelf",A182))=FALSE,((C182/1000)*(D182/1000))*VLOOKUP(WardrobeCarcassMaterial,SheetsData,7,FALSE),IF(ISERROR(FIND("Office pod",A182))=FALSE,3*VLOOKUP(WardrobeCarcassMaterial,SheetsData,5,0),IF(ISERROR(FIND(" panel",A182))=FALSE,((B182/1000)*(C182/1000))*VLOOKUP(WardrobeDoorMaterial,SheetsData,8,0),IF(ISERROR(FIND("Fillers",A182))=FALSE,(((0.06*(C182/1000))*2)*VLOOKUP("H/F (18mm)",SheetsData,8,0))+(((0.06*(C182/1000))*2)*VLOOKUP("H/F (9mm)",SheetsData,8,0)),IF(ISERROR(FIND("Cornice (stacked)",A182))=FALSE,((0.08*(C182/1000))*2)*VLOOKUP("H/F (22mm)",SheetsData,8,0),IF(OR(ISERROR(FIND("Plinth",A182))=FALSE,ISERROR(FIND("Cornice (flat)",A182))=FALSE),((B182/1000)*(C182/1000))*VLOOKUP("H/F (18mm)",SheetsData,8,0),IF(ISERROR(FIND("Pelmet",A182))=FALSE,((((B182/1000)*(C182/1000))*2)*VLOOKUP("H/F (18mm)",SheetsData,8,0)),IF(ISERROR(FIND("Fireplace",A182))=FALSE,IF(ISERROR(FIND("over 1600",A182))=FALSE,2*VLOOKUP(WardrobeCarcassMaterial,SheetsData,5,FALSE),VLOOKUP(WardrobeCarcassMaterial,SheetsData,5,FALSE)),IF(ISERROR(FIND("table",A182))=FALSE,((B182/1000)*0.6)*VLOOKUP("Birch ply (24mm)",SheetsData,7,FALSE),IF(ISERROR(FIND("Worktop",A182))=FALSE,((B182/1000)*(C182/1000))*VLOOKUP(WardrobeDoorMaterial,SheetsData,7,FALSE),"Check formula")))))))))))))))))</f>
        <v/>
      </c>
      <c r="F182" s="152" t="str">
        <f>IFERROR(__xludf.DUMMYFUNCTION("IF(OR(A182="""",AND(ISERROR(FIND(""drawer box"",A182))=FALSE,WardrobeDrawerType=""Solid dovetail"")),"""",IF(ISERROR(FIND(""bins"",A182))=FALSE,VLOOKUP(""Base carcass 600"",Wardrobes_etcData,6,0),IF(OR(ISERROR(FIND(""larder"",A182))=FALSE,ISERROR(FIND(""u"&amp;"nit"",A182))=FALSE),VLOOKUP(LEFT(A182,FIND("" "",A182))&amp;""carcass ""&amp;RIGHT(A182,LEN(A182)-len(regexextract(A182,"".* ""))),Wardrobes_etcData,6,0),IF(ISERROR(FIND(""drawer front"",A182))=FALSE,IF(ISERROR(FIND(""veneer"",WardrobeCarcassMaterial))=TRUE,0,((("&amp;"B182+C182)/1000)*2)*VLOOKUP(""Edge banding (per M)"",SheetsData,5,0)),IF(ISERROR(FIND(""drawer box"",A182))=FALSE,IF(ISERROR(FIND(""veneer"",WardrobeCarcassMaterial))=TRUE,0,(((C182+D182)/1000)*2)*VLOOKUP(""Edge banding (per M)"",SheetsData,5,0)),IF(ISERR"&amp;"OR(FIND(""shelf"",A182))=FALSE,IF(ISERROR(FIND(""veneer"",WardrobeCarcassMaterial))=TRUE,0,(C182/1000)*VLOOKUP(""Edge banding (per M)"",SheetsData,5,0)),IF(AND(OR(ISERROR(FIND(""arcass"",A182))=FALSE,ISERROR(FIND(""Fireplace"",A182))=FALSE),ISERROR(FIND("&amp;"""shelf"",A182))=TRUE),IF(ISERROR(FIND(""veneer"",WardrobeCarcassMaterial))=TRUE,0,((2*(B182+C182))/1000)*VLOOKUP(""Edge banding (per M)"",SheetsData,5,0)),IF(ISERROR(FIND(""door"",A182))=TRUE,"""",IF(ISERROR(FIND(""veneer"",WardrobeDoorMaterial))=TRUE,"""&amp;""",((2*(B182+C182))/1000)*VLOOKUP(""Edge banding (per M)"",SheetsData,5,0))))))))))"),"")</f>
        <v/>
      </c>
      <c r="G182" s="153" t="str">
        <f>IF(A182="","",IF(AND(ISERROR(FIND("arcass",A182))=TRUE,ISERROR(FIND("Fireplace",A182))=TRUE),"",IF(VALUE(C182)&lt;606,4*VLOOKUP("Plinth foot (2 Parts 80mm)",FurnitureData,5,FALSE),IF(VALUE(C182)&lt;1211,6*VLOOKUP("Plinth foot (2 Parts 80mm)",FurnitureData,5,FALSE),8*VLOOKUP("Plinth foot (2 Parts 80mm)",FurnitureData,5,FALSE)))))</f>
        <v/>
      </c>
      <c r="H182" s="115" t="str">
        <f>IF(OR(A182="",ISERROR(FIND("door",A182))=TRUE),"",VLOOKUP("Hinges &amp; plates (Hettich thick door)",FurnitureData,5,0)*5)</f>
        <v/>
      </c>
      <c r="I182" s="115" t="str">
        <f>IF(ISERROR(FIND("shelf",A182))=FALSE,(VLOOKUP("Shelf pegs",FurnitureData,5,0)/100)*4,"")</f>
        <v/>
      </c>
      <c r="J182" s="152" t="str">
        <f>IF(OR(ISERROR(FIND("fridge/freezer",A182))=FALSE,ISERROR(FIND("sink",A182))=FALSE,ISERROR(FIND("larder",A182))=FALSE),VLOOKUP("Deep shelf "&amp;C182,Wardrobes_etcData,18,0),IF(OR(ISERROR(FIND("single oven",A182))=FALSE,ISERROR(FIND("Base carcass",A182))=FALSE),2*VLOOKUP("Deep shelf "&amp;C182,Wardrobes_etcData,18,0),IF(AND(ISERROR(FIND("wall carcass",A182))=FALSE,ISERROR(FIND("Boiler",A182))=TRUE),2*VLOOKUP("Shallow shelf "&amp;C182,Wardrobes_etcData,18,0),IF(ISERROR(FIND("double oven",A182))=FALSE,3*VLOOKUP("Deep shelf "&amp;C182,Wardrobes_etcData,18,0),IF(ISERROR(FIND("Tower carcass",A182))=FALSE,6*VLOOKUP("Deep shelf "&amp;C182,Wardrobes_etcData,18,0),"")))))</f>
        <v/>
      </c>
      <c r="K182" s="152" t="str">
        <f>IF(ISERROR(FIND("sink",A182))=FALSE,VLOOKUP("Sink liner - Aluminium "&amp;RIGHT(A182,LEN(A182)-22)&amp;"mm",ExceptionalData,5,0),IF(ISERROR(FIND("bins",A182))=FALSE,VLOOKUP("Drawer runners and clip set for bin unit (500) Dynapro",FurnitureData,5,0)+(2*VLOOKUP("Bin (42L Anthracite)",FurnitureData,5,0)),IF(ISERROR(FIND("larder",A182))=FALSE,VLOOKUP("Pull out larder unit 600mm",FurnitureData,5,0),IF(AND(ISERROR(FIND("drawer box",A182))=FALSE,ISERROR(FIND("internal",A182))=TRUE),VLOOKUP("Drawer runners and clip set (550) Dynapro",FurnitureData,5,0),IF(ISERROR(FIND("internal drawer box",A182))=FALSE,VLOOKUP("Drawer runners and clip set (450) Dynapro",FurnitureData,5,0),IF(ISERROR(FIND("table",A182))=FALSE,VLOOKUP("Hairpin Leg (12mm Black "&amp;MID(A182,FIND("(",A182)+1,LEN(A182)-(FIND("(",A182))-1)&amp;"mm)",ExceptionalData,4,FALSE),""))))))</f>
        <v/>
      </c>
      <c r="L182" s="152" t="str">
        <f t="shared" si="3"/>
        <v/>
      </c>
      <c r="M182" s="154" t="str">
        <f>IF(A182="","",IF(AND(ISERROR(FIND("drawer front",A182))=FALSE,WardrobeDoorStyle="Flat"),(((B182/1000)*(C182/1000))*2)+((((B182+C182)/1000)*2)*0.022),IF(AND(ISERROR(FIND("drawer front",A182))=FALSE,LEFT(WardrobeDoorStyle,5)="Panel"),(((B182/1000)*(C182/1000))*2)+((((B182+C182)/1000)*2)*0.022)+((((C182/1000)-0.16)*0.013)*2)+((((D182/1000)-0.16)*0.013)*2),IF(AND(ISERROR(FIND("drawer front",A182))=FALSE,WardrobeDoorStyle="In-frame flat"),((((B182-76)/1000)*((C182-38)/1000))*2)+(MID(WardrobeDoorMaterial,FIND("(",WardrobeDoorMaterial)+1,2)/1000)*((((B182-76)+(C182-38))/1000)*2)+(((B182/1000)*0.032)*2)+((((B182-76)/1000)*0.032)*2)+(((B182/1000)*0.019)*4)+(((C182/1000)*0.032)*2)+((((C182-38)/1000)*0.032)*2)+(((C182/1000)*0.038)*4),IF(AND(ISERROR(FIND("drawer front",A182))=FALSE,LEFT(WardrobeDoorStyle,14)="In-frame panel"),((((B182-76)/1000)*((C182-38)/1000))*2)+((MID(WardrobeDoorMaterial,FIND("(",WardrobeDoorMaterial)+1,2)/1000)*((((B182-76)+(C182-38))/1000)*2))+((((B182-236)/1000)+((C182-198)/1000)*2)*0.013)+(((B182/1000)*0.032)*2)+((((B182-76)/1000)*0.032)*2)+(((B182/1000)*0.019)*4)+(((C182/1000)*0.032)*2)+((((C182-38)/1000)*0.032)*2)+(((C182/1000)*0.038)*4),IF(ISERROR(FIND("drawer box",A182))=FALSE,((((B182/1000)*(D182/1000))+((B182/1000)*(C182/1000)))*4)+((((D182/1000)+(C182/1000))*0.016)*4)+(((C182/1000)*(D182/1000))*2),IF(OR(ISERROR(FIND("shelf",A182))=FALSE,ISERROR(FIND("Filler panel",A182))=FALSE),(((C182/1000)*(D182/1000))*2)+((((C182+D182)*2)/1000)*0.022),IF(ISERROR(FIND("Fireplace",A182))=FALSE,((B182/1000)*(C182/1000)),IF(ISERROR(FIND("Worktop",A182))=FALSE,(B182/1000)*(C182/1000),IF(ISERROR(FIND("table",A182))=FALSE,(B182/1000)*0.6,IF(ISERROR(FIND("arcass",A182))=FALSE,(((C182/1000)*(D182/1000))*2)+(((B182/1000)*(D182/1000))*2)+((B182/1000)*(C182/1000))+((((B182/1000)*0.025)+((C182/1000)*0.025))*2),IF(AND(ISERROR(FIND("door",A182))=FALSE,WardrobeDoorStyle="Flat"),(((B182/1000)*(C182/1000))*2)+(MID(WardrobeDoorMaterial,FIND("(",WardrobeDoorMaterial)+1,2)/1000)*(((B182+C182)/1000)*2),IF(AND(ISERROR(FIND("door",A182))=FALSE,LEFT(WardrobeDoorStyle,5)="Panel"),(((B182/1000)*(C182/1000))*2)+((MID(WardrobeDoorMaterial,FIND("(",WardrobeDoorMaterial)+1,2)/1000)*(((B182+C182)/1000)*2))+(((((B182-160)+(C182-160))*2)/1000)*(0.013)),IF(AND(ISERROR(FIND("door",A182))=FALSE,WardrobeDoorStyle="In-frame flat"),((((B182-76)/1000)*((C182-38)/1000))*2)+(MID(WardrobeDoorMaterial,FIND("(",WardrobeDoorMaterial)+1,2)/1000)*((((B182-76)+(C182-38))/1000)*2)+(((B182/1000)*0.032)*2)+((((B182-76)/1000)*0.032)*2)+(((B182/1000)*0.019)*4)+(((C182/1000)*0.032)*2)+((((C182-38)/1000)*0.032)*2)+(((C182/1000)*0.038)*4),IF(AND(ISERROR(FIND("door",A182))=FALSE,LEFT(WardrobeDoorStyle,14)="In-frame panel"),((((B182-76)/1000)*((C182-38)/1000))*2)+((MID(WardrobeDoorMaterial,FIND("(",WardrobeDoorMaterial)+1,2)/1000)*((((B182-76)+(C182-38))/1000)*2))+((((B182-236)/1000)+((C182-198)/1000)*2)*0.013)+(((B182/1000)*0.032)*2)+((((B182-76)/1000)*0.032)*2)+(((B182/1000)*0.019)*4)+(((C182/1000)*0.032)*2)+((((C182-38)/1000)*0.032)*2)+(((C182/1000)*0.038)*4),IF(ISERROR(FIND("Plinth",A182))=FALSE,((B182/1000)*(C182/1000))+(((C182/1000)*0.018)*2)+(((B182/1000)*0.018)*2),IF(ISERROR(FIND("Cornice",A182))=FALSE,(((C182/1000)*0.1)*2)+(((C182/1000)*0.044)*2)+(((B182/1000)*0.08)*2),IF(ISERROR(FIND("Office pod",A182))=FALSE,((2400/1000)*(1200/1000))*6,IF(ISERROR(FIND("panel",A182))=FALSE,((B182/1000)*(C182/1000))+(0.022*((B182/1000)+((C182/1000)*2)))+((B182/1000)*0.05),IF(ISERROR(FIND("Fillers",A182))=FALSE,((C182/1000)*0.06)+((C182/1000)*0.069)+((0.06*0.018)*2)+((0.06*0.009)*2)+((C182/1000)*0.009)+((C182/1000)*0.018),IF(ISERROR(FIND("Pelmet",A182))=FALSE,((C182/1000)*0.05)+((C182/1000)*0.068)+((0.05*0.018)*4)+(((C182/1000)*0.018))*2)))))))))))))))))))))</f>
        <v/>
      </c>
      <c r="N182" s="152" t="str">
        <f>IF(M182="","",IF(AND(ISERROR(FIND("carcass",A182))=TRUE,ISERROR(FIND("unit",A182))=TRUE,ISERROR(FIND("insert",A182))=TRUE,ISERROR(FIND("rack",A182))=TRUE,ISERROR(FIND("box",A182))=TRUE,ISERROR(FIND("shelf",A182))=TRUE),VLOOKUP(WardrobeDoorFinish,Finishing!$A$2:$K$10,9,0)*M182,IF(ISERROR(FIND("table",A182))=FALSE,VLOOKUP("Sayerlack AF0072 Interior Clear Self-Sealer",FinishingData,9,FALSE)*M182,VLOOKUP(WardrobeCarcassFinish,Finishing!$A$2:$K$40,9,0)*M182)))</f>
        <v/>
      </c>
      <c r="O182" s="155"/>
      <c r="P182" s="155"/>
      <c r="Q182" s="152" t="str">
        <f>IF(OR(O182="",P182=""),"",((O182*X182)*(VLOOKUP("Workshop",Labour!$A$3:$E$20,4,0)/8))+((P182*AE182)*(VLOOKUP("Finishing",Labour!$A$3:$E$20,4,0)/8)))</f>
        <v/>
      </c>
      <c r="R182" s="152" t="str">
        <f t="shared" si="4"/>
        <v/>
      </c>
      <c r="S182" s="156" t="str">
        <f>IF(OR(O182="",P182=""),"",IF(OR(ISERROR(FIND("carcass",$A182))=FALSE,ISERROR(FIND("unit",$A182))=FALSE),VLOOKUP(WardrobeCarcassMaterial,FixedListsCarcassMaterial,2,0),0))</f>
        <v/>
      </c>
      <c r="T182" s="156" t="str">
        <f>IF(OR(O182="",P182=""),"",IF(ISERROR(FIND("door",$A182))=FALSE,VLOOKUP(WardrobeDoorStyle,FixedListsDoorStyle,2,0),0))</f>
        <v/>
      </c>
      <c r="U182" s="156" t="str">
        <f>IF(OR(O182="",P182=""),"",IF(ISERROR(FIND("door",$A182))=FALSE,VLOOKUP(WardrobeDoorMaterial,FixedListsDoorMaterial,2,0),0))</f>
        <v/>
      </c>
      <c r="V182" s="156" t="str">
        <f>IF(OR(O182="",P182=""),"",IF(ISERROR(FIND("drawer",$A182))=FALSE,VLOOKUP(WardrobeDrawerType,FixedListsDrawerType,2,0),0))</f>
        <v/>
      </c>
      <c r="W182" s="156" t="str">
        <f>IF(OR(O182="",P182=""),"",IF(S182&gt;0,VLOOKUP(WardrobeHandleType,FixedListsHandleType,2,FALSE),0))</f>
        <v/>
      </c>
      <c r="X182" s="156" t="str">
        <f t="shared" si="5"/>
        <v/>
      </c>
      <c r="Y182" s="156" t="str">
        <f>IF(OR(O182="",P182=""),"",IF(OR(ISERROR(FIND("carcass",$A182))=FALSE,ISERROR(FIND("unit",$A182))=FALSE),VLOOKUP(WardrobeCarcassMaterial,FixedListsCarcassMaterial,3,0),0))</f>
        <v/>
      </c>
      <c r="Z182" s="156" t="str">
        <f>IF(OR(O182="",P182=""),"",IF(ISERROR(FIND("door",$A182))=FALSE,VLOOKUP(WardrobeDoorStyle,FixedListsDoorStyle,3,0),0))</f>
        <v/>
      </c>
      <c r="AA182" s="156" t="str">
        <f>IF(OR(O182="",P182=""),"",IF(ISERROR(FIND("door",$A182))=FALSE,VLOOKUP(WardrobeDoorMaterial,FixedListsDoorMaterial,3,0),0))</f>
        <v/>
      </c>
      <c r="AB182" s="156" t="str">
        <f>IF(OR(O182="",P182=""),"",IF(ISERROR(FIND("drawer",$A182))=FALSE,VLOOKUP(WardrobeDrawerType,FixedListsDrawerType,3,0),0))</f>
        <v/>
      </c>
      <c r="AC182" s="156" t="str">
        <f>IF(OR(O182="",P182=""),"",IF(S182&gt;0,VLOOKUP(WardrobeHandleType,FixedListsHandleType,3,FALSE),0))</f>
        <v/>
      </c>
      <c r="AD182" s="156" t="str">
        <f>IF(OR(O182="",P182=""),"",IF(OR(ISERROR(FIND("carcass",$A182))=FALSE,ISERROR(FIND("unit",$A182))=FALSE),VLOOKUP(WardrobeCarcassFinish,FixedListsFinishes,3,0),IF(OR(ISERROR(FIND("door",$A182))=FALSE,ISERROR(FIND("Plinth",$A182))=FALSE,ISERROR(FIND("Cornice",$A182))=FALSE,ISERROR(FIND("Fillers",$A182))=FALSE,ISERROR(FIND("Pelmet",$A182))=FALSE,ISERROR(FIND("panel",$A182))=FALSE,ISERROR(FIND("post",$A182))=FALSE),VLOOKUP(WardrobeDoorFinish,FixedListsFinishes,3,0),IF(OR(ISERROR(FIND("drawer",$A182))=FALSE,ISERROR(FIND("insert",$A182))=FALSE,ISERROR(FIND("rck",$A182))=FALSE),VLOOKUP(WardrobeCarcassFinish,FixedListsFinishes,3,0),0))))</f>
        <v/>
      </c>
      <c r="AE182" s="156" t="str">
        <f t="shared" si="6"/>
        <v/>
      </c>
      <c r="AF182" s="157" t="str">
        <f>IF(AND(WardrobeHandleType="Channel",OR(ISERROR(FIND("arcass",$A182))=FALSE,ISERROR(FIND("unit",$A182))=FALSE)),IF(ISERROR(FIND("Tower",$A182))=TRUE,IF(WardrobeHandleFinish="Match carcass",IF(ISERROR(FIND("Walnut",WardrobeCarcassMaterial))=FALSE,(0.035*0.075*($C182/1000))*VLOOKUP("Walnut (solid m3)",SolidData,4,FALSE),IF(ISERROR(FIND("Oak",WardrobeCarcassMaterial))=FALSE,(0.035*0.075*($C182/1000))*VLOOKUP("Oak (solid m3)",SolidData,4,FALSE),IF(ISERROR(FIND("ply",WardrobeCarcassMaterial))=FALSE,(0.1*($C182/1000))*VLOOKUP("Birch ply (24mm)",SheetsData,7,FALSE),IF(ISERROR(FIND("H/F",WardrobeCarcassMaterial))=FALSE,(0.1*($C182/1000))*VLOOKUP("H/F (22mm)",SheetsData,7,FALSE),"Carcass - not tower - new material")))),IF(WardrobeHandleFinish="Match door",IF(ISERROR(FIND("Walnut",WardrobeDoorMaterial))=FALSE,(0.035*0.075*($C182/1000))*VLOOKUP("Walnut (solid m3)",SolidData,4,FALSE),IF(ISERROR(FIND("Oak",WardrobeDoorMaterial))=FALSE,(0.035*0.075*($C182/1000))*VLOOKUP("Oak (solid m3)",SolidData,4,FALSE),IF(ISERROR(FIND("ply",WardrobeDoorMaterial))=FALSE,(0.1*($C182/1000))*VLOOKUP("Birch ply (24mm)",SheetsData,7,FALSE),IF(ISERROR(FIND("H/F",WardrobeCarcassMaterial))=FALSE,(0.1*($C182/1000))*VLOOKUP("H/F (22mm)",SheetsData,7,FALSE),"Door - not tower - new material")))),"Channel - not tower - handle set to other")),IF(ISERROR(FIND("Tower",$A182))=FALSE,IF(WardrobeHandleFinish="Match carcass",IF(ISERROR(FIND("Walnut",WardrobeCarcassMaterial))=FALSE,(0.035*0.075*($B182/1000))*VLOOKUP("Walnut (solid m3)",SolidData,4,FALSE),IF(ISERROR(FIND("Oak",WardrobeCarcassMaterial))=FALSE,(0.035*0.075*($B182/1000))*VLOOKUP("Oak (solid m3)",SolidData,4,FALSE),IF(ISERROR(FIND("ply",WardrobeCarcassMaterial))=FALSE,(0.1*($B182/1000))*VLOOKUP("Birch ply (24mm)",SheetsData,7,FALSE),IF(ISERROR(FIND("H/F",WardrobeCarcassMaterial))=FALSE,(0.1*($C182/1000))*VLOOKUP("H/F (22mm)",SheetsData,7,FALSE),"Carcass - tower - new material")))),IF(WardrobeHandleFinish="Match door",IF(ISERROR(FIND("Walnut",WardrobeDoorMaterial))=FALSE,(0.035*0.075*($B182/1000))*VLOOKUP("Walnut (solid m3)",SolidData,4,FALSE),IF(ISERROR(FIND("Oak",WardrobeDoorMaterial))=FALSE,(0.035*0.075*($B182/1000))*VLOOKUP("Oak (solid m3)",SolidData,4,FALSE),IF(ISERROR(FIND("ply",WardrobeDoorMaterial))=FALSE,(0.1*($B182/1000))*VLOOKUP("Birch ply (24mm)",SheetData,7,FALSE),IF(ISERROR(FIND("H/F",WardrobeCarcassMaterial))=FALSE,(0.1*($C182/1000))*VLOOKUP("H/F (22mm)",SheetsData,7,FALSE),"Door - tower - new material")))),"Channel - tower - handle set to other")))),"")</f>
        <v/>
      </c>
    </row>
    <row r="183">
      <c r="A183" s="150"/>
      <c r="B183" s="160" t="str">
        <f t="shared" si="1"/>
        <v/>
      </c>
      <c r="C183" s="160" t="str">
        <f>IFERROR(__xludf.DUMMYFUNCTION("IF(A183="""","""",IF(ISERROR(FIND(""arcass"",A183))=FALSE,MID(A183,FIND(""*"",A183)+1,FIND(""*"",A183,FIND(""*"",A183)+1)-FIND(""*"",A183)-1),IF(ISERROR(FIND(""End panel"",A183))=FALSE,RIGHT(A183,3),IF(OR(ISERROR(FIND(""drawer"",A183))=FALSE,ISERROR(FIND("&amp;"""door"",A183))=FALSE,ISERROR(FIND(""shelf"",A183))=FALSE,ISERROR(FIND(""panel"",A183))=FALSE,ISERROR(FIND(""Plinth"",A183))=FALSE,ISERROR(FIND(""Cornice"",A183))=FALSE,ISERROR(FIND(""Fillers"",A183))=FALSE,ISERROR(FIND(""Pelmet"",A183))=FALSE,ISERROR(FIN"&amp;"D(""Fireplace up to 1600"",A183))=FALSE),RIGHT(A183,LEN(A183)-LEN(regexextract(A183,"".* ""))),IF(ISERROR(FIND(""table"",A183))=FALSE,""560"",IF(ISERROR(FIND(""Office pod"",A183))=FALSE,""1600"",IF(ISERROR(FIND(""Fireplace over 1600"",A183))=FALSE,""2400"&amp;""",IF(ISERROR(FIND(""Worktop"",A183))=FALSE,""650"",""Whoops""))))))))"),"")</f>
        <v/>
      </c>
      <c r="D183" s="161" t="str">
        <f t="shared" si="2"/>
        <v/>
      </c>
      <c r="E183" s="152" t="str">
        <f>IF(OR(A183="",AND(ISERROR(FIND("drawer",A183))=FALSE,WardrobeDrawerType="")),"",IF(ISERROR(FIND("door",A183))=FALSE,IF(WardrobeDoorStyle="Flat",((B183/1000)*(C183/1000))*VLOOKUP(WardrobeDoorMaterial,SheetsData,8,0),IF(LEFT(WardrobeDoorStyle,5)="Panel",(((((B183/1000)*2)*0.08)+((((C183/1000)-0.16)*2)*0.08))*VLOOKUP("H/F (22mm)",SheetsData,8,0))+(((B183/1000)-0.14)*((C183/1000)-0.14)*VLOOKUP("H/F (9mm)",SheetsData,8,0)),IF(WardrobeDoorStyle="In-frame flat",((((((B183/1000)*0.019)*0.038)+((((C183-38)/1000)*0.038)*0.038))*2)*VLOOKUP("Tulip (solid m3)",SolidData,4,0))+(((B183-76)/1000)*((C183-38)/1000))*VLOOKUP("H/F (22mm)",SheetsData,8,0),IF(LEFT(WardrobeDoorStyle,14)="In-frame panel",(((((((B183/1000)*0.019)*0.038)+((((C183-38)/1000)*0.038)*0.038))*2)*VLOOKUP("Tulip (solid m3)",SolidData,4,0))+(((((((B183-76)/1000)*2)*0.08)+(((((C183-198)/1000)*2)*0.08)))*VLOOKUP("H/F (22mm)",SheetsData,8,0))+(((B183-216)/1000)*((C183-178)/1000)*VLOOKUP("H/F (9mm)",SheetsData,8,0)))))))),IF(AND(ISERROR(FIND("arcass",A183))=FALSE,ISERROR(FIND("ost corner",A183))=TRUE),IF(AND(VALUE(B183)&lt;1211,VALUE(C183)&lt;1211,VALUE(D183)&lt;606),1*VLOOKUP(WardrobeCarcassMaterial,SheetsData,5,FALSE),IF(AND(VALUE(B183)&lt;2421,VALUE(C183)&lt;2421,VALUE(D183)&lt;606),2*VLOOKUP(WardrobeCarcassMaterial,SheetsData,5,FALSE),IF(AND(VALUE(B183)&lt;2421,VALUE(C183)&lt;1211,VALUE(D183)&lt;1211),3*VLOOKUP(WardrobeCarcassMaterial,SheetsData,5,FALSE),IF(AND(VALUE(B183)&lt;2421,VALUE(C183)&lt;2421,VALUE(D183)&lt;1211),4*VLOOKUP(WardrobeCarcassMaterial,SheetsData,5,FALSE))))),IF(AND(ISERROR(FIND("arcass",A183))=FALSE,ISERROR(FIND("ost corner",A183))=FALSE),IF(AND(VALUE(B183)&lt;1211,VALUE(C183)&lt;1211,VALUE(D183)&lt;606),(1*VLOOKUP(WardrobeCarcassMaterial,SheetsData,5,FALSE))+(VLOOKUP("H/F (22mm)",SheetsData,7,FALSE)*1.44),IF(AND(VALUE(B183)&lt;2421,VALUE(C183)&lt;2421,VALUE(D183)&lt;606),(2*VLOOKUP(WardrobeCarcassMaterial,SheetsData,5,FALSE))+(VLOOKUP("H/F (22mm)",SheetsData,7,FALSE)*1.44),IF(AND(VALUE(B183)&lt;2421,VALUE(C183)&lt;1211,VALUE(D183)&lt;1211),(3*VLOOKUP(WardrobeCarcassMaterial,SheetsData,5,FALSE))+(VLOOKUP("H/F (22mm)",SheetsData,7,FALSE)*1.44),IF(AND(VALUE(B183)&lt;2421,VALUE(C183)&lt;2421,VALUE(D183)&lt;1211),(4*VLOOKUP(WardrobeCarcassMaterial,SheetsData,5,FALSE))+(VLOOKUP("H/F (22mm)",SheetsData,7,FALSE)*1.44))))),IF(ISERROR(FIND("drawer front",A183))=FALSE,((B183/1000)*(C183/1000))*VLOOKUP(WardrobeDoorMaterial,SheetsData,8,0),IF(AND(WardrobeDrawerType="Match carcass",ISERROR(FIND("drawer box",A183))=FALSE),(((((B183/1000)*(C183/1000))+((B183/1000)*(D183/1000)))*2)*VLOOKUP(WardrobeCarcassMaterial,SheetsData,8,0))+(((C183/1000)*(D183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box",A183))=FALSE),(((((B183/1000)*(C183/1000))+((B183/1000)*(D183/1000)))*2)*(16/1000)*VLOOKUP(LEFT(WardrobeCarcassMaterial,FIND(" ",WardrobeCarcassMaterial))&amp;"(solid m3)",SolidData,4,0))+(((C183/1000)*(D183/1000))*VLOOKUP(LEFT(WardrobeCarcassMaterial,FIND("(",WardrobeCarcassMaterial)-1)&amp;IF(OR(ISERROR(FIND("ply",WardrobeCarcassMaterial))=FALSE,ISERROR(FIND("H/F",WardrobeCarcassMaterial))=FALSE),"(9mm)","(10mm)"),SheetsData,8,0)),IF(ISERROR(FIND("shelf",A183))=FALSE,((C183/1000)*(D183/1000))*VLOOKUP(WardrobeCarcassMaterial,SheetsData,7,FALSE),IF(ISERROR(FIND("Office pod",A183))=FALSE,3*VLOOKUP(WardrobeCarcassMaterial,SheetsData,5,0),IF(ISERROR(FIND(" panel",A183))=FALSE,((B183/1000)*(C183/1000))*VLOOKUP(WardrobeDoorMaterial,SheetsData,8,0),IF(ISERROR(FIND("Fillers",A183))=FALSE,(((0.06*(C183/1000))*2)*VLOOKUP("H/F (18mm)",SheetsData,8,0))+(((0.06*(C183/1000))*2)*VLOOKUP("H/F (9mm)",SheetsData,8,0)),IF(ISERROR(FIND("Cornice (stacked)",A183))=FALSE,((0.08*(C183/1000))*2)*VLOOKUP("H/F (22mm)",SheetsData,8,0),IF(OR(ISERROR(FIND("Plinth",A183))=FALSE,ISERROR(FIND("Cornice (flat)",A183))=FALSE),((B183/1000)*(C183/1000))*VLOOKUP("H/F (18mm)",SheetsData,8,0),IF(ISERROR(FIND("Pelmet",A183))=FALSE,((((B183/1000)*(C183/1000))*2)*VLOOKUP("H/F (18mm)",SheetsData,8,0)),IF(ISERROR(FIND("Fireplace",A183))=FALSE,IF(ISERROR(FIND("over 1600",A183))=FALSE,2*VLOOKUP(WardrobeCarcassMaterial,SheetsData,5,FALSE),VLOOKUP(WardrobeCarcassMaterial,SheetsData,5,FALSE)),IF(ISERROR(FIND("table",A183))=FALSE,((B183/1000)*0.6)*VLOOKUP("Birch ply (24mm)",SheetsData,7,FALSE),IF(ISERROR(FIND("Worktop",A183))=FALSE,((B183/1000)*(C183/1000))*VLOOKUP(WardrobeDoorMaterial,SheetsData,7,FALSE),"Check formula")))))))))))))))))</f>
        <v/>
      </c>
      <c r="F183" s="152" t="str">
        <f>IFERROR(__xludf.DUMMYFUNCTION("IF(OR(A183="""",AND(ISERROR(FIND(""drawer box"",A183))=FALSE,WardrobeDrawerType=""Solid dovetail"")),"""",IF(ISERROR(FIND(""bins"",A183))=FALSE,VLOOKUP(""Base carcass 600"",Wardrobes_etcData,6,0),IF(OR(ISERROR(FIND(""larder"",A183))=FALSE,ISERROR(FIND(""u"&amp;"nit"",A183))=FALSE),VLOOKUP(LEFT(A183,FIND("" "",A183))&amp;""carcass ""&amp;RIGHT(A183,LEN(A183)-len(regexextract(A183,"".* ""))),Wardrobes_etcData,6,0),IF(ISERROR(FIND(""drawer front"",A183))=FALSE,IF(ISERROR(FIND(""veneer"",WardrobeCarcassMaterial))=TRUE,0,((("&amp;"B183+C183)/1000)*2)*VLOOKUP(""Edge banding (per M)"",SheetsData,5,0)),IF(ISERROR(FIND(""drawer box"",A183))=FALSE,IF(ISERROR(FIND(""veneer"",WardrobeCarcassMaterial))=TRUE,0,(((C183+D183)/1000)*2)*VLOOKUP(""Edge banding (per M)"",SheetsData,5,0)),IF(ISERR"&amp;"OR(FIND(""shelf"",A183))=FALSE,IF(ISERROR(FIND(""veneer"",WardrobeCarcassMaterial))=TRUE,0,(C183/1000)*VLOOKUP(""Edge banding (per M)"",SheetsData,5,0)),IF(AND(OR(ISERROR(FIND(""arcass"",A183))=FALSE,ISERROR(FIND(""Fireplace"",A183))=FALSE),ISERROR(FIND("&amp;"""shelf"",A183))=TRUE),IF(ISERROR(FIND(""veneer"",WardrobeCarcassMaterial))=TRUE,0,((2*(B183+C183))/1000)*VLOOKUP(""Edge banding (per M)"",SheetsData,5,0)),IF(ISERROR(FIND(""door"",A183))=TRUE,"""",IF(ISERROR(FIND(""veneer"",WardrobeDoorMaterial))=TRUE,"""&amp;""",((2*(B183+C183))/1000)*VLOOKUP(""Edge banding (per M)"",SheetsData,5,0))))))))))"),"")</f>
        <v/>
      </c>
      <c r="G183" s="153" t="str">
        <f>IF(A183="","",IF(AND(ISERROR(FIND("arcass",A183))=TRUE,ISERROR(FIND("Fireplace",A183))=TRUE),"",IF(VALUE(C183)&lt;606,4*VLOOKUP("Plinth foot (2 Parts 80mm)",FurnitureData,5,FALSE),IF(VALUE(C183)&lt;1211,6*VLOOKUP("Plinth foot (2 Parts 80mm)",FurnitureData,5,FALSE),8*VLOOKUP("Plinth foot (2 Parts 80mm)",FurnitureData,5,FALSE)))))</f>
        <v/>
      </c>
      <c r="H183" s="115" t="str">
        <f>IF(OR(A183="",ISERROR(FIND("door",A183))=TRUE),"",VLOOKUP("Hinges &amp; plates (Hettich thick door)",FurnitureData,5,0)*5)</f>
        <v/>
      </c>
      <c r="I183" s="115" t="str">
        <f>IF(ISERROR(FIND("shelf",A183))=FALSE,(VLOOKUP("Shelf pegs",FurnitureData,5,0)/100)*4,"")</f>
        <v/>
      </c>
      <c r="J183" s="152" t="str">
        <f>IF(OR(ISERROR(FIND("fridge/freezer",A183))=FALSE,ISERROR(FIND("sink",A183))=FALSE,ISERROR(FIND("larder",A183))=FALSE),VLOOKUP("Deep shelf "&amp;C183,Wardrobes_etcData,18,0),IF(OR(ISERROR(FIND("single oven",A183))=FALSE,ISERROR(FIND("Base carcass",A183))=FALSE),2*VLOOKUP("Deep shelf "&amp;C183,Wardrobes_etcData,18,0),IF(AND(ISERROR(FIND("wall carcass",A183))=FALSE,ISERROR(FIND("Boiler",A183))=TRUE),2*VLOOKUP("Shallow shelf "&amp;C183,Wardrobes_etcData,18,0),IF(ISERROR(FIND("double oven",A183))=FALSE,3*VLOOKUP("Deep shelf "&amp;C183,Wardrobes_etcData,18,0),IF(ISERROR(FIND("Tower carcass",A183))=FALSE,6*VLOOKUP("Deep shelf "&amp;C183,Wardrobes_etcData,18,0),"")))))</f>
        <v/>
      </c>
      <c r="K183" s="152" t="str">
        <f>IF(ISERROR(FIND("sink",A183))=FALSE,VLOOKUP("Sink liner - Aluminium "&amp;RIGHT(A183,LEN(A183)-22)&amp;"mm",ExceptionalData,5,0),IF(ISERROR(FIND("bins",A183))=FALSE,VLOOKUP("Drawer runners and clip set for bin unit (500) Dynapro",FurnitureData,5,0)+(2*VLOOKUP("Bin (42L Anthracite)",FurnitureData,5,0)),IF(ISERROR(FIND("larder",A183))=FALSE,VLOOKUP("Pull out larder unit 600mm",FurnitureData,5,0),IF(AND(ISERROR(FIND("drawer box",A183))=FALSE,ISERROR(FIND("internal",A183))=TRUE),VLOOKUP("Drawer runners and clip set (550) Dynapro",FurnitureData,5,0),IF(ISERROR(FIND("internal drawer box",A183))=FALSE,VLOOKUP("Drawer runners and clip set (450) Dynapro",FurnitureData,5,0),IF(ISERROR(FIND("table",A183))=FALSE,VLOOKUP("Hairpin Leg (12mm Black "&amp;MID(A183,FIND("(",A183)+1,LEN(A183)-(FIND("(",A183))-1)&amp;"mm)",ExceptionalData,4,FALSE),""))))))</f>
        <v/>
      </c>
      <c r="L183" s="152" t="str">
        <f t="shared" si="3"/>
        <v/>
      </c>
      <c r="M183" s="154" t="str">
        <f>IF(A183="","",IF(AND(ISERROR(FIND("drawer front",A183))=FALSE,WardrobeDoorStyle="Flat"),(((B183/1000)*(C183/1000))*2)+((((B183+C183)/1000)*2)*0.022),IF(AND(ISERROR(FIND("drawer front",A183))=FALSE,LEFT(WardrobeDoorStyle,5)="Panel"),(((B183/1000)*(C183/1000))*2)+((((B183+C183)/1000)*2)*0.022)+((((C183/1000)-0.16)*0.013)*2)+((((D183/1000)-0.16)*0.013)*2),IF(AND(ISERROR(FIND("drawer front",A183))=FALSE,WardrobeDoorStyle="In-frame flat"),((((B183-76)/1000)*((C183-38)/1000))*2)+(MID(WardrobeDoorMaterial,FIND("(",WardrobeDoorMaterial)+1,2)/1000)*((((B183-76)+(C183-38))/1000)*2)+(((B183/1000)*0.032)*2)+((((B183-76)/1000)*0.032)*2)+(((B183/1000)*0.019)*4)+(((C183/1000)*0.032)*2)+((((C183-38)/1000)*0.032)*2)+(((C183/1000)*0.038)*4),IF(AND(ISERROR(FIND("drawer front",A183))=FALSE,LEFT(WardrobeDoorStyle,14)="In-frame panel"),((((B183-76)/1000)*((C183-38)/1000))*2)+((MID(WardrobeDoorMaterial,FIND("(",WardrobeDoorMaterial)+1,2)/1000)*((((B183-76)+(C183-38))/1000)*2))+((((B183-236)/1000)+((C183-198)/1000)*2)*0.013)+(((B183/1000)*0.032)*2)+((((B183-76)/1000)*0.032)*2)+(((B183/1000)*0.019)*4)+(((C183/1000)*0.032)*2)+((((C183-38)/1000)*0.032)*2)+(((C183/1000)*0.038)*4),IF(ISERROR(FIND("drawer box",A183))=FALSE,((((B183/1000)*(D183/1000))+((B183/1000)*(C183/1000)))*4)+((((D183/1000)+(C183/1000))*0.016)*4)+(((C183/1000)*(D183/1000))*2),IF(OR(ISERROR(FIND("shelf",A183))=FALSE,ISERROR(FIND("Filler panel",A183))=FALSE),(((C183/1000)*(D183/1000))*2)+((((C183+D183)*2)/1000)*0.022),IF(ISERROR(FIND("Fireplace",A183))=FALSE,((B183/1000)*(C183/1000)),IF(ISERROR(FIND("Worktop",A183))=FALSE,(B183/1000)*(C183/1000),IF(ISERROR(FIND("table",A183))=FALSE,(B183/1000)*0.6,IF(ISERROR(FIND("arcass",A183))=FALSE,(((C183/1000)*(D183/1000))*2)+(((B183/1000)*(D183/1000))*2)+((B183/1000)*(C183/1000))+((((B183/1000)*0.025)+((C183/1000)*0.025))*2),IF(AND(ISERROR(FIND("door",A183))=FALSE,WardrobeDoorStyle="Flat"),(((B183/1000)*(C183/1000))*2)+(MID(WardrobeDoorMaterial,FIND("(",WardrobeDoorMaterial)+1,2)/1000)*(((B183+C183)/1000)*2),IF(AND(ISERROR(FIND("door",A183))=FALSE,LEFT(WardrobeDoorStyle,5)="Panel"),(((B183/1000)*(C183/1000))*2)+((MID(WardrobeDoorMaterial,FIND("(",WardrobeDoorMaterial)+1,2)/1000)*(((B183+C183)/1000)*2))+(((((B183-160)+(C183-160))*2)/1000)*(0.013)),IF(AND(ISERROR(FIND("door",A183))=FALSE,WardrobeDoorStyle="In-frame flat"),((((B183-76)/1000)*((C183-38)/1000))*2)+(MID(WardrobeDoorMaterial,FIND("(",WardrobeDoorMaterial)+1,2)/1000)*((((B183-76)+(C183-38))/1000)*2)+(((B183/1000)*0.032)*2)+((((B183-76)/1000)*0.032)*2)+(((B183/1000)*0.019)*4)+(((C183/1000)*0.032)*2)+((((C183-38)/1000)*0.032)*2)+(((C183/1000)*0.038)*4),IF(AND(ISERROR(FIND("door",A183))=FALSE,LEFT(WardrobeDoorStyle,14)="In-frame panel"),((((B183-76)/1000)*((C183-38)/1000))*2)+((MID(WardrobeDoorMaterial,FIND("(",WardrobeDoorMaterial)+1,2)/1000)*((((B183-76)+(C183-38))/1000)*2))+((((B183-236)/1000)+((C183-198)/1000)*2)*0.013)+(((B183/1000)*0.032)*2)+((((B183-76)/1000)*0.032)*2)+(((B183/1000)*0.019)*4)+(((C183/1000)*0.032)*2)+((((C183-38)/1000)*0.032)*2)+(((C183/1000)*0.038)*4),IF(ISERROR(FIND("Plinth",A183))=FALSE,((B183/1000)*(C183/1000))+(((C183/1000)*0.018)*2)+(((B183/1000)*0.018)*2),IF(ISERROR(FIND("Cornice",A183))=FALSE,(((C183/1000)*0.1)*2)+(((C183/1000)*0.044)*2)+(((B183/1000)*0.08)*2),IF(ISERROR(FIND("Office pod",A183))=FALSE,((2400/1000)*(1200/1000))*6,IF(ISERROR(FIND("panel",A183))=FALSE,((B183/1000)*(C183/1000))+(0.022*((B183/1000)+((C183/1000)*2)))+((B183/1000)*0.05),IF(ISERROR(FIND("Fillers",A183))=FALSE,((C183/1000)*0.06)+((C183/1000)*0.069)+((0.06*0.018)*2)+((0.06*0.009)*2)+((C183/1000)*0.009)+((C183/1000)*0.018),IF(ISERROR(FIND("Pelmet",A183))=FALSE,((C183/1000)*0.05)+((C183/1000)*0.068)+((0.05*0.018)*4)+(((C183/1000)*0.018))*2)))))))))))))))))))))</f>
        <v/>
      </c>
      <c r="N183" s="152" t="str">
        <f>IF(M183="","",IF(AND(ISERROR(FIND("carcass",A183))=TRUE,ISERROR(FIND("unit",A183))=TRUE,ISERROR(FIND("insert",A183))=TRUE,ISERROR(FIND("rack",A183))=TRUE,ISERROR(FIND("box",A183))=TRUE,ISERROR(FIND("shelf",A183))=TRUE),VLOOKUP(WardrobeDoorFinish,Finishing!$A$2:$K$10,9,0)*M183,IF(ISERROR(FIND("table",A183))=FALSE,VLOOKUP("Sayerlack AF0072 Interior Clear Self-Sealer",FinishingData,9,FALSE)*M183,VLOOKUP(WardrobeCarcassFinish,Finishing!$A$2:$K$40,9,0)*M183)))</f>
        <v/>
      </c>
      <c r="O183" s="155"/>
      <c r="P183" s="155"/>
      <c r="Q183" s="152" t="str">
        <f>IF(OR(O183="",P183=""),"",((O183*X183)*(VLOOKUP("Workshop",Labour!$A$3:$E$20,4,0)/8))+((P183*AE183)*(VLOOKUP("Finishing",Labour!$A$3:$E$20,4,0)/8)))</f>
        <v/>
      </c>
      <c r="R183" s="152" t="str">
        <f t="shared" si="4"/>
        <v/>
      </c>
      <c r="S183" s="156" t="str">
        <f>IF(OR(O183="",P183=""),"",IF(OR(ISERROR(FIND("carcass",$A183))=FALSE,ISERROR(FIND("unit",$A183))=FALSE),VLOOKUP(WardrobeCarcassMaterial,FixedListsCarcassMaterial,2,0),0))</f>
        <v/>
      </c>
      <c r="T183" s="156" t="str">
        <f>IF(OR(O183="",P183=""),"",IF(ISERROR(FIND("door",$A183))=FALSE,VLOOKUP(WardrobeDoorStyle,FixedListsDoorStyle,2,0),0))</f>
        <v/>
      </c>
      <c r="U183" s="156" t="str">
        <f>IF(OR(O183="",P183=""),"",IF(ISERROR(FIND("door",$A183))=FALSE,VLOOKUP(WardrobeDoorMaterial,FixedListsDoorMaterial,2,0),0))</f>
        <v/>
      </c>
      <c r="V183" s="156" t="str">
        <f>IF(OR(O183="",P183=""),"",IF(ISERROR(FIND("drawer",$A183))=FALSE,VLOOKUP(WardrobeDrawerType,FixedListsDrawerType,2,0),0))</f>
        <v/>
      </c>
      <c r="W183" s="156" t="str">
        <f>IF(OR(O183="",P183=""),"",IF(S183&gt;0,VLOOKUP(WardrobeHandleType,FixedListsHandleType,2,FALSE),0))</f>
        <v/>
      </c>
      <c r="X183" s="156" t="str">
        <f t="shared" si="5"/>
        <v/>
      </c>
      <c r="Y183" s="156" t="str">
        <f>IF(OR(O183="",P183=""),"",IF(OR(ISERROR(FIND("carcass",$A183))=FALSE,ISERROR(FIND("unit",$A183))=FALSE),VLOOKUP(WardrobeCarcassMaterial,FixedListsCarcassMaterial,3,0),0))</f>
        <v/>
      </c>
      <c r="Z183" s="156" t="str">
        <f>IF(OR(O183="",P183=""),"",IF(ISERROR(FIND("door",$A183))=FALSE,VLOOKUP(WardrobeDoorStyle,FixedListsDoorStyle,3,0),0))</f>
        <v/>
      </c>
      <c r="AA183" s="156" t="str">
        <f>IF(OR(O183="",P183=""),"",IF(ISERROR(FIND("door",$A183))=FALSE,VLOOKUP(WardrobeDoorMaterial,FixedListsDoorMaterial,3,0),0))</f>
        <v/>
      </c>
      <c r="AB183" s="156" t="str">
        <f>IF(OR(O183="",P183=""),"",IF(ISERROR(FIND("drawer",$A183))=FALSE,VLOOKUP(WardrobeDrawerType,FixedListsDrawerType,3,0),0))</f>
        <v/>
      </c>
      <c r="AC183" s="156" t="str">
        <f>IF(OR(O183="",P183=""),"",IF(S183&gt;0,VLOOKUP(WardrobeHandleType,FixedListsHandleType,3,FALSE),0))</f>
        <v/>
      </c>
      <c r="AD183" s="156" t="str">
        <f>IF(OR(O183="",P183=""),"",IF(OR(ISERROR(FIND("carcass",$A183))=FALSE,ISERROR(FIND("unit",$A183))=FALSE),VLOOKUP(WardrobeCarcassFinish,FixedListsFinishes,3,0),IF(OR(ISERROR(FIND("door",$A183))=FALSE,ISERROR(FIND("Plinth",$A183))=FALSE,ISERROR(FIND("Cornice",$A183))=FALSE,ISERROR(FIND("Fillers",$A183))=FALSE,ISERROR(FIND("Pelmet",$A183))=FALSE,ISERROR(FIND("panel",$A183))=FALSE,ISERROR(FIND("post",$A183))=FALSE),VLOOKUP(WardrobeDoorFinish,FixedListsFinishes,3,0),IF(OR(ISERROR(FIND("drawer",$A183))=FALSE,ISERROR(FIND("insert",$A183))=FALSE,ISERROR(FIND("rck",$A183))=FALSE),VLOOKUP(WardrobeCarcassFinish,FixedListsFinishes,3,0),0))))</f>
        <v/>
      </c>
      <c r="AE183" s="156" t="str">
        <f t="shared" si="6"/>
        <v/>
      </c>
      <c r="AF183" s="157" t="str">
        <f>IF(AND(WardrobeHandleType="Channel",OR(ISERROR(FIND("arcass",$A183))=FALSE,ISERROR(FIND("unit",$A183))=FALSE)),IF(ISERROR(FIND("Tower",$A183))=TRUE,IF(WardrobeHandleFinish="Match carcass",IF(ISERROR(FIND("Walnut",WardrobeCarcassMaterial))=FALSE,(0.035*0.075*($C183/1000))*VLOOKUP("Walnut (solid m3)",SolidData,4,FALSE),IF(ISERROR(FIND("Oak",WardrobeCarcassMaterial))=FALSE,(0.035*0.075*($C183/1000))*VLOOKUP("Oak (solid m3)",SolidData,4,FALSE),IF(ISERROR(FIND("ply",WardrobeCarcassMaterial))=FALSE,(0.1*($C183/1000))*VLOOKUP("Birch ply (24mm)",SheetsData,7,FALSE),IF(ISERROR(FIND("H/F",WardrobeCarcassMaterial))=FALSE,(0.1*($C183/1000))*VLOOKUP("H/F (22mm)",SheetsData,7,FALSE),"Carcass - not tower - new material")))),IF(WardrobeHandleFinish="Match door",IF(ISERROR(FIND("Walnut",WardrobeDoorMaterial))=FALSE,(0.035*0.075*($C183/1000))*VLOOKUP("Walnut (solid m3)",SolidData,4,FALSE),IF(ISERROR(FIND("Oak",WardrobeDoorMaterial))=FALSE,(0.035*0.075*($C183/1000))*VLOOKUP("Oak (solid m3)",SolidData,4,FALSE),IF(ISERROR(FIND("ply",WardrobeDoorMaterial))=FALSE,(0.1*($C183/1000))*VLOOKUP("Birch ply (24mm)",SheetsData,7,FALSE),IF(ISERROR(FIND("H/F",WardrobeCarcassMaterial))=FALSE,(0.1*($C183/1000))*VLOOKUP("H/F (22mm)",SheetsData,7,FALSE),"Door - not tower - new material")))),"Channel - not tower - handle set to other")),IF(ISERROR(FIND("Tower",$A183))=FALSE,IF(WardrobeHandleFinish="Match carcass",IF(ISERROR(FIND("Walnut",WardrobeCarcassMaterial))=FALSE,(0.035*0.075*($B183/1000))*VLOOKUP("Walnut (solid m3)",SolidData,4,FALSE),IF(ISERROR(FIND("Oak",WardrobeCarcassMaterial))=FALSE,(0.035*0.075*($B183/1000))*VLOOKUP("Oak (solid m3)",SolidData,4,FALSE),IF(ISERROR(FIND("ply",WardrobeCarcassMaterial))=FALSE,(0.1*($B183/1000))*VLOOKUP("Birch ply (24mm)",SheetsData,7,FALSE),IF(ISERROR(FIND("H/F",WardrobeCarcassMaterial))=FALSE,(0.1*($C183/1000))*VLOOKUP("H/F (22mm)",SheetsData,7,FALSE),"Carcass - tower - new material")))),IF(WardrobeHandleFinish="Match door",IF(ISERROR(FIND("Walnut",WardrobeDoorMaterial))=FALSE,(0.035*0.075*($B183/1000))*VLOOKUP("Walnut (solid m3)",SolidData,4,FALSE),IF(ISERROR(FIND("Oak",WardrobeDoorMaterial))=FALSE,(0.035*0.075*($B183/1000))*VLOOKUP("Oak (solid m3)",SolidData,4,FALSE),IF(ISERROR(FIND("ply",WardrobeDoorMaterial))=FALSE,(0.1*($B183/1000))*VLOOKUP("Birch ply (24mm)",SheetData,7,FALSE),IF(ISERROR(FIND("H/F",WardrobeCarcassMaterial))=FALSE,(0.1*($C183/1000))*VLOOKUP("H/F (22mm)",SheetsData,7,FALSE),"Door - tower - new material")))),"Channel - tower - handle set to other")))),"")</f>
        <v/>
      </c>
    </row>
    <row r="184">
      <c r="A184" s="150"/>
      <c r="B184" s="160" t="str">
        <f t="shared" si="1"/>
        <v/>
      </c>
      <c r="C184" s="160" t="str">
        <f>IFERROR(__xludf.DUMMYFUNCTION("IF(A184="""","""",IF(ISERROR(FIND(""arcass"",A184))=FALSE,MID(A184,FIND(""*"",A184)+1,FIND(""*"",A184,FIND(""*"",A184)+1)-FIND(""*"",A184)-1),IF(ISERROR(FIND(""End panel"",A184))=FALSE,RIGHT(A184,3),IF(OR(ISERROR(FIND(""drawer"",A184))=FALSE,ISERROR(FIND("&amp;"""door"",A184))=FALSE,ISERROR(FIND(""shelf"",A184))=FALSE,ISERROR(FIND(""panel"",A184))=FALSE,ISERROR(FIND(""Plinth"",A184))=FALSE,ISERROR(FIND(""Cornice"",A184))=FALSE,ISERROR(FIND(""Fillers"",A184))=FALSE,ISERROR(FIND(""Pelmet"",A184))=FALSE,ISERROR(FIN"&amp;"D(""Fireplace up to 1600"",A184))=FALSE),RIGHT(A184,LEN(A184)-LEN(regexextract(A184,"".* ""))),IF(ISERROR(FIND(""table"",A184))=FALSE,""560"",IF(ISERROR(FIND(""Office pod"",A184))=FALSE,""1600"",IF(ISERROR(FIND(""Fireplace over 1600"",A184))=FALSE,""2400"&amp;""",IF(ISERROR(FIND(""Worktop"",A184))=FALSE,""650"",""Whoops""))))))))"),"")</f>
        <v/>
      </c>
      <c r="D184" s="161" t="str">
        <f t="shared" si="2"/>
        <v/>
      </c>
      <c r="E184" s="152" t="str">
        <f>IF(OR(A184="",AND(ISERROR(FIND("drawer",A184))=FALSE,WardrobeDrawerType="")),"",IF(ISERROR(FIND("door",A184))=FALSE,IF(WardrobeDoorStyle="Flat",((B184/1000)*(C184/1000))*VLOOKUP(WardrobeDoorMaterial,SheetsData,8,0),IF(LEFT(WardrobeDoorStyle,5)="Panel",(((((B184/1000)*2)*0.08)+((((C184/1000)-0.16)*2)*0.08))*VLOOKUP("H/F (22mm)",SheetsData,8,0))+(((B184/1000)-0.14)*((C184/1000)-0.14)*VLOOKUP("H/F (9mm)",SheetsData,8,0)),IF(WardrobeDoorStyle="In-frame flat",((((((B184/1000)*0.019)*0.038)+((((C184-38)/1000)*0.038)*0.038))*2)*VLOOKUP("Tulip (solid m3)",SolidData,4,0))+(((B184-76)/1000)*((C184-38)/1000))*VLOOKUP("H/F (22mm)",SheetsData,8,0),IF(LEFT(WardrobeDoorStyle,14)="In-frame panel",(((((((B184/1000)*0.019)*0.038)+((((C184-38)/1000)*0.038)*0.038))*2)*VLOOKUP("Tulip (solid m3)",SolidData,4,0))+(((((((B184-76)/1000)*2)*0.08)+(((((C184-198)/1000)*2)*0.08)))*VLOOKUP("H/F (22mm)",SheetsData,8,0))+(((B184-216)/1000)*((C184-178)/1000)*VLOOKUP("H/F (9mm)",SheetsData,8,0)))))))),IF(AND(ISERROR(FIND("arcass",A184))=FALSE,ISERROR(FIND("ost corner",A184))=TRUE),IF(AND(VALUE(B184)&lt;1211,VALUE(C184)&lt;1211,VALUE(D184)&lt;606),1*VLOOKUP(WardrobeCarcassMaterial,SheetsData,5,FALSE),IF(AND(VALUE(B184)&lt;2421,VALUE(C184)&lt;2421,VALUE(D184)&lt;606),2*VLOOKUP(WardrobeCarcassMaterial,SheetsData,5,FALSE),IF(AND(VALUE(B184)&lt;2421,VALUE(C184)&lt;1211,VALUE(D184)&lt;1211),3*VLOOKUP(WardrobeCarcassMaterial,SheetsData,5,FALSE),IF(AND(VALUE(B184)&lt;2421,VALUE(C184)&lt;2421,VALUE(D184)&lt;1211),4*VLOOKUP(WardrobeCarcassMaterial,SheetsData,5,FALSE))))),IF(AND(ISERROR(FIND("arcass",A184))=FALSE,ISERROR(FIND("ost corner",A184))=FALSE),IF(AND(VALUE(B184)&lt;1211,VALUE(C184)&lt;1211,VALUE(D184)&lt;606),(1*VLOOKUP(WardrobeCarcassMaterial,SheetsData,5,FALSE))+(VLOOKUP("H/F (22mm)",SheetsData,7,FALSE)*1.44),IF(AND(VALUE(B184)&lt;2421,VALUE(C184)&lt;2421,VALUE(D184)&lt;606),(2*VLOOKUP(WardrobeCarcassMaterial,SheetsData,5,FALSE))+(VLOOKUP("H/F (22mm)",SheetsData,7,FALSE)*1.44),IF(AND(VALUE(B184)&lt;2421,VALUE(C184)&lt;1211,VALUE(D184)&lt;1211),(3*VLOOKUP(WardrobeCarcassMaterial,SheetsData,5,FALSE))+(VLOOKUP("H/F (22mm)",SheetsData,7,FALSE)*1.44),IF(AND(VALUE(B184)&lt;2421,VALUE(C184)&lt;2421,VALUE(D184)&lt;1211),(4*VLOOKUP(WardrobeCarcassMaterial,SheetsData,5,FALSE))+(VLOOKUP("H/F (22mm)",SheetsData,7,FALSE)*1.44))))),IF(ISERROR(FIND("drawer front",A184))=FALSE,((B184/1000)*(C184/1000))*VLOOKUP(WardrobeDoorMaterial,SheetsData,8,0),IF(AND(WardrobeDrawerType="Match carcass",ISERROR(FIND("drawer box",A184))=FALSE),(((((B184/1000)*(C184/1000))+((B184/1000)*(D184/1000)))*2)*VLOOKUP(WardrobeCarcassMaterial,SheetsData,8,0))+(((C184/1000)*(D184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box",A184))=FALSE),(((((B184/1000)*(C184/1000))+((B184/1000)*(D184/1000)))*2)*(16/1000)*VLOOKUP(LEFT(WardrobeCarcassMaterial,FIND(" ",WardrobeCarcassMaterial))&amp;"(solid m3)",SolidData,4,0))+(((C184/1000)*(D184/1000))*VLOOKUP(LEFT(WardrobeCarcassMaterial,FIND("(",WardrobeCarcassMaterial)-1)&amp;IF(OR(ISERROR(FIND("ply",WardrobeCarcassMaterial))=FALSE,ISERROR(FIND("H/F",WardrobeCarcassMaterial))=FALSE),"(9mm)","(10mm)"),SheetsData,8,0)),IF(ISERROR(FIND("shelf",A184))=FALSE,((C184/1000)*(D184/1000))*VLOOKUP(WardrobeCarcassMaterial,SheetsData,7,FALSE),IF(ISERROR(FIND("Office pod",A184))=FALSE,3*VLOOKUP(WardrobeCarcassMaterial,SheetsData,5,0),IF(ISERROR(FIND(" panel",A184))=FALSE,((B184/1000)*(C184/1000))*VLOOKUP(WardrobeDoorMaterial,SheetsData,8,0),IF(ISERROR(FIND("Fillers",A184))=FALSE,(((0.06*(C184/1000))*2)*VLOOKUP("H/F (18mm)",SheetsData,8,0))+(((0.06*(C184/1000))*2)*VLOOKUP("H/F (9mm)",SheetsData,8,0)),IF(ISERROR(FIND("Cornice (stacked)",A184))=FALSE,((0.08*(C184/1000))*2)*VLOOKUP("H/F (22mm)",SheetsData,8,0),IF(OR(ISERROR(FIND("Plinth",A184))=FALSE,ISERROR(FIND("Cornice (flat)",A184))=FALSE),((B184/1000)*(C184/1000))*VLOOKUP("H/F (18mm)",SheetsData,8,0),IF(ISERROR(FIND("Pelmet",A184))=FALSE,((((B184/1000)*(C184/1000))*2)*VLOOKUP("H/F (18mm)",SheetsData,8,0)),IF(ISERROR(FIND("Fireplace",A184))=FALSE,IF(ISERROR(FIND("over 1600",A184))=FALSE,2*VLOOKUP(WardrobeCarcassMaterial,SheetsData,5,FALSE),VLOOKUP(WardrobeCarcassMaterial,SheetsData,5,FALSE)),IF(ISERROR(FIND("table",A184))=FALSE,((B184/1000)*0.6)*VLOOKUP("Birch ply (24mm)",SheetsData,7,FALSE),IF(ISERROR(FIND("Worktop",A184))=FALSE,((B184/1000)*(C184/1000))*VLOOKUP(WardrobeDoorMaterial,SheetsData,7,FALSE),"Check formula")))))))))))))))))</f>
        <v/>
      </c>
      <c r="F184" s="152" t="str">
        <f>IFERROR(__xludf.DUMMYFUNCTION("IF(OR(A184="""",AND(ISERROR(FIND(""drawer box"",A184))=FALSE,WardrobeDrawerType=""Solid dovetail"")),"""",IF(ISERROR(FIND(""bins"",A184))=FALSE,VLOOKUP(""Base carcass 600"",Wardrobes_etcData,6,0),IF(OR(ISERROR(FIND(""larder"",A184))=FALSE,ISERROR(FIND(""u"&amp;"nit"",A184))=FALSE),VLOOKUP(LEFT(A184,FIND("" "",A184))&amp;""carcass ""&amp;RIGHT(A184,LEN(A184)-len(regexextract(A184,"".* ""))),Wardrobes_etcData,6,0),IF(ISERROR(FIND(""drawer front"",A184))=FALSE,IF(ISERROR(FIND(""veneer"",WardrobeCarcassMaterial))=TRUE,0,((("&amp;"B184+C184)/1000)*2)*VLOOKUP(""Edge banding (per M)"",SheetsData,5,0)),IF(ISERROR(FIND(""drawer box"",A184))=FALSE,IF(ISERROR(FIND(""veneer"",WardrobeCarcassMaterial))=TRUE,0,(((C184+D184)/1000)*2)*VLOOKUP(""Edge banding (per M)"",SheetsData,5,0)),IF(ISERR"&amp;"OR(FIND(""shelf"",A184))=FALSE,IF(ISERROR(FIND(""veneer"",WardrobeCarcassMaterial))=TRUE,0,(C184/1000)*VLOOKUP(""Edge banding (per M)"",SheetsData,5,0)),IF(AND(OR(ISERROR(FIND(""arcass"",A184))=FALSE,ISERROR(FIND(""Fireplace"",A184))=FALSE),ISERROR(FIND("&amp;"""shelf"",A184))=TRUE),IF(ISERROR(FIND(""veneer"",WardrobeCarcassMaterial))=TRUE,0,((2*(B184+C184))/1000)*VLOOKUP(""Edge banding (per M)"",SheetsData,5,0)),IF(ISERROR(FIND(""door"",A184))=TRUE,"""",IF(ISERROR(FIND(""veneer"",WardrobeDoorMaterial))=TRUE,"""&amp;""",((2*(B184+C184))/1000)*VLOOKUP(""Edge banding (per M)"",SheetsData,5,0))))))))))"),"")</f>
        <v/>
      </c>
      <c r="G184" s="153" t="str">
        <f>IF(A184="","",IF(AND(ISERROR(FIND("arcass",A184))=TRUE,ISERROR(FIND("Fireplace",A184))=TRUE),"",IF(VALUE(C184)&lt;606,4*VLOOKUP("Plinth foot (2 Parts 80mm)",FurnitureData,5,FALSE),IF(VALUE(C184)&lt;1211,6*VLOOKUP("Plinth foot (2 Parts 80mm)",FurnitureData,5,FALSE),8*VLOOKUP("Plinth foot (2 Parts 80mm)",FurnitureData,5,FALSE)))))</f>
        <v/>
      </c>
      <c r="H184" s="115" t="str">
        <f>IF(OR(A184="",ISERROR(FIND("door",A184))=TRUE),"",VLOOKUP("Hinges &amp; plates (Hettich thick door)",FurnitureData,5,0)*5)</f>
        <v/>
      </c>
      <c r="I184" s="115" t="str">
        <f>IF(ISERROR(FIND("shelf",A184))=FALSE,(VLOOKUP("Shelf pegs",FurnitureData,5,0)/100)*4,"")</f>
        <v/>
      </c>
      <c r="J184" s="152" t="str">
        <f>IF(OR(ISERROR(FIND("fridge/freezer",A184))=FALSE,ISERROR(FIND("sink",A184))=FALSE,ISERROR(FIND("larder",A184))=FALSE),VLOOKUP("Deep shelf "&amp;C184,Wardrobes_etcData,18,0),IF(OR(ISERROR(FIND("single oven",A184))=FALSE,ISERROR(FIND("Base carcass",A184))=FALSE),2*VLOOKUP("Deep shelf "&amp;C184,Wardrobes_etcData,18,0),IF(AND(ISERROR(FIND("wall carcass",A184))=FALSE,ISERROR(FIND("Boiler",A184))=TRUE),2*VLOOKUP("Shallow shelf "&amp;C184,Wardrobes_etcData,18,0),IF(ISERROR(FIND("double oven",A184))=FALSE,3*VLOOKUP("Deep shelf "&amp;C184,Wardrobes_etcData,18,0),IF(ISERROR(FIND("Tower carcass",A184))=FALSE,6*VLOOKUP("Deep shelf "&amp;C184,Wardrobes_etcData,18,0),"")))))</f>
        <v/>
      </c>
      <c r="K184" s="152" t="str">
        <f>IF(ISERROR(FIND("sink",A184))=FALSE,VLOOKUP("Sink liner - Aluminium "&amp;RIGHT(A184,LEN(A184)-22)&amp;"mm",ExceptionalData,5,0),IF(ISERROR(FIND("bins",A184))=FALSE,VLOOKUP("Drawer runners and clip set for bin unit (500) Dynapro",FurnitureData,5,0)+(2*VLOOKUP("Bin (42L Anthracite)",FurnitureData,5,0)),IF(ISERROR(FIND("larder",A184))=FALSE,VLOOKUP("Pull out larder unit 600mm",FurnitureData,5,0),IF(AND(ISERROR(FIND("drawer box",A184))=FALSE,ISERROR(FIND("internal",A184))=TRUE),VLOOKUP("Drawer runners and clip set (550) Dynapro",FurnitureData,5,0),IF(ISERROR(FIND("internal drawer box",A184))=FALSE,VLOOKUP("Drawer runners and clip set (450) Dynapro",FurnitureData,5,0),IF(ISERROR(FIND("table",A184))=FALSE,VLOOKUP("Hairpin Leg (12mm Black "&amp;MID(A184,FIND("(",A184)+1,LEN(A184)-(FIND("(",A184))-1)&amp;"mm)",ExceptionalData,4,FALSE),""))))))</f>
        <v/>
      </c>
      <c r="L184" s="152" t="str">
        <f t="shared" si="3"/>
        <v/>
      </c>
      <c r="M184" s="154" t="str">
        <f>IF(A184="","",IF(AND(ISERROR(FIND("drawer front",A184))=FALSE,WardrobeDoorStyle="Flat"),(((B184/1000)*(C184/1000))*2)+((((B184+C184)/1000)*2)*0.022),IF(AND(ISERROR(FIND("drawer front",A184))=FALSE,LEFT(WardrobeDoorStyle,5)="Panel"),(((B184/1000)*(C184/1000))*2)+((((B184+C184)/1000)*2)*0.022)+((((C184/1000)-0.16)*0.013)*2)+((((D184/1000)-0.16)*0.013)*2),IF(AND(ISERROR(FIND("drawer front",A184))=FALSE,WardrobeDoorStyle="In-frame flat"),((((B184-76)/1000)*((C184-38)/1000))*2)+(MID(WardrobeDoorMaterial,FIND("(",WardrobeDoorMaterial)+1,2)/1000)*((((B184-76)+(C184-38))/1000)*2)+(((B184/1000)*0.032)*2)+((((B184-76)/1000)*0.032)*2)+(((B184/1000)*0.019)*4)+(((C184/1000)*0.032)*2)+((((C184-38)/1000)*0.032)*2)+(((C184/1000)*0.038)*4),IF(AND(ISERROR(FIND("drawer front",A184))=FALSE,LEFT(WardrobeDoorStyle,14)="In-frame panel"),((((B184-76)/1000)*((C184-38)/1000))*2)+((MID(WardrobeDoorMaterial,FIND("(",WardrobeDoorMaterial)+1,2)/1000)*((((B184-76)+(C184-38))/1000)*2))+((((B184-236)/1000)+((C184-198)/1000)*2)*0.013)+(((B184/1000)*0.032)*2)+((((B184-76)/1000)*0.032)*2)+(((B184/1000)*0.019)*4)+(((C184/1000)*0.032)*2)+((((C184-38)/1000)*0.032)*2)+(((C184/1000)*0.038)*4),IF(ISERROR(FIND("drawer box",A184))=FALSE,((((B184/1000)*(D184/1000))+((B184/1000)*(C184/1000)))*4)+((((D184/1000)+(C184/1000))*0.016)*4)+(((C184/1000)*(D184/1000))*2),IF(OR(ISERROR(FIND("shelf",A184))=FALSE,ISERROR(FIND("Filler panel",A184))=FALSE),(((C184/1000)*(D184/1000))*2)+((((C184+D184)*2)/1000)*0.022),IF(ISERROR(FIND("Fireplace",A184))=FALSE,((B184/1000)*(C184/1000)),IF(ISERROR(FIND("Worktop",A184))=FALSE,(B184/1000)*(C184/1000),IF(ISERROR(FIND("table",A184))=FALSE,(B184/1000)*0.6,IF(ISERROR(FIND("arcass",A184))=FALSE,(((C184/1000)*(D184/1000))*2)+(((B184/1000)*(D184/1000))*2)+((B184/1000)*(C184/1000))+((((B184/1000)*0.025)+((C184/1000)*0.025))*2),IF(AND(ISERROR(FIND("door",A184))=FALSE,WardrobeDoorStyle="Flat"),(((B184/1000)*(C184/1000))*2)+(MID(WardrobeDoorMaterial,FIND("(",WardrobeDoorMaterial)+1,2)/1000)*(((B184+C184)/1000)*2),IF(AND(ISERROR(FIND("door",A184))=FALSE,LEFT(WardrobeDoorStyle,5)="Panel"),(((B184/1000)*(C184/1000))*2)+((MID(WardrobeDoorMaterial,FIND("(",WardrobeDoorMaterial)+1,2)/1000)*(((B184+C184)/1000)*2))+(((((B184-160)+(C184-160))*2)/1000)*(0.013)),IF(AND(ISERROR(FIND("door",A184))=FALSE,WardrobeDoorStyle="In-frame flat"),((((B184-76)/1000)*((C184-38)/1000))*2)+(MID(WardrobeDoorMaterial,FIND("(",WardrobeDoorMaterial)+1,2)/1000)*((((B184-76)+(C184-38))/1000)*2)+(((B184/1000)*0.032)*2)+((((B184-76)/1000)*0.032)*2)+(((B184/1000)*0.019)*4)+(((C184/1000)*0.032)*2)+((((C184-38)/1000)*0.032)*2)+(((C184/1000)*0.038)*4),IF(AND(ISERROR(FIND("door",A184))=FALSE,LEFT(WardrobeDoorStyle,14)="In-frame panel"),((((B184-76)/1000)*((C184-38)/1000))*2)+((MID(WardrobeDoorMaterial,FIND("(",WardrobeDoorMaterial)+1,2)/1000)*((((B184-76)+(C184-38))/1000)*2))+((((B184-236)/1000)+((C184-198)/1000)*2)*0.013)+(((B184/1000)*0.032)*2)+((((B184-76)/1000)*0.032)*2)+(((B184/1000)*0.019)*4)+(((C184/1000)*0.032)*2)+((((C184-38)/1000)*0.032)*2)+(((C184/1000)*0.038)*4),IF(ISERROR(FIND("Plinth",A184))=FALSE,((B184/1000)*(C184/1000))+(((C184/1000)*0.018)*2)+(((B184/1000)*0.018)*2),IF(ISERROR(FIND("Cornice",A184))=FALSE,(((C184/1000)*0.1)*2)+(((C184/1000)*0.044)*2)+(((B184/1000)*0.08)*2),IF(ISERROR(FIND("Office pod",A184))=FALSE,((2400/1000)*(1200/1000))*6,IF(ISERROR(FIND("panel",A184))=FALSE,((B184/1000)*(C184/1000))+(0.022*((B184/1000)+((C184/1000)*2)))+((B184/1000)*0.05),IF(ISERROR(FIND("Fillers",A184))=FALSE,((C184/1000)*0.06)+((C184/1000)*0.069)+((0.06*0.018)*2)+((0.06*0.009)*2)+((C184/1000)*0.009)+((C184/1000)*0.018),IF(ISERROR(FIND("Pelmet",A184))=FALSE,((C184/1000)*0.05)+((C184/1000)*0.068)+((0.05*0.018)*4)+(((C184/1000)*0.018))*2)))))))))))))))))))))</f>
        <v/>
      </c>
      <c r="N184" s="152" t="str">
        <f>IF(M184="","",IF(AND(ISERROR(FIND("carcass",A184))=TRUE,ISERROR(FIND("unit",A184))=TRUE,ISERROR(FIND("insert",A184))=TRUE,ISERROR(FIND("rack",A184))=TRUE,ISERROR(FIND("box",A184))=TRUE,ISERROR(FIND("shelf",A184))=TRUE),VLOOKUP(WardrobeDoorFinish,Finishing!$A$2:$K$10,9,0)*M184,IF(ISERROR(FIND("table",A184))=FALSE,VLOOKUP("Sayerlack AF0072 Interior Clear Self-Sealer",FinishingData,9,FALSE)*M184,VLOOKUP(WardrobeCarcassFinish,Finishing!$A$2:$K$40,9,0)*M184)))</f>
        <v/>
      </c>
      <c r="O184" s="155"/>
      <c r="P184" s="155"/>
      <c r="Q184" s="152" t="str">
        <f>IF(OR(O184="",P184=""),"",((O184*X184)*(VLOOKUP("Workshop",Labour!$A$3:$E$20,4,0)/8))+((P184*AE184)*(VLOOKUP("Finishing",Labour!$A$3:$E$20,4,0)/8)))</f>
        <v/>
      </c>
      <c r="R184" s="152" t="str">
        <f t="shared" si="4"/>
        <v/>
      </c>
      <c r="S184" s="156" t="str">
        <f>IF(OR(O184="",P184=""),"",IF(OR(ISERROR(FIND("carcass",$A184))=FALSE,ISERROR(FIND("unit",$A184))=FALSE),VLOOKUP(WardrobeCarcassMaterial,FixedListsCarcassMaterial,2,0),0))</f>
        <v/>
      </c>
      <c r="T184" s="156" t="str">
        <f>IF(OR(O184="",P184=""),"",IF(ISERROR(FIND("door",$A184))=FALSE,VLOOKUP(WardrobeDoorStyle,FixedListsDoorStyle,2,0),0))</f>
        <v/>
      </c>
      <c r="U184" s="156" t="str">
        <f>IF(OR(O184="",P184=""),"",IF(ISERROR(FIND("door",$A184))=FALSE,VLOOKUP(WardrobeDoorMaterial,FixedListsDoorMaterial,2,0),0))</f>
        <v/>
      </c>
      <c r="V184" s="156" t="str">
        <f>IF(OR(O184="",P184=""),"",IF(ISERROR(FIND("drawer",$A184))=FALSE,VLOOKUP(WardrobeDrawerType,FixedListsDrawerType,2,0),0))</f>
        <v/>
      </c>
      <c r="W184" s="156" t="str">
        <f>IF(OR(O184="",P184=""),"",IF(S184&gt;0,VLOOKUP(WardrobeHandleType,FixedListsHandleType,2,FALSE),0))</f>
        <v/>
      </c>
      <c r="X184" s="156" t="str">
        <f t="shared" si="5"/>
        <v/>
      </c>
      <c r="Y184" s="156" t="str">
        <f>IF(OR(O184="",P184=""),"",IF(OR(ISERROR(FIND("carcass",$A184))=FALSE,ISERROR(FIND("unit",$A184))=FALSE),VLOOKUP(WardrobeCarcassMaterial,FixedListsCarcassMaterial,3,0),0))</f>
        <v/>
      </c>
      <c r="Z184" s="156" t="str">
        <f>IF(OR(O184="",P184=""),"",IF(ISERROR(FIND("door",$A184))=FALSE,VLOOKUP(WardrobeDoorStyle,FixedListsDoorStyle,3,0),0))</f>
        <v/>
      </c>
      <c r="AA184" s="156" t="str">
        <f>IF(OR(O184="",P184=""),"",IF(ISERROR(FIND("door",$A184))=FALSE,VLOOKUP(WardrobeDoorMaterial,FixedListsDoorMaterial,3,0),0))</f>
        <v/>
      </c>
      <c r="AB184" s="156" t="str">
        <f>IF(OR(O184="",P184=""),"",IF(ISERROR(FIND("drawer",$A184))=FALSE,VLOOKUP(WardrobeDrawerType,FixedListsDrawerType,3,0),0))</f>
        <v/>
      </c>
      <c r="AC184" s="156" t="str">
        <f>IF(OR(O184="",P184=""),"",IF(S184&gt;0,VLOOKUP(WardrobeHandleType,FixedListsHandleType,3,FALSE),0))</f>
        <v/>
      </c>
      <c r="AD184" s="156" t="str">
        <f>IF(OR(O184="",P184=""),"",IF(OR(ISERROR(FIND("carcass",$A184))=FALSE,ISERROR(FIND("unit",$A184))=FALSE),VLOOKUP(WardrobeCarcassFinish,FixedListsFinishes,3,0),IF(OR(ISERROR(FIND("door",$A184))=FALSE,ISERROR(FIND("Plinth",$A184))=FALSE,ISERROR(FIND("Cornice",$A184))=FALSE,ISERROR(FIND("Fillers",$A184))=FALSE,ISERROR(FIND("Pelmet",$A184))=FALSE,ISERROR(FIND("panel",$A184))=FALSE,ISERROR(FIND("post",$A184))=FALSE),VLOOKUP(WardrobeDoorFinish,FixedListsFinishes,3,0),IF(OR(ISERROR(FIND("drawer",$A184))=FALSE,ISERROR(FIND("insert",$A184))=FALSE,ISERROR(FIND("rck",$A184))=FALSE),VLOOKUP(WardrobeCarcassFinish,FixedListsFinishes,3,0),0))))</f>
        <v/>
      </c>
      <c r="AE184" s="156" t="str">
        <f t="shared" si="6"/>
        <v/>
      </c>
      <c r="AF184" s="157" t="str">
        <f>IF(AND(WardrobeHandleType="Channel",OR(ISERROR(FIND("arcass",$A184))=FALSE,ISERROR(FIND("unit",$A184))=FALSE)),IF(ISERROR(FIND("Tower",$A184))=TRUE,IF(WardrobeHandleFinish="Match carcass",IF(ISERROR(FIND("Walnut",WardrobeCarcassMaterial))=FALSE,(0.035*0.075*($C184/1000))*VLOOKUP("Walnut (solid m3)",SolidData,4,FALSE),IF(ISERROR(FIND("Oak",WardrobeCarcassMaterial))=FALSE,(0.035*0.075*($C184/1000))*VLOOKUP("Oak (solid m3)",SolidData,4,FALSE),IF(ISERROR(FIND("ply",WardrobeCarcassMaterial))=FALSE,(0.1*($C184/1000))*VLOOKUP("Birch ply (24mm)",SheetsData,7,FALSE),IF(ISERROR(FIND("H/F",WardrobeCarcassMaterial))=FALSE,(0.1*($C184/1000))*VLOOKUP("H/F (22mm)",SheetsData,7,FALSE),"Carcass - not tower - new material")))),IF(WardrobeHandleFinish="Match door",IF(ISERROR(FIND("Walnut",WardrobeDoorMaterial))=FALSE,(0.035*0.075*($C184/1000))*VLOOKUP("Walnut (solid m3)",SolidData,4,FALSE),IF(ISERROR(FIND("Oak",WardrobeDoorMaterial))=FALSE,(0.035*0.075*($C184/1000))*VLOOKUP("Oak (solid m3)",SolidData,4,FALSE),IF(ISERROR(FIND("ply",WardrobeDoorMaterial))=FALSE,(0.1*($C184/1000))*VLOOKUP("Birch ply (24mm)",SheetsData,7,FALSE),IF(ISERROR(FIND("H/F",WardrobeCarcassMaterial))=FALSE,(0.1*($C184/1000))*VLOOKUP("H/F (22mm)",SheetsData,7,FALSE),"Door - not tower - new material")))),"Channel - not tower - handle set to other")),IF(ISERROR(FIND("Tower",$A184))=FALSE,IF(WardrobeHandleFinish="Match carcass",IF(ISERROR(FIND("Walnut",WardrobeCarcassMaterial))=FALSE,(0.035*0.075*($B184/1000))*VLOOKUP("Walnut (solid m3)",SolidData,4,FALSE),IF(ISERROR(FIND("Oak",WardrobeCarcassMaterial))=FALSE,(0.035*0.075*($B184/1000))*VLOOKUP("Oak (solid m3)",SolidData,4,FALSE),IF(ISERROR(FIND("ply",WardrobeCarcassMaterial))=FALSE,(0.1*($B184/1000))*VLOOKUP("Birch ply (24mm)",SheetsData,7,FALSE),IF(ISERROR(FIND("H/F",WardrobeCarcassMaterial))=FALSE,(0.1*($C184/1000))*VLOOKUP("H/F (22mm)",SheetsData,7,FALSE),"Carcass - tower - new material")))),IF(WardrobeHandleFinish="Match door",IF(ISERROR(FIND("Walnut",WardrobeDoorMaterial))=FALSE,(0.035*0.075*($B184/1000))*VLOOKUP("Walnut (solid m3)",SolidData,4,FALSE),IF(ISERROR(FIND("Oak",WardrobeDoorMaterial))=FALSE,(0.035*0.075*($B184/1000))*VLOOKUP("Oak (solid m3)",SolidData,4,FALSE),IF(ISERROR(FIND("ply",WardrobeDoorMaterial))=FALSE,(0.1*($B184/1000))*VLOOKUP("Birch ply (24mm)",SheetData,7,FALSE),IF(ISERROR(FIND("H/F",WardrobeCarcassMaterial))=FALSE,(0.1*($C184/1000))*VLOOKUP("H/F (22mm)",SheetsData,7,FALSE),"Door - tower - new material")))),"Channel - tower - handle set to other")))),"")</f>
        <v/>
      </c>
    </row>
    <row r="185">
      <c r="A185" s="150"/>
      <c r="B185" s="160" t="str">
        <f t="shared" si="1"/>
        <v/>
      </c>
      <c r="C185" s="160" t="str">
        <f>IFERROR(__xludf.DUMMYFUNCTION("IF(A185="""","""",IF(ISERROR(FIND(""arcass"",A185))=FALSE,MID(A185,FIND(""*"",A185)+1,FIND(""*"",A185,FIND(""*"",A185)+1)-FIND(""*"",A185)-1),IF(ISERROR(FIND(""End panel"",A185))=FALSE,RIGHT(A185,3),IF(OR(ISERROR(FIND(""drawer"",A185))=FALSE,ISERROR(FIND("&amp;"""door"",A185))=FALSE,ISERROR(FIND(""shelf"",A185))=FALSE,ISERROR(FIND(""panel"",A185))=FALSE,ISERROR(FIND(""Plinth"",A185))=FALSE,ISERROR(FIND(""Cornice"",A185))=FALSE,ISERROR(FIND(""Fillers"",A185))=FALSE,ISERROR(FIND(""Pelmet"",A185))=FALSE,ISERROR(FIN"&amp;"D(""Fireplace up to 1600"",A185))=FALSE),RIGHT(A185,LEN(A185)-LEN(regexextract(A185,"".* ""))),IF(ISERROR(FIND(""table"",A185))=FALSE,""560"",IF(ISERROR(FIND(""Office pod"",A185))=FALSE,""1600"",IF(ISERROR(FIND(""Fireplace over 1600"",A185))=FALSE,""2400"&amp;""",IF(ISERROR(FIND(""Worktop"",A185))=FALSE,""650"",""Whoops""))))))))"),"")</f>
        <v/>
      </c>
      <c r="D185" s="161" t="str">
        <f t="shared" si="2"/>
        <v/>
      </c>
      <c r="E185" s="152" t="str">
        <f>IF(OR(A185="",AND(ISERROR(FIND("drawer",A185))=FALSE,WardrobeDrawerType="")),"",IF(ISERROR(FIND("door",A185))=FALSE,IF(WardrobeDoorStyle="Flat",((B185/1000)*(C185/1000))*VLOOKUP(WardrobeDoorMaterial,SheetsData,8,0),IF(LEFT(WardrobeDoorStyle,5)="Panel",(((((B185/1000)*2)*0.08)+((((C185/1000)-0.16)*2)*0.08))*VLOOKUP("H/F (22mm)",SheetsData,8,0))+(((B185/1000)-0.14)*((C185/1000)-0.14)*VLOOKUP("H/F (9mm)",SheetsData,8,0)),IF(WardrobeDoorStyle="In-frame flat",((((((B185/1000)*0.019)*0.038)+((((C185-38)/1000)*0.038)*0.038))*2)*VLOOKUP("Tulip (solid m3)",SolidData,4,0))+(((B185-76)/1000)*((C185-38)/1000))*VLOOKUP("H/F (22mm)",SheetsData,8,0),IF(LEFT(WardrobeDoorStyle,14)="In-frame panel",(((((((B185/1000)*0.019)*0.038)+((((C185-38)/1000)*0.038)*0.038))*2)*VLOOKUP("Tulip (solid m3)",SolidData,4,0))+(((((((B185-76)/1000)*2)*0.08)+(((((C185-198)/1000)*2)*0.08)))*VLOOKUP("H/F (22mm)",SheetsData,8,0))+(((B185-216)/1000)*((C185-178)/1000)*VLOOKUP("H/F (9mm)",SheetsData,8,0)))))))),IF(AND(ISERROR(FIND("arcass",A185))=FALSE,ISERROR(FIND("ost corner",A185))=TRUE),IF(AND(VALUE(B185)&lt;1211,VALUE(C185)&lt;1211,VALUE(D185)&lt;606),1*VLOOKUP(WardrobeCarcassMaterial,SheetsData,5,FALSE),IF(AND(VALUE(B185)&lt;2421,VALUE(C185)&lt;2421,VALUE(D185)&lt;606),2*VLOOKUP(WardrobeCarcassMaterial,SheetsData,5,FALSE),IF(AND(VALUE(B185)&lt;2421,VALUE(C185)&lt;1211,VALUE(D185)&lt;1211),3*VLOOKUP(WardrobeCarcassMaterial,SheetsData,5,FALSE),IF(AND(VALUE(B185)&lt;2421,VALUE(C185)&lt;2421,VALUE(D185)&lt;1211),4*VLOOKUP(WardrobeCarcassMaterial,SheetsData,5,FALSE))))),IF(AND(ISERROR(FIND("arcass",A185))=FALSE,ISERROR(FIND("ost corner",A185))=FALSE),IF(AND(VALUE(B185)&lt;1211,VALUE(C185)&lt;1211,VALUE(D185)&lt;606),(1*VLOOKUP(WardrobeCarcassMaterial,SheetsData,5,FALSE))+(VLOOKUP("H/F (22mm)",SheetsData,7,FALSE)*1.44),IF(AND(VALUE(B185)&lt;2421,VALUE(C185)&lt;2421,VALUE(D185)&lt;606),(2*VLOOKUP(WardrobeCarcassMaterial,SheetsData,5,FALSE))+(VLOOKUP("H/F (22mm)",SheetsData,7,FALSE)*1.44),IF(AND(VALUE(B185)&lt;2421,VALUE(C185)&lt;1211,VALUE(D185)&lt;1211),(3*VLOOKUP(WardrobeCarcassMaterial,SheetsData,5,FALSE))+(VLOOKUP("H/F (22mm)",SheetsData,7,FALSE)*1.44),IF(AND(VALUE(B185)&lt;2421,VALUE(C185)&lt;2421,VALUE(D185)&lt;1211),(4*VLOOKUP(WardrobeCarcassMaterial,SheetsData,5,FALSE))+(VLOOKUP("H/F (22mm)",SheetsData,7,FALSE)*1.44))))),IF(ISERROR(FIND("drawer front",A185))=FALSE,((B185/1000)*(C185/1000))*VLOOKUP(WardrobeDoorMaterial,SheetsData,8,0),IF(AND(WardrobeDrawerType="Match carcass",ISERROR(FIND("drawer box",A185))=FALSE),(((((B185/1000)*(C185/1000))+((B185/1000)*(D185/1000)))*2)*VLOOKUP(WardrobeCarcassMaterial,SheetsData,8,0))+(((C185/1000)*(D185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box",A185))=FALSE),(((((B185/1000)*(C185/1000))+((B185/1000)*(D185/1000)))*2)*(16/1000)*VLOOKUP(LEFT(WardrobeCarcassMaterial,FIND(" ",WardrobeCarcassMaterial))&amp;"(solid m3)",SolidData,4,0))+(((C185/1000)*(D185/1000))*VLOOKUP(LEFT(WardrobeCarcassMaterial,FIND("(",WardrobeCarcassMaterial)-1)&amp;IF(OR(ISERROR(FIND("ply",WardrobeCarcassMaterial))=FALSE,ISERROR(FIND("H/F",WardrobeCarcassMaterial))=FALSE),"(9mm)","(10mm)"),SheetsData,8,0)),IF(ISERROR(FIND("shelf",A185))=FALSE,((C185/1000)*(D185/1000))*VLOOKUP(WardrobeCarcassMaterial,SheetsData,7,FALSE),IF(ISERROR(FIND("Office pod",A185))=FALSE,3*VLOOKUP(WardrobeCarcassMaterial,SheetsData,5,0),IF(ISERROR(FIND(" panel",A185))=FALSE,((B185/1000)*(C185/1000))*VLOOKUP(WardrobeDoorMaterial,SheetsData,8,0),IF(ISERROR(FIND("Fillers",A185))=FALSE,(((0.06*(C185/1000))*2)*VLOOKUP("H/F (18mm)",SheetsData,8,0))+(((0.06*(C185/1000))*2)*VLOOKUP("H/F (9mm)",SheetsData,8,0)),IF(ISERROR(FIND("Cornice (stacked)",A185))=FALSE,((0.08*(C185/1000))*2)*VLOOKUP("H/F (22mm)",SheetsData,8,0),IF(OR(ISERROR(FIND("Plinth",A185))=FALSE,ISERROR(FIND("Cornice (flat)",A185))=FALSE),((B185/1000)*(C185/1000))*VLOOKUP("H/F (18mm)",SheetsData,8,0),IF(ISERROR(FIND("Pelmet",A185))=FALSE,((((B185/1000)*(C185/1000))*2)*VLOOKUP("H/F (18mm)",SheetsData,8,0)),IF(ISERROR(FIND("Fireplace",A185))=FALSE,IF(ISERROR(FIND("over 1600",A185))=FALSE,2*VLOOKUP(WardrobeCarcassMaterial,SheetsData,5,FALSE),VLOOKUP(WardrobeCarcassMaterial,SheetsData,5,FALSE)),IF(ISERROR(FIND("table",A185))=FALSE,((B185/1000)*0.6)*VLOOKUP("Birch ply (24mm)",SheetsData,7,FALSE),IF(ISERROR(FIND("Worktop",A185))=FALSE,((B185/1000)*(C185/1000))*VLOOKUP(WardrobeDoorMaterial,SheetsData,7,FALSE),"Check formula")))))))))))))))))</f>
        <v/>
      </c>
      <c r="F185" s="152" t="str">
        <f>IFERROR(__xludf.DUMMYFUNCTION("IF(OR(A185="""",AND(ISERROR(FIND(""drawer box"",A185))=FALSE,WardrobeDrawerType=""Solid dovetail"")),"""",IF(ISERROR(FIND(""bins"",A185))=FALSE,VLOOKUP(""Base carcass 600"",Wardrobes_etcData,6,0),IF(OR(ISERROR(FIND(""larder"",A185))=FALSE,ISERROR(FIND(""u"&amp;"nit"",A185))=FALSE),VLOOKUP(LEFT(A185,FIND("" "",A185))&amp;""carcass ""&amp;RIGHT(A185,LEN(A185)-len(regexextract(A185,"".* ""))),Wardrobes_etcData,6,0),IF(ISERROR(FIND(""drawer front"",A185))=FALSE,IF(ISERROR(FIND(""veneer"",WardrobeCarcassMaterial))=TRUE,0,((("&amp;"B185+C185)/1000)*2)*VLOOKUP(""Edge banding (per M)"",SheetsData,5,0)),IF(ISERROR(FIND(""drawer box"",A185))=FALSE,IF(ISERROR(FIND(""veneer"",WardrobeCarcassMaterial))=TRUE,0,(((C185+D185)/1000)*2)*VLOOKUP(""Edge banding (per M)"",SheetsData,5,0)),IF(ISERR"&amp;"OR(FIND(""shelf"",A185))=FALSE,IF(ISERROR(FIND(""veneer"",WardrobeCarcassMaterial))=TRUE,0,(C185/1000)*VLOOKUP(""Edge banding (per M)"",SheetsData,5,0)),IF(AND(OR(ISERROR(FIND(""arcass"",A185))=FALSE,ISERROR(FIND(""Fireplace"",A185))=FALSE),ISERROR(FIND("&amp;"""shelf"",A185))=TRUE),IF(ISERROR(FIND(""veneer"",WardrobeCarcassMaterial))=TRUE,0,((2*(B185+C185))/1000)*VLOOKUP(""Edge banding (per M)"",SheetsData,5,0)),IF(ISERROR(FIND(""door"",A185))=TRUE,"""",IF(ISERROR(FIND(""veneer"",WardrobeDoorMaterial))=TRUE,"""&amp;""",((2*(B185+C185))/1000)*VLOOKUP(""Edge banding (per M)"",SheetsData,5,0))))))))))"),"")</f>
        <v/>
      </c>
      <c r="G185" s="153" t="str">
        <f>IF(A185="","",IF(AND(ISERROR(FIND("arcass",A185))=TRUE,ISERROR(FIND("Fireplace",A185))=TRUE),"",IF(VALUE(C185)&lt;606,4*VLOOKUP("Plinth foot (2 Parts 80mm)",FurnitureData,5,FALSE),IF(VALUE(C185)&lt;1211,6*VLOOKUP("Plinth foot (2 Parts 80mm)",FurnitureData,5,FALSE),8*VLOOKUP("Plinth foot (2 Parts 80mm)",FurnitureData,5,FALSE)))))</f>
        <v/>
      </c>
      <c r="H185" s="115" t="str">
        <f>IF(OR(A185="",ISERROR(FIND("door",A185))=TRUE),"",VLOOKUP("Hinges &amp; plates (Hettich thick door)",FurnitureData,5,0)*5)</f>
        <v/>
      </c>
      <c r="I185" s="115" t="str">
        <f>IF(ISERROR(FIND("shelf",A185))=FALSE,(VLOOKUP("Shelf pegs",FurnitureData,5,0)/100)*4,"")</f>
        <v/>
      </c>
      <c r="J185" s="152" t="str">
        <f>IF(OR(ISERROR(FIND("fridge/freezer",A185))=FALSE,ISERROR(FIND("sink",A185))=FALSE,ISERROR(FIND("larder",A185))=FALSE),VLOOKUP("Deep shelf "&amp;C185,Wardrobes_etcData,18,0),IF(OR(ISERROR(FIND("single oven",A185))=FALSE,ISERROR(FIND("Base carcass",A185))=FALSE),2*VLOOKUP("Deep shelf "&amp;C185,Wardrobes_etcData,18,0),IF(AND(ISERROR(FIND("wall carcass",A185))=FALSE,ISERROR(FIND("Boiler",A185))=TRUE),2*VLOOKUP("Shallow shelf "&amp;C185,Wardrobes_etcData,18,0),IF(ISERROR(FIND("double oven",A185))=FALSE,3*VLOOKUP("Deep shelf "&amp;C185,Wardrobes_etcData,18,0),IF(ISERROR(FIND("Tower carcass",A185))=FALSE,6*VLOOKUP("Deep shelf "&amp;C185,Wardrobes_etcData,18,0),"")))))</f>
        <v/>
      </c>
      <c r="K185" s="152" t="str">
        <f>IF(ISERROR(FIND("sink",A185))=FALSE,VLOOKUP("Sink liner - Aluminium "&amp;RIGHT(A185,LEN(A185)-22)&amp;"mm",ExceptionalData,5,0),IF(ISERROR(FIND("bins",A185))=FALSE,VLOOKUP("Drawer runners and clip set for bin unit (500) Dynapro",FurnitureData,5,0)+(2*VLOOKUP("Bin (42L Anthracite)",FurnitureData,5,0)),IF(ISERROR(FIND("larder",A185))=FALSE,VLOOKUP("Pull out larder unit 600mm",FurnitureData,5,0),IF(AND(ISERROR(FIND("drawer box",A185))=FALSE,ISERROR(FIND("internal",A185))=TRUE),VLOOKUP("Drawer runners and clip set (550) Dynapro",FurnitureData,5,0),IF(ISERROR(FIND("internal drawer box",A185))=FALSE,VLOOKUP("Drawer runners and clip set (450) Dynapro",FurnitureData,5,0),IF(ISERROR(FIND("table",A185))=FALSE,VLOOKUP("Hairpin Leg (12mm Black "&amp;MID(A185,FIND("(",A185)+1,LEN(A185)-(FIND("(",A185))-1)&amp;"mm)",ExceptionalData,4,FALSE),""))))))</f>
        <v/>
      </c>
      <c r="L185" s="152" t="str">
        <f t="shared" si="3"/>
        <v/>
      </c>
      <c r="M185" s="154" t="str">
        <f>IF(A185="","",IF(AND(ISERROR(FIND("drawer front",A185))=FALSE,WardrobeDoorStyle="Flat"),(((B185/1000)*(C185/1000))*2)+((((B185+C185)/1000)*2)*0.022),IF(AND(ISERROR(FIND("drawer front",A185))=FALSE,LEFT(WardrobeDoorStyle,5)="Panel"),(((B185/1000)*(C185/1000))*2)+((((B185+C185)/1000)*2)*0.022)+((((C185/1000)-0.16)*0.013)*2)+((((D185/1000)-0.16)*0.013)*2),IF(AND(ISERROR(FIND("drawer front",A185))=FALSE,WardrobeDoorStyle="In-frame flat"),((((B185-76)/1000)*((C185-38)/1000))*2)+(MID(WardrobeDoorMaterial,FIND("(",WardrobeDoorMaterial)+1,2)/1000)*((((B185-76)+(C185-38))/1000)*2)+(((B185/1000)*0.032)*2)+((((B185-76)/1000)*0.032)*2)+(((B185/1000)*0.019)*4)+(((C185/1000)*0.032)*2)+((((C185-38)/1000)*0.032)*2)+(((C185/1000)*0.038)*4),IF(AND(ISERROR(FIND("drawer front",A185))=FALSE,LEFT(WardrobeDoorStyle,14)="In-frame panel"),((((B185-76)/1000)*((C185-38)/1000))*2)+((MID(WardrobeDoorMaterial,FIND("(",WardrobeDoorMaterial)+1,2)/1000)*((((B185-76)+(C185-38))/1000)*2))+((((B185-236)/1000)+((C185-198)/1000)*2)*0.013)+(((B185/1000)*0.032)*2)+((((B185-76)/1000)*0.032)*2)+(((B185/1000)*0.019)*4)+(((C185/1000)*0.032)*2)+((((C185-38)/1000)*0.032)*2)+(((C185/1000)*0.038)*4),IF(ISERROR(FIND("drawer box",A185))=FALSE,((((B185/1000)*(D185/1000))+((B185/1000)*(C185/1000)))*4)+((((D185/1000)+(C185/1000))*0.016)*4)+(((C185/1000)*(D185/1000))*2),IF(OR(ISERROR(FIND("shelf",A185))=FALSE,ISERROR(FIND("Filler panel",A185))=FALSE),(((C185/1000)*(D185/1000))*2)+((((C185+D185)*2)/1000)*0.022),IF(ISERROR(FIND("Fireplace",A185))=FALSE,((B185/1000)*(C185/1000)),IF(ISERROR(FIND("Worktop",A185))=FALSE,(B185/1000)*(C185/1000),IF(ISERROR(FIND("table",A185))=FALSE,(B185/1000)*0.6,IF(ISERROR(FIND("arcass",A185))=FALSE,(((C185/1000)*(D185/1000))*2)+(((B185/1000)*(D185/1000))*2)+((B185/1000)*(C185/1000))+((((B185/1000)*0.025)+((C185/1000)*0.025))*2),IF(AND(ISERROR(FIND("door",A185))=FALSE,WardrobeDoorStyle="Flat"),(((B185/1000)*(C185/1000))*2)+(MID(WardrobeDoorMaterial,FIND("(",WardrobeDoorMaterial)+1,2)/1000)*(((B185+C185)/1000)*2),IF(AND(ISERROR(FIND("door",A185))=FALSE,LEFT(WardrobeDoorStyle,5)="Panel"),(((B185/1000)*(C185/1000))*2)+((MID(WardrobeDoorMaterial,FIND("(",WardrobeDoorMaterial)+1,2)/1000)*(((B185+C185)/1000)*2))+(((((B185-160)+(C185-160))*2)/1000)*(0.013)),IF(AND(ISERROR(FIND("door",A185))=FALSE,WardrobeDoorStyle="In-frame flat"),((((B185-76)/1000)*((C185-38)/1000))*2)+(MID(WardrobeDoorMaterial,FIND("(",WardrobeDoorMaterial)+1,2)/1000)*((((B185-76)+(C185-38))/1000)*2)+(((B185/1000)*0.032)*2)+((((B185-76)/1000)*0.032)*2)+(((B185/1000)*0.019)*4)+(((C185/1000)*0.032)*2)+((((C185-38)/1000)*0.032)*2)+(((C185/1000)*0.038)*4),IF(AND(ISERROR(FIND("door",A185))=FALSE,LEFT(WardrobeDoorStyle,14)="In-frame panel"),((((B185-76)/1000)*((C185-38)/1000))*2)+((MID(WardrobeDoorMaterial,FIND("(",WardrobeDoorMaterial)+1,2)/1000)*((((B185-76)+(C185-38))/1000)*2))+((((B185-236)/1000)+((C185-198)/1000)*2)*0.013)+(((B185/1000)*0.032)*2)+((((B185-76)/1000)*0.032)*2)+(((B185/1000)*0.019)*4)+(((C185/1000)*0.032)*2)+((((C185-38)/1000)*0.032)*2)+(((C185/1000)*0.038)*4),IF(ISERROR(FIND("Plinth",A185))=FALSE,((B185/1000)*(C185/1000))+(((C185/1000)*0.018)*2)+(((B185/1000)*0.018)*2),IF(ISERROR(FIND("Cornice",A185))=FALSE,(((C185/1000)*0.1)*2)+(((C185/1000)*0.044)*2)+(((B185/1000)*0.08)*2),IF(ISERROR(FIND("Office pod",A185))=FALSE,((2400/1000)*(1200/1000))*6,IF(ISERROR(FIND("panel",A185))=FALSE,((B185/1000)*(C185/1000))+(0.022*((B185/1000)+((C185/1000)*2)))+((B185/1000)*0.05),IF(ISERROR(FIND("Fillers",A185))=FALSE,((C185/1000)*0.06)+((C185/1000)*0.069)+((0.06*0.018)*2)+((0.06*0.009)*2)+((C185/1000)*0.009)+((C185/1000)*0.018),IF(ISERROR(FIND("Pelmet",A185))=FALSE,((C185/1000)*0.05)+((C185/1000)*0.068)+((0.05*0.018)*4)+(((C185/1000)*0.018))*2)))))))))))))))))))))</f>
        <v/>
      </c>
      <c r="N185" s="152" t="str">
        <f>IF(M185="","",IF(AND(ISERROR(FIND("carcass",A185))=TRUE,ISERROR(FIND("unit",A185))=TRUE,ISERROR(FIND("insert",A185))=TRUE,ISERROR(FIND("rack",A185))=TRUE,ISERROR(FIND("box",A185))=TRUE,ISERROR(FIND("shelf",A185))=TRUE),VLOOKUP(WardrobeDoorFinish,Finishing!$A$2:$K$10,9,0)*M185,IF(ISERROR(FIND("table",A185))=FALSE,VLOOKUP("Sayerlack AF0072 Interior Clear Self-Sealer",FinishingData,9,FALSE)*M185,VLOOKUP(WardrobeCarcassFinish,Finishing!$A$2:$K$40,9,0)*M185)))</f>
        <v/>
      </c>
      <c r="O185" s="155"/>
      <c r="P185" s="155"/>
      <c r="Q185" s="152" t="str">
        <f>IF(OR(O185="",P185=""),"",((O185*X185)*(VLOOKUP("Workshop",Labour!$A$3:$E$20,4,0)/8))+((P185*AE185)*(VLOOKUP("Finishing",Labour!$A$3:$E$20,4,0)/8)))</f>
        <v/>
      </c>
      <c r="R185" s="152" t="str">
        <f t="shared" si="4"/>
        <v/>
      </c>
      <c r="S185" s="156" t="str">
        <f>IF(OR(O185="",P185=""),"",IF(OR(ISERROR(FIND("carcass",$A185))=FALSE,ISERROR(FIND("unit",$A185))=FALSE),VLOOKUP(WardrobeCarcassMaterial,FixedListsCarcassMaterial,2,0),0))</f>
        <v/>
      </c>
      <c r="T185" s="156" t="str">
        <f>IF(OR(O185="",P185=""),"",IF(ISERROR(FIND("door",$A185))=FALSE,VLOOKUP(WardrobeDoorStyle,FixedListsDoorStyle,2,0),0))</f>
        <v/>
      </c>
      <c r="U185" s="156" t="str">
        <f>IF(OR(O185="",P185=""),"",IF(ISERROR(FIND("door",$A185))=FALSE,VLOOKUP(WardrobeDoorMaterial,FixedListsDoorMaterial,2,0),0))</f>
        <v/>
      </c>
      <c r="V185" s="156" t="str">
        <f>IF(OR(O185="",P185=""),"",IF(ISERROR(FIND("drawer",$A185))=FALSE,VLOOKUP(WardrobeDrawerType,FixedListsDrawerType,2,0),0))</f>
        <v/>
      </c>
      <c r="W185" s="156" t="str">
        <f>IF(OR(O185="",P185=""),"",IF(S185&gt;0,VLOOKUP(WardrobeHandleType,FixedListsHandleType,2,FALSE),0))</f>
        <v/>
      </c>
      <c r="X185" s="156" t="str">
        <f t="shared" si="5"/>
        <v/>
      </c>
      <c r="Y185" s="156" t="str">
        <f>IF(OR(O185="",P185=""),"",IF(OR(ISERROR(FIND("carcass",$A185))=FALSE,ISERROR(FIND("unit",$A185))=FALSE),VLOOKUP(WardrobeCarcassMaterial,FixedListsCarcassMaterial,3,0),0))</f>
        <v/>
      </c>
      <c r="Z185" s="156" t="str">
        <f>IF(OR(O185="",P185=""),"",IF(ISERROR(FIND("door",$A185))=FALSE,VLOOKUP(WardrobeDoorStyle,FixedListsDoorStyle,3,0),0))</f>
        <v/>
      </c>
      <c r="AA185" s="156" t="str">
        <f>IF(OR(O185="",P185=""),"",IF(ISERROR(FIND("door",$A185))=FALSE,VLOOKUP(WardrobeDoorMaterial,FixedListsDoorMaterial,3,0),0))</f>
        <v/>
      </c>
      <c r="AB185" s="156" t="str">
        <f>IF(OR(O185="",P185=""),"",IF(ISERROR(FIND("drawer",$A185))=FALSE,VLOOKUP(WardrobeDrawerType,FixedListsDrawerType,3,0),0))</f>
        <v/>
      </c>
      <c r="AC185" s="156" t="str">
        <f>IF(OR(O185="",P185=""),"",IF(S185&gt;0,VLOOKUP(WardrobeHandleType,FixedListsHandleType,3,FALSE),0))</f>
        <v/>
      </c>
      <c r="AD185" s="156" t="str">
        <f>IF(OR(O185="",P185=""),"",IF(OR(ISERROR(FIND("carcass",$A185))=FALSE,ISERROR(FIND("unit",$A185))=FALSE),VLOOKUP(WardrobeCarcassFinish,FixedListsFinishes,3,0),IF(OR(ISERROR(FIND("door",$A185))=FALSE,ISERROR(FIND("Plinth",$A185))=FALSE,ISERROR(FIND("Cornice",$A185))=FALSE,ISERROR(FIND("Fillers",$A185))=FALSE,ISERROR(FIND("Pelmet",$A185))=FALSE,ISERROR(FIND("panel",$A185))=FALSE,ISERROR(FIND("post",$A185))=FALSE),VLOOKUP(WardrobeDoorFinish,FixedListsFinishes,3,0),IF(OR(ISERROR(FIND("drawer",$A185))=FALSE,ISERROR(FIND("insert",$A185))=FALSE,ISERROR(FIND("rck",$A185))=FALSE),VLOOKUP(WardrobeCarcassFinish,FixedListsFinishes,3,0),0))))</f>
        <v/>
      </c>
      <c r="AE185" s="156" t="str">
        <f t="shared" si="6"/>
        <v/>
      </c>
      <c r="AF185" s="157" t="str">
        <f>IF(AND(WardrobeHandleType="Channel",OR(ISERROR(FIND("arcass",$A185))=FALSE,ISERROR(FIND("unit",$A185))=FALSE)),IF(ISERROR(FIND("Tower",$A185))=TRUE,IF(WardrobeHandleFinish="Match carcass",IF(ISERROR(FIND("Walnut",WardrobeCarcassMaterial))=FALSE,(0.035*0.075*($C185/1000))*VLOOKUP("Walnut (solid m3)",SolidData,4,FALSE),IF(ISERROR(FIND("Oak",WardrobeCarcassMaterial))=FALSE,(0.035*0.075*($C185/1000))*VLOOKUP("Oak (solid m3)",SolidData,4,FALSE),IF(ISERROR(FIND("ply",WardrobeCarcassMaterial))=FALSE,(0.1*($C185/1000))*VLOOKUP("Birch ply (24mm)",SheetsData,7,FALSE),IF(ISERROR(FIND("H/F",WardrobeCarcassMaterial))=FALSE,(0.1*($C185/1000))*VLOOKUP("H/F (22mm)",SheetsData,7,FALSE),"Carcass - not tower - new material")))),IF(WardrobeHandleFinish="Match door",IF(ISERROR(FIND("Walnut",WardrobeDoorMaterial))=FALSE,(0.035*0.075*($C185/1000))*VLOOKUP("Walnut (solid m3)",SolidData,4,FALSE),IF(ISERROR(FIND("Oak",WardrobeDoorMaterial))=FALSE,(0.035*0.075*($C185/1000))*VLOOKUP("Oak (solid m3)",SolidData,4,FALSE),IF(ISERROR(FIND("ply",WardrobeDoorMaterial))=FALSE,(0.1*($C185/1000))*VLOOKUP("Birch ply (24mm)",SheetsData,7,FALSE),IF(ISERROR(FIND("H/F",WardrobeCarcassMaterial))=FALSE,(0.1*($C185/1000))*VLOOKUP("H/F (22mm)",SheetsData,7,FALSE),"Door - not tower - new material")))),"Channel - not tower - handle set to other")),IF(ISERROR(FIND("Tower",$A185))=FALSE,IF(WardrobeHandleFinish="Match carcass",IF(ISERROR(FIND("Walnut",WardrobeCarcassMaterial))=FALSE,(0.035*0.075*($B185/1000))*VLOOKUP("Walnut (solid m3)",SolidData,4,FALSE),IF(ISERROR(FIND("Oak",WardrobeCarcassMaterial))=FALSE,(0.035*0.075*($B185/1000))*VLOOKUP("Oak (solid m3)",SolidData,4,FALSE),IF(ISERROR(FIND("ply",WardrobeCarcassMaterial))=FALSE,(0.1*($B185/1000))*VLOOKUP("Birch ply (24mm)",SheetsData,7,FALSE),IF(ISERROR(FIND("H/F",WardrobeCarcassMaterial))=FALSE,(0.1*($C185/1000))*VLOOKUP("H/F (22mm)",SheetsData,7,FALSE),"Carcass - tower - new material")))),IF(WardrobeHandleFinish="Match door",IF(ISERROR(FIND("Walnut",WardrobeDoorMaterial))=FALSE,(0.035*0.075*($B185/1000))*VLOOKUP("Walnut (solid m3)",SolidData,4,FALSE),IF(ISERROR(FIND("Oak",WardrobeDoorMaterial))=FALSE,(0.035*0.075*($B185/1000))*VLOOKUP("Oak (solid m3)",SolidData,4,FALSE),IF(ISERROR(FIND("ply",WardrobeDoorMaterial))=FALSE,(0.1*($B185/1000))*VLOOKUP("Birch ply (24mm)",SheetData,7,FALSE),IF(ISERROR(FIND("H/F",WardrobeCarcassMaterial))=FALSE,(0.1*($C185/1000))*VLOOKUP("H/F (22mm)",SheetsData,7,FALSE),"Door - tower - new material")))),"Channel - tower - handle set to other")))),"")</f>
        <v/>
      </c>
    </row>
    <row r="186">
      <c r="A186" s="150"/>
      <c r="B186" s="160" t="str">
        <f t="shared" si="1"/>
        <v/>
      </c>
      <c r="C186" s="160" t="str">
        <f>IFERROR(__xludf.DUMMYFUNCTION("IF(A186="""","""",IF(ISERROR(FIND(""arcass"",A186))=FALSE,MID(A186,FIND(""*"",A186)+1,FIND(""*"",A186,FIND(""*"",A186)+1)-FIND(""*"",A186)-1),IF(ISERROR(FIND(""End panel"",A186))=FALSE,RIGHT(A186,3),IF(OR(ISERROR(FIND(""drawer"",A186))=FALSE,ISERROR(FIND("&amp;"""door"",A186))=FALSE,ISERROR(FIND(""shelf"",A186))=FALSE,ISERROR(FIND(""panel"",A186))=FALSE,ISERROR(FIND(""Plinth"",A186))=FALSE,ISERROR(FIND(""Cornice"",A186))=FALSE,ISERROR(FIND(""Fillers"",A186))=FALSE,ISERROR(FIND(""Pelmet"",A186))=FALSE,ISERROR(FIN"&amp;"D(""Fireplace up to 1600"",A186))=FALSE),RIGHT(A186,LEN(A186)-LEN(regexextract(A186,"".* ""))),IF(ISERROR(FIND(""table"",A186))=FALSE,""560"",IF(ISERROR(FIND(""Office pod"",A186))=FALSE,""1600"",IF(ISERROR(FIND(""Fireplace over 1600"",A186))=FALSE,""2400"&amp;""",IF(ISERROR(FIND(""Worktop"",A186))=FALSE,""650"",""Whoops""))))))))"),"")</f>
        <v/>
      </c>
      <c r="D186" s="161" t="str">
        <f t="shared" si="2"/>
        <v/>
      </c>
      <c r="E186" s="152" t="str">
        <f>IF(OR(A186="",AND(ISERROR(FIND("drawer",A186))=FALSE,WardrobeDrawerType="")),"",IF(ISERROR(FIND("door",A186))=FALSE,IF(WardrobeDoorStyle="Flat",((B186/1000)*(C186/1000))*VLOOKUP(WardrobeDoorMaterial,SheetsData,8,0),IF(LEFT(WardrobeDoorStyle,5)="Panel",(((((B186/1000)*2)*0.08)+((((C186/1000)-0.16)*2)*0.08))*VLOOKUP("H/F (22mm)",SheetsData,8,0))+(((B186/1000)-0.14)*((C186/1000)-0.14)*VLOOKUP("H/F (9mm)",SheetsData,8,0)),IF(WardrobeDoorStyle="In-frame flat",((((((B186/1000)*0.019)*0.038)+((((C186-38)/1000)*0.038)*0.038))*2)*VLOOKUP("Tulip (solid m3)",SolidData,4,0))+(((B186-76)/1000)*((C186-38)/1000))*VLOOKUP("H/F (22mm)",SheetsData,8,0),IF(LEFT(WardrobeDoorStyle,14)="In-frame panel",(((((((B186/1000)*0.019)*0.038)+((((C186-38)/1000)*0.038)*0.038))*2)*VLOOKUP("Tulip (solid m3)",SolidData,4,0))+(((((((B186-76)/1000)*2)*0.08)+(((((C186-198)/1000)*2)*0.08)))*VLOOKUP("H/F (22mm)",SheetsData,8,0))+(((B186-216)/1000)*((C186-178)/1000)*VLOOKUP("H/F (9mm)",SheetsData,8,0)))))))),IF(AND(ISERROR(FIND("arcass",A186))=FALSE,ISERROR(FIND("ost corner",A186))=TRUE),IF(AND(VALUE(B186)&lt;1211,VALUE(C186)&lt;1211,VALUE(D186)&lt;606),1*VLOOKUP(WardrobeCarcassMaterial,SheetsData,5,FALSE),IF(AND(VALUE(B186)&lt;2421,VALUE(C186)&lt;2421,VALUE(D186)&lt;606),2*VLOOKUP(WardrobeCarcassMaterial,SheetsData,5,FALSE),IF(AND(VALUE(B186)&lt;2421,VALUE(C186)&lt;1211,VALUE(D186)&lt;1211),3*VLOOKUP(WardrobeCarcassMaterial,SheetsData,5,FALSE),IF(AND(VALUE(B186)&lt;2421,VALUE(C186)&lt;2421,VALUE(D186)&lt;1211),4*VLOOKUP(WardrobeCarcassMaterial,SheetsData,5,FALSE))))),IF(AND(ISERROR(FIND("arcass",A186))=FALSE,ISERROR(FIND("ost corner",A186))=FALSE),IF(AND(VALUE(B186)&lt;1211,VALUE(C186)&lt;1211,VALUE(D186)&lt;606),(1*VLOOKUP(WardrobeCarcassMaterial,SheetsData,5,FALSE))+(VLOOKUP("H/F (22mm)",SheetsData,7,FALSE)*1.44),IF(AND(VALUE(B186)&lt;2421,VALUE(C186)&lt;2421,VALUE(D186)&lt;606),(2*VLOOKUP(WardrobeCarcassMaterial,SheetsData,5,FALSE))+(VLOOKUP("H/F (22mm)",SheetsData,7,FALSE)*1.44),IF(AND(VALUE(B186)&lt;2421,VALUE(C186)&lt;1211,VALUE(D186)&lt;1211),(3*VLOOKUP(WardrobeCarcassMaterial,SheetsData,5,FALSE))+(VLOOKUP("H/F (22mm)",SheetsData,7,FALSE)*1.44),IF(AND(VALUE(B186)&lt;2421,VALUE(C186)&lt;2421,VALUE(D186)&lt;1211),(4*VLOOKUP(WardrobeCarcassMaterial,SheetsData,5,FALSE))+(VLOOKUP("H/F (22mm)",SheetsData,7,FALSE)*1.44))))),IF(ISERROR(FIND("drawer front",A186))=FALSE,((B186/1000)*(C186/1000))*VLOOKUP(WardrobeDoorMaterial,SheetsData,8,0),IF(AND(WardrobeDrawerType="Match carcass",ISERROR(FIND("drawer box",A186))=FALSE),(((((B186/1000)*(C186/1000))+((B186/1000)*(D186/1000)))*2)*VLOOKUP(WardrobeCarcassMaterial,SheetsData,8,0))+(((C186/1000)*(D186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box",A186))=FALSE),(((((B186/1000)*(C186/1000))+((B186/1000)*(D186/1000)))*2)*(16/1000)*VLOOKUP(LEFT(WardrobeCarcassMaterial,FIND(" ",WardrobeCarcassMaterial))&amp;"(solid m3)",SolidData,4,0))+(((C186/1000)*(D186/1000))*VLOOKUP(LEFT(WardrobeCarcassMaterial,FIND("(",WardrobeCarcassMaterial)-1)&amp;IF(OR(ISERROR(FIND("ply",WardrobeCarcassMaterial))=FALSE,ISERROR(FIND("H/F",WardrobeCarcassMaterial))=FALSE),"(9mm)","(10mm)"),SheetsData,8,0)),IF(ISERROR(FIND("shelf",A186))=FALSE,((C186/1000)*(D186/1000))*VLOOKUP(WardrobeCarcassMaterial,SheetsData,7,FALSE),IF(ISERROR(FIND("Office pod",A186))=FALSE,3*VLOOKUP(WardrobeCarcassMaterial,SheetsData,5,0),IF(ISERROR(FIND(" panel",A186))=FALSE,((B186/1000)*(C186/1000))*VLOOKUP(WardrobeDoorMaterial,SheetsData,8,0),IF(ISERROR(FIND("Fillers",A186))=FALSE,(((0.06*(C186/1000))*2)*VLOOKUP("H/F (18mm)",SheetsData,8,0))+(((0.06*(C186/1000))*2)*VLOOKUP("H/F (9mm)",SheetsData,8,0)),IF(ISERROR(FIND("Cornice (stacked)",A186))=FALSE,((0.08*(C186/1000))*2)*VLOOKUP("H/F (22mm)",SheetsData,8,0),IF(OR(ISERROR(FIND("Plinth",A186))=FALSE,ISERROR(FIND("Cornice (flat)",A186))=FALSE),((B186/1000)*(C186/1000))*VLOOKUP("H/F (18mm)",SheetsData,8,0),IF(ISERROR(FIND("Pelmet",A186))=FALSE,((((B186/1000)*(C186/1000))*2)*VLOOKUP("H/F (18mm)",SheetsData,8,0)),IF(ISERROR(FIND("Fireplace",A186))=FALSE,IF(ISERROR(FIND("over 1600",A186))=FALSE,2*VLOOKUP(WardrobeCarcassMaterial,SheetsData,5,FALSE),VLOOKUP(WardrobeCarcassMaterial,SheetsData,5,FALSE)),IF(ISERROR(FIND("table",A186))=FALSE,((B186/1000)*0.6)*VLOOKUP("Birch ply (24mm)",SheetsData,7,FALSE),IF(ISERROR(FIND("Worktop",A186))=FALSE,((B186/1000)*(C186/1000))*VLOOKUP(WardrobeDoorMaterial,SheetsData,7,FALSE),"Check formula")))))))))))))))))</f>
        <v/>
      </c>
      <c r="F186" s="152" t="str">
        <f>IFERROR(__xludf.DUMMYFUNCTION("IF(OR(A186="""",AND(ISERROR(FIND(""drawer box"",A186))=FALSE,WardrobeDrawerType=""Solid dovetail"")),"""",IF(ISERROR(FIND(""bins"",A186))=FALSE,VLOOKUP(""Base carcass 600"",Wardrobes_etcData,6,0),IF(OR(ISERROR(FIND(""larder"",A186))=FALSE,ISERROR(FIND(""u"&amp;"nit"",A186))=FALSE),VLOOKUP(LEFT(A186,FIND("" "",A186))&amp;""carcass ""&amp;RIGHT(A186,LEN(A186)-len(regexextract(A186,"".* ""))),Wardrobes_etcData,6,0),IF(ISERROR(FIND(""drawer front"",A186))=FALSE,IF(ISERROR(FIND(""veneer"",WardrobeCarcassMaterial))=TRUE,0,((("&amp;"B186+C186)/1000)*2)*VLOOKUP(""Edge banding (per M)"",SheetsData,5,0)),IF(ISERROR(FIND(""drawer box"",A186))=FALSE,IF(ISERROR(FIND(""veneer"",WardrobeCarcassMaterial))=TRUE,0,(((C186+D186)/1000)*2)*VLOOKUP(""Edge banding (per M)"",SheetsData,5,0)),IF(ISERR"&amp;"OR(FIND(""shelf"",A186))=FALSE,IF(ISERROR(FIND(""veneer"",WardrobeCarcassMaterial))=TRUE,0,(C186/1000)*VLOOKUP(""Edge banding (per M)"",SheetsData,5,0)),IF(AND(OR(ISERROR(FIND(""arcass"",A186))=FALSE,ISERROR(FIND(""Fireplace"",A186))=FALSE),ISERROR(FIND("&amp;"""shelf"",A186))=TRUE),IF(ISERROR(FIND(""veneer"",WardrobeCarcassMaterial))=TRUE,0,((2*(B186+C186))/1000)*VLOOKUP(""Edge banding (per M)"",SheetsData,5,0)),IF(ISERROR(FIND(""door"",A186))=TRUE,"""",IF(ISERROR(FIND(""veneer"",WardrobeDoorMaterial))=TRUE,"""&amp;""",((2*(B186+C186))/1000)*VLOOKUP(""Edge banding (per M)"",SheetsData,5,0))))))))))"),"")</f>
        <v/>
      </c>
      <c r="G186" s="153" t="str">
        <f>IF(A186="","",IF(AND(ISERROR(FIND("arcass",A186))=TRUE,ISERROR(FIND("Fireplace",A186))=TRUE),"",IF(VALUE(C186)&lt;606,4*VLOOKUP("Plinth foot (2 Parts 80mm)",FurnitureData,5,FALSE),IF(VALUE(C186)&lt;1211,6*VLOOKUP("Plinth foot (2 Parts 80mm)",FurnitureData,5,FALSE),8*VLOOKUP("Plinth foot (2 Parts 80mm)",FurnitureData,5,FALSE)))))</f>
        <v/>
      </c>
      <c r="H186" s="115" t="str">
        <f>IF(OR(A186="",ISERROR(FIND("door",A186))=TRUE),"",VLOOKUP("Hinges &amp; plates (Hettich thick door)",FurnitureData,5,0)*5)</f>
        <v/>
      </c>
      <c r="I186" s="115" t="str">
        <f>IF(ISERROR(FIND("shelf",A186))=FALSE,(VLOOKUP("Shelf pegs",FurnitureData,5,0)/100)*4,"")</f>
        <v/>
      </c>
      <c r="J186" s="152" t="str">
        <f>IF(OR(ISERROR(FIND("fridge/freezer",A186))=FALSE,ISERROR(FIND("sink",A186))=FALSE,ISERROR(FIND("larder",A186))=FALSE),VLOOKUP("Deep shelf "&amp;C186,Wardrobes_etcData,18,0),IF(OR(ISERROR(FIND("single oven",A186))=FALSE,ISERROR(FIND("Base carcass",A186))=FALSE),2*VLOOKUP("Deep shelf "&amp;C186,Wardrobes_etcData,18,0),IF(AND(ISERROR(FIND("wall carcass",A186))=FALSE,ISERROR(FIND("Boiler",A186))=TRUE),2*VLOOKUP("Shallow shelf "&amp;C186,Wardrobes_etcData,18,0),IF(ISERROR(FIND("double oven",A186))=FALSE,3*VLOOKUP("Deep shelf "&amp;C186,Wardrobes_etcData,18,0),IF(ISERROR(FIND("Tower carcass",A186))=FALSE,6*VLOOKUP("Deep shelf "&amp;C186,Wardrobes_etcData,18,0),"")))))</f>
        <v/>
      </c>
      <c r="K186" s="152" t="str">
        <f>IF(ISERROR(FIND("sink",A186))=FALSE,VLOOKUP("Sink liner - Aluminium "&amp;RIGHT(A186,LEN(A186)-22)&amp;"mm",ExceptionalData,5,0),IF(ISERROR(FIND("bins",A186))=FALSE,VLOOKUP("Drawer runners and clip set for bin unit (500) Dynapro",FurnitureData,5,0)+(2*VLOOKUP("Bin (42L Anthracite)",FurnitureData,5,0)),IF(ISERROR(FIND("larder",A186))=FALSE,VLOOKUP("Pull out larder unit 600mm",FurnitureData,5,0),IF(AND(ISERROR(FIND("drawer box",A186))=FALSE,ISERROR(FIND("internal",A186))=TRUE),VLOOKUP("Drawer runners and clip set (550) Dynapro",FurnitureData,5,0),IF(ISERROR(FIND("internal drawer box",A186))=FALSE,VLOOKUP("Drawer runners and clip set (450) Dynapro",FurnitureData,5,0),IF(ISERROR(FIND("table",A186))=FALSE,VLOOKUP("Hairpin Leg (12mm Black "&amp;MID(A186,FIND("(",A186)+1,LEN(A186)-(FIND("(",A186))-1)&amp;"mm)",ExceptionalData,4,FALSE),""))))))</f>
        <v/>
      </c>
      <c r="L186" s="152" t="str">
        <f t="shared" si="3"/>
        <v/>
      </c>
      <c r="M186" s="154" t="str">
        <f>IF(A186="","",IF(AND(ISERROR(FIND("drawer front",A186))=FALSE,WardrobeDoorStyle="Flat"),(((B186/1000)*(C186/1000))*2)+((((B186+C186)/1000)*2)*0.022),IF(AND(ISERROR(FIND("drawer front",A186))=FALSE,LEFT(WardrobeDoorStyle,5)="Panel"),(((B186/1000)*(C186/1000))*2)+((((B186+C186)/1000)*2)*0.022)+((((C186/1000)-0.16)*0.013)*2)+((((D186/1000)-0.16)*0.013)*2),IF(AND(ISERROR(FIND("drawer front",A186))=FALSE,WardrobeDoorStyle="In-frame flat"),((((B186-76)/1000)*((C186-38)/1000))*2)+(MID(WardrobeDoorMaterial,FIND("(",WardrobeDoorMaterial)+1,2)/1000)*((((B186-76)+(C186-38))/1000)*2)+(((B186/1000)*0.032)*2)+((((B186-76)/1000)*0.032)*2)+(((B186/1000)*0.019)*4)+(((C186/1000)*0.032)*2)+((((C186-38)/1000)*0.032)*2)+(((C186/1000)*0.038)*4),IF(AND(ISERROR(FIND("drawer front",A186))=FALSE,LEFT(WardrobeDoorStyle,14)="In-frame panel"),((((B186-76)/1000)*((C186-38)/1000))*2)+((MID(WardrobeDoorMaterial,FIND("(",WardrobeDoorMaterial)+1,2)/1000)*((((B186-76)+(C186-38))/1000)*2))+((((B186-236)/1000)+((C186-198)/1000)*2)*0.013)+(((B186/1000)*0.032)*2)+((((B186-76)/1000)*0.032)*2)+(((B186/1000)*0.019)*4)+(((C186/1000)*0.032)*2)+((((C186-38)/1000)*0.032)*2)+(((C186/1000)*0.038)*4),IF(ISERROR(FIND("drawer box",A186))=FALSE,((((B186/1000)*(D186/1000))+((B186/1000)*(C186/1000)))*4)+((((D186/1000)+(C186/1000))*0.016)*4)+(((C186/1000)*(D186/1000))*2),IF(OR(ISERROR(FIND("shelf",A186))=FALSE,ISERROR(FIND("Filler panel",A186))=FALSE),(((C186/1000)*(D186/1000))*2)+((((C186+D186)*2)/1000)*0.022),IF(ISERROR(FIND("Fireplace",A186))=FALSE,((B186/1000)*(C186/1000)),IF(ISERROR(FIND("Worktop",A186))=FALSE,(B186/1000)*(C186/1000),IF(ISERROR(FIND("table",A186))=FALSE,(B186/1000)*0.6,IF(ISERROR(FIND("arcass",A186))=FALSE,(((C186/1000)*(D186/1000))*2)+(((B186/1000)*(D186/1000))*2)+((B186/1000)*(C186/1000))+((((B186/1000)*0.025)+((C186/1000)*0.025))*2),IF(AND(ISERROR(FIND("door",A186))=FALSE,WardrobeDoorStyle="Flat"),(((B186/1000)*(C186/1000))*2)+(MID(WardrobeDoorMaterial,FIND("(",WardrobeDoorMaterial)+1,2)/1000)*(((B186+C186)/1000)*2),IF(AND(ISERROR(FIND("door",A186))=FALSE,LEFT(WardrobeDoorStyle,5)="Panel"),(((B186/1000)*(C186/1000))*2)+((MID(WardrobeDoorMaterial,FIND("(",WardrobeDoorMaterial)+1,2)/1000)*(((B186+C186)/1000)*2))+(((((B186-160)+(C186-160))*2)/1000)*(0.013)),IF(AND(ISERROR(FIND("door",A186))=FALSE,WardrobeDoorStyle="In-frame flat"),((((B186-76)/1000)*((C186-38)/1000))*2)+(MID(WardrobeDoorMaterial,FIND("(",WardrobeDoorMaterial)+1,2)/1000)*((((B186-76)+(C186-38))/1000)*2)+(((B186/1000)*0.032)*2)+((((B186-76)/1000)*0.032)*2)+(((B186/1000)*0.019)*4)+(((C186/1000)*0.032)*2)+((((C186-38)/1000)*0.032)*2)+(((C186/1000)*0.038)*4),IF(AND(ISERROR(FIND("door",A186))=FALSE,LEFT(WardrobeDoorStyle,14)="In-frame panel"),((((B186-76)/1000)*((C186-38)/1000))*2)+((MID(WardrobeDoorMaterial,FIND("(",WardrobeDoorMaterial)+1,2)/1000)*((((B186-76)+(C186-38))/1000)*2))+((((B186-236)/1000)+((C186-198)/1000)*2)*0.013)+(((B186/1000)*0.032)*2)+((((B186-76)/1000)*0.032)*2)+(((B186/1000)*0.019)*4)+(((C186/1000)*0.032)*2)+((((C186-38)/1000)*0.032)*2)+(((C186/1000)*0.038)*4),IF(ISERROR(FIND("Plinth",A186))=FALSE,((B186/1000)*(C186/1000))+(((C186/1000)*0.018)*2)+(((B186/1000)*0.018)*2),IF(ISERROR(FIND("Cornice",A186))=FALSE,(((C186/1000)*0.1)*2)+(((C186/1000)*0.044)*2)+(((B186/1000)*0.08)*2),IF(ISERROR(FIND("Office pod",A186))=FALSE,((2400/1000)*(1200/1000))*6,IF(ISERROR(FIND("panel",A186))=FALSE,((B186/1000)*(C186/1000))+(0.022*((B186/1000)+((C186/1000)*2)))+((B186/1000)*0.05),IF(ISERROR(FIND("Fillers",A186))=FALSE,((C186/1000)*0.06)+((C186/1000)*0.069)+((0.06*0.018)*2)+((0.06*0.009)*2)+((C186/1000)*0.009)+((C186/1000)*0.018),IF(ISERROR(FIND("Pelmet",A186))=FALSE,((C186/1000)*0.05)+((C186/1000)*0.068)+((0.05*0.018)*4)+(((C186/1000)*0.018))*2)))))))))))))))))))))</f>
        <v/>
      </c>
      <c r="N186" s="152" t="str">
        <f>IF(M186="","",IF(AND(ISERROR(FIND("carcass",A186))=TRUE,ISERROR(FIND("unit",A186))=TRUE,ISERROR(FIND("insert",A186))=TRUE,ISERROR(FIND("rack",A186))=TRUE,ISERROR(FIND("box",A186))=TRUE,ISERROR(FIND("shelf",A186))=TRUE),VLOOKUP(WardrobeDoorFinish,Finishing!$A$2:$K$10,9,0)*M186,IF(ISERROR(FIND("table",A186))=FALSE,VLOOKUP("Sayerlack AF0072 Interior Clear Self-Sealer",FinishingData,9,FALSE)*M186,VLOOKUP(WardrobeCarcassFinish,Finishing!$A$2:$K$40,9,0)*M186)))</f>
        <v/>
      </c>
      <c r="O186" s="155"/>
      <c r="P186" s="155"/>
      <c r="Q186" s="152" t="str">
        <f>IF(OR(O186="",P186=""),"",((O186*X186)*(VLOOKUP("Workshop",Labour!$A$3:$E$20,4,0)/8))+((P186*AE186)*(VLOOKUP("Finishing",Labour!$A$3:$E$20,4,0)/8)))</f>
        <v/>
      </c>
      <c r="R186" s="152" t="str">
        <f t="shared" si="4"/>
        <v/>
      </c>
      <c r="S186" s="156" t="str">
        <f>IF(OR(O186="",P186=""),"",IF(OR(ISERROR(FIND("carcass",$A186))=FALSE,ISERROR(FIND("unit",$A186))=FALSE),VLOOKUP(WardrobeCarcassMaterial,FixedListsCarcassMaterial,2,0),0))</f>
        <v/>
      </c>
      <c r="T186" s="156" t="str">
        <f>IF(OR(O186="",P186=""),"",IF(ISERROR(FIND("door",$A186))=FALSE,VLOOKUP(WardrobeDoorStyle,FixedListsDoorStyle,2,0),0))</f>
        <v/>
      </c>
      <c r="U186" s="156" t="str">
        <f>IF(OR(O186="",P186=""),"",IF(ISERROR(FIND("door",$A186))=FALSE,VLOOKUP(WardrobeDoorMaterial,FixedListsDoorMaterial,2,0),0))</f>
        <v/>
      </c>
      <c r="V186" s="156" t="str">
        <f>IF(OR(O186="",P186=""),"",IF(ISERROR(FIND("drawer",$A186))=FALSE,VLOOKUP(WardrobeDrawerType,FixedListsDrawerType,2,0),0))</f>
        <v/>
      </c>
      <c r="W186" s="156" t="str">
        <f>IF(OR(O186="",P186=""),"",IF(S186&gt;0,VLOOKUP(WardrobeHandleType,FixedListsHandleType,2,FALSE),0))</f>
        <v/>
      </c>
      <c r="X186" s="156" t="str">
        <f t="shared" si="5"/>
        <v/>
      </c>
      <c r="Y186" s="156" t="str">
        <f>IF(OR(O186="",P186=""),"",IF(OR(ISERROR(FIND("carcass",$A186))=FALSE,ISERROR(FIND("unit",$A186))=FALSE),VLOOKUP(WardrobeCarcassMaterial,FixedListsCarcassMaterial,3,0),0))</f>
        <v/>
      </c>
      <c r="Z186" s="156" t="str">
        <f>IF(OR(O186="",P186=""),"",IF(ISERROR(FIND("door",$A186))=FALSE,VLOOKUP(WardrobeDoorStyle,FixedListsDoorStyle,3,0),0))</f>
        <v/>
      </c>
      <c r="AA186" s="156" t="str">
        <f>IF(OR(O186="",P186=""),"",IF(ISERROR(FIND("door",$A186))=FALSE,VLOOKUP(WardrobeDoorMaterial,FixedListsDoorMaterial,3,0),0))</f>
        <v/>
      </c>
      <c r="AB186" s="156" t="str">
        <f>IF(OR(O186="",P186=""),"",IF(ISERROR(FIND("drawer",$A186))=FALSE,VLOOKUP(WardrobeDrawerType,FixedListsDrawerType,3,0),0))</f>
        <v/>
      </c>
      <c r="AC186" s="156" t="str">
        <f>IF(OR(O186="",P186=""),"",IF(S186&gt;0,VLOOKUP(WardrobeHandleType,FixedListsHandleType,3,FALSE),0))</f>
        <v/>
      </c>
      <c r="AD186" s="156" t="str">
        <f>IF(OR(O186="",P186=""),"",IF(OR(ISERROR(FIND("carcass",$A186))=FALSE,ISERROR(FIND("unit",$A186))=FALSE),VLOOKUP(WardrobeCarcassFinish,FixedListsFinishes,3,0),IF(OR(ISERROR(FIND("door",$A186))=FALSE,ISERROR(FIND("Plinth",$A186))=FALSE,ISERROR(FIND("Cornice",$A186))=FALSE,ISERROR(FIND("Fillers",$A186))=FALSE,ISERROR(FIND("Pelmet",$A186))=FALSE,ISERROR(FIND("panel",$A186))=FALSE,ISERROR(FIND("post",$A186))=FALSE),VLOOKUP(WardrobeDoorFinish,FixedListsFinishes,3,0),IF(OR(ISERROR(FIND("drawer",$A186))=FALSE,ISERROR(FIND("insert",$A186))=FALSE,ISERROR(FIND("rck",$A186))=FALSE),VLOOKUP(WardrobeCarcassFinish,FixedListsFinishes,3,0),0))))</f>
        <v/>
      </c>
      <c r="AE186" s="156" t="str">
        <f t="shared" si="6"/>
        <v/>
      </c>
      <c r="AF186" s="157" t="str">
        <f>IF(AND(WardrobeHandleType="Channel",OR(ISERROR(FIND("arcass",$A186))=FALSE,ISERROR(FIND("unit",$A186))=FALSE)),IF(ISERROR(FIND("Tower",$A186))=TRUE,IF(WardrobeHandleFinish="Match carcass",IF(ISERROR(FIND("Walnut",WardrobeCarcassMaterial))=FALSE,(0.035*0.075*($C186/1000))*VLOOKUP("Walnut (solid m3)",SolidData,4,FALSE),IF(ISERROR(FIND("Oak",WardrobeCarcassMaterial))=FALSE,(0.035*0.075*($C186/1000))*VLOOKUP("Oak (solid m3)",SolidData,4,FALSE),IF(ISERROR(FIND("ply",WardrobeCarcassMaterial))=FALSE,(0.1*($C186/1000))*VLOOKUP("Birch ply (24mm)",SheetsData,7,FALSE),IF(ISERROR(FIND("H/F",WardrobeCarcassMaterial))=FALSE,(0.1*($C186/1000))*VLOOKUP("H/F (22mm)",SheetsData,7,FALSE),"Carcass - not tower - new material")))),IF(WardrobeHandleFinish="Match door",IF(ISERROR(FIND("Walnut",WardrobeDoorMaterial))=FALSE,(0.035*0.075*($C186/1000))*VLOOKUP("Walnut (solid m3)",SolidData,4,FALSE),IF(ISERROR(FIND("Oak",WardrobeDoorMaterial))=FALSE,(0.035*0.075*($C186/1000))*VLOOKUP("Oak (solid m3)",SolidData,4,FALSE),IF(ISERROR(FIND("ply",WardrobeDoorMaterial))=FALSE,(0.1*($C186/1000))*VLOOKUP("Birch ply (24mm)",SheetsData,7,FALSE),IF(ISERROR(FIND("H/F",WardrobeCarcassMaterial))=FALSE,(0.1*($C186/1000))*VLOOKUP("H/F (22mm)",SheetsData,7,FALSE),"Door - not tower - new material")))),"Channel - not tower - handle set to other")),IF(ISERROR(FIND("Tower",$A186))=FALSE,IF(WardrobeHandleFinish="Match carcass",IF(ISERROR(FIND("Walnut",WardrobeCarcassMaterial))=FALSE,(0.035*0.075*($B186/1000))*VLOOKUP("Walnut (solid m3)",SolidData,4,FALSE),IF(ISERROR(FIND("Oak",WardrobeCarcassMaterial))=FALSE,(0.035*0.075*($B186/1000))*VLOOKUP("Oak (solid m3)",SolidData,4,FALSE),IF(ISERROR(FIND("ply",WardrobeCarcassMaterial))=FALSE,(0.1*($B186/1000))*VLOOKUP("Birch ply (24mm)",SheetsData,7,FALSE),IF(ISERROR(FIND("H/F",WardrobeCarcassMaterial))=FALSE,(0.1*($C186/1000))*VLOOKUP("H/F (22mm)",SheetsData,7,FALSE),"Carcass - tower - new material")))),IF(WardrobeHandleFinish="Match door",IF(ISERROR(FIND("Walnut",WardrobeDoorMaterial))=FALSE,(0.035*0.075*($B186/1000))*VLOOKUP("Walnut (solid m3)",SolidData,4,FALSE),IF(ISERROR(FIND("Oak",WardrobeDoorMaterial))=FALSE,(0.035*0.075*($B186/1000))*VLOOKUP("Oak (solid m3)",SolidData,4,FALSE),IF(ISERROR(FIND("ply",WardrobeDoorMaterial))=FALSE,(0.1*($B186/1000))*VLOOKUP("Birch ply (24mm)",SheetData,7,FALSE),IF(ISERROR(FIND("H/F",WardrobeCarcassMaterial))=FALSE,(0.1*($C186/1000))*VLOOKUP("H/F (22mm)",SheetsData,7,FALSE),"Door - tower - new material")))),"Channel - tower - handle set to other")))),"")</f>
        <v/>
      </c>
    </row>
    <row r="187">
      <c r="A187" s="150"/>
      <c r="B187" s="160" t="str">
        <f t="shared" si="1"/>
        <v/>
      </c>
      <c r="C187" s="160" t="str">
        <f>IFERROR(__xludf.DUMMYFUNCTION("IF(A187="""","""",IF(ISERROR(FIND(""arcass"",A187))=FALSE,MID(A187,FIND(""*"",A187)+1,FIND(""*"",A187,FIND(""*"",A187)+1)-FIND(""*"",A187)-1),IF(ISERROR(FIND(""End panel"",A187))=FALSE,RIGHT(A187,3),IF(OR(ISERROR(FIND(""drawer"",A187))=FALSE,ISERROR(FIND("&amp;"""door"",A187))=FALSE,ISERROR(FIND(""shelf"",A187))=FALSE,ISERROR(FIND(""panel"",A187))=FALSE,ISERROR(FIND(""Plinth"",A187))=FALSE,ISERROR(FIND(""Cornice"",A187))=FALSE,ISERROR(FIND(""Fillers"",A187))=FALSE,ISERROR(FIND(""Pelmet"",A187))=FALSE,ISERROR(FIN"&amp;"D(""Fireplace up to 1600"",A187))=FALSE),RIGHT(A187,LEN(A187)-LEN(regexextract(A187,"".* ""))),IF(ISERROR(FIND(""table"",A187))=FALSE,""560"",IF(ISERROR(FIND(""Office pod"",A187))=FALSE,""1600"",IF(ISERROR(FIND(""Fireplace over 1600"",A187))=FALSE,""2400"&amp;""",IF(ISERROR(FIND(""Worktop"",A187))=FALSE,""650"",""Whoops""))))))))"),"")</f>
        <v/>
      </c>
      <c r="D187" s="161" t="str">
        <f t="shared" si="2"/>
        <v/>
      </c>
      <c r="E187" s="152" t="str">
        <f>IF(OR(A187="",AND(ISERROR(FIND("drawer",A187))=FALSE,WardrobeDrawerType="")),"",IF(ISERROR(FIND("door",A187))=FALSE,IF(WardrobeDoorStyle="Flat",((B187/1000)*(C187/1000))*VLOOKUP(WardrobeDoorMaterial,SheetsData,8,0),IF(LEFT(WardrobeDoorStyle,5)="Panel",(((((B187/1000)*2)*0.08)+((((C187/1000)-0.16)*2)*0.08))*VLOOKUP("H/F (22mm)",SheetsData,8,0))+(((B187/1000)-0.14)*((C187/1000)-0.14)*VLOOKUP("H/F (9mm)",SheetsData,8,0)),IF(WardrobeDoorStyle="In-frame flat",((((((B187/1000)*0.019)*0.038)+((((C187-38)/1000)*0.038)*0.038))*2)*VLOOKUP("Tulip (solid m3)",SolidData,4,0))+(((B187-76)/1000)*((C187-38)/1000))*VLOOKUP("H/F (22mm)",SheetsData,8,0),IF(LEFT(WardrobeDoorStyle,14)="In-frame panel",(((((((B187/1000)*0.019)*0.038)+((((C187-38)/1000)*0.038)*0.038))*2)*VLOOKUP("Tulip (solid m3)",SolidData,4,0))+(((((((B187-76)/1000)*2)*0.08)+(((((C187-198)/1000)*2)*0.08)))*VLOOKUP("H/F (22mm)",SheetsData,8,0))+(((B187-216)/1000)*((C187-178)/1000)*VLOOKUP("H/F (9mm)",SheetsData,8,0)))))))),IF(AND(ISERROR(FIND("arcass",A187))=FALSE,ISERROR(FIND("ost corner",A187))=TRUE),IF(AND(VALUE(B187)&lt;1211,VALUE(C187)&lt;1211,VALUE(D187)&lt;606),1*VLOOKUP(WardrobeCarcassMaterial,SheetsData,5,FALSE),IF(AND(VALUE(B187)&lt;2421,VALUE(C187)&lt;2421,VALUE(D187)&lt;606),2*VLOOKUP(WardrobeCarcassMaterial,SheetsData,5,FALSE),IF(AND(VALUE(B187)&lt;2421,VALUE(C187)&lt;1211,VALUE(D187)&lt;1211),3*VLOOKUP(WardrobeCarcassMaterial,SheetsData,5,FALSE),IF(AND(VALUE(B187)&lt;2421,VALUE(C187)&lt;2421,VALUE(D187)&lt;1211),4*VLOOKUP(WardrobeCarcassMaterial,SheetsData,5,FALSE))))),IF(AND(ISERROR(FIND("arcass",A187))=FALSE,ISERROR(FIND("ost corner",A187))=FALSE),IF(AND(VALUE(B187)&lt;1211,VALUE(C187)&lt;1211,VALUE(D187)&lt;606),(1*VLOOKUP(WardrobeCarcassMaterial,SheetsData,5,FALSE))+(VLOOKUP("H/F (22mm)",SheetsData,7,FALSE)*1.44),IF(AND(VALUE(B187)&lt;2421,VALUE(C187)&lt;2421,VALUE(D187)&lt;606),(2*VLOOKUP(WardrobeCarcassMaterial,SheetsData,5,FALSE))+(VLOOKUP("H/F (22mm)",SheetsData,7,FALSE)*1.44),IF(AND(VALUE(B187)&lt;2421,VALUE(C187)&lt;1211,VALUE(D187)&lt;1211),(3*VLOOKUP(WardrobeCarcassMaterial,SheetsData,5,FALSE))+(VLOOKUP("H/F (22mm)",SheetsData,7,FALSE)*1.44),IF(AND(VALUE(B187)&lt;2421,VALUE(C187)&lt;2421,VALUE(D187)&lt;1211),(4*VLOOKUP(WardrobeCarcassMaterial,SheetsData,5,FALSE))+(VLOOKUP("H/F (22mm)",SheetsData,7,FALSE)*1.44))))),IF(ISERROR(FIND("drawer front",A187))=FALSE,((B187/1000)*(C187/1000))*VLOOKUP(WardrobeDoorMaterial,SheetsData,8,0),IF(AND(WardrobeDrawerType="Match carcass",ISERROR(FIND("drawer box",A187))=FALSE),(((((B187/1000)*(C187/1000))+((B187/1000)*(D187/1000)))*2)*VLOOKUP(WardrobeCarcassMaterial,SheetsData,8,0))+(((C187/1000)*(D187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box",A187))=FALSE),(((((B187/1000)*(C187/1000))+((B187/1000)*(D187/1000)))*2)*(16/1000)*VLOOKUP(LEFT(WardrobeCarcassMaterial,FIND(" ",WardrobeCarcassMaterial))&amp;"(solid m3)",SolidData,4,0))+(((C187/1000)*(D187/1000))*VLOOKUP(LEFT(WardrobeCarcassMaterial,FIND("(",WardrobeCarcassMaterial)-1)&amp;IF(OR(ISERROR(FIND("ply",WardrobeCarcassMaterial))=FALSE,ISERROR(FIND("H/F",WardrobeCarcassMaterial))=FALSE),"(9mm)","(10mm)"),SheetsData,8,0)),IF(ISERROR(FIND("shelf",A187))=FALSE,((C187/1000)*(D187/1000))*VLOOKUP(WardrobeCarcassMaterial,SheetsData,7,FALSE),IF(ISERROR(FIND("Office pod",A187))=FALSE,3*VLOOKUP(WardrobeCarcassMaterial,SheetsData,5,0),IF(ISERROR(FIND(" panel",A187))=FALSE,((B187/1000)*(C187/1000))*VLOOKUP(WardrobeDoorMaterial,SheetsData,8,0),IF(ISERROR(FIND("Fillers",A187))=FALSE,(((0.06*(C187/1000))*2)*VLOOKUP("H/F (18mm)",SheetsData,8,0))+(((0.06*(C187/1000))*2)*VLOOKUP("H/F (9mm)",SheetsData,8,0)),IF(ISERROR(FIND("Cornice (stacked)",A187))=FALSE,((0.08*(C187/1000))*2)*VLOOKUP("H/F (22mm)",SheetsData,8,0),IF(OR(ISERROR(FIND("Plinth",A187))=FALSE,ISERROR(FIND("Cornice (flat)",A187))=FALSE),((B187/1000)*(C187/1000))*VLOOKUP("H/F (18mm)",SheetsData,8,0),IF(ISERROR(FIND("Pelmet",A187))=FALSE,((((B187/1000)*(C187/1000))*2)*VLOOKUP("H/F (18mm)",SheetsData,8,0)),IF(ISERROR(FIND("Fireplace",A187))=FALSE,IF(ISERROR(FIND("over 1600",A187))=FALSE,2*VLOOKUP(WardrobeCarcassMaterial,SheetsData,5,FALSE),VLOOKUP(WardrobeCarcassMaterial,SheetsData,5,FALSE)),IF(ISERROR(FIND("table",A187))=FALSE,((B187/1000)*0.6)*VLOOKUP("Birch ply (24mm)",SheetsData,7,FALSE),IF(ISERROR(FIND("Worktop",A187))=FALSE,((B187/1000)*(C187/1000))*VLOOKUP(WardrobeDoorMaterial,SheetsData,7,FALSE),"Check formula")))))))))))))))))</f>
        <v/>
      </c>
      <c r="F187" s="152" t="str">
        <f>IFERROR(__xludf.DUMMYFUNCTION("IF(OR(A187="""",AND(ISERROR(FIND(""drawer box"",A187))=FALSE,WardrobeDrawerType=""Solid dovetail"")),"""",IF(ISERROR(FIND(""bins"",A187))=FALSE,VLOOKUP(""Base carcass 600"",Wardrobes_etcData,6,0),IF(OR(ISERROR(FIND(""larder"",A187))=FALSE,ISERROR(FIND(""u"&amp;"nit"",A187))=FALSE),VLOOKUP(LEFT(A187,FIND("" "",A187))&amp;""carcass ""&amp;RIGHT(A187,LEN(A187)-len(regexextract(A187,"".* ""))),Wardrobes_etcData,6,0),IF(ISERROR(FIND(""drawer front"",A187))=FALSE,IF(ISERROR(FIND(""veneer"",WardrobeCarcassMaterial))=TRUE,0,((("&amp;"B187+C187)/1000)*2)*VLOOKUP(""Edge banding (per M)"",SheetsData,5,0)),IF(ISERROR(FIND(""drawer box"",A187))=FALSE,IF(ISERROR(FIND(""veneer"",WardrobeCarcassMaterial))=TRUE,0,(((C187+D187)/1000)*2)*VLOOKUP(""Edge banding (per M)"",SheetsData,5,0)),IF(ISERR"&amp;"OR(FIND(""shelf"",A187))=FALSE,IF(ISERROR(FIND(""veneer"",WardrobeCarcassMaterial))=TRUE,0,(C187/1000)*VLOOKUP(""Edge banding (per M)"",SheetsData,5,0)),IF(AND(OR(ISERROR(FIND(""arcass"",A187))=FALSE,ISERROR(FIND(""Fireplace"",A187))=FALSE),ISERROR(FIND("&amp;"""shelf"",A187))=TRUE),IF(ISERROR(FIND(""veneer"",WardrobeCarcassMaterial))=TRUE,0,((2*(B187+C187))/1000)*VLOOKUP(""Edge banding (per M)"",SheetsData,5,0)),IF(ISERROR(FIND(""door"",A187))=TRUE,"""",IF(ISERROR(FIND(""veneer"",WardrobeDoorMaterial))=TRUE,"""&amp;""",((2*(B187+C187))/1000)*VLOOKUP(""Edge banding (per M)"",SheetsData,5,0))))))))))"),"")</f>
        <v/>
      </c>
      <c r="G187" s="153" t="str">
        <f>IF(A187="","",IF(AND(ISERROR(FIND("arcass",A187))=TRUE,ISERROR(FIND("Fireplace",A187))=TRUE),"",IF(VALUE(C187)&lt;606,4*VLOOKUP("Plinth foot (2 Parts 80mm)",FurnitureData,5,FALSE),IF(VALUE(C187)&lt;1211,6*VLOOKUP("Plinth foot (2 Parts 80mm)",FurnitureData,5,FALSE),8*VLOOKUP("Plinth foot (2 Parts 80mm)",FurnitureData,5,FALSE)))))</f>
        <v/>
      </c>
      <c r="H187" s="115" t="str">
        <f>IF(OR(A187="",ISERROR(FIND("door",A187))=TRUE),"",VLOOKUP("Hinges &amp; plates (Hettich thick door)",FurnitureData,5,0)*5)</f>
        <v/>
      </c>
      <c r="I187" s="115" t="str">
        <f>IF(ISERROR(FIND("shelf",A187))=FALSE,(VLOOKUP("Shelf pegs",FurnitureData,5,0)/100)*4,"")</f>
        <v/>
      </c>
      <c r="J187" s="152" t="str">
        <f>IF(OR(ISERROR(FIND("fridge/freezer",A187))=FALSE,ISERROR(FIND("sink",A187))=FALSE,ISERROR(FIND("larder",A187))=FALSE),VLOOKUP("Deep shelf "&amp;C187,Wardrobes_etcData,18,0),IF(OR(ISERROR(FIND("single oven",A187))=FALSE,ISERROR(FIND("Base carcass",A187))=FALSE),2*VLOOKUP("Deep shelf "&amp;C187,Wardrobes_etcData,18,0),IF(AND(ISERROR(FIND("wall carcass",A187))=FALSE,ISERROR(FIND("Boiler",A187))=TRUE),2*VLOOKUP("Shallow shelf "&amp;C187,Wardrobes_etcData,18,0),IF(ISERROR(FIND("double oven",A187))=FALSE,3*VLOOKUP("Deep shelf "&amp;C187,Wardrobes_etcData,18,0),IF(ISERROR(FIND("Tower carcass",A187))=FALSE,6*VLOOKUP("Deep shelf "&amp;C187,Wardrobes_etcData,18,0),"")))))</f>
        <v/>
      </c>
      <c r="K187" s="152" t="str">
        <f>IF(ISERROR(FIND("sink",A187))=FALSE,VLOOKUP("Sink liner - Aluminium "&amp;RIGHT(A187,LEN(A187)-22)&amp;"mm",ExceptionalData,5,0),IF(ISERROR(FIND("bins",A187))=FALSE,VLOOKUP("Drawer runners and clip set for bin unit (500) Dynapro",FurnitureData,5,0)+(2*VLOOKUP("Bin (42L Anthracite)",FurnitureData,5,0)),IF(ISERROR(FIND("larder",A187))=FALSE,VLOOKUP("Pull out larder unit 600mm",FurnitureData,5,0),IF(AND(ISERROR(FIND("drawer box",A187))=FALSE,ISERROR(FIND("internal",A187))=TRUE),VLOOKUP("Drawer runners and clip set (550) Dynapro",FurnitureData,5,0),IF(ISERROR(FIND("internal drawer box",A187))=FALSE,VLOOKUP("Drawer runners and clip set (450) Dynapro",FurnitureData,5,0),IF(ISERROR(FIND("table",A187))=FALSE,VLOOKUP("Hairpin Leg (12mm Black "&amp;MID(A187,FIND("(",A187)+1,LEN(A187)-(FIND("(",A187))-1)&amp;"mm)",ExceptionalData,4,FALSE),""))))))</f>
        <v/>
      </c>
      <c r="L187" s="152" t="str">
        <f t="shared" si="3"/>
        <v/>
      </c>
      <c r="M187" s="154" t="str">
        <f>IF(A187="","",IF(AND(ISERROR(FIND("drawer front",A187))=FALSE,WardrobeDoorStyle="Flat"),(((B187/1000)*(C187/1000))*2)+((((B187+C187)/1000)*2)*0.022),IF(AND(ISERROR(FIND("drawer front",A187))=FALSE,LEFT(WardrobeDoorStyle,5)="Panel"),(((B187/1000)*(C187/1000))*2)+((((B187+C187)/1000)*2)*0.022)+((((C187/1000)-0.16)*0.013)*2)+((((D187/1000)-0.16)*0.013)*2),IF(AND(ISERROR(FIND("drawer front",A187))=FALSE,WardrobeDoorStyle="In-frame flat"),((((B187-76)/1000)*((C187-38)/1000))*2)+(MID(WardrobeDoorMaterial,FIND("(",WardrobeDoorMaterial)+1,2)/1000)*((((B187-76)+(C187-38))/1000)*2)+(((B187/1000)*0.032)*2)+((((B187-76)/1000)*0.032)*2)+(((B187/1000)*0.019)*4)+(((C187/1000)*0.032)*2)+((((C187-38)/1000)*0.032)*2)+(((C187/1000)*0.038)*4),IF(AND(ISERROR(FIND("drawer front",A187))=FALSE,LEFT(WardrobeDoorStyle,14)="In-frame panel"),((((B187-76)/1000)*((C187-38)/1000))*2)+((MID(WardrobeDoorMaterial,FIND("(",WardrobeDoorMaterial)+1,2)/1000)*((((B187-76)+(C187-38))/1000)*2))+((((B187-236)/1000)+((C187-198)/1000)*2)*0.013)+(((B187/1000)*0.032)*2)+((((B187-76)/1000)*0.032)*2)+(((B187/1000)*0.019)*4)+(((C187/1000)*0.032)*2)+((((C187-38)/1000)*0.032)*2)+(((C187/1000)*0.038)*4),IF(ISERROR(FIND("drawer box",A187))=FALSE,((((B187/1000)*(D187/1000))+((B187/1000)*(C187/1000)))*4)+((((D187/1000)+(C187/1000))*0.016)*4)+(((C187/1000)*(D187/1000))*2),IF(OR(ISERROR(FIND("shelf",A187))=FALSE,ISERROR(FIND("Filler panel",A187))=FALSE),(((C187/1000)*(D187/1000))*2)+((((C187+D187)*2)/1000)*0.022),IF(ISERROR(FIND("Fireplace",A187))=FALSE,((B187/1000)*(C187/1000)),IF(ISERROR(FIND("Worktop",A187))=FALSE,(B187/1000)*(C187/1000),IF(ISERROR(FIND("table",A187))=FALSE,(B187/1000)*0.6,IF(ISERROR(FIND("arcass",A187))=FALSE,(((C187/1000)*(D187/1000))*2)+(((B187/1000)*(D187/1000))*2)+((B187/1000)*(C187/1000))+((((B187/1000)*0.025)+((C187/1000)*0.025))*2),IF(AND(ISERROR(FIND("door",A187))=FALSE,WardrobeDoorStyle="Flat"),(((B187/1000)*(C187/1000))*2)+(MID(WardrobeDoorMaterial,FIND("(",WardrobeDoorMaterial)+1,2)/1000)*(((B187+C187)/1000)*2),IF(AND(ISERROR(FIND("door",A187))=FALSE,LEFT(WardrobeDoorStyle,5)="Panel"),(((B187/1000)*(C187/1000))*2)+((MID(WardrobeDoorMaterial,FIND("(",WardrobeDoorMaterial)+1,2)/1000)*(((B187+C187)/1000)*2))+(((((B187-160)+(C187-160))*2)/1000)*(0.013)),IF(AND(ISERROR(FIND("door",A187))=FALSE,WardrobeDoorStyle="In-frame flat"),((((B187-76)/1000)*((C187-38)/1000))*2)+(MID(WardrobeDoorMaterial,FIND("(",WardrobeDoorMaterial)+1,2)/1000)*((((B187-76)+(C187-38))/1000)*2)+(((B187/1000)*0.032)*2)+((((B187-76)/1000)*0.032)*2)+(((B187/1000)*0.019)*4)+(((C187/1000)*0.032)*2)+((((C187-38)/1000)*0.032)*2)+(((C187/1000)*0.038)*4),IF(AND(ISERROR(FIND("door",A187))=FALSE,LEFT(WardrobeDoorStyle,14)="In-frame panel"),((((B187-76)/1000)*((C187-38)/1000))*2)+((MID(WardrobeDoorMaterial,FIND("(",WardrobeDoorMaterial)+1,2)/1000)*((((B187-76)+(C187-38))/1000)*2))+((((B187-236)/1000)+((C187-198)/1000)*2)*0.013)+(((B187/1000)*0.032)*2)+((((B187-76)/1000)*0.032)*2)+(((B187/1000)*0.019)*4)+(((C187/1000)*0.032)*2)+((((C187-38)/1000)*0.032)*2)+(((C187/1000)*0.038)*4),IF(ISERROR(FIND("Plinth",A187))=FALSE,((B187/1000)*(C187/1000))+(((C187/1000)*0.018)*2)+(((B187/1000)*0.018)*2),IF(ISERROR(FIND("Cornice",A187))=FALSE,(((C187/1000)*0.1)*2)+(((C187/1000)*0.044)*2)+(((B187/1000)*0.08)*2),IF(ISERROR(FIND("Office pod",A187))=FALSE,((2400/1000)*(1200/1000))*6,IF(ISERROR(FIND("panel",A187))=FALSE,((B187/1000)*(C187/1000))+(0.022*((B187/1000)+((C187/1000)*2)))+((B187/1000)*0.05),IF(ISERROR(FIND("Fillers",A187))=FALSE,((C187/1000)*0.06)+((C187/1000)*0.069)+((0.06*0.018)*2)+((0.06*0.009)*2)+((C187/1000)*0.009)+((C187/1000)*0.018),IF(ISERROR(FIND("Pelmet",A187))=FALSE,((C187/1000)*0.05)+((C187/1000)*0.068)+((0.05*0.018)*4)+(((C187/1000)*0.018))*2)))))))))))))))))))))</f>
        <v/>
      </c>
      <c r="N187" s="152" t="str">
        <f>IF(M187="","",IF(AND(ISERROR(FIND("carcass",A187))=TRUE,ISERROR(FIND("unit",A187))=TRUE,ISERROR(FIND("insert",A187))=TRUE,ISERROR(FIND("rack",A187))=TRUE,ISERROR(FIND("box",A187))=TRUE,ISERROR(FIND("shelf",A187))=TRUE),VLOOKUP(WardrobeDoorFinish,Finishing!$A$2:$K$10,9,0)*M187,IF(ISERROR(FIND("table",A187))=FALSE,VLOOKUP("Sayerlack AF0072 Interior Clear Self-Sealer",FinishingData,9,FALSE)*M187,VLOOKUP(WardrobeCarcassFinish,Finishing!$A$2:$K$40,9,0)*M187)))</f>
        <v/>
      </c>
      <c r="O187" s="155"/>
      <c r="P187" s="155"/>
      <c r="Q187" s="152" t="str">
        <f>IF(OR(O187="",P187=""),"",((O187*X187)*(VLOOKUP("Workshop",Labour!$A$3:$E$20,4,0)/8))+((P187*AE187)*(VLOOKUP("Finishing",Labour!$A$3:$E$20,4,0)/8)))</f>
        <v/>
      </c>
      <c r="R187" s="152" t="str">
        <f t="shared" si="4"/>
        <v/>
      </c>
      <c r="S187" s="156" t="str">
        <f>IF(OR(O187="",P187=""),"",IF(OR(ISERROR(FIND("carcass",$A187))=FALSE,ISERROR(FIND("unit",$A187))=FALSE),VLOOKUP(WardrobeCarcassMaterial,FixedListsCarcassMaterial,2,0),0))</f>
        <v/>
      </c>
      <c r="T187" s="156" t="str">
        <f>IF(OR(O187="",P187=""),"",IF(ISERROR(FIND("door",$A187))=FALSE,VLOOKUP(WardrobeDoorStyle,FixedListsDoorStyle,2,0),0))</f>
        <v/>
      </c>
      <c r="U187" s="156" t="str">
        <f>IF(OR(O187="",P187=""),"",IF(ISERROR(FIND("door",$A187))=FALSE,VLOOKUP(WardrobeDoorMaterial,FixedListsDoorMaterial,2,0),0))</f>
        <v/>
      </c>
      <c r="V187" s="156" t="str">
        <f>IF(OR(O187="",P187=""),"",IF(ISERROR(FIND("drawer",$A187))=FALSE,VLOOKUP(WardrobeDrawerType,FixedListsDrawerType,2,0),0))</f>
        <v/>
      </c>
      <c r="W187" s="156" t="str">
        <f>IF(OR(O187="",P187=""),"",IF(S187&gt;0,VLOOKUP(WardrobeHandleType,FixedListsHandleType,2,FALSE),0))</f>
        <v/>
      </c>
      <c r="X187" s="156" t="str">
        <f t="shared" si="5"/>
        <v/>
      </c>
      <c r="Y187" s="156" t="str">
        <f>IF(OR(O187="",P187=""),"",IF(OR(ISERROR(FIND("carcass",$A187))=FALSE,ISERROR(FIND("unit",$A187))=FALSE),VLOOKUP(WardrobeCarcassMaterial,FixedListsCarcassMaterial,3,0),0))</f>
        <v/>
      </c>
      <c r="Z187" s="156" t="str">
        <f>IF(OR(O187="",P187=""),"",IF(ISERROR(FIND("door",$A187))=FALSE,VLOOKUP(WardrobeDoorStyle,FixedListsDoorStyle,3,0),0))</f>
        <v/>
      </c>
      <c r="AA187" s="156" t="str">
        <f>IF(OR(O187="",P187=""),"",IF(ISERROR(FIND("door",$A187))=FALSE,VLOOKUP(WardrobeDoorMaterial,FixedListsDoorMaterial,3,0),0))</f>
        <v/>
      </c>
      <c r="AB187" s="156" t="str">
        <f>IF(OR(O187="",P187=""),"",IF(ISERROR(FIND("drawer",$A187))=FALSE,VLOOKUP(WardrobeDrawerType,FixedListsDrawerType,3,0),0))</f>
        <v/>
      </c>
      <c r="AC187" s="156" t="str">
        <f>IF(OR(O187="",P187=""),"",IF(S187&gt;0,VLOOKUP(WardrobeHandleType,FixedListsHandleType,3,FALSE),0))</f>
        <v/>
      </c>
      <c r="AD187" s="156" t="str">
        <f>IF(OR(O187="",P187=""),"",IF(OR(ISERROR(FIND("carcass",$A187))=FALSE,ISERROR(FIND("unit",$A187))=FALSE),VLOOKUP(WardrobeCarcassFinish,FixedListsFinishes,3,0),IF(OR(ISERROR(FIND("door",$A187))=FALSE,ISERROR(FIND("Plinth",$A187))=FALSE,ISERROR(FIND("Cornice",$A187))=FALSE,ISERROR(FIND("Fillers",$A187))=FALSE,ISERROR(FIND("Pelmet",$A187))=FALSE,ISERROR(FIND("panel",$A187))=FALSE,ISERROR(FIND("post",$A187))=FALSE),VLOOKUP(WardrobeDoorFinish,FixedListsFinishes,3,0),IF(OR(ISERROR(FIND("drawer",$A187))=FALSE,ISERROR(FIND("insert",$A187))=FALSE,ISERROR(FIND("rck",$A187))=FALSE),VLOOKUP(WardrobeCarcassFinish,FixedListsFinishes,3,0),0))))</f>
        <v/>
      </c>
      <c r="AE187" s="156" t="str">
        <f t="shared" si="6"/>
        <v/>
      </c>
      <c r="AF187" s="157" t="str">
        <f>IF(AND(WardrobeHandleType="Channel",OR(ISERROR(FIND("arcass",$A187))=FALSE,ISERROR(FIND("unit",$A187))=FALSE)),IF(ISERROR(FIND("Tower",$A187))=TRUE,IF(WardrobeHandleFinish="Match carcass",IF(ISERROR(FIND("Walnut",WardrobeCarcassMaterial))=FALSE,(0.035*0.075*($C187/1000))*VLOOKUP("Walnut (solid m3)",SolidData,4,FALSE),IF(ISERROR(FIND("Oak",WardrobeCarcassMaterial))=FALSE,(0.035*0.075*($C187/1000))*VLOOKUP("Oak (solid m3)",SolidData,4,FALSE),IF(ISERROR(FIND("ply",WardrobeCarcassMaterial))=FALSE,(0.1*($C187/1000))*VLOOKUP("Birch ply (24mm)",SheetsData,7,FALSE),IF(ISERROR(FIND("H/F",WardrobeCarcassMaterial))=FALSE,(0.1*($C187/1000))*VLOOKUP("H/F (22mm)",SheetsData,7,FALSE),"Carcass - not tower - new material")))),IF(WardrobeHandleFinish="Match door",IF(ISERROR(FIND("Walnut",WardrobeDoorMaterial))=FALSE,(0.035*0.075*($C187/1000))*VLOOKUP("Walnut (solid m3)",SolidData,4,FALSE),IF(ISERROR(FIND("Oak",WardrobeDoorMaterial))=FALSE,(0.035*0.075*($C187/1000))*VLOOKUP("Oak (solid m3)",SolidData,4,FALSE),IF(ISERROR(FIND("ply",WardrobeDoorMaterial))=FALSE,(0.1*($C187/1000))*VLOOKUP("Birch ply (24mm)",SheetsData,7,FALSE),IF(ISERROR(FIND("H/F",WardrobeCarcassMaterial))=FALSE,(0.1*($C187/1000))*VLOOKUP("H/F (22mm)",SheetsData,7,FALSE),"Door - not tower - new material")))),"Channel - not tower - handle set to other")),IF(ISERROR(FIND("Tower",$A187))=FALSE,IF(WardrobeHandleFinish="Match carcass",IF(ISERROR(FIND("Walnut",WardrobeCarcassMaterial))=FALSE,(0.035*0.075*($B187/1000))*VLOOKUP("Walnut (solid m3)",SolidData,4,FALSE),IF(ISERROR(FIND("Oak",WardrobeCarcassMaterial))=FALSE,(0.035*0.075*($B187/1000))*VLOOKUP("Oak (solid m3)",SolidData,4,FALSE),IF(ISERROR(FIND("ply",WardrobeCarcassMaterial))=FALSE,(0.1*($B187/1000))*VLOOKUP("Birch ply (24mm)",SheetsData,7,FALSE),IF(ISERROR(FIND("H/F",WardrobeCarcassMaterial))=FALSE,(0.1*($C187/1000))*VLOOKUP("H/F (22mm)",SheetsData,7,FALSE),"Carcass - tower - new material")))),IF(WardrobeHandleFinish="Match door",IF(ISERROR(FIND("Walnut",WardrobeDoorMaterial))=FALSE,(0.035*0.075*($B187/1000))*VLOOKUP("Walnut (solid m3)",SolidData,4,FALSE),IF(ISERROR(FIND("Oak",WardrobeDoorMaterial))=FALSE,(0.035*0.075*($B187/1000))*VLOOKUP("Oak (solid m3)",SolidData,4,FALSE),IF(ISERROR(FIND("ply",WardrobeDoorMaterial))=FALSE,(0.1*($B187/1000))*VLOOKUP("Birch ply (24mm)",SheetData,7,FALSE),IF(ISERROR(FIND("H/F",WardrobeCarcassMaterial))=FALSE,(0.1*($C187/1000))*VLOOKUP("H/F (22mm)",SheetsData,7,FALSE),"Door - tower - new material")))),"Channel - tower - handle set to other")))),"")</f>
        <v/>
      </c>
    </row>
    <row r="188">
      <c r="A188" s="150"/>
      <c r="B188" s="160" t="str">
        <f t="shared" si="1"/>
        <v/>
      </c>
      <c r="C188" s="160" t="str">
        <f>IFERROR(__xludf.DUMMYFUNCTION("IF(A188="""","""",IF(ISERROR(FIND(""arcass"",A188))=FALSE,MID(A188,FIND(""*"",A188)+1,FIND(""*"",A188,FIND(""*"",A188)+1)-FIND(""*"",A188)-1),IF(ISERROR(FIND(""End panel"",A188))=FALSE,RIGHT(A188,3),IF(OR(ISERROR(FIND(""drawer"",A188))=FALSE,ISERROR(FIND("&amp;"""door"",A188))=FALSE,ISERROR(FIND(""shelf"",A188))=FALSE,ISERROR(FIND(""panel"",A188))=FALSE,ISERROR(FIND(""Plinth"",A188))=FALSE,ISERROR(FIND(""Cornice"",A188))=FALSE,ISERROR(FIND(""Fillers"",A188))=FALSE,ISERROR(FIND(""Pelmet"",A188))=FALSE,ISERROR(FIN"&amp;"D(""Fireplace up to 1600"",A188))=FALSE),RIGHT(A188,LEN(A188)-LEN(regexextract(A188,"".* ""))),IF(ISERROR(FIND(""table"",A188))=FALSE,""560"",IF(ISERROR(FIND(""Office pod"",A188))=FALSE,""1600"",IF(ISERROR(FIND(""Fireplace over 1600"",A188))=FALSE,""2400"&amp;""",IF(ISERROR(FIND(""Worktop"",A188))=FALSE,""650"",""Whoops""))))))))"),"")</f>
        <v/>
      </c>
      <c r="D188" s="161" t="str">
        <f t="shared" si="2"/>
        <v/>
      </c>
      <c r="E188" s="152" t="str">
        <f>IF(OR(A188="",AND(ISERROR(FIND("drawer",A188))=FALSE,WardrobeDrawerType="")),"",IF(ISERROR(FIND("door",A188))=FALSE,IF(WardrobeDoorStyle="Flat",((B188/1000)*(C188/1000))*VLOOKUP(WardrobeDoorMaterial,SheetsData,8,0),IF(LEFT(WardrobeDoorStyle,5)="Panel",(((((B188/1000)*2)*0.08)+((((C188/1000)-0.16)*2)*0.08))*VLOOKUP("H/F (22mm)",SheetsData,8,0))+(((B188/1000)-0.14)*((C188/1000)-0.14)*VLOOKUP("H/F (9mm)",SheetsData,8,0)),IF(WardrobeDoorStyle="In-frame flat",((((((B188/1000)*0.019)*0.038)+((((C188-38)/1000)*0.038)*0.038))*2)*VLOOKUP("Tulip (solid m3)",SolidData,4,0))+(((B188-76)/1000)*((C188-38)/1000))*VLOOKUP("H/F (22mm)",SheetsData,8,0),IF(LEFT(WardrobeDoorStyle,14)="In-frame panel",(((((((B188/1000)*0.019)*0.038)+((((C188-38)/1000)*0.038)*0.038))*2)*VLOOKUP("Tulip (solid m3)",SolidData,4,0))+(((((((B188-76)/1000)*2)*0.08)+(((((C188-198)/1000)*2)*0.08)))*VLOOKUP("H/F (22mm)",SheetsData,8,0))+(((B188-216)/1000)*((C188-178)/1000)*VLOOKUP("H/F (9mm)",SheetsData,8,0)))))))),IF(AND(ISERROR(FIND("arcass",A188))=FALSE,ISERROR(FIND("ost corner",A188))=TRUE),IF(AND(VALUE(B188)&lt;1211,VALUE(C188)&lt;1211,VALUE(D188)&lt;606),1*VLOOKUP(WardrobeCarcassMaterial,SheetsData,5,FALSE),IF(AND(VALUE(B188)&lt;2421,VALUE(C188)&lt;2421,VALUE(D188)&lt;606),2*VLOOKUP(WardrobeCarcassMaterial,SheetsData,5,FALSE),IF(AND(VALUE(B188)&lt;2421,VALUE(C188)&lt;1211,VALUE(D188)&lt;1211),3*VLOOKUP(WardrobeCarcassMaterial,SheetsData,5,FALSE),IF(AND(VALUE(B188)&lt;2421,VALUE(C188)&lt;2421,VALUE(D188)&lt;1211),4*VLOOKUP(WardrobeCarcassMaterial,SheetsData,5,FALSE))))),IF(AND(ISERROR(FIND("arcass",A188))=FALSE,ISERROR(FIND("ost corner",A188))=FALSE),IF(AND(VALUE(B188)&lt;1211,VALUE(C188)&lt;1211,VALUE(D188)&lt;606),(1*VLOOKUP(WardrobeCarcassMaterial,SheetsData,5,FALSE))+(VLOOKUP("H/F (22mm)",SheetsData,7,FALSE)*1.44),IF(AND(VALUE(B188)&lt;2421,VALUE(C188)&lt;2421,VALUE(D188)&lt;606),(2*VLOOKUP(WardrobeCarcassMaterial,SheetsData,5,FALSE))+(VLOOKUP("H/F (22mm)",SheetsData,7,FALSE)*1.44),IF(AND(VALUE(B188)&lt;2421,VALUE(C188)&lt;1211,VALUE(D188)&lt;1211),(3*VLOOKUP(WardrobeCarcassMaterial,SheetsData,5,FALSE))+(VLOOKUP("H/F (22mm)",SheetsData,7,FALSE)*1.44),IF(AND(VALUE(B188)&lt;2421,VALUE(C188)&lt;2421,VALUE(D188)&lt;1211),(4*VLOOKUP(WardrobeCarcassMaterial,SheetsData,5,FALSE))+(VLOOKUP("H/F (22mm)",SheetsData,7,FALSE)*1.44))))),IF(ISERROR(FIND("drawer front",A188))=FALSE,((B188/1000)*(C188/1000))*VLOOKUP(WardrobeDoorMaterial,SheetsData,8,0),IF(AND(WardrobeDrawerType="Match carcass",ISERROR(FIND("drawer box",A188))=FALSE),(((((B188/1000)*(C188/1000))+((B188/1000)*(D188/1000)))*2)*VLOOKUP(WardrobeCarcassMaterial,SheetsData,8,0))+(((C188/1000)*(D188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box",A188))=FALSE),(((((B188/1000)*(C188/1000))+((B188/1000)*(D188/1000)))*2)*(16/1000)*VLOOKUP(LEFT(WardrobeCarcassMaterial,FIND(" ",WardrobeCarcassMaterial))&amp;"(solid m3)",SolidData,4,0))+(((C188/1000)*(D188/1000))*VLOOKUP(LEFT(WardrobeCarcassMaterial,FIND("(",WardrobeCarcassMaterial)-1)&amp;IF(OR(ISERROR(FIND("ply",WardrobeCarcassMaterial))=FALSE,ISERROR(FIND("H/F",WardrobeCarcassMaterial))=FALSE),"(9mm)","(10mm)"),SheetsData,8,0)),IF(ISERROR(FIND("shelf",A188))=FALSE,((C188/1000)*(D188/1000))*VLOOKUP(WardrobeCarcassMaterial,SheetsData,7,FALSE),IF(ISERROR(FIND("Office pod",A188))=FALSE,3*VLOOKUP(WardrobeCarcassMaterial,SheetsData,5,0),IF(ISERROR(FIND(" panel",A188))=FALSE,((B188/1000)*(C188/1000))*VLOOKUP(WardrobeDoorMaterial,SheetsData,8,0),IF(ISERROR(FIND("Fillers",A188))=FALSE,(((0.06*(C188/1000))*2)*VLOOKUP("H/F (18mm)",SheetsData,8,0))+(((0.06*(C188/1000))*2)*VLOOKUP("H/F (9mm)",SheetsData,8,0)),IF(ISERROR(FIND("Cornice (stacked)",A188))=FALSE,((0.08*(C188/1000))*2)*VLOOKUP("H/F (22mm)",SheetsData,8,0),IF(OR(ISERROR(FIND("Plinth",A188))=FALSE,ISERROR(FIND("Cornice (flat)",A188))=FALSE),((B188/1000)*(C188/1000))*VLOOKUP("H/F (18mm)",SheetsData,8,0),IF(ISERROR(FIND("Pelmet",A188))=FALSE,((((B188/1000)*(C188/1000))*2)*VLOOKUP("H/F (18mm)",SheetsData,8,0)),IF(ISERROR(FIND("Fireplace",A188))=FALSE,IF(ISERROR(FIND("over 1600",A188))=FALSE,2*VLOOKUP(WardrobeCarcassMaterial,SheetsData,5,FALSE),VLOOKUP(WardrobeCarcassMaterial,SheetsData,5,FALSE)),IF(ISERROR(FIND("table",A188))=FALSE,((B188/1000)*0.6)*VLOOKUP("Birch ply (24mm)",SheetsData,7,FALSE),IF(ISERROR(FIND("Worktop",A188))=FALSE,((B188/1000)*(C188/1000))*VLOOKUP(WardrobeDoorMaterial,SheetsData,7,FALSE),"Check formula")))))))))))))))))</f>
        <v/>
      </c>
      <c r="F188" s="152" t="str">
        <f>IFERROR(__xludf.DUMMYFUNCTION("IF(OR(A188="""",AND(ISERROR(FIND(""drawer box"",A188))=FALSE,WardrobeDrawerType=""Solid dovetail"")),"""",IF(ISERROR(FIND(""bins"",A188))=FALSE,VLOOKUP(""Base carcass 600"",Wardrobes_etcData,6,0),IF(OR(ISERROR(FIND(""larder"",A188))=FALSE,ISERROR(FIND(""u"&amp;"nit"",A188))=FALSE),VLOOKUP(LEFT(A188,FIND("" "",A188))&amp;""carcass ""&amp;RIGHT(A188,LEN(A188)-len(regexextract(A188,"".* ""))),Wardrobes_etcData,6,0),IF(ISERROR(FIND(""drawer front"",A188))=FALSE,IF(ISERROR(FIND(""veneer"",WardrobeCarcassMaterial))=TRUE,0,((("&amp;"B188+C188)/1000)*2)*VLOOKUP(""Edge banding (per M)"",SheetsData,5,0)),IF(ISERROR(FIND(""drawer box"",A188))=FALSE,IF(ISERROR(FIND(""veneer"",WardrobeCarcassMaterial))=TRUE,0,(((C188+D188)/1000)*2)*VLOOKUP(""Edge banding (per M)"",SheetsData,5,0)),IF(ISERR"&amp;"OR(FIND(""shelf"",A188))=FALSE,IF(ISERROR(FIND(""veneer"",WardrobeCarcassMaterial))=TRUE,0,(C188/1000)*VLOOKUP(""Edge banding (per M)"",SheetsData,5,0)),IF(AND(OR(ISERROR(FIND(""arcass"",A188))=FALSE,ISERROR(FIND(""Fireplace"",A188))=FALSE),ISERROR(FIND("&amp;"""shelf"",A188))=TRUE),IF(ISERROR(FIND(""veneer"",WardrobeCarcassMaterial))=TRUE,0,((2*(B188+C188))/1000)*VLOOKUP(""Edge banding (per M)"",SheetsData,5,0)),IF(ISERROR(FIND(""door"",A188))=TRUE,"""",IF(ISERROR(FIND(""veneer"",WardrobeDoorMaterial))=TRUE,"""&amp;""",((2*(B188+C188))/1000)*VLOOKUP(""Edge banding (per M)"",SheetsData,5,0))))))))))"),"")</f>
        <v/>
      </c>
      <c r="G188" s="153" t="str">
        <f>IF(A188="","",IF(AND(ISERROR(FIND("arcass",A188))=TRUE,ISERROR(FIND("Fireplace",A188))=TRUE),"",IF(VALUE(C188)&lt;606,4*VLOOKUP("Plinth foot (2 Parts 80mm)",FurnitureData,5,FALSE),IF(VALUE(C188)&lt;1211,6*VLOOKUP("Plinth foot (2 Parts 80mm)",FurnitureData,5,FALSE),8*VLOOKUP("Plinth foot (2 Parts 80mm)",FurnitureData,5,FALSE)))))</f>
        <v/>
      </c>
      <c r="H188" s="115" t="str">
        <f>IF(OR(A188="",ISERROR(FIND("door",A188))=TRUE),"",VLOOKUP("Hinges &amp; plates (Hettich thick door)",FurnitureData,5,0)*5)</f>
        <v/>
      </c>
      <c r="I188" s="115" t="str">
        <f>IF(ISERROR(FIND("shelf",A188))=FALSE,(VLOOKUP("Shelf pegs",FurnitureData,5,0)/100)*4,"")</f>
        <v/>
      </c>
      <c r="J188" s="152" t="str">
        <f>IF(OR(ISERROR(FIND("fridge/freezer",A188))=FALSE,ISERROR(FIND("sink",A188))=FALSE,ISERROR(FIND("larder",A188))=FALSE),VLOOKUP("Deep shelf "&amp;C188,Wardrobes_etcData,18,0),IF(OR(ISERROR(FIND("single oven",A188))=FALSE,ISERROR(FIND("Base carcass",A188))=FALSE),2*VLOOKUP("Deep shelf "&amp;C188,Wardrobes_etcData,18,0),IF(AND(ISERROR(FIND("wall carcass",A188))=FALSE,ISERROR(FIND("Boiler",A188))=TRUE),2*VLOOKUP("Shallow shelf "&amp;C188,Wardrobes_etcData,18,0),IF(ISERROR(FIND("double oven",A188))=FALSE,3*VLOOKUP("Deep shelf "&amp;C188,Wardrobes_etcData,18,0),IF(ISERROR(FIND("Tower carcass",A188))=FALSE,6*VLOOKUP("Deep shelf "&amp;C188,Wardrobes_etcData,18,0),"")))))</f>
        <v/>
      </c>
      <c r="K188" s="152" t="str">
        <f>IF(ISERROR(FIND("sink",A188))=FALSE,VLOOKUP("Sink liner - Aluminium "&amp;RIGHT(A188,LEN(A188)-22)&amp;"mm",ExceptionalData,5,0),IF(ISERROR(FIND("bins",A188))=FALSE,VLOOKUP("Drawer runners and clip set for bin unit (500) Dynapro",FurnitureData,5,0)+(2*VLOOKUP("Bin (42L Anthracite)",FurnitureData,5,0)),IF(ISERROR(FIND("larder",A188))=FALSE,VLOOKUP("Pull out larder unit 600mm",FurnitureData,5,0),IF(AND(ISERROR(FIND("drawer box",A188))=FALSE,ISERROR(FIND("internal",A188))=TRUE),VLOOKUP("Drawer runners and clip set (550) Dynapro",FurnitureData,5,0),IF(ISERROR(FIND("internal drawer box",A188))=FALSE,VLOOKUP("Drawer runners and clip set (450) Dynapro",FurnitureData,5,0),IF(ISERROR(FIND("table",A188))=FALSE,VLOOKUP("Hairpin Leg (12mm Black "&amp;MID(A188,FIND("(",A188)+1,LEN(A188)-(FIND("(",A188))-1)&amp;"mm)",ExceptionalData,4,FALSE),""))))))</f>
        <v/>
      </c>
      <c r="L188" s="152" t="str">
        <f t="shared" si="3"/>
        <v/>
      </c>
      <c r="M188" s="154" t="str">
        <f>IF(A188="","",IF(AND(ISERROR(FIND("drawer front",A188))=FALSE,WardrobeDoorStyle="Flat"),(((B188/1000)*(C188/1000))*2)+((((B188+C188)/1000)*2)*0.022),IF(AND(ISERROR(FIND("drawer front",A188))=FALSE,LEFT(WardrobeDoorStyle,5)="Panel"),(((B188/1000)*(C188/1000))*2)+((((B188+C188)/1000)*2)*0.022)+((((C188/1000)-0.16)*0.013)*2)+((((D188/1000)-0.16)*0.013)*2),IF(AND(ISERROR(FIND("drawer front",A188))=FALSE,WardrobeDoorStyle="In-frame flat"),((((B188-76)/1000)*((C188-38)/1000))*2)+(MID(WardrobeDoorMaterial,FIND("(",WardrobeDoorMaterial)+1,2)/1000)*((((B188-76)+(C188-38))/1000)*2)+(((B188/1000)*0.032)*2)+((((B188-76)/1000)*0.032)*2)+(((B188/1000)*0.019)*4)+(((C188/1000)*0.032)*2)+((((C188-38)/1000)*0.032)*2)+(((C188/1000)*0.038)*4),IF(AND(ISERROR(FIND("drawer front",A188))=FALSE,LEFT(WardrobeDoorStyle,14)="In-frame panel"),((((B188-76)/1000)*((C188-38)/1000))*2)+((MID(WardrobeDoorMaterial,FIND("(",WardrobeDoorMaterial)+1,2)/1000)*((((B188-76)+(C188-38))/1000)*2))+((((B188-236)/1000)+((C188-198)/1000)*2)*0.013)+(((B188/1000)*0.032)*2)+((((B188-76)/1000)*0.032)*2)+(((B188/1000)*0.019)*4)+(((C188/1000)*0.032)*2)+((((C188-38)/1000)*0.032)*2)+(((C188/1000)*0.038)*4),IF(ISERROR(FIND("drawer box",A188))=FALSE,((((B188/1000)*(D188/1000))+((B188/1000)*(C188/1000)))*4)+((((D188/1000)+(C188/1000))*0.016)*4)+(((C188/1000)*(D188/1000))*2),IF(OR(ISERROR(FIND("shelf",A188))=FALSE,ISERROR(FIND("Filler panel",A188))=FALSE),(((C188/1000)*(D188/1000))*2)+((((C188+D188)*2)/1000)*0.022),IF(ISERROR(FIND("Fireplace",A188))=FALSE,((B188/1000)*(C188/1000)),IF(ISERROR(FIND("Worktop",A188))=FALSE,(B188/1000)*(C188/1000),IF(ISERROR(FIND("table",A188))=FALSE,(B188/1000)*0.6,IF(ISERROR(FIND("arcass",A188))=FALSE,(((C188/1000)*(D188/1000))*2)+(((B188/1000)*(D188/1000))*2)+((B188/1000)*(C188/1000))+((((B188/1000)*0.025)+((C188/1000)*0.025))*2),IF(AND(ISERROR(FIND("door",A188))=FALSE,WardrobeDoorStyle="Flat"),(((B188/1000)*(C188/1000))*2)+(MID(WardrobeDoorMaterial,FIND("(",WardrobeDoorMaterial)+1,2)/1000)*(((B188+C188)/1000)*2),IF(AND(ISERROR(FIND("door",A188))=FALSE,LEFT(WardrobeDoorStyle,5)="Panel"),(((B188/1000)*(C188/1000))*2)+((MID(WardrobeDoorMaterial,FIND("(",WardrobeDoorMaterial)+1,2)/1000)*(((B188+C188)/1000)*2))+(((((B188-160)+(C188-160))*2)/1000)*(0.013)),IF(AND(ISERROR(FIND("door",A188))=FALSE,WardrobeDoorStyle="In-frame flat"),((((B188-76)/1000)*((C188-38)/1000))*2)+(MID(WardrobeDoorMaterial,FIND("(",WardrobeDoorMaterial)+1,2)/1000)*((((B188-76)+(C188-38))/1000)*2)+(((B188/1000)*0.032)*2)+((((B188-76)/1000)*0.032)*2)+(((B188/1000)*0.019)*4)+(((C188/1000)*0.032)*2)+((((C188-38)/1000)*0.032)*2)+(((C188/1000)*0.038)*4),IF(AND(ISERROR(FIND("door",A188))=FALSE,LEFT(WardrobeDoorStyle,14)="In-frame panel"),((((B188-76)/1000)*((C188-38)/1000))*2)+((MID(WardrobeDoorMaterial,FIND("(",WardrobeDoorMaterial)+1,2)/1000)*((((B188-76)+(C188-38))/1000)*2))+((((B188-236)/1000)+((C188-198)/1000)*2)*0.013)+(((B188/1000)*0.032)*2)+((((B188-76)/1000)*0.032)*2)+(((B188/1000)*0.019)*4)+(((C188/1000)*0.032)*2)+((((C188-38)/1000)*0.032)*2)+(((C188/1000)*0.038)*4),IF(ISERROR(FIND("Plinth",A188))=FALSE,((B188/1000)*(C188/1000))+(((C188/1000)*0.018)*2)+(((B188/1000)*0.018)*2),IF(ISERROR(FIND("Cornice",A188))=FALSE,(((C188/1000)*0.1)*2)+(((C188/1000)*0.044)*2)+(((B188/1000)*0.08)*2),IF(ISERROR(FIND("Office pod",A188))=FALSE,((2400/1000)*(1200/1000))*6,IF(ISERROR(FIND("panel",A188))=FALSE,((B188/1000)*(C188/1000))+(0.022*((B188/1000)+((C188/1000)*2)))+((B188/1000)*0.05),IF(ISERROR(FIND("Fillers",A188))=FALSE,((C188/1000)*0.06)+((C188/1000)*0.069)+((0.06*0.018)*2)+((0.06*0.009)*2)+((C188/1000)*0.009)+((C188/1000)*0.018),IF(ISERROR(FIND("Pelmet",A188))=FALSE,((C188/1000)*0.05)+((C188/1000)*0.068)+((0.05*0.018)*4)+(((C188/1000)*0.018))*2)))))))))))))))))))))</f>
        <v/>
      </c>
      <c r="N188" s="152" t="str">
        <f>IF(M188="","",IF(AND(ISERROR(FIND("carcass",A188))=TRUE,ISERROR(FIND("unit",A188))=TRUE,ISERROR(FIND("insert",A188))=TRUE,ISERROR(FIND("rack",A188))=TRUE,ISERROR(FIND("box",A188))=TRUE,ISERROR(FIND("shelf",A188))=TRUE),VLOOKUP(WardrobeDoorFinish,Finishing!$A$2:$K$10,9,0)*M188,IF(ISERROR(FIND("table",A188))=FALSE,VLOOKUP("Sayerlack AF0072 Interior Clear Self-Sealer",FinishingData,9,FALSE)*M188,VLOOKUP(WardrobeCarcassFinish,Finishing!$A$2:$K$40,9,0)*M188)))</f>
        <v/>
      </c>
      <c r="O188" s="155"/>
      <c r="P188" s="155"/>
      <c r="Q188" s="152" t="str">
        <f>IF(OR(O188="",P188=""),"",((O188*X188)*(VLOOKUP("Workshop",Labour!$A$3:$E$20,4,0)/8))+((P188*AE188)*(VLOOKUP("Finishing",Labour!$A$3:$E$20,4,0)/8)))</f>
        <v/>
      </c>
      <c r="R188" s="152" t="str">
        <f t="shared" si="4"/>
        <v/>
      </c>
      <c r="S188" s="156" t="str">
        <f>IF(OR(O188="",P188=""),"",IF(OR(ISERROR(FIND("carcass",$A188))=FALSE,ISERROR(FIND("unit",$A188))=FALSE),VLOOKUP(WardrobeCarcassMaterial,FixedListsCarcassMaterial,2,0),0))</f>
        <v/>
      </c>
      <c r="T188" s="156" t="str">
        <f>IF(OR(O188="",P188=""),"",IF(ISERROR(FIND("door",$A188))=FALSE,VLOOKUP(WardrobeDoorStyle,FixedListsDoorStyle,2,0),0))</f>
        <v/>
      </c>
      <c r="U188" s="156" t="str">
        <f>IF(OR(O188="",P188=""),"",IF(ISERROR(FIND("door",$A188))=FALSE,VLOOKUP(WardrobeDoorMaterial,FixedListsDoorMaterial,2,0),0))</f>
        <v/>
      </c>
      <c r="V188" s="156" t="str">
        <f>IF(OR(O188="",P188=""),"",IF(ISERROR(FIND("drawer",$A188))=FALSE,VLOOKUP(WardrobeDrawerType,FixedListsDrawerType,2,0),0))</f>
        <v/>
      </c>
      <c r="W188" s="156" t="str">
        <f>IF(OR(O188="",P188=""),"",IF(S188&gt;0,VLOOKUP(WardrobeHandleType,FixedListsHandleType,2,FALSE),0))</f>
        <v/>
      </c>
      <c r="X188" s="156" t="str">
        <f t="shared" si="5"/>
        <v/>
      </c>
      <c r="Y188" s="156" t="str">
        <f>IF(OR(O188="",P188=""),"",IF(OR(ISERROR(FIND("carcass",$A188))=FALSE,ISERROR(FIND("unit",$A188))=FALSE),VLOOKUP(WardrobeCarcassMaterial,FixedListsCarcassMaterial,3,0),0))</f>
        <v/>
      </c>
      <c r="Z188" s="156" t="str">
        <f>IF(OR(O188="",P188=""),"",IF(ISERROR(FIND("door",$A188))=FALSE,VLOOKUP(WardrobeDoorStyle,FixedListsDoorStyle,3,0),0))</f>
        <v/>
      </c>
      <c r="AA188" s="156" t="str">
        <f>IF(OR(O188="",P188=""),"",IF(ISERROR(FIND("door",$A188))=FALSE,VLOOKUP(WardrobeDoorMaterial,FixedListsDoorMaterial,3,0),0))</f>
        <v/>
      </c>
      <c r="AB188" s="156" t="str">
        <f>IF(OR(O188="",P188=""),"",IF(ISERROR(FIND("drawer",$A188))=FALSE,VLOOKUP(WardrobeDrawerType,FixedListsDrawerType,3,0),0))</f>
        <v/>
      </c>
      <c r="AC188" s="156" t="str">
        <f>IF(OR(O188="",P188=""),"",IF(S188&gt;0,VLOOKUP(WardrobeHandleType,FixedListsHandleType,3,FALSE),0))</f>
        <v/>
      </c>
      <c r="AD188" s="156" t="str">
        <f>IF(OR(O188="",P188=""),"",IF(OR(ISERROR(FIND("carcass",$A188))=FALSE,ISERROR(FIND("unit",$A188))=FALSE),VLOOKUP(WardrobeCarcassFinish,FixedListsFinishes,3,0),IF(OR(ISERROR(FIND("door",$A188))=FALSE,ISERROR(FIND("Plinth",$A188))=FALSE,ISERROR(FIND("Cornice",$A188))=FALSE,ISERROR(FIND("Fillers",$A188))=FALSE,ISERROR(FIND("Pelmet",$A188))=FALSE,ISERROR(FIND("panel",$A188))=FALSE,ISERROR(FIND("post",$A188))=FALSE),VLOOKUP(WardrobeDoorFinish,FixedListsFinishes,3,0),IF(OR(ISERROR(FIND("drawer",$A188))=FALSE,ISERROR(FIND("insert",$A188))=FALSE,ISERROR(FIND("rck",$A188))=FALSE),VLOOKUP(WardrobeCarcassFinish,FixedListsFinishes,3,0),0))))</f>
        <v/>
      </c>
      <c r="AE188" s="156" t="str">
        <f t="shared" si="6"/>
        <v/>
      </c>
      <c r="AF188" s="157" t="str">
        <f>IF(AND(WardrobeHandleType="Channel",OR(ISERROR(FIND("arcass",$A188))=FALSE,ISERROR(FIND("unit",$A188))=FALSE)),IF(ISERROR(FIND("Tower",$A188))=TRUE,IF(WardrobeHandleFinish="Match carcass",IF(ISERROR(FIND("Walnut",WardrobeCarcassMaterial))=FALSE,(0.035*0.075*($C188/1000))*VLOOKUP("Walnut (solid m3)",SolidData,4,FALSE),IF(ISERROR(FIND("Oak",WardrobeCarcassMaterial))=FALSE,(0.035*0.075*($C188/1000))*VLOOKUP("Oak (solid m3)",SolidData,4,FALSE),IF(ISERROR(FIND("ply",WardrobeCarcassMaterial))=FALSE,(0.1*($C188/1000))*VLOOKUP("Birch ply (24mm)",SheetsData,7,FALSE),IF(ISERROR(FIND("H/F",WardrobeCarcassMaterial))=FALSE,(0.1*($C188/1000))*VLOOKUP("H/F (22mm)",SheetsData,7,FALSE),"Carcass - not tower - new material")))),IF(WardrobeHandleFinish="Match door",IF(ISERROR(FIND("Walnut",WardrobeDoorMaterial))=FALSE,(0.035*0.075*($C188/1000))*VLOOKUP("Walnut (solid m3)",SolidData,4,FALSE),IF(ISERROR(FIND("Oak",WardrobeDoorMaterial))=FALSE,(0.035*0.075*($C188/1000))*VLOOKUP("Oak (solid m3)",SolidData,4,FALSE),IF(ISERROR(FIND("ply",WardrobeDoorMaterial))=FALSE,(0.1*($C188/1000))*VLOOKUP("Birch ply (24mm)",SheetsData,7,FALSE),IF(ISERROR(FIND("H/F",WardrobeCarcassMaterial))=FALSE,(0.1*($C188/1000))*VLOOKUP("H/F (22mm)",SheetsData,7,FALSE),"Door - not tower - new material")))),"Channel - not tower - handle set to other")),IF(ISERROR(FIND("Tower",$A188))=FALSE,IF(WardrobeHandleFinish="Match carcass",IF(ISERROR(FIND("Walnut",WardrobeCarcassMaterial))=FALSE,(0.035*0.075*($B188/1000))*VLOOKUP("Walnut (solid m3)",SolidData,4,FALSE),IF(ISERROR(FIND("Oak",WardrobeCarcassMaterial))=FALSE,(0.035*0.075*($B188/1000))*VLOOKUP("Oak (solid m3)",SolidData,4,FALSE),IF(ISERROR(FIND("ply",WardrobeCarcassMaterial))=FALSE,(0.1*($B188/1000))*VLOOKUP("Birch ply (24mm)",SheetsData,7,FALSE),IF(ISERROR(FIND("H/F",WardrobeCarcassMaterial))=FALSE,(0.1*($C188/1000))*VLOOKUP("H/F (22mm)",SheetsData,7,FALSE),"Carcass - tower - new material")))),IF(WardrobeHandleFinish="Match door",IF(ISERROR(FIND("Walnut",WardrobeDoorMaterial))=FALSE,(0.035*0.075*($B188/1000))*VLOOKUP("Walnut (solid m3)",SolidData,4,FALSE),IF(ISERROR(FIND("Oak",WardrobeDoorMaterial))=FALSE,(0.035*0.075*($B188/1000))*VLOOKUP("Oak (solid m3)",SolidData,4,FALSE),IF(ISERROR(FIND("ply",WardrobeDoorMaterial))=FALSE,(0.1*($B188/1000))*VLOOKUP("Birch ply (24mm)",SheetData,7,FALSE),IF(ISERROR(FIND("H/F",WardrobeCarcassMaterial))=FALSE,(0.1*($C188/1000))*VLOOKUP("H/F (22mm)",SheetsData,7,FALSE),"Door - tower - new material")))),"Channel - tower - handle set to other")))),"")</f>
        <v/>
      </c>
    </row>
    <row r="189">
      <c r="A189" s="150"/>
      <c r="B189" s="160" t="str">
        <f t="shared" si="1"/>
        <v/>
      </c>
      <c r="C189" s="160" t="str">
        <f>IFERROR(__xludf.DUMMYFUNCTION("IF(A189="""","""",IF(ISERROR(FIND(""arcass"",A189))=FALSE,MID(A189,FIND(""*"",A189)+1,FIND(""*"",A189,FIND(""*"",A189)+1)-FIND(""*"",A189)-1),IF(ISERROR(FIND(""End panel"",A189))=FALSE,RIGHT(A189,3),IF(OR(ISERROR(FIND(""drawer"",A189))=FALSE,ISERROR(FIND("&amp;"""door"",A189))=FALSE,ISERROR(FIND(""shelf"",A189))=FALSE,ISERROR(FIND(""panel"",A189))=FALSE,ISERROR(FIND(""Plinth"",A189))=FALSE,ISERROR(FIND(""Cornice"",A189))=FALSE,ISERROR(FIND(""Fillers"",A189))=FALSE,ISERROR(FIND(""Pelmet"",A189))=FALSE,ISERROR(FIN"&amp;"D(""Fireplace up to 1600"",A189))=FALSE),RIGHT(A189,LEN(A189)-LEN(regexextract(A189,"".* ""))),IF(ISERROR(FIND(""table"",A189))=FALSE,""560"",IF(ISERROR(FIND(""Office pod"",A189))=FALSE,""1600"",IF(ISERROR(FIND(""Fireplace over 1600"",A189))=FALSE,""2400"&amp;""",IF(ISERROR(FIND(""Worktop"",A189))=FALSE,""650"",""Whoops""))))))))"),"")</f>
        <v/>
      </c>
      <c r="D189" s="161" t="str">
        <f t="shared" si="2"/>
        <v/>
      </c>
      <c r="E189" s="152" t="str">
        <f>IF(OR(A189="",AND(ISERROR(FIND("drawer",A189))=FALSE,WardrobeDrawerType="")),"",IF(ISERROR(FIND("door",A189))=FALSE,IF(WardrobeDoorStyle="Flat",((B189/1000)*(C189/1000))*VLOOKUP(WardrobeDoorMaterial,SheetsData,8,0),IF(LEFT(WardrobeDoorStyle,5)="Panel",(((((B189/1000)*2)*0.08)+((((C189/1000)-0.16)*2)*0.08))*VLOOKUP("H/F (22mm)",SheetsData,8,0))+(((B189/1000)-0.14)*((C189/1000)-0.14)*VLOOKUP("H/F (9mm)",SheetsData,8,0)),IF(WardrobeDoorStyle="In-frame flat",((((((B189/1000)*0.019)*0.038)+((((C189-38)/1000)*0.038)*0.038))*2)*VLOOKUP("Tulip (solid m3)",SolidData,4,0))+(((B189-76)/1000)*((C189-38)/1000))*VLOOKUP("H/F (22mm)",SheetsData,8,0),IF(LEFT(WardrobeDoorStyle,14)="In-frame panel",(((((((B189/1000)*0.019)*0.038)+((((C189-38)/1000)*0.038)*0.038))*2)*VLOOKUP("Tulip (solid m3)",SolidData,4,0))+(((((((B189-76)/1000)*2)*0.08)+(((((C189-198)/1000)*2)*0.08)))*VLOOKUP("H/F (22mm)",SheetsData,8,0))+(((B189-216)/1000)*((C189-178)/1000)*VLOOKUP("H/F (9mm)",SheetsData,8,0)))))))),IF(AND(ISERROR(FIND("arcass",A189))=FALSE,ISERROR(FIND("ost corner",A189))=TRUE),IF(AND(VALUE(B189)&lt;1211,VALUE(C189)&lt;1211,VALUE(D189)&lt;606),1*VLOOKUP(WardrobeCarcassMaterial,SheetsData,5,FALSE),IF(AND(VALUE(B189)&lt;2421,VALUE(C189)&lt;2421,VALUE(D189)&lt;606),2*VLOOKUP(WardrobeCarcassMaterial,SheetsData,5,FALSE),IF(AND(VALUE(B189)&lt;2421,VALUE(C189)&lt;1211,VALUE(D189)&lt;1211),3*VLOOKUP(WardrobeCarcassMaterial,SheetsData,5,FALSE),IF(AND(VALUE(B189)&lt;2421,VALUE(C189)&lt;2421,VALUE(D189)&lt;1211),4*VLOOKUP(WardrobeCarcassMaterial,SheetsData,5,FALSE))))),IF(AND(ISERROR(FIND("arcass",A189))=FALSE,ISERROR(FIND("ost corner",A189))=FALSE),IF(AND(VALUE(B189)&lt;1211,VALUE(C189)&lt;1211,VALUE(D189)&lt;606),(1*VLOOKUP(WardrobeCarcassMaterial,SheetsData,5,FALSE))+(VLOOKUP("H/F (22mm)",SheetsData,7,FALSE)*1.44),IF(AND(VALUE(B189)&lt;2421,VALUE(C189)&lt;2421,VALUE(D189)&lt;606),(2*VLOOKUP(WardrobeCarcassMaterial,SheetsData,5,FALSE))+(VLOOKUP("H/F (22mm)",SheetsData,7,FALSE)*1.44),IF(AND(VALUE(B189)&lt;2421,VALUE(C189)&lt;1211,VALUE(D189)&lt;1211),(3*VLOOKUP(WardrobeCarcassMaterial,SheetsData,5,FALSE))+(VLOOKUP("H/F (22mm)",SheetsData,7,FALSE)*1.44),IF(AND(VALUE(B189)&lt;2421,VALUE(C189)&lt;2421,VALUE(D189)&lt;1211),(4*VLOOKUP(WardrobeCarcassMaterial,SheetsData,5,FALSE))+(VLOOKUP("H/F (22mm)",SheetsData,7,FALSE)*1.44))))),IF(ISERROR(FIND("drawer front",A189))=FALSE,((B189/1000)*(C189/1000))*VLOOKUP(WardrobeDoorMaterial,SheetsData,8,0),IF(AND(WardrobeDrawerType="Match carcass",ISERROR(FIND("drawer box",A189))=FALSE),(((((B189/1000)*(C189/1000))+((B189/1000)*(D189/1000)))*2)*VLOOKUP(WardrobeCarcassMaterial,SheetsData,8,0))+(((C189/1000)*(D189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box",A189))=FALSE),(((((B189/1000)*(C189/1000))+((B189/1000)*(D189/1000)))*2)*(16/1000)*VLOOKUP(LEFT(WardrobeCarcassMaterial,FIND(" ",WardrobeCarcassMaterial))&amp;"(solid m3)",SolidData,4,0))+(((C189/1000)*(D189/1000))*VLOOKUP(LEFT(WardrobeCarcassMaterial,FIND("(",WardrobeCarcassMaterial)-1)&amp;IF(OR(ISERROR(FIND("ply",WardrobeCarcassMaterial))=FALSE,ISERROR(FIND("H/F",WardrobeCarcassMaterial))=FALSE),"(9mm)","(10mm)"),SheetsData,8,0)),IF(ISERROR(FIND("shelf",A189))=FALSE,((C189/1000)*(D189/1000))*VLOOKUP(WardrobeCarcassMaterial,SheetsData,7,FALSE),IF(ISERROR(FIND("Office pod",A189))=FALSE,3*VLOOKUP(WardrobeCarcassMaterial,SheetsData,5,0),IF(ISERROR(FIND(" panel",A189))=FALSE,((B189/1000)*(C189/1000))*VLOOKUP(WardrobeDoorMaterial,SheetsData,8,0),IF(ISERROR(FIND("Fillers",A189))=FALSE,(((0.06*(C189/1000))*2)*VLOOKUP("H/F (18mm)",SheetsData,8,0))+(((0.06*(C189/1000))*2)*VLOOKUP("H/F (9mm)",SheetsData,8,0)),IF(ISERROR(FIND("Cornice (stacked)",A189))=FALSE,((0.08*(C189/1000))*2)*VLOOKUP("H/F (22mm)",SheetsData,8,0),IF(OR(ISERROR(FIND("Plinth",A189))=FALSE,ISERROR(FIND("Cornice (flat)",A189))=FALSE),((B189/1000)*(C189/1000))*VLOOKUP("H/F (18mm)",SheetsData,8,0),IF(ISERROR(FIND("Pelmet",A189))=FALSE,((((B189/1000)*(C189/1000))*2)*VLOOKUP("H/F (18mm)",SheetsData,8,0)),IF(ISERROR(FIND("Fireplace",A189))=FALSE,IF(ISERROR(FIND("over 1600",A189))=FALSE,2*VLOOKUP(WardrobeCarcassMaterial,SheetsData,5,FALSE),VLOOKUP(WardrobeCarcassMaterial,SheetsData,5,FALSE)),IF(ISERROR(FIND("table",A189))=FALSE,((B189/1000)*0.6)*VLOOKUP("Birch ply (24mm)",SheetsData,7,FALSE),IF(ISERROR(FIND("Worktop",A189))=FALSE,((B189/1000)*(C189/1000))*VLOOKUP(WardrobeDoorMaterial,SheetsData,7,FALSE),"Check formula")))))))))))))))))</f>
        <v/>
      </c>
      <c r="F189" s="152" t="str">
        <f>IFERROR(__xludf.DUMMYFUNCTION("IF(OR(A189="""",AND(ISERROR(FIND(""drawer box"",A189))=FALSE,WardrobeDrawerType=""Solid dovetail"")),"""",IF(ISERROR(FIND(""bins"",A189))=FALSE,VLOOKUP(""Base carcass 600"",Wardrobes_etcData,6,0),IF(OR(ISERROR(FIND(""larder"",A189))=FALSE,ISERROR(FIND(""u"&amp;"nit"",A189))=FALSE),VLOOKUP(LEFT(A189,FIND("" "",A189))&amp;""carcass ""&amp;RIGHT(A189,LEN(A189)-len(regexextract(A189,"".* ""))),Wardrobes_etcData,6,0),IF(ISERROR(FIND(""drawer front"",A189))=FALSE,IF(ISERROR(FIND(""veneer"",WardrobeCarcassMaterial))=TRUE,0,((("&amp;"B189+C189)/1000)*2)*VLOOKUP(""Edge banding (per M)"",SheetsData,5,0)),IF(ISERROR(FIND(""drawer box"",A189))=FALSE,IF(ISERROR(FIND(""veneer"",WardrobeCarcassMaterial))=TRUE,0,(((C189+D189)/1000)*2)*VLOOKUP(""Edge banding (per M)"",SheetsData,5,0)),IF(ISERR"&amp;"OR(FIND(""shelf"",A189))=FALSE,IF(ISERROR(FIND(""veneer"",WardrobeCarcassMaterial))=TRUE,0,(C189/1000)*VLOOKUP(""Edge banding (per M)"",SheetsData,5,0)),IF(AND(OR(ISERROR(FIND(""arcass"",A189))=FALSE,ISERROR(FIND(""Fireplace"",A189))=FALSE),ISERROR(FIND("&amp;"""shelf"",A189))=TRUE),IF(ISERROR(FIND(""veneer"",WardrobeCarcassMaterial))=TRUE,0,((2*(B189+C189))/1000)*VLOOKUP(""Edge banding (per M)"",SheetsData,5,0)),IF(ISERROR(FIND(""door"",A189))=TRUE,"""",IF(ISERROR(FIND(""veneer"",WardrobeDoorMaterial))=TRUE,"""&amp;""",((2*(B189+C189))/1000)*VLOOKUP(""Edge banding (per M)"",SheetsData,5,0))))))))))"),"")</f>
        <v/>
      </c>
      <c r="G189" s="153" t="str">
        <f>IF(A189="","",IF(AND(ISERROR(FIND("arcass",A189))=TRUE,ISERROR(FIND("Fireplace",A189))=TRUE),"",IF(VALUE(C189)&lt;606,4*VLOOKUP("Plinth foot (2 Parts 80mm)",FurnitureData,5,FALSE),IF(VALUE(C189)&lt;1211,6*VLOOKUP("Plinth foot (2 Parts 80mm)",FurnitureData,5,FALSE),8*VLOOKUP("Plinth foot (2 Parts 80mm)",FurnitureData,5,FALSE)))))</f>
        <v/>
      </c>
      <c r="H189" s="115" t="str">
        <f>IF(OR(A189="",ISERROR(FIND("door",A189))=TRUE),"",VLOOKUP("Hinges &amp; plates (Hettich thick door)",FurnitureData,5,0)*5)</f>
        <v/>
      </c>
      <c r="I189" s="115" t="str">
        <f>IF(ISERROR(FIND("shelf",A189))=FALSE,(VLOOKUP("Shelf pegs",FurnitureData,5,0)/100)*4,"")</f>
        <v/>
      </c>
      <c r="J189" s="152" t="str">
        <f>IF(OR(ISERROR(FIND("fridge/freezer",A189))=FALSE,ISERROR(FIND("sink",A189))=FALSE,ISERROR(FIND("larder",A189))=FALSE),VLOOKUP("Deep shelf "&amp;C189,Wardrobes_etcData,18,0),IF(OR(ISERROR(FIND("single oven",A189))=FALSE,ISERROR(FIND("Base carcass",A189))=FALSE),2*VLOOKUP("Deep shelf "&amp;C189,Wardrobes_etcData,18,0),IF(AND(ISERROR(FIND("wall carcass",A189))=FALSE,ISERROR(FIND("Boiler",A189))=TRUE),2*VLOOKUP("Shallow shelf "&amp;C189,Wardrobes_etcData,18,0),IF(ISERROR(FIND("double oven",A189))=FALSE,3*VLOOKUP("Deep shelf "&amp;C189,Wardrobes_etcData,18,0),IF(ISERROR(FIND("Tower carcass",A189))=FALSE,6*VLOOKUP("Deep shelf "&amp;C189,Wardrobes_etcData,18,0),"")))))</f>
        <v/>
      </c>
      <c r="K189" s="152" t="str">
        <f>IF(ISERROR(FIND("sink",A189))=FALSE,VLOOKUP("Sink liner - Aluminium "&amp;RIGHT(A189,LEN(A189)-22)&amp;"mm",ExceptionalData,5,0),IF(ISERROR(FIND("bins",A189))=FALSE,VLOOKUP("Drawer runners and clip set for bin unit (500) Dynapro",FurnitureData,5,0)+(2*VLOOKUP("Bin (42L Anthracite)",FurnitureData,5,0)),IF(ISERROR(FIND("larder",A189))=FALSE,VLOOKUP("Pull out larder unit 600mm",FurnitureData,5,0),IF(AND(ISERROR(FIND("drawer box",A189))=FALSE,ISERROR(FIND("internal",A189))=TRUE),VLOOKUP("Drawer runners and clip set (550) Dynapro",FurnitureData,5,0),IF(ISERROR(FIND("internal drawer box",A189))=FALSE,VLOOKUP("Drawer runners and clip set (450) Dynapro",FurnitureData,5,0),IF(ISERROR(FIND("table",A189))=FALSE,VLOOKUP("Hairpin Leg (12mm Black "&amp;MID(A189,FIND("(",A189)+1,LEN(A189)-(FIND("(",A189))-1)&amp;"mm)",ExceptionalData,4,FALSE),""))))))</f>
        <v/>
      </c>
      <c r="L189" s="152" t="str">
        <f t="shared" si="3"/>
        <v/>
      </c>
      <c r="M189" s="154" t="str">
        <f>IF(A189="","",IF(AND(ISERROR(FIND("drawer front",A189))=FALSE,WardrobeDoorStyle="Flat"),(((B189/1000)*(C189/1000))*2)+((((B189+C189)/1000)*2)*0.022),IF(AND(ISERROR(FIND("drawer front",A189))=FALSE,LEFT(WardrobeDoorStyle,5)="Panel"),(((B189/1000)*(C189/1000))*2)+((((B189+C189)/1000)*2)*0.022)+((((C189/1000)-0.16)*0.013)*2)+((((D189/1000)-0.16)*0.013)*2),IF(AND(ISERROR(FIND("drawer front",A189))=FALSE,WardrobeDoorStyle="In-frame flat"),((((B189-76)/1000)*((C189-38)/1000))*2)+(MID(WardrobeDoorMaterial,FIND("(",WardrobeDoorMaterial)+1,2)/1000)*((((B189-76)+(C189-38))/1000)*2)+(((B189/1000)*0.032)*2)+((((B189-76)/1000)*0.032)*2)+(((B189/1000)*0.019)*4)+(((C189/1000)*0.032)*2)+((((C189-38)/1000)*0.032)*2)+(((C189/1000)*0.038)*4),IF(AND(ISERROR(FIND("drawer front",A189))=FALSE,LEFT(WardrobeDoorStyle,14)="In-frame panel"),((((B189-76)/1000)*((C189-38)/1000))*2)+((MID(WardrobeDoorMaterial,FIND("(",WardrobeDoorMaterial)+1,2)/1000)*((((B189-76)+(C189-38))/1000)*2))+((((B189-236)/1000)+((C189-198)/1000)*2)*0.013)+(((B189/1000)*0.032)*2)+((((B189-76)/1000)*0.032)*2)+(((B189/1000)*0.019)*4)+(((C189/1000)*0.032)*2)+((((C189-38)/1000)*0.032)*2)+(((C189/1000)*0.038)*4),IF(ISERROR(FIND("drawer box",A189))=FALSE,((((B189/1000)*(D189/1000))+((B189/1000)*(C189/1000)))*4)+((((D189/1000)+(C189/1000))*0.016)*4)+(((C189/1000)*(D189/1000))*2),IF(OR(ISERROR(FIND("shelf",A189))=FALSE,ISERROR(FIND("Filler panel",A189))=FALSE),(((C189/1000)*(D189/1000))*2)+((((C189+D189)*2)/1000)*0.022),IF(ISERROR(FIND("Fireplace",A189))=FALSE,((B189/1000)*(C189/1000)),IF(ISERROR(FIND("Worktop",A189))=FALSE,(B189/1000)*(C189/1000),IF(ISERROR(FIND("table",A189))=FALSE,(B189/1000)*0.6,IF(ISERROR(FIND("arcass",A189))=FALSE,(((C189/1000)*(D189/1000))*2)+(((B189/1000)*(D189/1000))*2)+((B189/1000)*(C189/1000))+((((B189/1000)*0.025)+((C189/1000)*0.025))*2),IF(AND(ISERROR(FIND("door",A189))=FALSE,WardrobeDoorStyle="Flat"),(((B189/1000)*(C189/1000))*2)+(MID(WardrobeDoorMaterial,FIND("(",WardrobeDoorMaterial)+1,2)/1000)*(((B189+C189)/1000)*2),IF(AND(ISERROR(FIND("door",A189))=FALSE,LEFT(WardrobeDoorStyle,5)="Panel"),(((B189/1000)*(C189/1000))*2)+((MID(WardrobeDoorMaterial,FIND("(",WardrobeDoorMaterial)+1,2)/1000)*(((B189+C189)/1000)*2))+(((((B189-160)+(C189-160))*2)/1000)*(0.013)),IF(AND(ISERROR(FIND("door",A189))=FALSE,WardrobeDoorStyle="In-frame flat"),((((B189-76)/1000)*((C189-38)/1000))*2)+(MID(WardrobeDoorMaterial,FIND("(",WardrobeDoorMaterial)+1,2)/1000)*((((B189-76)+(C189-38))/1000)*2)+(((B189/1000)*0.032)*2)+((((B189-76)/1000)*0.032)*2)+(((B189/1000)*0.019)*4)+(((C189/1000)*0.032)*2)+((((C189-38)/1000)*0.032)*2)+(((C189/1000)*0.038)*4),IF(AND(ISERROR(FIND("door",A189))=FALSE,LEFT(WardrobeDoorStyle,14)="In-frame panel"),((((B189-76)/1000)*((C189-38)/1000))*2)+((MID(WardrobeDoorMaterial,FIND("(",WardrobeDoorMaterial)+1,2)/1000)*((((B189-76)+(C189-38))/1000)*2))+((((B189-236)/1000)+((C189-198)/1000)*2)*0.013)+(((B189/1000)*0.032)*2)+((((B189-76)/1000)*0.032)*2)+(((B189/1000)*0.019)*4)+(((C189/1000)*0.032)*2)+((((C189-38)/1000)*0.032)*2)+(((C189/1000)*0.038)*4),IF(ISERROR(FIND("Plinth",A189))=FALSE,((B189/1000)*(C189/1000))+(((C189/1000)*0.018)*2)+(((B189/1000)*0.018)*2),IF(ISERROR(FIND("Cornice",A189))=FALSE,(((C189/1000)*0.1)*2)+(((C189/1000)*0.044)*2)+(((B189/1000)*0.08)*2),IF(ISERROR(FIND("Office pod",A189))=FALSE,((2400/1000)*(1200/1000))*6,IF(ISERROR(FIND("panel",A189))=FALSE,((B189/1000)*(C189/1000))+(0.022*((B189/1000)+((C189/1000)*2)))+((B189/1000)*0.05),IF(ISERROR(FIND("Fillers",A189))=FALSE,((C189/1000)*0.06)+((C189/1000)*0.069)+((0.06*0.018)*2)+((0.06*0.009)*2)+((C189/1000)*0.009)+((C189/1000)*0.018),IF(ISERROR(FIND("Pelmet",A189))=FALSE,((C189/1000)*0.05)+((C189/1000)*0.068)+((0.05*0.018)*4)+(((C189/1000)*0.018))*2)))))))))))))))))))))</f>
        <v/>
      </c>
      <c r="N189" s="152" t="str">
        <f>IF(M189="","",IF(AND(ISERROR(FIND("carcass",A189))=TRUE,ISERROR(FIND("unit",A189))=TRUE,ISERROR(FIND("insert",A189))=TRUE,ISERROR(FIND("rack",A189))=TRUE,ISERROR(FIND("box",A189))=TRUE,ISERROR(FIND("shelf",A189))=TRUE),VLOOKUP(WardrobeDoorFinish,Finishing!$A$2:$K$10,9,0)*M189,IF(ISERROR(FIND("table",A189))=FALSE,VLOOKUP("Sayerlack AF0072 Interior Clear Self-Sealer",FinishingData,9,FALSE)*M189,VLOOKUP(WardrobeCarcassFinish,Finishing!$A$2:$K$40,9,0)*M189)))</f>
        <v/>
      </c>
      <c r="O189" s="155"/>
      <c r="P189" s="155"/>
      <c r="Q189" s="152" t="str">
        <f>IF(OR(O189="",P189=""),"",((O189*X189)*(VLOOKUP("Workshop",Labour!$A$3:$E$20,4,0)/8))+((P189*AE189)*(VLOOKUP("Finishing",Labour!$A$3:$E$20,4,0)/8)))</f>
        <v/>
      </c>
      <c r="R189" s="152" t="str">
        <f t="shared" si="4"/>
        <v/>
      </c>
      <c r="S189" s="156" t="str">
        <f>IF(OR(O189="",P189=""),"",IF(OR(ISERROR(FIND("carcass",$A189))=FALSE,ISERROR(FIND("unit",$A189))=FALSE),VLOOKUP(WardrobeCarcassMaterial,FixedListsCarcassMaterial,2,0),0))</f>
        <v/>
      </c>
      <c r="T189" s="156" t="str">
        <f>IF(OR(O189="",P189=""),"",IF(ISERROR(FIND("door",$A189))=FALSE,VLOOKUP(WardrobeDoorStyle,FixedListsDoorStyle,2,0),0))</f>
        <v/>
      </c>
      <c r="U189" s="156" t="str">
        <f>IF(OR(O189="",P189=""),"",IF(ISERROR(FIND("door",$A189))=FALSE,VLOOKUP(WardrobeDoorMaterial,FixedListsDoorMaterial,2,0),0))</f>
        <v/>
      </c>
      <c r="V189" s="156" t="str">
        <f>IF(OR(O189="",P189=""),"",IF(ISERROR(FIND("drawer",$A189))=FALSE,VLOOKUP(WardrobeDrawerType,FixedListsDrawerType,2,0),0))</f>
        <v/>
      </c>
      <c r="W189" s="156" t="str">
        <f>IF(OR(O189="",P189=""),"",IF(S189&gt;0,VLOOKUP(WardrobeHandleType,FixedListsHandleType,2,FALSE),0))</f>
        <v/>
      </c>
      <c r="X189" s="156" t="str">
        <f t="shared" si="5"/>
        <v/>
      </c>
      <c r="Y189" s="156" t="str">
        <f>IF(OR(O189="",P189=""),"",IF(OR(ISERROR(FIND("carcass",$A189))=FALSE,ISERROR(FIND("unit",$A189))=FALSE),VLOOKUP(WardrobeCarcassMaterial,FixedListsCarcassMaterial,3,0),0))</f>
        <v/>
      </c>
      <c r="Z189" s="156" t="str">
        <f>IF(OR(O189="",P189=""),"",IF(ISERROR(FIND("door",$A189))=FALSE,VLOOKUP(WardrobeDoorStyle,FixedListsDoorStyle,3,0),0))</f>
        <v/>
      </c>
      <c r="AA189" s="156" t="str">
        <f>IF(OR(O189="",P189=""),"",IF(ISERROR(FIND("door",$A189))=FALSE,VLOOKUP(WardrobeDoorMaterial,FixedListsDoorMaterial,3,0),0))</f>
        <v/>
      </c>
      <c r="AB189" s="156" t="str">
        <f>IF(OR(O189="",P189=""),"",IF(ISERROR(FIND("drawer",$A189))=FALSE,VLOOKUP(WardrobeDrawerType,FixedListsDrawerType,3,0),0))</f>
        <v/>
      </c>
      <c r="AC189" s="156" t="str">
        <f>IF(OR(O189="",P189=""),"",IF(S189&gt;0,VLOOKUP(WardrobeHandleType,FixedListsHandleType,3,FALSE),0))</f>
        <v/>
      </c>
      <c r="AD189" s="156" t="str">
        <f>IF(OR(O189="",P189=""),"",IF(OR(ISERROR(FIND("carcass",$A189))=FALSE,ISERROR(FIND("unit",$A189))=FALSE),VLOOKUP(WardrobeCarcassFinish,FixedListsFinishes,3,0),IF(OR(ISERROR(FIND("door",$A189))=FALSE,ISERROR(FIND("Plinth",$A189))=FALSE,ISERROR(FIND("Cornice",$A189))=FALSE,ISERROR(FIND("Fillers",$A189))=FALSE,ISERROR(FIND("Pelmet",$A189))=FALSE,ISERROR(FIND("panel",$A189))=FALSE,ISERROR(FIND("post",$A189))=FALSE),VLOOKUP(WardrobeDoorFinish,FixedListsFinishes,3,0),IF(OR(ISERROR(FIND("drawer",$A189))=FALSE,ISERROR(FIND("insert",$A189))=FALSE,ISERROR(FIND("rck",$A189))=FALSE),VLOOKUP(WardrobeCarcassFinish,FixedListsFinishes,3,0),0))))</f>
        <v/>
      </c>
      <c r="AE189" s="156" t="str">
        <f t="shared" si="6"/>
        <v/>
      </c>
      <c r="AF189" s="157" t="str">
        <f>IF(AND(WardrobeHandleType="Channel",OR(ISERROR(FIND("arcass",$A189))=FALSE,ISERROR(FIND("unit",$A189))=FALSE)),IF(ISERROR(FIND("Tower",$A189))=TRUE,IF(WardrobeHandleFinish="Match carcass",IF(ISERROR(FIND("Walnut",WardrobeCarcassMaterial))=FALSE,(0.035*0.075*($C189/1000))*VLOOKUP("Walnut (solid m3)",SolidData,4,FALSE),IF(ISERROR(FIND("Oak",WardrobeCarcassMaterial))=FALSE,(0.035*0.075*($C189/1000))*VLOOKUP("Oak (solid m3)",SolidData,4,FALSE),IF(ISERROR(FIND("ply",WardrobeCarcassMaterial))=FALSE,(0.1*($C189/1000))*VLOOKUP("Birch ply (24mm)",SheetsData,7,FALSE),IF(ISERROR(FIND("H/F",WardrobeCarcassMaterial))=FALSE,(0.1*($C189/1000))*VLOOKUP("H/F (22mm)",SheetsData,7,FALSE),"Carcass - not tower - new material")))),IF(WardrobeHandleFinish="Match door",IF(ISERROR(FIND("Walnut",WardrobeDoorMaterial))=FALSE,(0.035*0.075*($C189/1000))*VLOOKUP("Walnut (solid m3)",SolidData,4,FALSE),IF(ISERROR(FIND("Oak",WardrobeDoorMaterial))=FALSE,(0.035*0.075*($C189/1000))*VLOOKUP("Oak (solid m3)",SolidData,4,FALSE),IF(ISERROR(FIND("ply",WardrobeDoorMaterial))=FALSE,(0.1*($C189/1000))*VLOOKUP("Birch ply (24mm)",SheetsData,7,FALSE),IF(ISERROR(FIND("H/F",WardrobeCarcassMaterial))=FALSE,(0.1*($C189/1000))*VLOOKUP("H/F (22mm)",SheetsData,7,FALSE),"Door - not tower - new material")))),"Channel - not tower - handle set to other")),IF(ISERROR(FIND("Tower",$A189))=FALSE,IF(WardrobeHandleFinish="Match carcass",IF(ISERROR(FIND("Walnut",WardrobeCarcassMaterial))=FALSE,(0.035*0.075*($B189/1000))*VLOOKUP("Walnut (solid m3)",SolidData,4,FALSE),IF(ISERROR(FIND("Oak",WardrobeCarcassMaterial))=FALSE,(0.035*0.075*($B189/1000))*VLOOKUP("Oak (solid m3)",SolidData,4,FALSE),IF(ISERROR(FIND("ply",WardrobeCarcassMaterial))=FALSE,(0.1*($B189/1000))*VLOOKUP("Birch ply (24mm)",SheetsData,7,FALSE),IF(ISERROR(FIND("H/F",WardrobeCarcassMaterial))=FALSE,(0.1*($C189/1000))*VLOOKUP("H/F (22mm)",SheetsData,7,FALSE),"Carcass - tower - new material")))),IF(WardrobeHandleFinish="Match door",IF(ISERROR(FIND("Walnut",WardrobeDoorMaterial))=FALSE,(0.035*0.075*($B189/1000))*VLOOKUP("Walnut (solid m3)",SolidData,4,FALSE),IF(ISERROR(FIND("Oak",WardrobeDoorMaterial))=FALSE,(0.035*0.075*($B189/1000))*VLOOKUP("Oak (solid m3)",SolidData,4,FALSE),IF(ISERROR(FIND("ply",WardrobeDoorMaterial))=FALSE,(0.1*($B189/1000))*VLOOKUP("Birch ply (24mm)",SheetData,7,FALSE),IF(ISERROR(FIND("H/F",WardrobeCarcassMaterial))=FALSE,(0.1*($C189/1000))*VLOOKUP("H/F (22mm)",SheetsData,7,FALSE),"Door - tower - new material")))),"Channel - tower - handle set to other")))),"")</f>
        <v/>
      </c>
    </row>
    <row r="190">
      <c r="A190" s="150"/>
      <c r="B190" s="160" t="str">
        <f t="shared" si="1"/>
        <v/>
      </c>
      <c r="C190" s="160" t="str">
        <f>IFERROR(__xludf.DUMMYFUNCTION("IF(A190="""","""",IF(ISERROR(FIND(""arcass"",A190))=FALSE,MID(A190,FIND(""*"",A190)+1,FIND(""*"",A190,FIND(""*"",A190)+1)-FIND(""*"",A190)-1),IF(ISERROR(FIND(""End panel"",A190))=FALSE,RIGHT(A190,3),IF(OR(ISERROR(FIND(""drawer"",A190))=FALSE,ISERROR(FIND("&amp;"""door"",A190))=FALSE,ISERROR(FIND(""shelf"",A190))=FALSE,ISERROR(FIND(""panel"",A190))=FALSE,ISERROR(FIND(""Plinth"",A190))=FALSE,ISERROR(FIND(""Cornice"",A190))=FALSE,ISERROR(FIND(""Fillers"",A190))=FALSE,ISERROR(FIND(""Pelmet"",A190))=FALSE,ISERROR(FIN"&amp;"D(""Fireplace up to 1600"",A190))=FALSE),RIGHT(A190,LEN(A190)-LEN(regexextract(A190,"".* ""))),IF(ISERROR(FIND(""table"",A190))=FALSE,""560"",IF(ISERROR(FIND(""Office pod"",A190))=FALSE,""1600"",IF(ISERROR(FIND(""Fireplace over 1600"",A190))=FALSE,""2400"&amp;""",IF(ISERROR(FIND(""Worktop"",A190))=FALSE,""650"",""Whoops""))))))))"),"")</f>
        <v/>
      </c>
      <c r="D190" s="161" t="str">
        <f t="shared" si="2"/>
        <v/>
      </c>
      <c r="E190" s="152" t="str">
        <f>IF(OR(A190="",AND(ISERROR(FIND("drawer",A190))=FALSE,WardrobeDrawerType="")),"",IF(ISERROR(FIND("door",A190))=FALSE,IF(WardrobeDoorStyle="Flat",((B190/1000)*(C190/1000))*VLOOKUP(WardrobeDoorMaterial,SheetsData,8,0),IF(LEFT(WardrobeDoorStyle,5)="Panel",(((((B190/1000)*2)*0.08)+((((C190/1000)-0.16)*2)*0.08))*VLOOKUP("H/F (22mm)",SheetsData,8,0))+(((B190/1000)-0.14)*((C190/1000)-0.14)*VLOOKUP("H/F (9mm)",SheetsData,8,0)),IF(WardrobeDoorStyle="In-frame flat",((((((B190/1000)*0.019)*0.038)+((((C190-38)/1000)*0.038)*0.038))*2)*VLOOKUP("Tulip (solid m3)",SolidData,4,0))+(((B190-76)/1000)*((C190-38)/1000))*VLOOKUP("H/F (22mm)",SheetsData,8,0),IF(LEFT(WardrobeDoorStyle,14)="In-frame panel",(((((((B190/1000)*0.019)*0.038)+((((C190-38)/1000)*0.038)*0.038))*2)*VLOOKUP("Tulip (solid m3)",SolidData,4,0))+(((((((B190-76)/1000)*2)*0.08)+(((((C190-198)/1000)*2)*0.08)))*VLOOKUP("H/F (22mm)",SheetsData,8,0))+(((B190-216)/1000)*((C190-178)/1000)*VLOOKUP("H/F (9mm)",SheetsData,8,0)))))))),IF(AND(ISERROR(FIND("arcass",A190))=FALSE,ISERROR(FIND("ost corner",A190))=TRUE),IF(AND(VALUE(B190)&lt;1211,VALUE(C190)&lt;1211,VALUE(D190)&lt;606),1*VLOOKUP(WardrobeCarcassMaterial,SheetsData,5,FALSE),IF(AND(VALUE(B190)&lt;2421,VALUE(C190)&lt;2421,VALUE(D190)&lt;606),2*VLOOKUP(WardrobeCarcassMaterial,SheetsData,5,FALSE),IF(AND(VALUE(B190)&lt;2421,VALUE(C190)&lt;1211,VALUE(D190)&lt;1211),3*VLOOKUP(WardrobeCarcassMaterial,SheetsData,5,FALSE),IF(AND(VALUE(B190)&lt;2421,VALUE(C190)&lt;2421,VALUE(D190)&lt;1211),4*VLOOKUP(WardrobeCarcassMaterial,SheetsData,5,FALSE))))),IF(AND(ISERROR(FIND("arcass",A190))=FALSE,ISERROR(FIND("ost corner",A190))=FALSE),IF(AND(VALUE(B190)&lt;1211,VALUE(C190)&lt;1211,VALUE(D190)&lt;606),(1*VLOOKUP(WardrobeCarcassMaterial,SheetsData,5,FALSE))+(VLOOKUP("H/F (22mm)",SheetsData,7,FALSE)*1.44),IF(AND(VALUE(B190)&lt;2421,VALUE(C190)&lt;2421,VALUE(D190)&lt;606),(2*VLOOKUP(WardrobeCarcassMaterial,SheetsData,5,FALSE))+(VLOOKUP("H/F (22mm)",SheetsData,7,FALSE)*1.44),IF(AND(VALUE(B190)&lt;2421,VALUE(C190)&lt;1211,VALUE(D190)&lt;1211),(3*VLOOKUP(WardrobeCarcassMaterial,SheetsData,5,FALSE))+(VLOOKUP("H/F (22mm)",SheetsData,7,FALSE)*1.44),IF(AND(VALUE(B190)&lt;2421,VALUE(C190)&lt;2421,VALUE(D190)&lt;1211),(4*VLOOKUP(WardrobeCarcassMaterial,SheetsData,5,FALSE))+(VLOOKUP("H/F (22mm)",SheetsData,7,FALSE)*1.44))))),IF(ISERROR(FIND("drawer front",A190))=FALSE,((B190/1000)*(C190/1000))*VLOOKUP(WardrobeDoorMaterial,SheetsData,8,0),IF(AND(WardrobeDrawerType="Match carcass",ISERROR(FIND("drawer box",A190))=FALSE),(((((B190/1000)*(C190/1000))+((B190/1000)*(D190/1000)))*2)*VLOOKUP(WardrobeCarcassMaterial,SheetsData,8,0))+(((C190/1000)*(D190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box",A190))=FALSE),(((((B190/1000)*(C190/1000))+((B190/1000)*(D190/1000)))*2)*(16/1000)*VLOOKUP(LEFT(WardrobeCarcassMaterial,FIND(" ",WardrobeCarcassMaterial))&amp;"(solid m3)",SolidData,4,0))+(((C190/1000)*(D190/1000))*VLOOKUP(LEFT(WardrobeCarcassMaterial,FIND("(",WardrobeCarcassMaterial)-1)&amp;IF(OR(ISERROR(FIND("ply",WardrobeCarcassMaterial))=FALSE,ISERROR(FIND("H/F",WardrobeCarcassMaterial))=FALSE),"(9mm)","(10mm)"),SheetsData,8,0)),IF(ISERROR(FIND("shelf",A190))=FALSE,((C190/1000)*(D190/1000))*VLOOKUP(WardrobeCarcassMaterial,SheetsData,7,FALSE),IF(ISERROR(FIND("Office pod",A190))=FALSE,3*VLOOKUP(WardrobeCarcassMaterial,SheetsData,5,0),IF(ISERROR(FIND(" panel",A190))=FALSE,((B190/1000)*(C190/1000))*VLOOKUP(WardrobeDoorMaterial,SheetsData,8,0),IF(ISERROR(FIND("Fillers",A190))=FALSE,(((0.06*(C190/1000))*2)*VLOOKUP("H/F (18mm)",SheetsData,8,0))+(((0.06*(C190/1000))*2)*VLOOKUP("H/F (9mm)",SheetsData,8,0)),IF(ISERROR(FIND("Cornice (stacked)",A190))=FALSE,((0.08*(C190/1000))*2)*VLOOKUP("H/F (22mm)",SheetsData,8,0),IF(OR(ISERROR(FIND("Plinth",A190))=FALSE,ISERROR(FIND("Cornice (flat)",A190))=FALSE),((B190/1000)*(C190/1000))*VLOOKUP("H/F (18mm)",SheetsData,8,0),IF(ISERROR(FIND("Pelmet",A190))=FALSE,((((B190/1000)*(C190/1000))*2)*VLOOKUP("H/F (18mm)",SheetsData,8,0)),IF(ISERROR(FIND("Fireplace",A190))=FALSE,IF(ISERROR(FIND("over 1600",A190))=FALSE,2*VLOOKUP(WardrobeCarcassMaterial,SheetsData,5,FALSE),VLOOKUP(WardrobeCarcassMaterial,SheetsData,5,FALSE)),IF(ISERROR(FIND("table",A190))=FALSE,((B190/1000)*0.6)*VLOOKUP("Birch ply (24mm)",SheetsData,7,FALSE),IF(ISERROR(FIND("Worktop",A190))=FALSE,((B190/1000)*(C190/1000))*VLOOKUP(WardrobeDoorMaterial,SheetsData,7,FALSE),"Check formula")))))))))))))))))</f>
        <v/>
      </c>
      <c r="F190" s="152" t="str">
        <f>IFERROR(__xludf.DUMMYFUNCTION("IF(OR(A190="""",AND(ISERROR(FIND(""drawer box"",A190))=FALSE,WardrobeDrawerType=""Solid dovetail"")),"""",IF(ISERROR(FIND(""bins"",A190))=FALSE,VLOOKUP(""Base carcass 600"",Wardrobes_etcData,6,0),IF(OR(ISERROR(FIND(""larder"",A190))=FALSE,ISERROR(FIND(""u"&amp;"nit"",A190))=FALSE),VLOOKUP(LEFT(A190,FIND("" "",A190))&amp;""carcass ""&amp;RIGHT(A190,LEN(A190)-len(regexextract(A190,"".* ""))),Wardrobes_etcData,6,0),IF(ISERROR(FIND(""drawer front"",A190))=FALSE,IF(ISERROR(FIND(""veneer"",WardrobeCarcassMaterial))=TRUE,0,((("&amp;"B190+C190)/1000)*2)*VLOOKUP(""Edge banding (per M)"",SheetsData,5,0)),IF(ISERROR(FIND(""drawer box"",A190))=FALSE,IF(ISERROR(FIND(""veneer"",WardrobeCarcassMaterial))=TRUE,0,(((C190+D190)/1000)*2)*VLOOKUP(""Edge banding (per M)"",SheetsData,5,0)),IF(ISERR"&amp;"OR(FIND(""shelf"",A190))=FALSE,IF(ISERROR(FIND(""veneer"",WardrobeCarcassMaterial))=TRUE,0,(C190/1000)*VLOOKUP(""Edge banding (per M)"",SheetsData,5,0)),IF(AND(OR(ISERROR(FIND(""arcass"",A190))=FALSE,ISERROR(FIND(""Fireplace"",A190))=FALSE),ISERROR(FIND("&amp;"""shelf"",A190))=TRUE),IF(ISERROR(FIND(""veneer"",WardrobeCarcassMaterial))=TRUE,0,((2*(B190+C190))/1000)*VLOOKUP(""Edge banding (per M)"",SheetsData,5,0)),IF(ISERROR(FIND(""door"",A190))=TRUE,"""",IF(ISERROR(FIND(""veneer"",WardrobeDoorMaterial))=TRUE,"""&amp;""",((2*(B190+C190))/1000)*VLOOKUP(""Edge banding (per M)"",SheetsData,5,0))))))))))"),"")</f>
        <v/>
      </c>
      <c r="G190" s="153" t="str">
        <f>IF(A190="","",IF(AND(ISERROR(FIND("arcass",A190))=TRUE,ISERROR(FIND("Fireplace",A190))=TRUE),"",IF(VALUE(C190)&lt;606,4*VLOOKUP("Plinth foot (2 Parts 80mm)",FurnitureData,5,FALSE),IF(VALUE(C190)&lt;1211,6*VLOOKUP("Plinth foot (2 Parts 80mm)",FurnitureData,5,FALSE),8*VLOOKUP("Plinth foot (2 Parts 80mm)",FurnitureData,5,FALSE)))))</f>
        <v/>
      </c>
      <c r="H190" s="115" t="str">
        <f>IF(OR(A190="",ISERROR(FIND("door",A190))=TRUE),"",VLOOKUP("Hinges &amp; plates (Hettich thick door)",FurnitureData,5,0)*5)</f>
        <v/>
      </c>
      <c r="I190" s="115" t="str">
        <f>IF(ISERROR(FIND("shelf",A190))=FALSE,(VLOOKUP("Shelf pegs",FurnitureData,5,0)/100)*4,"")</f>
        <v/>
      </c>
      <c r="J190" s="152" t="str">
        <f>IF(OR(ISERROR(FIND("fridge/freezer",A190))=FALSE,ISERROR(FIND("sink",A190))=FALSE,ISERROR(FIND("larder",A190))=FALSE),VLOOKUP("Deep shelf "&amp;C190,Wardrobes_etcData,18,0),IF(OR(ISERROR(FIND("single oven",A190))=FALSE,ISERROR(FIND("Base carcass",A190))=FALSE),2*VLOOKUP("Deep shelf "&amp;C190,Wardrobes_etcData,18,0),IF(AND(ISERROR(FIND("wall carcass",A190))=FALSE,ISERROR(FIND("Boiler",A190))=TRUE),2*VLOOKUP("Shallow shelf "&amp;C190,Wardrobes_etcData,18,0),IF(ISERROR(FIND("double oven",A190))=FALSE,3*VLOOKUP("Deep shelf "&amp;C190,Wardrobes_etcData,18,0),IF(ISERROR(FIND("Tower carcass",A190))=FALSE,6*VLOOKUP("Deep shelf "&amp;C190,Wardrobes_etcData,18,0),"")))))</f>
        <v/>
      </c>
      <c r="K190" s="152" t="str">
        <f>IF(ISERROR(FIND("sink",A190))=FALSE,VLOOKUP("Sink liner - Aluminium "&amp;RIGHT(A190,LEN(A190)-22)&amp;"mm",ExceptionalData,5,0),IF(ISERROR(FIND("bins",A190))=FALSE,VLOOKUP("Drawer runners and clip set for bin unit (500) Dynapro",FurnitureData,5,0)+(2*VLOOKUP("Bin (42L Anthracite)",FurnitureData,5,0)),IF(ISERROR(FIND("larder",A190))=FALSE,VLOOKUP("Pull out larder unit 600mm",FurnitureData,5,0),IF(AND(ISERROR(FIND("drawer box",A190))=FALSE,ISERROR(FIND("internal",A190))=TRUE),VLOOKUP("Drawer runners and clip set (550) Dynapro",FurnitureData,5,0),IF(ISERROR(FIND("internal drawer box",A190))=FALSE,VLOOKUP("Drawer runners and clip set (450) Dynapro",FurnitureData,5,0),IF(ISERROR(FIND("table",A190))=FALSE,VLOOKUP("Hairpin Leg (12mm Black "&amp;MID(A190,FIND("(",A190)+1,LEN(A190)-(FIND("(",A190))-1)&amp;"mm)",ExceptionalData,4,FALSE),""))))))</f>
        <v/>
      </c>
      <c r="L190" s="152" t="str">
        <f t="shared" si="3"/>
        <v/>
      </c>
      <c r="M190" s="154" t="str">
        <f>IF(A190="","",IF(AND(ISERROR(FIND("drawer front",A190))=FALSE,WardrobeDoorStyle="Flat"),(((B190/1000)*(C190/1000))*2)+((((B190+C190)/1000)*2)*0.022),IF(AND(ISERROR(FIND("drawer front",A190))=FALSE,LEFT(WardrobeDoorStyle,5)="Panel"),(((B190/1000)*(C190/1000))*2)+((((B190+C190)/1000)*2)*0.022)+((((C190/1000)-0.16)*0.013)*2)+((((D190/1000)-0.16)*0.013)*2),IF(AND(ISERROR(FIND("drawer front",A190))=FALSE,WardrobeDoorStyle="In-frame flat"),((((B190-76)/1000)*((C190-38)/1000))*2)+(MID(WardrobeDoorMaterial,FIND("(",WardrobeDoorMaterial)+1,2)/1000)*((((B190-76)+(C190-38))/1000)*2)+(((B190/1000)*0.032)*2)+((((B190-76)/1000)*0.032)*2)+(((B190/1000)*0.019)*4)+(((C190/1000)*0.032)*2)+((((C190-38)/1000)*0.032)*2)+(((C190/1000)*0.038)*4),IF(AND(ISERROR(FIND("drawer front",A190))=FALSE,LEFT(WardrobeDoorStyle,14)="In-frame panel"),((((B190-76)/1000)*((C190-38)/1000))*2)+((MID(WardrobeDoorMaterial,FIND("(",WardrobeDoorMaterial)+1,2)/1000)*((((B190-76)+(C190-38))/1000)*2))+((((B190-236)/1000)+((C190-198)/1000)*2)*0.013)+(((B190/1000)*0.032)*2)+((((B190-76)/1000)*0.032)*2)+(((B190/1000)*0.019)*4)+(((C190/1000)*0.032)*2)+((((C190-38)/1000)*0.032)*2)+(((C190/1000)*0.038)*4),IF(ISERROR(FIND("drawer box",A190))=FALSE,((((B190/1000)*(D190/1000))+((B190/1000)*(C190/1000)))*4)+((((D190/1000)+(C190/1000))*0.016)*4)+(((C190/1000)*(D190/1000))*2),IF(OR(ISERROR(FIND("shelf",A190))=FALSE,ISERROR(FIND("Filler panel",A190))=FALSE),(((C190/1000)*(D190/1000))*2)+((((C190+D190)*2)/1000)*0.022),IF(ISERROR(FIND("Fireplace",A190))=FALSE,((B190/1000)*(C190/1000)),IF(ISERROR(FIND("Worktop",A190))=FALSE,(B190/1000)*(C190/1000),IF(ISERROR(FIND("table",A190))=FALSE,(B190/1000)*0.6,IF(ISERROR(FIND("arcass",A190))=FALSE,(((C190/1000)*(D190/1000))*2)+(((B190/1000)*(D190/1000))*2)+((B190/1000)*(C190/1000))+((((B190/1000)*0.025)+((C190/1000)*0.025))*2),IF(AND(ISERROR(FIND("door",A190))=FALSE,WardrobeDoorStyle="Flat"),(((B190/1000)*(C190/1000))*2)+(MID(WardrobeDoorMaterial,FIND("(",WardrobeDoorMaterial)+1,2)/1000)*(((B190+C190)/1000)*2),IF(AND(ISERROR(FIND("door",A190))=FALSE,LEFT(WardrobeDoorStyle,5)="Panel"),(((B190/1000)*(C190/1000))*2)+((MID(WardrobeDoorMaterial,FIND("(",WardrobeDoorMaterial)+1,2)/1000)*(((B190+C190)/1000)*2))+(((((B190-160)+(C190-160))*2)/1000)*(0.013)),IF(AND(ISERROR(FIND("door",A190))=FALSE,WardrobeDoorStyle="In-frame flat"),((((B190-76)/1000)*((C190-38)/1000))*2)+(MID(WardrobeDoorMaterial,FIND("(",WardrobeDoorMaterial)+1,2)/1000)*((((B190-76)+(C190-38))/1000)*2)+(((B190/1000)*0.032)*2)+((((B190-76)/1000)*0.032)*2)+(((B190/1000)*0.019)*4)+(((C190/1000)*0.032)*2)+((((C190-38)/1000)*0.032)*2)+(((C190/1000)*0.038)*4),IF(AND(ISERROR(FIND("door",A190))=FALSE,LEFT(WardrobeDoorStyle,14)="In-frame panel"),((((B190-76)/1000)*((C190-38)/1000))*2)+((MID(WardrobeDoorMaterial,FIND("(",WardrobeDoorMaterial)+1,2)/1000)*((((B190-76)+(C190-38))/1000)*2))+((((B190-236)/1000)+((C190-198)/1000)*2)*0.013)+(((B190/1000)*0.032)*2)+((((B190-76)/1000)*0.032)*2)+(((B190/1000)*0.019)*4)+(((C190/1000)*0.032)*2)+((((C190-38)/1000)*0.032)*2)+(((C190/1000)*0.038)*4),IF(ISERROR(FIND("Plinth",A190))=FALSE,((B190/1000)*(C190/1000))+(((C190/1000)*0.018)*2)+(((B190/1000)*0.018)*2),IF(ISERROR(FIND("Cornice",A190))=FALSE,(((C190/1000)*0.1)*2)+(((C190/1000)*0.044)*2)+(((B190/1000)*0.08)*2),IF(ISERROR(FIND("Office pod",A190))=FALSE,((2400/1000)*(1200/1000))*6,IF(ISERROR(FIND("panel",A190))=FALSE,((B190/1000)*(C190/1000))+(0.022*((B190/1000)+((C190/1000)*2)))+((B190/1000)*0.05),IF(ISERROR(FIND("Fillers",A190))=FALSE,((C190/1000)*0.06)+((C190/1000)*0.069)+((0.06*0.018)*2)+((0.06*0.009)*2)+((C190/1000)*0.009)+((C190/1000)*0.018),IF(ISERROR(FIND("Pelmet",A190))=FALSE,((C190/1000)*0.05)+((C190/1000)*0.068)+((0.05*0.018)*4)+(((C190/1000)*0.018))*2)))))))))))))))))))))</f>
        <v/>
      </c>
      <c r="N190" s="152" t="str">
        <f>IF(M190="","",IF(AND(ISERROR(FIND("carcass",A190))=TRUE,ISERROR(FIND("unit",A190))=TRUE,ISERROR(FIND("insert",A190))=TRUE,ISERROR(FIND("rack",A190))=TRUE,ISERROR(FIND("box",A190))=TRUE,ISERROR(FIND("shelf",A190))=TRUE),VLOOKUP(WardrobeDoorFinish,Finishing!$A$2:$K$10,9,0)*M190,IF(ISERROR(FIND("table",A190))=FALSE,VLOOKUP("Sayerlack AF0072 Interior Clear Self-Sealer",FinishingData,9,FALSE)*M190,VLOOKUP(WardrobeCarcassFinish,Finishing!$A$2:$K$40,9,0)*M190)))</f>
        <v/>
      </c>
      <c r="O190" s="155"/>
      <c r="P190" s="155"/>
      <c r="Q190" s="152" t="str">
        <f>IF(OR(O190="",P190=""),"",((O190*X190)*(VLOOKUP("Workshop",Labour!$A$3:$E$20,4,0)/8))+((P190*AE190)*(VLOOKUP("Finishing",Labour!$A$3:$E$20,4,0)/8)))</f>
        <v/>
      </c>
      <c r="R190" s="152" t="str">
        <f t="shared" si="4"/>
        <v/>
      </c>
      <c r="S190" s="156" t="str">
        <f>IF(OR(O190="",P190=""),"",IF(OR(ISERROR(FIND("carcass",$A190))=FALSE,ISERROR(FIND("unit",$A190))=FALSE),VLOOKUP(WardrobeCarcassMaterial,FixedListsCarcassMaterial,2,0),0))</f>
        <v/>
      </c>
      <c r="T190" s="156" t="str">
        <f>IF(OR(O190="",P190=""),"",IF(ISERROR(FIND("door",$A190))=FALSE,VLOOKUP(WardrobeDoorStyle,FixedListsDoorStyle,2,0),0))</f>
        <v/>
      </c>
      <c r="U190" s="156" t="str">
        <f>IF(OR(O190="",P190=""),"",IF(ISERROR(FIND("door",$A190))=FALSE,VLOOKUP(WardrobeDoorMaterial,FixedListsDoorMaterial,2,0),0))</f>
        <v/>
      </c>
      <c r="V190" s="156" t="str">
        <f>IF(OR(O190="",P190=""),"",IF(ISERROR(FIND("drawer",$A190))=FALSE,VLOOKUP(WardrobeDrawerType,FixedListsDrawerType,2,0),0))</f>
        <v/>
      </c>
      <c r="W190" s="156" t="str">
        <f>IF(OR(O190="",P190=""),"",IF(S190&gt;0,VLOOKUP(WardrobeHandleType,FixedListsHandleType,2,FALSE),0))</f>
        <v/>
      </c>
      <c r="X190" s="156" t="str">
        <f t="shared" si="5"/>
        <v/>
      </c>
      <c r="Y190" s="156" t="str">
        <f>IF(OR(O190="",P190=""),"",IF(OR(ISERROR(FIND("carcass",$A190))=FALSE,ISERROR(FIND("unit",$A190))=FALSE),VLOOKUP(WardrobeCarcassMaterial,FixedListsCarcassMaterial,3,0),0))</f>
        <v/>
      </c>
      <c r="Z190" s="156" t="str">
        <f>IF(OR(O190="",P190=""),"",IF(ISERROR(FIND("door",$A190))=FALSE,VLOOKUP(WardrobeDoorStyle,FixedListsDoorStyle,3,0),0))</f>
        <v/>
      </c>
      <c r="AA190" s="156" t="str">
        <f>IF(OR(O190="",P190=""),"",IF(ISERROR(FIND("door",$A190))=FALSE,VLOOKUP(WardrobeDoorMaterial,FixedListsDoorMaterial,3,0),0))</f>
        <v/>
      </c>
      <c r="AB190" s="156" t="str">
        <f>IF(OR(O190="",P190=""),"",IF(ISERROR(FIND("drawer",$A190))=FALSE,VLOOKUP(WardrobeDrawerType,FixedListsDrawerType,3,0),0))</f>
        <v/>
      </c>
      <c r="AC190" s="156" t="str">
        <f>IF(OR(O190="",P190=""),"",IF(S190&gt;0,VLOOKUP(WardrobeHandleType,FixedListsHandleType,3,FALSE),0))</f>
        <v/>
      </c>
      <c r="AD190" s="156" t="str">
        <f>IF(OR(O190="",P190=""),"",IF(OR(ISERROR(FIND("carcass",$A190))=FALSE,ISERROR(FIND("unit",$A190))=FALSE),VLOOKUP(WardrobeCarcassFinish,FixedListsFinishes,3,0),IF(OR(ISERROR(FIND("door",$A190))=FALSE,ISERROR(FIND("Plinth",$A190))=FALSE,ISERROR(FIND("Cornice",$A190))=FALSE,ISERROR(FIND("Fillers",$A190))=FALSE,ISERROR(FIND("Pelmet",$A190))=FALSE,ISERROR(FIND("panel",$A190))=FALSE,ISERROR(FIND("post",$A190))=FALSE),VLOOKUP(WardrobeDoorFinish,FixedListsFinishes,3,0),IF(OR(ISERROR(FIND("drawer",$A190))=FALSE,ISERROR(FIND("insert",$A190))=FALSE,ISERROR(FIND("rck",$A190))=FALSE),VLOOKUP(WardrobeCarcassFinish,FixedListsFinishes,3,0),0))))</f>
        <v/>
      </c>
      <c r="AE190" s="156" t="str">
        <f t="shared" si="6"/>
        <v/>
      </c>
      <c r="AF190" s="157" t="str">
        <f>IF(AND(WardrobeHandleType="Channel",OR(ISERROR(FIND("arcass",$A190))=FALSE,ISERROR(FIND("unit",$A190))=FALSE)),IF(ISERROR(FIND("Tower",$A190))=TRUE,IF(WardrobeHandleFinish="Match carcass",IF(ISERROR(FIND("Walnut",WardrobeCarcassMaterial))=FALSE,(0.035*0.075*($C190/1000))*VLOOKUP("Walnut (solid m3)",SolidData,4,FALSE),IF(ISERROR(FIND("Oak",WardrobeCarcassMaterial))=FALSE,(0.035*0.075*($C190/1000))*VLOOKUP("Oak (solid m3)",SolidData,4,FALSE),IF(ISERROR(FIND("ply",WardrobeCarcassMaterial))=FALSE,(0.1*($C190/1000))*VLOOKUP("Birch ply (24mm)",SheetsData,7,FALSE),IF(ISERROR(FIND("H/F",WardrobeCarcassMaterial))=FALSE,(0.1*($C190/1000))*VLOOKUP("H/F (22mm)",SheetsData,7,FALSE),"Carcass - not tower - new material")))),IF(WardrobeHandleFinish="Match door",IF(ISERROR(FIND("Walnut",WardrobeDoorMaterial))=FALSE,(0.035*0.075*($C190/1000))*VLOOKUP("Walnut (solid m3)",SolidData,4,FALSE),IF(ISERROR(FIND("Oak",WardrobeDoorMaterial))=FALSE,(0.035*0.075*($C190/1000))*VLOOKUP("Oak (solid m3)",SolidData,4,FALSE),IF(ISERROR(FIND("ply",WardrobeDoorMaterial))=FALSE,(0.1*($C190/1000))*VLOOKUP("Birch ply (24mm)",SheetsData,7,FALSE),IF(ISERROR(FIND("H/F",WardrobeCarcassMaterial))=FALSE,(0.1*($C190/1000))*VLOOKUP("H/F (22mm)",SheetsData,7,FALSE),"Door - not tower - new material")))),"Channel - not tower - handle set to other")),IF(ISERROR(FIND("Tower",$A190))=FALSE,IF(WardrobeHandleFinish="Match carcass",IF(ISERROR(FIND("Walnut",WardrobeCarcassMaterial))=FALSE,(0.035*0.075*($B190/1000))*VLOOKUP("Walnut (solid m3)",SolidData,4,FALSE),IF(ISERROR(FIND("Oak",WardrobeCarcassMaterial))=FALSE,(0.035*0.075*($B190/1000))*VLOOKUP("Oak (solid m3)",SolidData,4,FALSE),IF(ISERROR(FIND("ply",WardrobeCarcassMaterial))=FALSE,(0.1*($B190/1000))*VLOOKUP("Birch ply (24mm)",SheetsData,7,FALSE),IF(ISERROR(FIND("H/F",WardrobeCarcassMaterial))=FALSE,(0.1*($C190/1000))*VLOOKUP("H/F (22mm)",SheetsData,7,FALSE),"Carcass - tower - new material")))),IF(WardrobeHandleFinish="Match door",IF(ISERROR(FIND("Walnut",WardrobeDoorMaterial))=FALSE,(0.035*0.075*($B190/1000))*VLOOKUP("Walnut (solid m3)",SolidData,4,FALSE),IF(ISERROR(FIND("Oak",WardrobeDoorMaterial))=FALSE,(0.035*0.075*($B190/1000))*VLOOKUP("Oak (solid m3)",SolidData,4,FALSE),IF(ISERROR(FIND("ply",WardrobeDoorMaterial))=FALSE,(0.1*($B190/1000))*VLOOKUP("Birch ply (24mm)",SheetData,7,FALSE),IF(ISERROR(FIND("H/F",WardrobeCarcassMaterial))=FALSE,(0.1*($C190/1000))*VLOOKUP("H/F (22mm)",SheetsData,7,FALSE),"Door - tower - new material")))),"Channel - tower - handle set to other")))),"")</f>
        <v/>
      </c>
    </row>
    <row r="191">
      <c r="A191" s="150"/>
      <c r="B191" s="160" t="str">
        <f t="shared" si="1"/>
        <v/>
      </c>
      <c r="C191" s="160" t="str">
        <f>IFERROR(__xludf.DUMMYFUNCTION("IF(A191="""","""",IF(ISERROR(FIND(""arcass"",A191))=FALSE,MID(A191,FIND(""*"",A191)+1,FIND(""*"",A191,FIND(""*"",A191)+1)-FIND(""*"",A191)-1),IF(ISERROR(FIND(""End panel"",A191))=FALSE,RIGHT(A191,3),IF(OR(ISERROR(FIND(""drawer"",A191))=FALSE,ISERROR(FIND("&amp;"""door"",A191))=FALSE,ISERROR(FIND(""shelf"",A191))=FALSE,ISERROR(FIND(""panel"",A191))=FALSE,ISERROR(FIND(""Plinth"",A191))=FALSE,ISERROR(FIND(""Cornice"",A191))=FALSE,ISERROR(FIND(""Fillers"",A191))=FALSE,ISERROR(FIND(""Pelmet"",A191))=FALSE,ISERROR(FIN"&amp;"D(""Fireplace up to 1600"",A191))=FALSE),RIGHT(A191,LEN(A191)-LEN(regexextract(A191,"".* ""))),IF(ISERROR(FIND(""table"",A191))=FALSE,""560"",IF(ISERROR(FIND(""Office pod"",A191))=FALSE,""1600"",IF(ISERROR(FIND(""Fireplace over 1600"",A191))=FALSE,""2400"&amp;""",IF(ISERROR(FIND(""Worktop"",A191))=FALSE,""650"",""Whoops""))))))))"),"")</f>
        <v/>
      </c>
      <c r="D191" s="161" t="str">
        <f t="shared" si="2"/>
        <v/>
      </c>
      <c r="E191" s="152" t="str">
        <f>IF(OR(A191="",AND(ISERROR(FIND("drawer",A191))=FALSE,WardrobeDrawerType="")),"",IF(ISERROR(FIND("door",A191))=FALSE,IF(WardrobeDoorStyle="Flat",((B191/1000)*(C191/1000))*VLOOKUP(WardrobeDoorMaterial,SheetsData,8,0),IF(LEFT(WardrobeDoorStyle,5)="Panel",(((((B191/1000)*2)*0.08)+((((C191/1000)-0.16)*2)*0.08))*VLOOKUP("H/F (22mm)",SheetsData,8,0))+(((B191/1000)-0.14)*((C191/1000)-0.14)*VLOOKUP("H/F (9mm)",SheetsData,8,0)),IF(WardrobeDoorStyle="In-frame flat",((((((B191/1000)*0.019)*0.038)+((((C191-38)/1000)*0.038)*0.038))*2)*VLOOKUP("Tulip (solid m3)",SolidData,4,0))+(((B191-76)/1000)*((C191-38)/1000))*VLOOKUP("H/F (22mm)",SheetsData,8,0),IF(LEFT(WardrobeDoorStyle,14)="In-frame panel",(((((((B191/1000)*0.019)*0.038)+((((C191-38)/1000)*0.038)*0.038))*2)*VLOOKUP("Tulip (solid m3)",SolidData,4,0))+(((((((B191-76)/1000)*2)*0.08)+(((((C191-198)/1000)*2)*0.08)))*VLOOKUP("H/F (22mm)",SheetsData,8,0))+(((B191-216)/1000)*((C191-178)/1000)*VLOOKUP("H/F (9mm)",SheetsData,8,0)))))))),IF(AND(ISERROR(FIND("arcass",A191))=FALSE,ISERROR(FIND("ost corner",A191))=TRUE),IF(AND(VALUE(B191)&lt;1211,VALUE(C191)&lt;1211,VALUE(D191)&lt;606),1*VLOOKUP(WardrobeCarcassMaterial,SheetsData,5,FALSE),IF(AND(VALUE(B191)&lt;2421,VALUE(C191)&lt;2421,VALUE(D191)&lt;606),2*VLOOKUP(WardrobeCarcassMaterial,SheetsData,5,FALSE),IF(AND(VALUE(B191)&lt;2421,VALUE(C191)&lt;1211,VALUE(D191)&lt;1211),3*VLOOKUP(WardrobeCarcassMaterial,SheetsData,5,FALSE),IF(AND(VALUE(B191)&lt;2421,VALUE(C191)&lt;2421,VALUE(D191)&lt;1211),4*VLOOKUP(WardrobeCarcassMaterial,SheetsData,5,FALSE))))),IF(AND(ISERROR(FIND("arcass",A191))=FALSE,ISERROR(FIND("ost corner",A191))=FALSE),IF(AND(VALUE(B191)&lt;1211,VALUE(C191)&lt;1211,VALUE(D191)&lt;606),(1*VLOOKUP(WardrobeCarcassMaterial,SheetsData,5,FALSE))+(VLOOKUP("H/F (22mm)",SheetsData,7,FALSE)*1.44),IF(AND(VALUE(B191)&lt;2421,VALUE(C191)&lt;2421,VALUE(D191)&lt;606),(2*VLOOKUP(WardrobeCarcassMaterial,SheetsData,5,FALSE))+(VLOOKUP("H/F (22mm)",SheetsData,7,FALSE)*1.44),IF(AND(VALUE(B191)&lt;2421,VALUE(C191)&lt;1211,VALUE(D191)&lt;1211),(3*VLOOKUP(WardrobeCarcassMaterial,SheetsData,5,FALSE))+(VLOOKUP("H/F (22mm)",SheetsData,7,FALSE)*1.44),IF(AND(VALUE(B191)&lt;2421,VALUE(C191)&lt;2421,VALUE(D191)&lt;1211),(4*VLOOKUP(WardrobeCarcassMaterial,SheetsData,5,FALSE))+(VLOOKUP("H/F (22mm)",SheetsData,7,FALSE)*1.44))))),IF(ISERROR(FIND("drawer front",A191))=FALSE,((B191/1000)*(C191/1000))*VLOOKUP(WardrobeDoorMaterial,SheetsData,8,0),IF(AND(WardrobeDrawerType="Match carcass",ISERROR(FIND("drawer box",A191))=FALSE),(((((B191/1000)*(C191/1000))+((B191/1000)*(D191/1000)))*2)*VLOOKUP(WardrobeCarcassMaterial,SheetsData,8,0))+(((C191/1000)*(D191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box",A191))=FALSE),(((((B191/1000)*(C191/1000))+((B191/1000)*(D191/1000)))*2)*(16/1000)*VLOOKUP(LEFT(WardrobeCarcassMaterial,FIND(" ",WardrobeCarcassMaterial))&amp;"(solid m3)",SolidData,4,0))+(((C191/1000)*(D191/1000))*VLOOKUP(LEFT(WardrobeCarcassMaterial,FIND("(",WardrobeCarcassMaterial)-1)&amp;IF(OR(ISERROR(FIND("ply",WardrobeCarcassMaterial))=FALSE,ISERROR(FIND("H/F",WardrobeCarcassMaterial))=FALSE),"(9mm)","(10mm)"),SheetsData,8,0)),IF(ISERROR(FIND("shelf",A191))=FALSE,((C191/1000)*(D191/1000))*VLOOKUP(WardrobeCarcassMaterial,SheetsData,7,FALSE),IF(ISERROR(FIND("Office pod",A191))=FALSE,3*VLOOKUP(WardrobeCarcassMaterial,SheetsData,5,0),IF(ISERROR(FIND(" panel",A191))=FALSE,((B191/1000)*(C191/1000))*VLOOKUP(WardrobeDoorMaterial,SheetsData,8,0),IF(ISERROR(FIND("Fillers",A191))=FALSE,(((0.06*(C191/1000))*2)*VLOOKUP("H/F (18mm)",SheetsData,8,0))+(((0.06*(C191/1000))*2)*VLOOKUP("H/F (9mm)",SheetsData,8,0)),IF(ISERROR(FIND("Cornice (stacked)",A191))=FALSE,((0.08*(C191/1000))*2)*VLOOKUP("H/F (22mm)",SheetsData,8,0),IF(OR(ISERROR(FIND("Plinth",A191))=FALSE,ISERROR(FIND("Cornice (flat)",A191))=FALSE),((B191/1000)*(C191/1000))*VLOOKUP("H/F (18mm)",SheetsData,8,0),IF(ISERROR(FIND("Pelmet",A191))=FALSE,((((B191/1000)*(C191/1000))*2)*VLOOKUP("H/F (18mm)",SheetsData,8,0)),IF(ISERROR(FIND("Fireplace",A191))=FALSE,IF(ISERROR(FIND("over 1600",A191))=FALSE,2*VLOOKUP(WardrobeCarcassMaterial,SheetsData,5,FALSE),VLOOKUP(WardrobeCarcassMaterial,SheetsData,5,FALSE)),IF(ISERROR(FIND("table",A191))=FALSE,((B191/1000)*0.6)*VLOOKUP("Birch ply (24mm)",SheetsData,7,FALSE),IF(ISERROR(FIND("Worktop",A191))=FALSE,((B191/1000)*(C191/1000))*VLOOKUP(WardrobeDoorMaterial,SheetsData,7,FALSE),"Check formula")))))))))))))))))</f>
        <v/>
      </c>
      <c r="F191" s="152" t="str">
        <f>IFERROR(__xludf.DUMMYFUNCTION("IF(OR(A191="""",AND(ISERROR(FIND(""drawer box"",A191))=FALSE,WardrobeDrawerType=""Solid dovetail"")),"""",IF(ISERROR(FIND(""bins"",A191))=FALSE,VLOOKUP(""Base carcass 600"",Wardrobes_etcData,6,0),IF(OR(ISERROR(FIND(""larder"",A191))=FALSE,ISERROR(FIND(""u"&amp;"nit"",A191))=FALSE),VLOOKUP(LEFT(A191,FIND("" "",A191))&amp;""carcass ""&amp;RIGHT(A191,LEN(A191)-len(regexextract(A191,"".* ""))),Wardrobes_etcData,6,0),IF(ISERROR(FIND(""drawer front"",A191))=FALSE,IF(ISERROR(FIND(""veneer"",WardrobeCarcassMaterial))=TRUE,0,((("&amp;"B191+C191)/1000)*2)*VLOOKUP(""Edge banding (per M)"",SheetsData,5,0)),IF(ISERROR(FIND(""drawer box"",A191))=FALSE,IF(ISERROR(FIND(""veneer"",WardrobeCarcassMaterial))=TRUE,0,(((C191+D191)/1000)*2)*VLOOKUP(""Edge banding (per M)"",SheetsData,5,0)),IF(ISERR"&amp;"OR(FIND(""shelf"",A191))=FALSE,IF(ISERROR(FIND(""veneer"",WardrobeCarcassMaterial))=TRUE,0,(C191/1000)*VLOOKUP(""Edge banding (per M)"",SheetsData,5,0)),IF(AND(OR(ISERROR(FIND(""arcass"",A191))=FALSE,ISERROR(FIND(""Fireplace"",A191))=FALSE),ISERROR(FIND("&amp;"""shelf"",A191))=TRUE),IF(ISERROR(FIND(""veneer"",WardrobeCarcassMaterial))=TRUE,0,((2*(B191+C191))/1000)*VLOOKUP(""Edge banding (per M)"",SheetsData,5,0)),IF(ISERROR(FIND(""door"",A191))=TRUE,"""",IF(ISERROR(FIND(""veneer"",WardrobeDoorMaterial))=TRUE,"""&amp;""",((2*(B191+C191))/1000)*VLOOKUP(""Edge banding (per M)"",SheetsData,5,0))))))))))"),"")</f>
        <v/>
      </c>
      <c r="G191" s="153" t="str">
        <f>IF(A191="","",IF(AND(ISERROR(FIND("arcass",A191))=TRUE,ISERROR(FIND("Fireplace",A191))=TRUE),"",IF(VALUE(C191)&lt;606,4*VLOOKUP("Plinth foot (2 Parts 80mm)",FurnitureData,5,FALSE),IF(VALUE(C191)&lt;1211,6*VLOOKUP("Plinth foot (2 Parts 80mm)",FurnitureData,5,FALSE),8*VLOOKUP("Plinth foot (2 Parts 80mm)",FurnitureData,5,FALSE)))))</f>
        <v/>
      </c>
      <c r="H191" s="115" t="str">
        <f>IF(OR(A191="",ISERROR(FIND("door",A191))=TRUE),"",VLOOKUP("Hinges &amp; plates (Hettich thick door)",FurnitureData,5,0)*5)</f>
        <v/>
      </c>
      <c r="I191" s="115" t="str">
        <f>IF(ISERROR(FIND("shelf",A191))=FALSE,(VLOOKUP("Shelf pegs",FurnitureData,5,0)/100)*4,"")</f>
        <v/>
      </c>
      <c r="J191" s="152" t="str">
        <f>IF(OR(ISERROR(FIND("fridge/freezer",A191))=FALSE,ISERROR(FIND("sink",A191))=FALSE,ISERROR(FIND("larder",A191))=FALSE),VLOOKUP("Deep shelf "&amp;C191,Wardrobes_etcData,18,0),IF(OR(ISERROR(FIND("single oven",A191))=FALSE,ISERROR(FIND("Base carcass",A191))=FALSE),2*VLOOKUP("Deep shelf "&amp;C191,Wardrobes_etcData,18,0),IF(AND(ISERROR(FIND("wall carcass",A191))=FALSE,ISERROR(FIND("Boiler",A191))=TRUE),2*VLOOKUP("Shallow shelf "&amp;C191,Wardrobes_etcData,18,0),IF(ISERROR(FIND("double oven",A191))=FALSE,3*VLOOKUP("Deep shelf "&amp;C191,Wardrobes_etcData,18,0),IF(ISERROR(FIND("Tower carcass",A191))=FALSE,6*VLOOKUP("Deep shelf "&amp;C191,Wardrobes_etcData,18,0),"")))))</f>
        <v/>
      </c>
      <c r="K191" s="152" t="str">
        <f>IF(ISERROR(FIND("sink",A191))=FALSE,VLOOKUP("Sink liner - Aluminium "&amp;RIGHT(A191,LEN(A191)-22)&amp;"mm",ExceptionalData,5,0),IF(ISERROR(FIND("bins",A191))=FALSE,VLOOKUP("Drawer runners and clip set for bin unit (500) Dynapro",FurnitureData,5,0)+(2*VLOOKUP("Bin (42L Anthracite)",FurnitureData,5,0)),IF(ISERROR(FIND("larder",A191))=FALSE,VLOOKUP("Pull out larder unit 600mm",FurnitureData,5,0),IF(AND(ISERROR(FIND("drawer box",A191))=FALSE,ISERROR(FIND("internal",A191))=TRUE),VLOOKUP("Drawer runners and clip set (550) Dynapro",FurnitureData,5,0),IF(ISERROR(FIND("internal drawer box",A191))=FALSE,VLOOKUP("Drawer runners and clip set (450) Dynapro",FurnitureData,5,0),IF(ISERROR(FIND("table",A191))=FALSE,VLOOKUP("Hairpin Leg (12mm Black "&amp;MID(A191,FIND("(",A191)+1,LEN(A191)-(FIND("(",A191))-1)&amp;"mm)",ExceptionalData,4,FALSE),""))))))</f>
        <v/>
      </c>
      <c r="L191" s="152" t="str">
        <f t="shared" si="3"/>
        <v/>
      </c>
      <c r="M191" s="154" t="str">
        <f>IF(A191="","",IF(AND(ISERROR(FIND("drawer front",A191))=FALSE,WardrobeDoorStyle="Flat"),(((B191/1000)*(C191/1000))*2)+((((B191+C191)/1000)*2)*0.022),IF(AND(ISERROR(FIND("drawer front",A191))=FALSE,LEFT(WardrobeDoorStyle,5)="Panel"),(((B191/1000)*(C191/1000))*2)+((((B191+C191)/1000)*2)*0.022)+((((C191/1000)-0.16)*0.013)*2)+((((D191/1000)-0.16)*0.013)*2),IF(AND(ISERROR(FIND("drawer front",A191))=FALSE,WardrobeDoorStyle="In-frame flat"),((((B191-76)/1000)*((C191-38)/1000))*2)+(MID(WardrobeDoorMaterial,FIND("(",WardrobeDoorMaterial)+1,2)/1000)*((((B191-76)+(C191-38))/1000)*2)+(((B191/1000)*0.032)*2)+((((B191-76)/1000)*0.032)*2)+(((B191/1000)*0.019)*4)+(((C191/1000)*0.032)*2)+((((C191-38)/1000)*0.032)*2)+(((C191/1000)*0.038)*4),IF(AND(ISERROR(FIND("drawer front",A191))=FALSE,LEFT(WardrobeDoorStyle,14)="In-frame panel"),((((B191-76)/1000)*((C191-38)/1000))*2)+((MID(WardrobeDoorMaterial,FIND("(",WardrobeDoorMaterial)+1,2)/1000)*((((B191-76)+(C191-38))/1000)*2))+((((B191-236)/1000)+((C191-198)/1000)*2)*0.013)+(((B191/1000)*0.032)*2)+((((B191-76)/1000)*0.032)*2)+(((B191/1000)*0.019)*4)+(((C191/1000)*0.032)*2)+((((C191-38)/1000)*0.032)*2)+(((C191/1000)*0.038)*4),IF(ISERROR(FIND("drawer box",A191))=FALSE,((((B191/1000)*(D191/1000))+((B191/1000)*(C191/1000)))*4)+((((D191/1000)+(C191/1000))*0.016)*4)+(((C191/1000)*(D191/1000))*2),IF(OR(ISERROR(FIND("shelf",A191))=FALSE,ISERROR(FIND("Filler panel",A191))=FALSE),(((C191/1000)*(D191/1000))*2)+((((C191+D191)*2)/1000)*0.022),IF(ISERROR(FIND("Fireplace",A191))=FALSE,((B191/1000)*(C191/1000)),IF(ISERROR(FIND("Worktop",A191))=FALSE,(B191/1000)*(C191/1000),IF(ISERROR(FIND("table",A191))=FALSE,(B191/1000)*0.6,IF(ISERROR(FIND("arcass",A191))=FALSE,(((C191/1000)*(D191/1000))*2)+(((B191/1000)*(D191/1000))*2)+((B191/1000)*(C191/1000))+((((B191/1000)*0.025)+((C191/1000)*0.025))*2),IF(AND(ISERROR(FIND("door",A191))=FALSE,WardrobeDoorStyle="Flat"),(((B191/1000)*(C191/1000))*2)+(MID(WardrobeDoorMaterial,FIND("(",WardrobeDoorMaterial)+1,2)/1000)*(((B191+C191)/1000)*2),IF(AND(ISERROR(FIND("door",A191))=FALSE,LEFT(WardrobeDoorStyle,5)="Panel"),(((B191/1000)*(C191/1000))*2)+((MID(WardrobeDoorMaterial,FIND("(",WardrobeDoorMaterial)+1,2)/1000)*(((B191+C191)/1000)*2))+(((((B191-160)+(C191-160))*2)/1000)*(0.013)),IF(AND(ISERROR(FIND("door",A191))=FALSE,WardrobeDoorStyle="In-frame flat"),((((B191-76)/1000)*((C191-38)/1000))*2)+(MID(WardrobeDoorMaterial,FIND("(",WardrobeDoorMaterial)+1,2)/1000)*((((B191-76)+(C191-38))/1000)*2)+(((B191/1000)*0.032)*2)+((((B191-76)/1000)*0.032)*2)+(((B191/1000)*0.019)*4)+(((C191/1000)*0.032)*2)+((((C191-38)/1000)*0.032)*2)+(((C191/1000)*0.038)*4),IF(AND(ISERROR(FIND("door",A191))=FALSE,LEFT(WardrobeDoorStyle,14)="In-frame panel"),((((B191-76)/1000)*((C191-38)/1000))*2)+((MID(WardrobeDoorMaterial,FIND("(",WardrobeDoorMaterial)+1,2)/1000)*((((B191-76)+(C191-38))/1000)*2))+((((B191-236)/1000)+((C191-198)/1000)*2)*0.013)+(((B191/1000)*0.032)*2)+((((B191-76)/1000)*0.032)*2)+(((B191/1000)*0.019)*4)+(((C191/1000)*0.032)*2)+((((C191-38)/1000)*0.032)*2)+(((C191/1000)*0.038)*4),IF(ISERROR(FIND("Plinth",A191))=FALSE,((B191/1000)*(C191/1000))+(((C191/1000)*0.018)*2)+(((B191/1000)*0.018)*2),IF(ISERROR(FIND("Cornice",A191))=FALSE,(((C191/1000)*0.1)*2)+(((C191/1000)*0.044)*2)+(((B191/1000)*0.08)*2),IF(ISERROR(FIND("Office pod",A191))=FALSE,((2400/1000)*(1200/1000))*6,IF(ISERROR(FIND("panel",A191))=FALSE,((B191/1000)*(C191/1000))+(0.022*((B191/1000)+((C191/1000)*2)))+((B191/1000)*0.05),IF(ISERROR(FIND("Fillers",A191))=FALSE,((C191/1000)*0.06)+((C191/1000)*0.069)+((0.06*0.018)*2)+((0.06*0.009)*2)+((C191/1000)*0.009)+((C191/1000)*0.018),IF(ISERROR(FIND("Pelmet",A191))=FALSE,((C191/1000)*0.05)+((C191/1000)*0.068)+((0.05*0.018)*4)+(((C191/1000)*0.018))*2)))))))))))))))))))))</f>
        <v/>
      </c>
      <c r="N191" s="152" t="str">
        <f>IF(M191="","",IF(AND(ISERROR(FIND("carcass",A191))=TRUE,ISERROR(FIND("unit",A191))=TRUE,ISERROR(FIND("insert",A191))=TRUE,ISERROR(FIND("rack",A191))=TRUE,ISERROR(FIND("box",A191))=TRUE,ISERROR(FIND("shelf",A191))=TRUE),VLOOKUP(WardrobeDoorFinish,Finishing!$A$2:$K$10,9,0)*M191,IF(ISERROR(FIND("table",A191))=FALSE,VLOOKUP("Sayerlack AF0072 Interior Clear Self-Sealer",FinishingData,9,FALSE)*M191,VLOOKUP(WardrobeCarcassFinish,Finishing!$A$2:$K$40,9,0)*M191)))</f>
        <v/>
      </c>
      <c r="O191" s="155"/>
      <c r="P191" s="155"/>
      <c r="Q191" s="152" t="str">
        <f>IF(OR(O191="",P191=""),"",((O191*X191)*(VLOOKUP("Workshop",Labour!$A$3:$E$20,4,0)/8))+((P191*AE191)*(VLOOKUP("Finishing",Labour!$A$3:$E$20,4,0)/8)))</f>
        <v/>
      </c>
      <c r="R191" s="152" t="str">
        <f t="shared" si="4"/>
        <v/>
      </c>
      <c r="S191" s="156" t="str">
        <f>IF(OR(O191="",P191=""),"",IF(OR(ISERROR(FIND("carcass",$A191))=FALSE,ISERROR(FIND("unit",$A191))=FALSE),VLOOKUP(WardrobeCarcassMaterial,FixedListsCarcassMaterial,2,0),0))</f>
        <v/>
      </c>
      <c r="T191" s="156" t="str">
        <f>IF(OR(O191="",P191=""),"",IF(ISERROR(FIND("door",$A191))=FALSE,VLOOKUP(WardrobeDoorStyle,FixedListsDoorStyle,2,0),0))</f>
        <v/>
      </c>
      <c r="U191" s="156" t="str">
        <f>IF(OR(O191="",P191=""),"",IF(ISERROR(FIND("door",$A191))=FALSE,VLOOKUP(WardrobeDoorMaterial,FixedListsDoorMaterial,2,0),0))</f>
        <v/>
      </c>
      <c r="V191" s="156" t="str">
        <f>IF(OR(O191="",P191=""),"",IF(ISERROR(FIND("drawer",$A191))=FALSE,VLOOKUP(WardrobeDrawerType,FixedListsDrawerType,2,0),0))</f>
        <v/>
      </c>
      <c r="W191" s="156" t="str">
        <f>IF(OR(O191="",P191=""),"",IF(S191&gt;0,VLOOKUP(WardrobeHandleType,FixedListsHandleType,2,FALSE),0))</f>
        <v/>
      </c>
      <c r="X191" s="156" t="str">
        <f t="shared" si="5"/>
        <v/>
      </c>
      <c r="Y191" s="156" t="str">
        <f>IF(OR(O191="",P191=""),"",IF(OR(ISERROR(FIND("carcass",$A191))=FALSE,ISERROR(FIND("unit",$A191))=FALSE),VLOOKUP(WardrobeCarcassMaterial,FixedListsCarcassMaterial,3,0),0))</f>
        <v/>
      </c>
      <c r="Z191" s="156" t="str">
        <f>IF(OR(O191="",P191=""),"",IF(ISERROR(FIND("door",$A191))=FALSE,VLOOKUP(WardrobeDoorStyle,FixedListsDoorStyle,3,0),0))</f>
        <v/>
      </c>
      <c r="AA191" s="156" t="str">
        <f>IF(OR(O191="",P191=""),"",IF(ISERROR(FIND("door",$A191))=FALSE,VLOOKUP(WardrobeDoorMaterial,FixedListsDoorMaterial,3,0),0))</f>
        <v/>
      </c>
      <c r="AB191" s="156" t="str">
        <f>IF(OR(O191="",P191=""),"",IF(ISERROR(FIND("drawer",$A191))=FALSE,VLOOKUP(WardrobeDrawerType,FixedListsDrawerType,3,0),0))</f>
        <v/>
      </c>
      <c r="AC191" s="156" t="str">
        <f>IF(OR(O191="",P191=""),"",IF(S191&gt;0,VLOOKUP(WardrobeHandleType,FixedListsHandleType,3,FALSE),0))</f>
        <v/>
      </c>
      <c r="AD191" s="156" t="str">
        <f>IF(OR(O191="",P191=""),"",IF(OR(ISERROR(FIND("carcass",$A191))=FALSE,ISERROR(FIND("unit",$A191))=FALSE),VLOOKUP(WardrobeCarcassFinish,FixedListsFinishes,3,0),IF(OR(ISERROR(FIND("door",$A191))=FALSE,ISERROR(FIND("Plinth",$A191))=FALSE,ISERROR(FIND("Cornice",$A191))=FALSE,ISERROR(FIND("Fillers",$A191))=FALSE,ISERROR(FIND("Pelmet",$A191))=FALSE,ISERROR(FIND("panel",$A191))=FALSE,ISERROR(FIND("post",$A191))=FALSE),VLOOKUP(WardrobeDoorFinish,FixedListsFinishes,3,0),IF(OR(ISERROR(FIND("drawer",$A191))=FALSE,ISERROR(FIND("insert",$A191))=FALSE,ISERROR(FIND("rck",$A191))=FALSE),VLOOKUP(WardrobeCarcassFinish,FixedListsFinishes,3,0),0))))</f>
        <v/>
      </c>
      <c r="AE191" s="156" t="str">
        <f t="shared" si="6"/>
        <v/>
      </c>
      <c r="AF191" s="157" t="str">
        <f>IF(AND(WardrobeHandleType="Channel",OR(ISERROR(FIND("arcass",$A191))=FALSE,ISERROR(FIND("unit",$A191))=FALSE)),IF(ISERROR(FIND("Tower",$A191))=TRUE,IF(WardrobeHandleFinish="Match carcass",IF(ISERROR(FIND("Walnut",WardrobeCarcassMaterial))=FALSE,(0.035*0.075*($C191/1000))*VLOOKUP("Walnut (solid m3)",SolidData,4,FALSE),IF(ISERROR(FIND("Oak",WardrobeCarcassMaterial))=FALSE,(0.035*0.075*($C191/1000))*VLOOKUP("Oak (solid m3)",SolidData,4,FALSE),IF(ISERROR(FIND("ply",WardrobeCarcassMaterial))=FALSE,(0.1*($C191/1000))*VLOOKUP("Birch ply (24mm)",SheetsData,7,FALSE),IF(ISERROR(FIND("H/F",WardrobeCarcassMaterial))=FALSE,(0.1*($C191/1000))*VLOOKUP("H/F (22mm)",SheetsData,7,FALSE),"Carcass - not tower - new material")))),IF(WardrobeHandleFinish="Match door",IF(ISERROR(FIND("Walnut",WardrobeDoorMaterial))=FALSE,(0.035*0.075*($C191/1000))*VLOOKUP("Walnut (solid m3)",SolidData,4,FALSE),IF(ISERROR(FIND("Oak",WardrobeDoorMaterial))=FALSE,(0.035*0.075*($C191/1000))*VLOOKUP("Oak (solid m3)",SolidData,4,FALSE),IF(ISERROR(FIND("ply",WardrobeDoorMaterial))=FALSE,(0.1*($C191/1000))*VLOOKUP("Birch ply (24mm)",SheetsData,7,FALSE),IF(ISERROR(FIND("H/F",WardrobeCarcassMaterial))=FALSE,(0.1*($C191/1000))*VLOOKUP("H/F (22mm)",SheetsData,7,FALSE),"Door - not tower - new material")))),"Channel - not tower - handle set to other")),IF(ISERROR(FIND("Tower",$A191))=FALSE,IF(WardrobeHandleFinish="Match carcass",IF(ISERROR(FIND("Walnut",WardrobeCarcassMaterial))=FALSE,(0.035*0.075*($B191/1000))*VLOOKUP("Walnut (solid m3)",SolidData,4,FALSE),IF(ISERROR(FIND("Oak",WardrobeCarcassMaterial))=FALSE,(0.035*0.075*($B191/1000))*VLOOKUP("Oak (solid m3)",SolidData,4,FALSE),IF(ISERROR(FIND("ply",WardrobeCarcassMaterial))=FALSE,(0.1*($B191/1000))*VLOOKUP("Birch ply (24mm)",SheetsData,7,FALSE),IF(ISERROR(FIND("H/F",WardrobeCarcassMaterial))=FALSE,(0.1*($C191/1000))*VLOOKUP("H/F (22mm)",SheetsData,7,FALSE),"Carcass - tower - new material")))),IF(WardrobeHandleFinish="Match door",IF(ISERROR(FIND("Walnut",WardrobeDoorMaterial))=FALSE,(0.035*0.075*($B191/1000))*VLOOKUP("Walnut (solid m3)",SolidData,4,FALSE),IF(ISERROR(FIND("Oak",WardrobeDoorMaterial))=FALSE,(0.035*0.075*($B191/1000))*VLOOKUP("Oak (solid m3)",SolidData,4,FALSE),IF(ISERROR(FIND("ply",WardrobeDoorMaterial))=FALSE,(0.1*($B191/1000))*VLOOKUP("Birch ply (24mm)",SheetData,7,FALSE),IF(ISERROR(FIND("H/F",WardrobeCarcassMaterial))=FALSE,(0.1*($C191/1000))*VLOOKUP("H/F (22mm)",SheetsData,7,FALSE),"Door - tower - new material")))),"Channel - tower - handle set to other")))),"")</f>
        <v/>
      </c>
    </row>
    <row r="192">
      <c r="A192" s="150"/>
      <c r="B192" s="160" t="str">
        <f t="shared" si="1"/>
        <v/>
      </c>
      <c r="C192" s="160" t="str">
        <f>IFERROR(__xludf.DUMMYFUNCTION("IF(A192="""","""",IF(ISERROR(FIND(""arcass"",A192))=FALSE,MID(A192,FIND(""*"",A192)+1,FIND(""*"",A192,FIND(""*"",A192)+1)-FIND(""*"",A192)-1),IF(ISERROR(FIND(""End panel"",A192))=FALSE,RIGHT(A192,3),IF(OR(ISERROR(FIND(""drawer"",A192))=FALSE,ISERROR(FIND("&amp;"""door"",A192))=FALSE,ISERROR(FIND(""shelf"",A192))=FALSE,ISERROR(FIND(""panel"",A192))=FALSE,ISERROR(FIND(""Plinth"",A192))=FALSE,ISERROR(FIND(""Cornice"",A192))=FALSE,ISERROR(FIND(""Fillers"",A192))=FALSE,ISERROR(FIND(""Pelmet"",A192))=FALSE,ISERROR(FIN"&amp;"D(""Fireplace up to 1600"",A192))=FALSE),RIGHT(A192,LEN(A192)-LEN(regexextract(A192,"".* ""))),IF(ISERROR(FIND(""table"",A192))=FALSE,""560"",IF(ISERROR(FIND(""Office pod"",A192))=FALSE,""1600"",IF(ISERROR(FIND(""Fireplace over 1600"",A192))=FALSE,""2400"&amp;""",IF(ISERROR(FIND(""Worktop"",A192))=FALSE,""650"",""Whoops""))))))))"),"")</f>
        <v/>
      </c>
      <c r="D192" s="161" t="str">
        <f t="shared" si="2"/>
        <v/>
      </c>
      <c r="E192" s="152" t="str">
        <f>IF(OR(A192="",AND(ISERROR(FIND("drawer",A192))=FALSE,WardrobeDrawerType="")),"",IF(ISERROR(FIND("door",A192))=FALSE,IF(WardrobeDoorStyle="Flat",((B192/1000)*(C192/1000))*VLOOKUP(WardrobeDoorMaterial,SheetsData,8,0),IF(LEFT(WardrobeDoorStyle,5)="Panel",(((((B192/1000)*2)*0.08)+((((C192/1000)-0.16)*2)*0.08))*VLOOKUP("H/F (22mm)",SheetsData,8,0))+(((B192/1000)-0.14)*((C192/1000)-0.14)*VLOOKUP("H/F (9mm)",SheetsData,8,0)),IF(WardrobeDoorStyle="In-frame flat",((((((B192/1000)*0.019)*0.038)+((((C192-38)/1000)*0.038)*0.038))*2)*VLOOKUP("Tulip (solid m3)",SolidData,4,0))+(((B192-76)/1000)*((C192-38)/1000))*VLOOKUP("H/F (22mm)",SheetsData,8,0),IF(LEFT(WardrobeDoorStyle,14)="In-frame panel",(((((((B192/1000)*0.019)*0.038)+((((C192-38)/1000)*0.038)*0.038))*2)*VLOOKUP("Tulip (solid m3)",SolidData,4,0))+(((((((B192-76)/1000)*2)*0.08)+(((((C192-198)/1000)*2)*0.08)))*VLOOKUP("H/F (22mm)",SheetsData,8,0))+(((B192-216)/1000)*((C192-178)/1000)*VLOOKUP("H/F (9mm)",SheetsData,8,0)))))))),IF(AND(ISERROR(FIND("arcass",A192))=FALSE,ISERROR(FIND("ost corner",A192))=TRUE),IF(AND(VALUE(B192)&lt;1211,VALUE(C192)&lt;1211,VALUE(D192)&lt;606),1*VLOOKUP(WardrobeCarcassMaterial,SheetsData,5,FALSE),IF(AND(VALUE(B192)&lt;2421,VALUE(C192)&lt;2421,VALUE(D192)&lt;606),2*VLOOKUP(WardrobeCarcassMaterial,SheetsData,5,FALSE),IF(AND(VALUE(B192)&lt;2421,VALUE(C192)&lt;1211,VALUE(D192)&lt;1211),3*VLOOKUP(WardrobeCarcassMaterial,SheetsData,5,FALSE),IF(AND(VALUE(B192)&lt;2421,VALUE(C192)&lt;2421,VALUE(D192)&lt;1211),4*VLOOKUP(WardrobeCarcassMaterial,SheetsData,5,FALSE))))),IF(AND(ISERROR(FIND("arcass",A192))=FALSE,ISERROR(FIND("ost corner",A192))=FALSE),IF(AND(VALUE(B192)&lt;1211,VALUE(C192)&lt;1211,VALUE(D192)&lt;606),(1*VLOOKUP(WardrobeCarcassMaterial,SheetsData,5,FALSE))+(VLOOKUP("H/F (22mm)",SheetsData,7,FALSE)*1.44),IF(AND(VALUE(B192)&lt;2421,VALUE(C192)&lt;2421,VALUE(D192)&lt;606),(2*VLOOKUP(WardrobeCarcassMaterial,SheetsData,5,FALSE))+(VLOOKUP("H/F (22mm)",SheetsData,7,FALSE)*1.44),IF(AND(VALUE(B192)&lt;2421,VALUE(C192)&lt;1211,VALUE(D192)&lt;1211),(3*VLOOKUP(WardrobeCarcassMaterial,SheetsData,5,FALSE))+(VLOOKUP("H/F (22mm)",SheetsData,7,FALSE)*1.44),IF(AND(VALUE(B192)&lt;2421,VALUE(C192)&lt;2421,VALUE(D192)&lt;1211),(4*VLOOKUP(WardrobeCarcassMaterial,SheetsData,5,FALSE))+(VLOOKUP("H/F (22mm)",SheetsData,7,FALSE)*1.44))))),IF(ISERROR(FIND("drawer front",A192))=FALSE,((B192/1000)*(C192/1000))*VLOOKUP(WardrobeDoorMaterial,SheetsData,8,0),IF(AND(WardrobeDrawerType="Match carcass",ISERROR(FIND("drawer box",A192))=FALSE),(((((B192/1000)*(C192/1000))+((B192/1000)*(D192/1000)))*2)*VLOOKUP(WardrobeCarcassMaterial,SheetsData,8,0))+(((C192/1000)*(D192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box",A192))=FALSE),(((((B192/1000)*(C192/1000))+((B192/1000)*(D192/1000)))*2)*(16/1000)*VLOOKUP(LEFT(WardrobeCarcassMaterial,FIND(" ",WardrobeCarcassMaterial))&amp;"(solid m3)",SolidData,4,0))+(((C192/1000)*(D192/1000))*VLOOKUP(LEFT(WardrobeCarcassMaterial,FIND("(",WardrobeCarcassMaterial)-1)&amp;IF(OR(ISERROR(FIND("ply",WardrobeCarcassMaterial))=FALSE,ISERROR(FIND("H/F",WardrobeCarcassMaterial))=FALSE),"(9mm)","(10mm)"),SheetsData,8,0)),IF(ISERROR(FIND("shelf",A192))=FALSE,((C192/1000)*(D192/1000))*VLOOKUP(WardrobeCarcassMaterial,SheetsData,7,FALSE),IF(ISERROR(FIND("Office pod",A192))=FALSE,3*VLOOKUP(WardrobeCarcassMaterial,SheetsData,5,0),IF(ISERROR(FIND(" panel",A192))=FALSE,((B192/1000)*(C192/1000))*VLOOKUP(WardrobeDoorMaterial,SheetsData,8,0),IF(ISERROR(FIND("Fillers",A192))=FALSE,(((0.06*(C192/1000))*2)*VLOOKUP("H/F (18mm)",SheetsData,8,0))+(((0.06*(C192/1000))*2)*VLOOKUP("H/F (9mm)",SheetsData,8,0)),IF(ISERROR(FIND("Cornice (stacked)",A192))=FALSE,((0.08*(C192/1000))*2)*VLOOKUP("H/F (22mm)",SheetsData,8,0),IF(OR(ISERROR(FIND("Plinth",A192))=FALSE,ISERROR(FIND("Cornice (flat)",A192))=FALSE),((B192/1000)*(C192/1000))*VLOOKUP("H/F (18mm)",SheetsData,8,0),IF(ISERROR(FIND("Pelmet",A192))=FALSE,((((B192/1000)*(C192/1000))*2)*VLOOKUP("H/F (18mm)",SheetsData,8,0)),IF(ISERROR(FIND("Fireplace",A192))=FALSE,IF(ISERROR(FIND("over 1600",A192))=FALSE,2*VLOOKUP(WardrobeCarcassMaterial,SheetsData,5,FALSE),VLOOKUP(WardrobeCarcassMaterial,SheetsData,5,FALSE)),IF(ISERROR(FIND("table",A192))=FALSE,((B192/1000)*0.6)*VLOOKUP("Birch ply (24mm)",SheetsData,7,FALSE),IF(ISERROR(FIND("Worktop",A192))=FALSE,((B192/1000)*(C192/1000))*VLOOKUP(WardrobeDoorMaterial,SheetsData,7,FALSE),"Check formula")))))))))))))))))</f>
        <v/>
      </c>
      <c r="F192" s="152" t="str">
        <f>IFERROR(__xludf.DUMMYFUNCTION("IF(OR(A192="""",AND(ISERROR(FIND(""drawer box"",A192))=FALSE,WardrobeDrawerType=""Solid dovetail"")),"""",IF(ISERROR(FIND(""bins"",A192))=FALSE,VLOOKUP(""Base carcass 600"",Wardrobes_etcData,6,0),IF(OR(ISERROR(FIND(""larder"",A192))=FALSE,ISERROR(FIND(""u"&amp;"nit"",A192))=FALSE),VLOOKUP(LEFT(A192,FIND("" "",A192))&amp;""carcass ""&amp;RIGHT(A192,LEN(A192)-len(regexextract(A192,"".* ""))),Wardrobes_etcData,6,0),IF(ISERROR(FIND(""drawer front"",A192))=FALSE,IF(ISERROR(FIND(""veneer"",WardrobeCarcassMaterial))=TRUE,0,((("&amp;"B192+C192)/1000)*2)*VLOOKUP(""Edge banding (per M)"",SheetsData,5,0)),IF(ISERROR(FIND(""drawer box"",A192))=FALSE,IF(ISERROR(FIND(""veneer"",WardrobeCarcassMaterial))=TRUE,0,(((C192+D192)/1000)*2)*VLOOKUP(""Edge banding (per M)"",SheetsData,5,0)),IF(ISERR"&amp;"OR(FIND(""shelf"",A192))=FALSE,IF(ISERROR(FIND(""veneer"",WardrobeCarcassMaterial))=TRUE,0,(C192/1000)*VLOOKUP(""Edge banding (per M)"",SheetsData,5,0)),IF(AND(OR(ISERROR(FIND(""arcass"",A192))=FALSE,ISERROR(FIND(""Fireplace"",A192))=FALSE),ISERROR(FIND("&amp;"""shelf"",A192))=TRUE),IF(ISERROR(FIND(""veneer"",WardrobeCarcassMaterial))=TRUE,0,((2*(B192+C192))/1000)*VLOOKUP(""Edge banding (per M)"",SheetsData,5,0)),IF(ISERROR(FIND(""door"",A192))=TRUE,"""",IF(ISERROR(FIND(""veneer"",WardrobeDoorMaterial))=TRUE,"""&amp;""",((2*(B192+C192))/1000)*VLOOKUP(""Edge banding (per M)"",SheetsData,5,0))))))))))"),"")</f>
        <v/>
      </c>
      <c r="G192" s="153" t="str">
        <f>IF(A192="","",IF(AND(ISERROR(FIND("arcass",A192))=TRUE,ISERROR(FIND("Fireplace",A192))=TRUE),"",IF(VALUE(C192)&lt;606,4*VLOOKUP("Plinth foot (2 Parts 80mm)",FurnitureData,5,FALSE),IF(VALUE(C192)&lt;1211,6*VLOOKUP("Plinth foot (2 Parts 80mm)",FurnitureData,5,FALSE),8*VLOOKUP("Plinth foot (2 Parts 80mm)",FurnitureData,5,FALSE)))))</f>
        <v/>
      </c>
      <c r="H192" s="115" t="str">
        <f>IF(OR(A192="",ISERROR(FIND("door",A192))=TRUE),"",VLOOKUP("Hinges &amp; plates (Hettich thick door)",FurnitureData,5,0)*5)</f>
        <v/>
      </c>
      <c r="I192" s="115" t="str">
        <f>IF(ISERROR(FIND("shelf",A192))=FALSE,(VLOOKUP("Shelf pegs",FurnitureData,5,0)/100)*4,"")</f>
        <v/>
      </c>
      <c r="J192" s="152" t="str">
        <f>IF(OR(ISERROR(FIND("fridge/freezer",A192))=FALSE,ISERROR(FIND("sink",A192))=FALSE,ISERROR(FIND("larder",A192))=FALSE),VLOOKUP("Deep shelf "&amp;C192,Wardrobes_etcData,18,0),IF(OR(ISERROR(FIND("single oven",A192))=FALSE,ISERROR(FIND("Base carcass",A192))=FALSE),2*VLOOKUP("Deep shelf "&amp;C192,Wardrobes_etcData,18,0),IF(AND(ISERROR(FIND("wall carcass",A192))=FALSE,ISERROR(FIND("Boiler",A192))=TRUE),2*VLOOKUP("Shallow shelf "&amp;C192,Wardrobes_etcData,18,0),IF(ISERROR(FIND("double oven",A192))=FALSE,3*VLOOKUP("Deep shelf "&amp;C192,Wardrobes_etcData,18,0),IF(ISERROR(FIND("Tower carcass",A192))=FALSE,6*VLOOKUP("Deep shelf "&amp;C192,Wardrobes_etcData,18,0),"")))))</f>
        <v/>
      </c>
      <c r="K192" s="152" t="str">
        <f>IF(ISERROR(FIND("sink",A192))=FALSE,VLOOKUP("Sink liner - Aluminium "&amp;RIGHT(A192,LEN(A192)-22)&amp;"mm",ExceptionalData,5,0),IF(ISERROR(FIND("bins",A192))=FALSE,VLOOKUP("Drawer runners and clip set for bin unit (500) Dynapro",FurnitureData,5,0)+(2*VLOOKUP("Bin (42L Anthracite)",FurnitureData,5,0)),IF(ISERROR(FIND("larder",A192))=FALSE,VLOOKUP("Pull out larder unit 600mm",FurnitureData,5,0),IF(AND(ISERROR(FIND("drawer box",A192))=FALSE,ISERROR(FIND("internal",A192))=TRUE),VLOOKUP("Drawer runners and clip set (550) Dynapro",FurnitureData,5,0),IF(ISERROR(FIND("internal drawer box",A192))=FALSE,VLOOKUP("Drawer runners and clip set (450) Dynapro",FurnitureData,5,0),IF(ISERROR(FIND("table",A192))=FALSE,VLOOKUP("Hairpin Leg (12mm Black "&amp;MID(A192,FIND("(",A192)+1,LEN(A192)-(FIND("(",A192))-1)&amp;"mm)",ExceptionalData,4,FALSE),""))))))</f>
        <v/>
      </c>
      <c r="L192" s="152" t="str">
        <f t="shared" si="3"/>
        <v/>
      </c>
      <c r="M192" s="154" t="str">
        <f>IF(A192="","",IF(AND(ISERROR(FIND("drawer front",A192))=FALSE,WardrobeDoorStyle="Flat"),(((B192/1000)*(C192/1000))*2)+((((B192+C192)/1000)*2)*0.022),IF(AND(ISERROR(FIND("drawer front",A192))=FALSE,LEFT(WardrobeDoorStyle,5)="Panel"),(((B192/1000)*(C192/1000))*2)+((((B192+C192)/1000)*2)*0.022)+((((C192/1000)-0.16)*0.013)*2)+((((D192/1000)-0.16)*0.013)*2),IF(AND(ISERROR(FIND("drawer front",A192))=FALSE,WardrobeDoorStyle="In-frame flat"),((((B192-76)/1000)*((C192-38)/1000))*2)+(MID(WardrobeDoorMaterial,FIND("(",WardrobeDoorMaterial)+1,2)/1000)*((((B192-76)+(C192-38))/1000)*2)+(((B192/1000)*0.032)*2)+((((B192-76)/1000)*0.032)*2)+(((B192/1000)*0.019)*4)+(((C192/1000)*0.032)*2)+((((C192-38)/1000)*0.032)*2)+(((C192/1000)*0.038)*4),IF(AND(ISERROR(FIND("drawer front",A192))=FALSE,LEFT(WardrobeDoorStyle,14)="In-frame panel"),((((B192-76)/1000)*((C192-38)/1000))*2)+((MID(WardrobeDoorMaterial,FIND("(",WardrobeDoorMaterial)+1,2)/1000)*((((B192-76)+(C192-38))/1000)*2))+((((B192-236)/1000)+((C192-198)/1000)*2)*0.013)+(((B192/1000)*0.032)*2)+((((B192-76)/1000)*0.032)*2)+(((B192/1000)*0.019)*4)+(((C192/1000)*0.032)*2)+((((C192-38)/1000)*0.032)*2)+(((C192/1000)*0.038)*4),IF(ISERROR(FIND("drawer box",A192))=FALSE,((((B192/1000)*(D192/1000))+((B192/1000)*(C192/1000)))*4)+((((D192/1000)+(C192/1000))*0.016)*4)+(((C192/1000)*(D192/1000))*2),IF(OR(ISERROR(FIND("shelf",A192))=FALSE,ISERROR(FIND("Filler panel",A192))=FALSE),(((C192/1000)*(D192/1000))*2)+((((C192+D192)*2)/1000)*0.022),IF(ISERROR(FIND("Fireplace",A192))=FALSE,((B192/1000)*(C192/1000)),IF(ISERROR(FIND("Worktop",A192))=FALSE,(B192/1000)*(C192/1000),IF(ISERROR(FIND("table",A192))=FALSE,(B192/1000)*0.6,IF(ISERROR(FIND("arcass",A192))=FALSE,(((C192/1000)*(D192/1000))*2)+(((B192/1000)*(D192/1000))*2)+((B192/1000)*(C192/1000))+((((B192/1000)*0.025)+((C192/1000)*0.025))*2),IF(AND(ISERROR(FIND("door",A192))=FALSE,WardrobeDoorStyle="Flat"),(((B192/1000)*(C192/1000))*2)+(MID(WardrobeDoorMaterial,FIND("(",WardrobeDoorMaterial)+1,2)/1000)*(((B192+C192)/1000)*2),IF(AND(ISERROR(FIND("door",A192))=FALSE,LEFT(WardrobeDoorStyle,5)="Panel"),(((B192/1000)*(C192/1000))*2)+((MID(WardrobeDoorMaterial,FIND("(",WardrobeDoorMaterial)+1,2)/1000)*(((B192+C192)/1000)*2))+(((((B192-160)+(C192-160))*2)/1000)*(0.013)),IF(AND(ISERROR(FIND("door",A192))=FALSE,WardrobeDoorStyle="In-frame flat"),((((B192-76)/1000)*((C192-38)/1000))*2)+(MID(WardrobeDoorMaterial,FIND("(",WardrobeDoorMaterial)+1,2)/1000)*((((B192-76)+(C192-38))/1000)*2)+(((B192/1000)*0.032)*2)+((((B192-76)/1000)*0.032)*2)+(((B192/1000)*0.019)*4)+(((C192/1000)*0.032)*2)+((((C192-38)/1000)*0.032)*2)+(((C192/1000)*0.038)*4),IF(AND(ISERROR(FIND("door",A192))=FALSE,LEFT(WardrobeDoorStyle,14)="In-frame panel"),((((B192-76)/1000)*((C192-38)/1000))*2)+((MID(WardrobeDoorMaterial,FIND("(",WardrobeDoorMaterial)+1,2)/1000)*((((B192-76)+(C192-38))/1000)*2))+((((B192-236)/1000)+((C192-198)/1000)*2)*0.013)+(((B192/1000)*0.032)*2)+((((B192-76)/1000)*0.032)*2)+(((B192/1000)*0.019)*4)+(((C192/1000)*0.032)*2)+((((C192-38)/1000)*0.032)*2)+(((C192/1000)*0.038)*4),IF(ISERROR(FIND("Plinth",A192))=FALSE,((B192/1000)*(C192/1000))+(((C192/1000)*0.018)*2)+(((B192/1000)*0.018)*2),IF(ISERROR(FIND("Cornice",A192))=FALSE,(((C192/1000)*0.1)*2)+(((C192/1000)*0.044)*2)+(((B192/1000)*0.08)*2),IF(ISERROR(FIND("Office pod",A192))=FALSE,((2400/1000)*(1200/1000))*6,IF(ISERROR(FIND("panel",A192))=FALSE,((B192/1000)*(C192/1000))+(0.022*((B192/1000)+((C192/1000)*2)))+((B192/1000)*0.05),IF(ISERROR(FIND("Fillers",A192))=FALSE,((C192/1000)*0.06)+((C192/1000)*0.069)+((0.06*0.018)*2)+((0.06*0.009)*2)+((C192/1000)*0.009)+((C192/1000)*0.018),IF(ISERROR(FIND("Pelmet",A192))=FALSE,((C192/1000)*0.05)+((C192/1000)*0.068)+((0.05*0.018)*4)+(((C192/1000)*0.018))*2)))))))))))))))))))))</f>
        <v/>
      </c>
      <c r="N192" s="152" t="str">
        <f>IF(M192="","",IF(AND(ISERROR(FIND("carcass",A192))=TRUE,ISERROR(FIND("unit",A192))=TRUE,ISERROR(FIND("insert",A192))=TRUE,ISERROR(FIND("rack",A192))=TRUE,ISERROR(FIND("box",A192))=TRUE,ISERROR(FIND("shelf",A192))=TRUE),VLOOKUP(WardrobeDoorFinish,Finishing!$A$2:$K$10,9,0)*M192,IF(ISERROR(FIND("table",A192))=FALSE,VLOOKUP("Sayerlack AF0072 Interior Clear Self-Sealer",FinishingData,9,FALSE)*M192,VLOOKUP(WardrobeCarcassFinish,Finishing!$A$2:$K$40,9,0)*M192)))</f>
        <v/>
      </c>
      <c r="O192" s="155"/>
      <c r="P192" s="155"/>
      <c r="Q192" s="152" t="str">
        <f>IF(OR(O192="",P192=""),"",((O192*X192)*(VLOOKUP("Workshop",Labour!$A$3:$E$20,4,0)/8))+((P192*AE192)*(VLOOKUP("Finishing",Labour!$A$3:$E$20,4,0)/8)))</f>
        <v/>
      </c>
      <c r="R192" s="152" t="str">
        <f t="shared" si="4"/>
        <v/>
      </c>
      <c r="S192" s="156" t="str">
        <f>IF(OR(O192="",P192=""),"",IF(OR(ISERROR(FIND("carcass",$A192))=FALSE,ISERROR(FIND("unit",$A192))=FALSE),VLOOKUP(WardrobeCarcassMaterial,FixedListsCarcassMaterial,2,0),0))</f>
        <v/>
      </c>
      <c r="T192" s="156" t="str">
        <f>IF(OR(O192="",P192=""),"",IF(ISERROR(FIND("door",$A192))=FALSE,VLOOKUP(WardrobeDoorStyle,FixedListsDoorStyle,2,0),0))</f>
        <v/>
      </c>
      <c r="U192" s="156" t="str">
        <f>IF(OR(O192="",P192=""),"",IF(ISERROR(FIND("door",$A192))=FALSE,VLOOKUP(WardrobeDoorMaterial,FixedListsDoorMaterial,2,0),0))</f>
        <v/>
      </c>
      <c r="V192" s="156" t="str">
        <f>IF(OR(O192="",P192=""),"",IF(ISERROR(FIND("drawer",$A192))=FALSE,VLOOKUP(WardrobeDrawerType,FixedListsDrawerType,2,0),0))</f>
        <v/>
      </c>
      <c r="W192" s="156" t="str">
        <f>IF(OR(O192="",P192=""),"",IF(S192&gt;0,VLOOKUP(WardrobeHandleType,FixedListsHandleType,2,FALSE),0))</f>
        <v/>
      </c>
      <c r="X192" s="156" t="str">
        <f t="shared" si="5"/>
        <v/>
      </c>
      <c r="Y192" s="156" t="str">
        <f>IF(OR(O192="",P192=""),"",IF(OR(ISERROR(FIND("carcass",$A192))=FALSE,ISERROR(FIND("unit",$A192))=FALSE),VLOOKUP(WardrobeCarcassMaterial,FixedListsCarcassMaterial,3,0),0))</f>
        <v/>
      </c>
      <c r="Z192" s="156" t="str">
        <f>IF(OR(O192="",P192=""),"",IF(ISERROR(FIND("door",$A192))=FALSE,VLOOKUP(WardrobeDoorStyle,FixedListsDoorStyle,3,0),0))</f>
        <v/>
      </c>
      <c r="AA192" s="156" t="str">
        <f>IF(OR(O192="",P192=""),"",IF(ISERROR(FIND("door",$A192))=FALSE,VLOOKUP(WardrobeDoorMaterial,FixedListsDoorMaterial,3,0),0))</f>
        <v/>
      </c>
      <c r="AB192" s="156" t="str">
        <f>IF(OR(O192="",P192=""),"",IF(ISERROR(FIND("drawer",$A192))=FALSE,VLOOKUP(WardrobeDrawerType,FixedListsDrawerType,3,0),0))</f>
        <v/>
      </c>
      <c r="AC192" s="156" t="str">
        <f>IF(OR(O192="",P192=""),"",IF(S192&gt;0,VLOOKUP(WardrobeHandleType,FixedListsHandleType,3,FALSE),0))</f>
        <v/>
      </c>
      <c r="AD192" s="156" t="str">
        <f>IF(OR(O192="",P192=""),"",IF(OR(ISERROR(FIND("carcass",$A192))=FALSE,ISERROR(FIND("unit",$A192))=FALSE),VLOOKUP(WardrobeCarcassFinish,FixedListsFinishes,3,0),IF(OR(ISERROR(FIND("door",$A192))=FALSE,ISERROR(FIND("Plinth",$A192))=FALSE,ISERROR(FIND("Cornice",$A192))=FALSE,ISERROR(FIND("Fillers",$A192))=FALSE,ISERROR(FIND("Pelmet",$A192))=FALSE,ISERROR(FIND("panel",$A192))=FALSE,ISERROR(FIND("post",$A192))=FALSE),VLOOKUP(WardrobeDoorFinish,FixedListsFinishes,3,0),IF(OR(ISERROR(FIND("drawer",$A192))=FALSE,ISERROR(FIND("insert",$A192))=FALSE,ISERROR(FIND("rck",$A192))=FALSE),VLOOKUP(WardrobeCarcassFinish,FixedListsFinishes,3,0),0))))</f>
        <v/>
      </c>
      <c r="AE192" s="156" t="str">
        <f t="shared" si="6"/>
        <v/>
      </c>
      <c r="AF192" s="157" t="str">
        <f>IF(AND(WardrobeHandleType="Channel",OR(ISERROR(FIND("arcass",$A192))=FALSE,ISERROR(FIND("unit",$A192))=FALSE)),IF(ISERROR(FIND("Tower",$A192))=TRUE,IF(WardrobeHandleFinish="Match carcass",IF(ISERROR(FIND("Walnut",WardrobeCarcassMaterial))=FALSE,(0.035*0.075*($C192/1000))*VLOOKUP("Walnut (solid m3)",SolidData,4,FALSE),IF(ISERROR(FIND("Oak",WardrobeCarcassMaterial))=FALSE,(0.035*0.075*($C192/1000))*VLOOKUP("Oak (solid m3)",SolidData,4,FALSE),IF(ISERROR(FIND("ply",WardrobeCarcassMaterial))=FALSE,(0.1*($C192/1000))*VLOOKUP("Birch ply (24mm)",SheetsData,7,FALSE),IF(ISERROR(FIND("H/F",WardrobeCarcassMaterial))=FALSE,(0.1*($C192/1000))*VLOOKUP("H/F (22mm)",SheetsData,7,FALSE),"Carcass - not tower - new material")))),IF(WardrobeHandleFinish="Match door",IF(ISERROR(FIND("Walnut",WardrobeDoorMaterial))=FALSE,(0.035*0.075*($C192/1000))*VLOOKUP("Walnut (solid m3)",SolidData,4,FALSE),IF(ISERROR(FIND("Oak",WardrobeDoorMaterial))=FALSE,(0.035*0.075*($C192/1000))*VLOOKUP("Oak (solid m3)",SolidData,4,FALSE),IF(ISERROR(FIND("ply",WardrobeDoorMaterial))=FALSE,(0.1*($C192/1000))*VLOOKUP("Birch ply (24mm)",SheetsData,7,FALSE),IF(ISERROR(FIND("H/F",WardrobeCarcassMaterial))=FALSE,(0.1*($C192/1000))*VLOOKUP("H/F (22mm)",SheetsData,7,FALSE),"Door - not tower - new material")))),"Channel - not tower - handle set to other")),IF(ISERROR(FIND("Tower",$A192))=FALSE,IF(WardrobeHandleFinish="Match carcass",IF(ISERROR(FIND("Walnut",WardrobeCarcassMaterial))=FALSE,(0.035*0.075*($B192/1000))*VLOOKUP("Walnut (solid m3)",SolidData,4,FALSE),IF(ISERROR(FIND("Oak",WardrobeCarcassMaterial))=FALSE,(0.035*0.075*($B192/1000))*VLOOKUP("Oak (solid m3)",SolidData,4,FALSE),IF(ISERROR(FIND("ply",WardrobeCarcassMaterial))=FALSE,(0.1*($B192/1000))*VLOOKUP("Birch ply (24mm)",SheetsData,7,FALSE),IF(ISERROR(FIND("H/F",WardrobeCarcassMaterial))=FALSE,(0.1*($C192/1000))*VLOOKUP("H/F (22mm)",SheetsData,7,FALSE),"Carcass - tower - new material")))),IF(WardrobeHandleFinish="Match door",IF(ISERROR(FIND("Walnut",WardrobeDoorMaterial))=FALSE,(0.035*0.075*($B192/1000))*VLOOKUP("Walnut (solid m3)",SolidData,4,FALSE),IF(ISERROR(FIND("Oak",WardrobeDoorMaterial))=FALSE,(0.035*0.075*($B192/1000))*VLOOKUP("Oak (solid m3)",SolidData,4,FALSE),IF(ISERROR(FIND("ply",WardrobeDoorMaterial))=FALSE,(0.1*($B192/1000))*VLOOKUP("Birch ply (24mm)",SheetData,7,FALSE),IF(ISERROR(FIND("H/F",WardrobeCarcassMaterial))=FALSE,(0.1*($C192/1000))*VLOOKUP("H/F (22mm)",SheetsData,7,FALSE),"Door - tower - new material")))),"Channel - tower - handle set to other")))),"")</f>
        <v/>
      </c>
    </row>
    <row r="193">
      <c r="A193" s="150"/>
      <c r="B193" s="160" t="str">
        <f t="shared" si="1"/>
        <v/>
      </c>
      <c r="C193" s="160" t="str">
        <f>IFERROR(__xludf.DUMMYFUNCTION("IF(A193="""","""",IF(ISERROR(FIND(""arcass"",A193))=FALSE,MID(A193,FIND(""*"",A193)+1,FIND(""*"",A193,FIND(""*"",A193)+1)-FIND(""*"",A193)-1),IF(ISERROR(FIND(""End panel"",A193))=FALSE,RIGHT(A193,3),IF(OR(ISERROR(FIND(""drawer"",A193))=FALSE,ISERROR(FIND("&amp;"""door"",A193))=FALSE,ISERROR(FIND(""shelf"",A193))=FALSE,ISERROR(FIND(""panel"",A193))=FALSE,ISERROR(FIND(""Plinth"",A193))=FALSE,ISERROR(FIND(""Cornice"",A193))=FALSE,ISERROR(FIND(""Fillers"",A193))=FALSE,ISERROR(FIND(""Pelmet"",A193))=FALSE,ISERROR(FIN"&amp;"D(""Fireplace up to 1600"",A193))=FALSE),RIGHT(A193,LEN(A193)-LEN(regexextract(A193,"".* ""))),IF(ISERROR(FIND(""table"",A193))=FALSE,""560"",IF(ISERROR(FIND(""Office pod"",A193))=FALSE,""1600"",IF(ISERROR(FIND(""Fireplace over 1600"",A193))=FALSE,""2400"&amp;""",IF(ISERROR(FIND(""Worktop"",A193))=FALSE,""650"",""Whoops""))))))))"),"")</f>
        <v/>
      </c>
      <c r="D193" s="161" t="str">
        <f t="shared" si="2"/>
        <v/>
      </c>
      <c r="E193" s="152" t="str">
        <f>IF(OR(A193="",AND(ISERROR(FIND("drawer",A193))=FALSE,WardrobeDrawerType="")),"",IF(ISERROR(FIND("door",A193))=FALSE,IF(WardrobeDoorStyle="Flat",((B193/1000)*(C193/1000))*VLOOKUP(WardrobeDoorMaterial,SheetsData,8,0),IF(LEFT(WardrobeDoorStyle,5)="Panel",(((((B193/1000)*2)*0.08)+((((C193/1000)-0.16)*2)*0.08))*VLOOKUP("H/F (22mm)",SheetsData,8,0))+(((B193/1000)-0.14)*((C193/1000)-0.14)*VLOOKUP("H/F (9mm)",SheetsData,8,0)),IF(WardrobeDoorStyle="In-frame flat",((((((B193/1000)*0.019)*0.038)+((((C193-38)/1000)*0.038)*0.038))*2)*VLOOKUP("Tulip (solid m3)",SolidData,4,0))+(((B193-76)/1000)*((C193-38)/1000))*VLOOKUP("H/F (22mm)",SheetsData,8,0),IF(LEFT(WardrobeDoorStyle,14)="In-frame panel",(((((((B193/1000)*0.019)*0.038)+((((C193-38)/1000)*0.038)*0.038))*2)*VLOOKUP("Tulip (solid m3)",SolidData,4,0))+(((((((B193-76)/1000)*2)*0.08)+(((((C193-198)/1000)*2)*0.08)))*VLOOKUP("H/F (22mm)",SheetsData,8,0))+(((B193-216)/1000)*((C193-178)/1000)*VLOOKUP("H/F (9mm)",SheetsData,8,0)))))))),IF(AND(ISERROR(FIND("arcass",A193))=FALSE,ISERROR(FIND("ost corner",A193))=TRUE),IF(AND(VALUE(B193)&lt;1211,VALUE(C193)&lt;1211,VALUE(D193)&lt;606),1*VLOOKUP(WardrobeCarcassMaterial,SheetsData,5,FALSE),IF(AND(VALUE(B193)&lt;2421,VALUE(C193)&lt;2421,VALUE(D193)&lt;606),2*VLOOKUP(WardrobeCarcassMaterial,SheetsData,5,FALSE),IF(AND(VALUE(B193)&lt;2421,VALUE(C193)&lt;1211,VALUE(D193)&lt;1211),3*VLOOKUP(WardrobeCarcassMaterial,SheetsData,5,FALSE),IF(AND(VALUE(B193)&lt;2421,VALUE(C193)&lt;2421,VALUE(D193)&lt;1211),4*VLOOKUP(WardrobeCarcassMaterial,SheetsData,5,FALSE))))),IF(AND(ISERROR(FIND("arcass",A193))=FALSE,ISERROR(FIND("ost corner",A193))=FALSE),IF(AND(VALUE(B193)&lt;1211,VALUE(C193)&lt;1211,VALUE(D193)&lt;606),(1*VLOOKUP(WardrobeCarcassMaterial,SheetsData,5,FALSE))+(VLOOKUP("H/F (22mm)",SheetsData,7,FALSE)*1.44),IF(AND(VALUE(B193)&lt;2421,VALUE(C193)&lt;2421,VALUE(D193)&lt;606),(2*VLOOKUP(WardrobeCarcassMaterial,SheetsData,5,FALSE))+(VLOOKUP("H/F (22mm)",SheetsData,7,FALSE)*1.44),IF(AND(VALUE(B193)&lt;2421,VALUE(C193)&lt;1211,VALUE(D193)&lt;1211),(3*VLOOKUP(WardrobeCarcassMaterial,SheetsData,5,FALSE))+(VLOOKUP("H/F (22mm)",SheetsData,7,FALSE)*1.44),IF(AND(VALUE(B193)&lt;2421,VALUE(C193)&lt;2421,VALUE(D193)&lt;1211),(4*VLOOKUP(WardrobeCarcassMaterial,SheetsData,5,FALSE))+(VLOOKUP("H/F (22mm)",SheetsData,7,FALSE)*1.44))))),IF(ISERROR(FIND("drawer front",A193))=FALSE,((B193/1000)*(C193/1000))*VLOOKUP(WardrobeDoorMaterial,SheetsData,8,0),IF(AND(WardrobeDrawerType="Match carcass",ISERROR(FIND("drawer box",A193))=FALSE),(((((B193/1000)*(C193/1000))+((B193/1000)*(D193/1000)))*2)*VLOOKUP(WardrobeCarcassMaterial,SheetsData,8,0))+(((C193/1000)*(D193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box",A193))=FALSE),(((((B193/1000)*(C193/1000))+((B193/1000)*(D193/1000)))*2)*(16/1000)*VLOOKUP(LEFT(WardrobeCarcassMaterial,FIND(" ",WardrobeCarcassMaterial))&amp;"(solid m3)",SolidData,4,0))+(((C193/1000)*(D193/1000))*VLOOKUP(LEFT(WardrobeCarcassMaterial,FIND("(",WardrobeCarcassMaterial)-1)&amp;IF(OR(ISERROR(FIND("ply",WardrobeCarcassMaterial))=FALSE,ISERROR(FIND("H/F",WardrobeCarcassMaterial))=FALSE),"(9mm)","(10mm)"),SheetsData,8,0)),IF(ISERROR(FIND("shelf",A193))=FALSE,((C193/1000)*(D193/1000))*VLOOKUP(WardrobeCarcassMaterial,SheetsData,7,FALSE),IF(ISERROR(FIND("Office pod",A193))=FALSE,3*VLOOKUP(WardrobeCarcassMaterial,SheetsData,5,0),IF(ISERROR(FIND(" panel",A193))=FALSE,((B193/1000)*(C193/1000))*VLOOKUP(WardrobeDoorMaterial,SheetsData,8,0),IF(ISERROR(FIND("Fillers",A193))=FALSE,(((0.06*(C193/1000))*2)*VLOOKUP("H/F (18mm)",SheetsData,8,0))+(((0.06*(C193/1000))*2)*VLOOKUP("H/F (9mm)",SheetsData,8,0)),IF(ISERROR(FIND("Cornice (stacked)",A193))=FALSE,((0.08*(C193/1000))*2)*VLOOKUP("H/F (22mm)",SheetsData,8,0),IF(OR(ISERROR(FIND("Plinth",A193))=FALSE,ISERROR(FIND("Cornice (flat)",A193))=FALSE),((B193/1000)*(C193/1000))*VLOOKUP("H/F (18mm)",SheetsData,8,0),IF(ISERROR(FIND("Pelmet",A193))=FALSE,((((B193/1000)*(C193/1000))*2)*VLOOKUP("H/F (18mm)",SheetsData,8,0)),IF(ISERROR(FIND("Fireplace",A193))=FALSE,IF(ISERROR(FIND("over 1600",A193))=FALSE,2*VLOOKUP(WardrobeCarcassMaterial,SheetsData,5,FALSE),VLOOKUP(WardrobeCarcassMaterial,SheetsData,5,FALSE)),IF(ISERROR(FIND("table",A193))=FALSE,((B193/1000)*0.6)*VLOOKUP("Birch ply (24mm)",SheetsData,7,FALSE),IF(ISERROR(FIND("Worktop",A193))=FALSE,((B193/1000)*(C193/1000))*VLOOKUP(WardrobeDoorMaterial,SheetsData,7,FALSE),"Check formula")))))))))))))))))</f>
        <v/>
      </c>
      <c r="F193" s="152" t="str">
        <f>IFERROR(__xludf.DUMMYFUNCTION("IF(OR(A193="""",AND(ISERROR(FIND(""drawer box"",A193))=FALSE,WardrobeDrawerType=""Solid dovetail"")),"""",IF(ISERROR(FIND(""bins"",A193))=FALSE,VLOOKUP(""Base carcass 600"",Wardrobes_etcData,6,0),IF(OR(ISERROR(FIND(""larder"",A193))=FALSE,ISERROR(FIND(""u"&amp;"nit"",A193))=FALSE),VLOOKUP(LEFT(A193,FIND("" "",A193))&amp;""carcass ""&amp;RIGHT(A193,LEN(A193)-len(regexextract(A193,"".* ""))),Wardrobes_etcData,6,0),IF(ISERROR(FIND(""drawer front"",A193))=FALSE,IF(ISERROR(FIND(""veneer"",WardrobeCarcassMaterial))=TRUE,0,((("&amp;"B193+C193)/1000)*2)*VLOOKUP(""Edge banding (per M)"",SheetsData,5,0)),IF(ISERROR(FIND(""drawer box"",A193))=FALSE,IF(ISERROR(FIND(""veneer"",WardrobeCarcassMaterial))=TRUE,0,(((C193+D193)/1000)*2)*VLOOKUP(""Edge banding (per M)"",SheetsData,5,0)),IF(ISERR"&amp;"OR(FIND(""shelf"",A193))=FALSE,IF(ISERROR(FIND(""veneer"",WardrobeCarcassMaterial))=TRUE,0,(C193/1000)*VLOOKUP(""Edge banding (per M)"",SheetsData,5,0)),IF(AND(OR(ISERROR(FIND(""arcass"",A193))=FALSE,ISERROR(FIND(""Fireplace"",A193))=FALSE),ISERROR(FIND("&amp;"""shelf"",A193))=TRUE),IF(ISERROR(FIND(""veneer"",WardrobeCarcassMaterial))=TRUE,0,((2*(B193+C193))/1000)*VLOOKUP(""Edge banding (per M)"",SheetsData,5,0)),IF(ISERROR(FIND(""door"",A193))=TRUE,"""",IF(ISERROR(FIND(""veneer"",WardrobeDoorMaterial))=TRUE,"""&amp;""",((2*(B193+C193))/1000)*VLOOKUP(""Edge banding (per M)"",SheetsData,5,0))))))))))"),"")</f>
        <v/>
      </c>
      <c r="G193" s="153" t="str">
        <f>IF(A193="","",IF(AND(ISERROR(FIND("arcass",A193))=TRUE,ISERROR(FIND("Fireplace",A193))=TRUE),"",IF(VALUE(C193)&lt;606,4*VLOOKUP("Plinth foot (2 Parts 80mm)",FurnitureData,5,FALSE),IF(VALUE(C193)&lt;1211,6*VLOOKUP("Plinth foot (2 Parts 80mm)",FurnitureData,5,FALSE),8*VLOOKUP("Plinth foot (2 Parts 80mm)",FurnitureData,5,FALSE)))))</f>
        <v/>
      </c>
      <c r="H193" s="115" t="str">
        <f>IF(OR(A193="",ISERROR(FIND("door",A193))=TRUE),"",VLOOKUP("Hinges &amp; plates (Hettich thick door)",FurnitureData,5,0)*5)</f>
        <v/>
      </c>
      <c r="I193" s="115" t="str">
        <f>IF(ISERROR(FIND("shelf",A193))=FALSE,(VLOOKUP("Shelf pegs",FurnitureData,5,0)/100)*4,"")</f>
        <v/>
      </c>
      <c r="J193" s="152" t="str">
        <f>IF(OR(ISERROR(FIND("fridge/freezer",A193))=FALSE,ISERROR(FIND("sink",A193))=FALSE,ISERROR(FIND("larder",A193))=FALSE),VLOOKUP("Deep shelf "&amp;C193,Wardrobes_etcData,18,0),IF(OR(ISERROR(FIND("single oven",A193))=FALSE,ISERROR(FIND("Base carcass",A193))=FALSE),2*VLOOKUP("Deep shelf "&amp;C193,Wardrobes_etcData,18,0),IF(AND(ISERROR(FIND("wall carcass",A193))=FALSE,ISERROR(FIND("Boiler",A193))=TRUE),2*VLOOKUP("Shallow shelf "&amp;C193,Wardrobes_etcData,18,0),IF(ISERROR(FIND("double oven",A193))=FALSE,3*VLOOKUP("Deep shelf "&amp;C193,Wardrobes_etcData,18,0),IF(ISERROR(FIND("Tower carcass",A193))=FALSE,6*VLOOKUP("Deep shelf "&amp;C193,Wardrobes_etcData,18,0),"")))))</f>
        <v/>
      </c>
      <c r="K193" s="152" t="str">
        <f>IF(ISERROR(FIND("sink",A193))=FALSE,VLOOKUP("Sink liner - Aluminium "&amp;RIGHT(A193,LEN(A193)-22)&amp;"mm",ExceptionalData,5,0),IF(ISERROR(FIND("bins",A193))=FALSE,VLOOKUP("Drawer runners and clip set for bin unit (500) Dynapro",FurnitureData,5,0)+(2*VLOOKUP("Bin (42L Anthracite)",FurnitureData,5,0)),IF(ISERROR(FIND("larder",A193))=FALSE,VLOOKUP("Pull out larder unit 600mm",FurnitureData,5,0),IF(AND(ISERROR(FIND("drawer box",A193))=FALSE,ISERROR(FIND("internal",A193))=TRUE),VLOOKUP("Drawer runners and clip set (550) Dynapro",FurnitureData,5,0),IF(ISERROR(FIND("internal drawer box",A193))=FALSE,VLOOKUP("Drawer runners and clip set (450) Dynapro",FurnitureData,5,0),IF(ISERROR(FIND("table",A193))=FALSE,VLOOKUP("Hairpin Leg (12mm Black "&amp;MID(A193,FIND("(",A193)+1,LEN(A193)-(FIND("(",A193))-1)&amp;"mm)",ExceptionalData,4,FALSE),""))))))</f>
        <v/>
      </c>
      <c r="L193" s="152" t="str">
        <f t="shared" si="3"/>
        <v/>
      </c>
      <c r="M193" s="154" t="str">
        <f>IF(A193="","",IF(AND(ISERROR(FIND("drawer front",A193))=FALSE,WardrobeDoorStyle="Flat"),(((B193/1000)*(C193/1000))*2)+((((B193+C193)/1000)*2)*0.022),IF(AND(ISERROR(FIND("drawer front",A193))=FALSE,LEFT(WardrobeDoorStyle,5)="Panel"),(((B193/1000)*(C193/1000))*2)+((((B193+C193)/1000)*2)*0.022)+((((C193/1000)-0.16)*0.013)*2)+((((D193/1000)-0.16)*0.013)*2),IF(AND(ISERROR(FIND("drawer front",A193))=FALSE,WardrobeDoorStyle="In-frame flat"),((((B193-76)/1000)*((C193-38)/1000))*2)+(MID(WardrobeDoorMaterial,FIND("(",WardrobeDoorMaterial)+1,2)/1000)*((((B193-76)+(C193-38))/1000)*2)+(((B193/1000)*0.032)*2)+((((B193-76)/1000)*0.032)*2)+(((B193/1000)*0.019)*4)+(((C193/1000)*0.032)*2)+((((C193-38)/1000)*0.032)*2)+(((C193/1000)*0.038)*4),IF(AND(ISERROR(FIND("drawer front",A193))=FALSE,LEFT(WardrobeDoorStyle,14)="In-frame panel"),((((B193-76)/1000)*((C193-38)/1000))*2)+((MID(WardrobeDoorMaterial,FIND("(",WardrobeDoorMaterial)+1,2)/1000)*((((B193-76)+(C193-38))/1000)*2))+((((B193-236)/1000)+((C193-198)/1000)*2)*0.013)+(((B193/1000)*0.032)*2)+((((B193-76)/1000)*0.032)*2)+(((B193/1000)*0.019)*4)+(((C193/1000)*0.032)*2)+((((C193-38)/1000)*0.032)*2)+(((C193/1000)*0.038)*4),IF(ISERROR(FIND("drawer box",A193))=FALSE,((((B193/1000)*(D193/1000))+((B193/1000)*(C193/1000)))*4)+((((D193/1000)+(C193/1000))*0.016)*4)+(((C193/1000)*(D193/1000))*2),IF(OR(ISERROR(FIND("shelf",A193))=FALSE,ISERROR(FIND("Filler panel",A193))=FALSE),(((C193/1000)*(D193/1000))*2)+((((C193+D193)*2)/1000)*0.022),IF(ISERROR(FIND("Fireplace",A193))=FALSE,((B193/1000)*(C193/1000)),IF(ISERROR(FIND("Worktop",A193))=FALSE,(B193/1000)*(C193/1000),IF(ISERROR(FIND("table",A193))=FALSE,(B193/1000)*0.6,IF(ISERROR(FIND("arcass",A193))=FALSE,(((C193/1000)*(D193/1000))*2)+(((B193/1000)*(D193/1000))*2)+((B193/1000)*(C193/1000))+((((B193/1000)*0.025)+((C193/1000)*0.025))*2),IF(AND(ISERROR(FIND("door",A193))=FALSE,WardrobeDoorStyle="Flat"),(((B193/1000)*(C193/1000))*2)+(MID(WardrobeDoorMaterial,FIND("(",WardrobeDoorMaterial)+1,2)/1000)*(((B193+C193)/1000)*2),IF(AND(ISERROR(FIND("door",A193))=FALSE,LEFT(WardrobeDoorStyle,5)="Panel"),(((B193/1000)*(C193/1000))*2)+((MID(WardrobeDoorMaterial,FIND("(",WardrobeDoorMaterial)+1,2)/1000)*(((B193+C193)/1000)*2))+(((((B193-160)+(C193-160))*2)/1000)*(0.013)),IF(AND(ISERROR(FIND("door",A193))=FALSE,WardrobeDoorStyle="In-frame flat"),((((B193-76)/1000)*((C193-38)/1000))*2)+(MID(WardrobeDoorMaterial,FIND("(",WardrobeDoorMaterial)+1,2)/1000)*((((B193-76)+(C193-38))/1000)*2)+(((B193/1000)*0.032)*2)+((((B193-76)/1000)*0.032)*2)+(((B193/1000)*0.019)*4)+(((C193/1000)*0.032)*2)+((((C193-38)/1000)*0.032)*2)+(((C193/1000)*0.038)*4),IF(AND(ISERROR(FIND("door",A193))=FALSE,LEFT(WardrobeDoorStyle,14)="In-frame panel"),((((B193-76)/1000)*((C193-38)/1000))*2)+((MID(WardrobeDoorMaterial,FIND("(",WardrobeDoorMaterial)+1,2)/1000)*((((B193-76)+(C193-38))/1000)*2))+((((B193-236)/1000)+((C193-198)/1000)*2)*0.013)+(((B193/1000)*0.032)*2)+((((B193-76)/1000)*0.032)*2)+(((B193/1000)*0.019)*4)+(((C193/1000)*0.032)*2)+((((C193-38)/1000)*0.032)*2)+(((C193/1000)*0.038)*4),IF(ISERROR(FIND("Plinth",A193))=FALSE,((B193/1000)*(C193/1000))+(((C193/1000)*0.018)*2)+(((B193/1000)*0.018)*2),IF(ISERROR(FIND("Cornice",A193))=FALSE,(((C193/1000)*0.1)*2)+(((C193/1000)*0.044)*2)+(((B193/1000)*0.08)*2),IF(ISERROR(FIND("Office pod",A193))=FALSE,((2400/1000)*(1200/1000))*6,IF(ISERROR(FIND("panel",A193))=FALSE,((B193/1000)*(C193/1000))+(0.022*((B193/1000)+((C193/1000)*2)))+((B193/1000)*0.05),IF(ISERROR(FIND("Fillers",A193))=FALSE,((C193/1000)*0.06)+((C193/1000)*0.069)+((0.06*0.018)*2)+((0.06*0.009)*2)+((C193/1000)*0.009)+((C193/1000)*0.018),IF(ISERROR(FIND("Pelmet",A193))=FALSE,((C193/1000)*0.05)+((C193/1000)*0.068)+((0.05*0.018)*4)+(((C193/1000)*0.018))*2)))))))))))))))))))))</f>
        <v/>
      </c>
      <c r="N193" s="152" t="str">
        <f>IF(M193="","",IF(AND(ISERROR(FIND("carcass",A193))=TRUE,ISERROR(FIND("unit",A193))=TRUE,ISERROR(FIND("insert",A193))=TRUE,ISERROR(FIND("rack",A193))=TRUE,ISERROR(FIND("box",A193))=TRUE,ISERROR(FIND("shelf",A193))=TRUE),VLOOKUP(WardrobeDoorFinish,Finishing!$A$2:$K$10,9,0)*M193,IF(ISERROR(FIND("table",A193))=FALSE,VLOOKUP("Sayerlack AF0072 Interior Clear Self-Sealer",FinishingData,9,FALSE)*M193,VLOOKUP(WardrobeCarcassFinish,Finishing!$A$2:$K$40,9,0)*M193)))</f>
        <v/>
      </c>
      <c r="O193" s="155"/>
      <c r="P193" s="155"/>
      <c r="Q193" s="152" t="str">
        <f>IF(OR(O193="",P193=""),"",((O193*X193)*(VLOOKUP("Workshop",Labour!$A$3:$E$20,4,0)/8))+((P193*AE193)*(VLOOKUP("Finishing",Labour!$A$3:$E$20,4,0)/8)))</f>
        <v/>
      </c>
      <c r="R193" s="152" t="str">
        <f t="shared" si="4"/>
        <v/>
      </c>
      <c r="S193" s="156" t="str">
        <f>IF(OR(O193="",P193=""),"",IF(OR(ISERROR(FIND("carcass",$A193))=FALSE,ISERROR(FIND("unit",$A193))=FALSE),VLOOKUP(WardrobeCarcassMaterial,FixedListsCarcassMaterial,2,0),0))</f>
        <v/>
      </c>
      <c r="T193" s="156" t="str">
        <f>IF(OR(O193="",P193=""),"",IF(ISERROR(FIND("door",$A193))=FALSE,VLOOKUP(WardrobeDoorStyle,FixedListsDoorStyle,2,0),0))</f>
        <v/>
      </c>
      <c r="U193" s="156" t="str">
        <f>IF(OR(O193="",P193=""),"",IF(ISERROR(FIND("door",$A193))=FALSE,VLOOKUP(WardrobeDoorMaterial,FixedListsDoorMaterial,2,0),0))</f>
        <v/>
      </c>
      <c r="V193" s="156" t="str">
        <f>IF(OR(O193="",P193=""),"",IF(ISERROR(FIND("drawer",$A193))=FALSE,VLOOKUP(WardrobeDrawerType,FixedListsDrawerType,2,0),0))</f>
        <v/>
      </c>
      <c r="W193" s="156" t="str">
        <f>IF(OR(O193="",P193=""),"",IF(S193&gt;0,VLOOKUP(WardrobeHandleType,FixedListsHandleType,2,FALSE),0))</f>
        <v/>
      </c>
      <c r="X193" s="156" t="str">
        <f t="shared" si="5"/>
        <v/>
      </c>
      <c r="Y193" s="156" t="str">
        <f>IF(OR(O193="",P193=""),"",IF(OR(ISERROR(FIND("carcass",$A193))=FALSE,ISERROR(FIND("unit",$A193))=FALSE),VLOOKUP(WardrobeCarcassMaterial,FixedListsCarcassMaterial,3,0),0))</f>
        <v/>
      </c>
      <c r="Z193" s="156" t="str">
        <f>IF(OR(O193="",P193=""),"",IF(ISERROR(FIND("door",$A193))=FALSE,VLOOKUP(WardrobeDoorStyle,FixedListsDoorStyle,3,0),0))</f>
        <v/>
      </c>
      <c r="AA193" s="156" t="str">
        <f>IF(OR(O193="",P193=""),"",IF(ISERROR(FIND("door",$A193))=FALSE,VLOOKUP(WardrobeDoorMaterial,FixedListsDoorMaterial,3,0),0))</f>
        <v/>
      </c>
      <c r="AB193" s="156" t="str">
        <f>IF(OR(O193="",P193=""),"",IF(ISERROR(FIND("drawer",$A193))=FALSE,VLOOKUP(WardrobeDrawerType,FixedListsDrawerType,3,0),0))</f>
        <v/>
      </c>
      <c r="AC193" s="156" t="str">
        <f>IF(OR(O193="",P193=""),"",IF(S193&gt;0,VLOOKUP(WardrobeHandleType,FixedListsHandleType,3,FALSE),0))</f>
        <v/>
      </c>
      <c r="AD193" s="156" t="str">
        <f>IF(OR(O193="",P193=""),"",IF(OR(ISERROR(FIND("carcass",$A193))=FALSE,ISERROR(FIND("unit",$A193))=FALSE),VLOOKUP(WardrobeCarcassFinish,FixedListsFinishes,3,0),IF(OR(ISERROR(FIND("door",$A193))=FALSE,ISERROR(FIND("Plinth",$A193))=FALSE,ISERROR(FIND("Cornice",$A193))=FALSE,ISERROR(FIND("Fillers",$A193))=FALSE,ISERROR(FIND("Pelmet",$A193))=FALSE,ISERROR(FIND("panel",$A193))=FALSE,ISERROR(FIND("post",$A193))=FALSE),VLOOKUP(WardrobeDoorFinish,FixedListsFinishes,3,0),IF(OR(ISERROR(FIND("drawer",$A193))=FALSE,ISERROR(FIND("insert",$A193))=FALSE,ISERROR(FIND("rck",$A193))=FALSE),VLOOKUP(WardrobeCarcassFinish,FixedListsFinishes,3,0),0))))</f>
        <v/>
      </c>
      <c r="AE193" s="156" t="str">
        <f t="shared" si="6"/>
        <v/>
      </c>
      <c r="AF193" s="157" t="str">
        <f>IF(AND(WardrobeHandleType="Channel",OR(ISERROR(FIND("arcass",$A193))=FALSE,ISERROR(FIND("unit",$A193))=FALSE)),IF(ISERROR(FIND("Tower",$A193))=TRUE,IF(WardrobeHandleFinish="Match carcass",IF(ISERROR(FIND("Walnut",WardrobeCarcassMaterial))=FALSE,(0.035*0.075*($C193/1000))*VLOOKUP("Walnut (solid m3)",SolidData,4,FALSE),IF(ISERROR(FIND("Oak",WardrobeCarcassMaterial))=FALSE,(0.035*0.075*($C193/1000))*VLOOKUP("Oak (solid m3)",SolidData,4,FALSE),IF(ISERROR(FIND("ply",WardrobeCarcassMaterial))=FALSE,(0.1*($C193/1000))*VLOOKUP("Birch ply (24mm)",SheetsData,7,FALSE),IF(ISERROR(FIND("H/F",WardrobeCarcassMaterial))=FALSE,(0.1*($C193/1000))*VLOOKUP("H/F (22mm)",SheetsData,7,FALSE),"Carcass - not tower - new material")))),IF(WardrobeHandleFinish="Match door",IF(ISERROR(FIND("Walnut",WardrobeDoorMaterial))=FALSE,(0.035*0.075*($C193/1000))*VLOOKUP("Walnut (solid m3)",SolidData,4,FALSE),IF(ISERROR(FIND("Oak",WardrobeDoorMaterial))=FALSE,(0.035*0.075*($C193/1000))*VLOOKUP("Oak (solid m3)",SolidData,4,FALSE),IF(ISERROR(FIND("ply",WardrobeDoorMaterial))=FALSE,(0.1*($C193/1000))*VLOOKUP("Birch ply (24mm)",SheetsData,7,FALSE),IF(ISERROR(FIND("H/F",WardrobeCarcassMaterial))=FALSE,(0.1*($C193/1000))*VLOOKUP("H/F (22mm)",SheetsData,7,FALSE),"Door - not tower - new material")))),"Channel - not tower - handle set to other")),IF(ISERROR(FIND("Tower",$A193))=FALSE,IF(WardrobeHandleFinish="Match carcass",IF(ISERROR(FIND("Walnut",WardrobeCarcassMaterial))=FALSE,(0.035*0.075*($B193/1000))*VLOOKUP("Walnut (solid m3)",SolidData,4,FALSE),IF(ISERROR(FIND("Oak",WardrobeCarcassMaterial))=FALSE,(0.035*0.075*($B193/1000))*VLOOKUP("Oak (solid m3)",SolidData,4,FALSE),IF(ISERROR(FIND("ply",WardrobeCarcassMaterial))=FALSE,(0.1*($B193/1000))*VLOOKUP("Birch ply (24mm)",SheetsData,7,FALSE),IF(ISERROR(FIND("H/F",WardrobeCarcassMaterial))=FALSE,(0.1*($C193/1000))*VLOOKUP("H/F (22mm)",SheetsData,7,FALSE),"Carcass - tower - new material")))),IF(WardrobeHandleFinish="Match door",IF(ISERROR(FIND("Walnut",WardrobeDoorMaterial))=FALSE,(0.035*0.075*($B193/1000))*VLOOKUP("Walnut (solid m3)",SolidData,4,FALSE),IF(ISERROR(FIND("Oak",WardrobeDoorMaterial))=FALSE,(0.035*0.075*($B193/1000))*VLOOKUP("Oak (solid m3)",SolidData,4,FALSE),IF(ISERROR(FIND("ply",WardrobeDoorMaterial))=FALSE,(0.1*($B193/1000))*VLOOKUP("Birch ply (24mm)",SheetData,7,FALSE),IF(ISERROR(FIND("H/F",WardrobeCarcassMaterial))=FALSE,(0.1*($C193/1000))*VLOOKUP("H/F (22mm)",SheetsData,7,FALSE),"Door - tower - new material")))),"Channel - tower - handle set to other")))),"")</f>
        <v/>
      </c>
    </row>
    <row r="194">
      <c r="A194" s="150"/>
      <c r="B194" s="160" t="str">
        <f t="shared" si="1"/>
        <v/>
      </c>
      <c r="C194" s="160" t="str">
        <f>IFERROR(__xludf.DUMMYFUNCTION("IF(A194="""","""",IF(ISERROR(FIND(""arcass"",A194))=FALSE,MID(A194,FIND(""*"",A194)+1,FIND(""*"",A194,FIND(""*"",A194)+1)-FIND(""*"",A194)-1),IF(ISERROR(FIND(""End panel"",A194))=FALSE,RIGHT(A194,3),IF(OR(ISERROR(FIND(""drawer"",A194))=FALSE,ISERROR(FIND("&amp;"""door"",A194))=FALSE,ISERROR(FIND(""shelf"",A194))=FALSE,ISERROR(FIND(""panel"",A194))=FALSE,ISERROR(FIND(""Plinth"",A194))=FALSE,ISERROR(FIND(""Cornice"",A194))=FALSE,ISERROR(FIND(""Fillers"",A194))=FALSE,ISERROR(FIND(""Pelmet"",A194))=FALSE,ISERROR(FIN"&amp;"D(""Fireplace up to 1600"",A194))=FALSE),RIGHT(A194,LEN(A194)-LEN(regexextract(A194,"".* ""))),IF(ISERROR(FIND(""table"",A194))=FALSE,""560"",IF(ISERROR(FIND(""Office pod"",A194))=FALSE,""1600"",IF(ISERROR(FIND(""Fireplace over 1600"",A194))=FALSE,""2400"&amp;""",IF(ISERROR(FIND(""Worktop"",A194))=FALSE,""650"",""Whoops""))))))))"),"")</f>
        <v/>
      </c>
      <c r="D194" s="161" t="str">
        <f t="shared" si="2"/>
        <v/>
      </c>
      <c r="E194" s="152" t="str">
        <f>IF(OR(A194="",AND(ISERROR(FIND("drawer",A194))=FALSE,WardrobeDrawerType="")),"",IF(ISERROR(FIND("door",A194))=FALSE,IF(WardrobeDoorStyle="Flat",((B194/1000)*(C194/1000))*VLOOKUP(WardrobeDoorMaterial,SheetsData,8,0),IF(LEFT(WardrobeDoorStyle,5)="Panel",(((((B194/1000)*2)*0.08)+((((C194/1000)-0.16)*2)*0.08))*VLOOKUP("H/F (22mm)",SheetsData,8,0))+(((B194/1000)-0.14)*((C194/1000)-0.14)*VLOOKUP("H/F (9mm)",SheetsData,8,0)),IF(WardrobeDoorStyle="In-frame flat",((((((B194/1000)*0.019)*0.038)+((((C194-38)/1000)*0.038)*0.038))*2)*VLOOKUP("Tulip (solid m3)",SolidData,4,0))+(((B194-76)/1000)*((C194-38)/1000))*VLOOKUP("H/F (22mm)",SheetsData,8,0),IF(LEFT(WardrobeDoorStyle,14)="In-frame panel",(((((((B194/1000)*0.019)*0.038)+((((C194-38)/1000)*0.038)*0.038))*2)*VLOOKUP("Tulip (solid m3)",SolidData,4,0))+(((((((B194-76)/1000)*2)*0.08)+(((((C194-198)/1000)*2)*0.08)))*VLOOKUP("H/F (22mm)",SheetsData,8,0))+(((B194-216)/1000)*((C194-178)/1000)*VLOOKUP("H/F (9mm)",SheetsData,8,0)))))))),IF(AND(ISERROR(FIND("arcass",A194))=FALSE,ISERROR(FIND("ost corner",A194))=TRUE),IF(AND(VALUE(B194)&lt;1211,VALUE(C194)&lt;1211,VALUE(D194)&lt;606),1*VLOOKUP(WardrobeCarcassMaterial,SheetsData,5,FALSE),IF(AND(VALUE(B194)&lt;2421,VALUE(C194)&lt;2421,VALUE(D194)&lt;606),2*VLOOKUP(WardrobeCarcassMaterial,SheetsData,5,FALSE),IF(AND(VALUE(B194)&lt;2421,VALUE(C194)&lt;1211,VALUE(D194)&lt;1211),3*VLOOKUP(WardrobeCarcassMaterial,SheetsData,5,FALSE),IF(AND(VALUE(B194)&lt;2421,VALUE(C194)&lt;2421,VALUE(D194)&lt;1211),4*VLOOKUP(WardrobeCarcassMaterial,SheetsData,5,FALSE))))),IF(AND(ISERROR(FIND("arcass",A194))=FALSE,ISERROR(FIND("ost corner",A194))=FALSE),IF(AND(VALUE(B194)&lt;1211,VALUE(C194)&lt;1211,VALUE(D194)&lt;606),(1*VLOOKUP(WardrobeCarcassMaterial,SheetsData,5,FALSE))+(VLOOKUP("H/F (22mm)",SheetsData,7,FALSE)*1.44),IF(AND(VALUE(B194)&lt;2421,VALUE(C194)&lt;2421,VALUE(D194)&lt;606),(2*VLOOKUP(WardrobeCarcassMaterial,SheetsData,5,FALSE))+(VLOOKUP("H/F (22mm)",SheetsData,7,FALSE)*1.44),IF(AND(VALUE(B194)&lt;2421,VALUE(C194)&lt;1211,VALUE(D194)&lt;1211),(3*VLOOKUP(WardrobeCarcassMaterial,SheetsData,5,FALSE))+(VLOOKUP("H/F (22mm)",SheetsData,7,FALSE)*1.44),IF(AND(VALUE(B194)&lt;2421,VALUE(C194)&lt;2421,VALUE(D194)&lt;1211),(4*VLOOKUP(WardrobeCarcassMaterial,SheetsData,5,FALSE))+(VLOOKUP("H/F (22mm)",SheetsData,7,FALSE)*1.44))))),IF(ISERROR(FIND("drawer front",A194))=FALSE,((B194/1000)*(C194/1000))*VLOOKUP(WardrobeDoorMaterial,SheetsData,8,0),IF(AND(WardrobeDrawerType="Match carcass",ISERROR(FIND("drawer box",A194))=FALSE),(((((B194/1000)*(C194/1000))+((B194/1000)*(D194/1000)))*2)*VLOOKUP(WardrobeCarcassMaterial,SheetsData,8,0))+(((C194/1000)*(D194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box",A194))=FALSE),(((((B194/1000)*(C194/1000))+((B194/1000)*(D194/1000)))*2)*(16/1000)*VLOOKUP(LEFT(WardrobeCarcassMaterial,FIND(" ",WardrobeCarcassMaterial))&amp;"(solid m3)",SolidData,4,0))+(((C194/1000)*(D194/1000))*VLOOKUP(LEFT(WardrobeCarcassMaterial,FIND("(",WardrobeCarcassMaterial)-1)&amp;IF(OR(ISERROR(FIND("ply",WardrobeCarcassMaterial))=FALSE,ISERROR(FIND("H/F",WardrobeCarcassMaterial))=FALSE),"(9mm)","(10mm)"),SheetsData,8,0)),IF(ISERROR(FIND("shelf",A194))=FALSE,((C194/1000)*(D194/1000))*VLOOKUP(WardrobeCarcassMaterial,SheetsData,7,FALSE),IF(ISERROR(FIND("Office pod",A194))=FALSE,3*VLOOKUP(WardrobeCarcassMaterial,SheetsData,5,0),IF(ISERROR(FIND(" panel",A194))=FALSE,((B194/1000)*(C194/1000))*VLOOKUP(WardrobeDoorMaterial,SheetsData,8,0),IF(ISERROR(FIND("Fillers",A194))=FALSE,(((0.06*(C194/1000))*2)*VLOOKUP("H/F (18mm)",SheetsData,8,0))+(((0.06*(C194/1000))*2)*VLOOKUP("H/F (9mm)",SheetsData,8,0)),IF(ISERROR(FIND("Cornice (stacked)",A194))=FALSE,((0.08*(C194/1000))*2)*VLOOKUP("H/F (22mm)",SheetsData,8,0),IF(OR(ISERROR(FIND("Plinth",A194))=FALSE,ISERROR(FIND("Cornice (flat)",A194))=FALSE),((B194/1000)*(C194/1000))*VLOOKUP("H/F (18mm)",SheetsData,8,0),IF(ISERROR(FIND("Pelmet",A194))=FALSE,((((B194/1000)*(C194/1000))*2)*VLOOKUP("H/F (18mm)",SheetsData,8,0)),IF(ISERROR(FIND("Fireplace",A194))=FALSE,IF(ISERROR(FIND("over 1600",A194))=FALSE,2*VLOOKUP(WardrobeCarcassMaterial,SheetsData,5,FALSE),VLOOKUP(WardrobeCarcassMaterial,SheetsData,5,FALSE)),IF(ISERROR(FIND("table",A194))=FALSE,((B194/1000)*0.6)*VLOOKUP("Birch ply (24mm)",SheetsData,7,FALSE),IF(ISERROR(FIND("Worktop",A194))=FALSE,((B194/1000)*(C194/1000))*VLOOKUP(WardrobeDoorMaterial,SheetsData,7,FALSE),"Check formula")))))))))))))))))</f>
        <v/>
      </c>
      <c r="F194" s="152" t="str">
        <f>IFERROR(__xludf.DUMMYFUNCTION("IF(OR(A194="""",AND(ISERROR(FIND(""drawer box"",A194))=FALSE,WardrobeDrawerType=""Solid dovetail"")),"""",IF(ISERROR(FIND(""bins"",A194))=FALSE,VLOOKUP(""Base carcass 600"",Wardrobes_etcData,6,0),IF(OR(ISERROR(FIND(""larder"",A194))=FALSE,ISERROR(FIND(""u"&amp;"nit"",A194))=FALSE),VLOOKUP(LEFT(A194,FIND("" "",A194))&amp;""carcass ""&amp;RIGHT(A194,LEN(A194)-len(regexextract(A194,"".* ""))),Wardrobes_etcData,6,0),IF(ISERROR(FIND(""drawer front"",A194))=FALSE,IF(ISERROR(FIND(""veneer"",WardrobeCarcassMaterial))=TRUE,0,((("&amp;"B194+C194)/1000)*2)*VLOOKUP(""Edge banding (per M)"",SheetsData,5,0)),IF(ISERROR(FIND(""drawer box"",A194))=FALSE,IF(ISERROR(FIND(""veneer"",WardrobeCarcassMaterial))=TRUE,0,(((C194+D194)/1000)*2)*VLOOKUP(""Edge banding (per M)"",SheetsData,5,0)),IF(ISERR"&amp;"OR(FIND(""shelf"",A194))=FALSE,IF(ISERROR(FIND(""veneer"",WardrobeCarcassMaterial))=TRUE,0,(C194/1000)*VLOOKUP(""Edge banding (per M)"",SheetsData,5,0)),IF(AND(OR(ISERROR(FIND(""arcass"",A194))=FALSE,ISERROR(FIND(""Fireplace"",A194))=FALSE),ISERROR(FIND("&amp;"""shelf"",A194))=TRUE),IF(ISERROR(FIND(""veneer"",WardrobeCarcassMaterial))=TRUE,0,((2*(B194+C194))/1000)*VLOOKUP(""Edge banding (per M)"",SheetsData,5,0)),IF(ISERROR(FIND(""door"",A194))=TRUE,"""",IF(ISERROR(FIND(""veneer"",WardrobeDoorMaterial))=TRUE,"""&amp;""",((2*(B194+C194))/1000)*VLOOKUP(""Edge banding (per M)"",SheetsData,5,0))))))))))"),"")</f>
        <v/>
      </c>
      <c r="G194" s="153" t="str">
        <f>IF(A194="","",IF(AND(ISERROR(FIND("arcass",A194))=TRUE,ISERROR(FIND("Fireplace",A194))=TRUE),"",IF(VALUE(C194)&lt;606,4*VLOOKUP("Plinth foot (2 Parts 80mm)",FurnitureData,5,FALSE),IF(VALUE(C194)&lt;1211,6*VLOOKUP("Plinth foot (2 Parts 80mm)",FurnitureData,5,FALSE),8*VLOOKUP("Plinth foot (2 Parts 80mm)",FurnitureData,5,FALSE)))))</f>
        <v/>
      </c>
      <c r="H194" s="115" t="str">
        <f>IF(OR(A194="",ISERROR(FIND("door",A194))=TRUE),"",VLOOKUP("Hinges &amp; plates (Hettich thick door)",FurnitureData,5,0)*5)</f>
        <v/>
      </c>
      <c r="I194" s="115" t="str">
        <f>IF(ISERROR(FIND("shelf",A194))=FALSE,(VLOOKUP("Shelf pegs",FurnitureData,5,0)/100)*4,"")</f>
        <v/>
      </c>
      <c r="J194" s="152" t="str">
        <f>IF(OR(ISERROR(FIND("fridge/freezer",A194))=FALSE,ISERROR(FIND("sink",A194))=FALSE,ISERROR(FIND("larder",A194))=FALSE),VLOOKUP("Deep shelf "&amp;C194,Wardrobes_etcData,18,0),IF(OR(ISERROR(FIND("single oven",A194))=FALSE,ISERROR(FIND("Base carcass",A194))=FALSE),2*VLOOKUP("Deep shelf "&amp;C194,Wardrobes_etcData,18,0),IF(AND(ISERROR(FIND("wall carcass",A194))=FALSE,ISERROR(FIND("Boiler",A194))=TRUE),2*VLOOKUP("Shallow shelf "&amp;C194,Wardrobes_etcData,18,0),IF(ISERROR(FIND("double oven",A194))=FALSE,3*VLOOKUP("Deep shelf "&amp;C194,Wardrobes_etcData,18,0),IF(ISERROR(FIND("Tower carcass",A194))=FALSE,6*VLOOKUP("Deep shelf "&amp;C194,Wardrobes_etcData,18,0),"")))))</f>
        <v/>
      </c>
      <c r="K194" s="152" t="str">
        <f>IF(ISERROR(FIND("sink",A194))=FALSE,VLOOKUP("Sink liner - Aluminium "&amp;RIGHT(A194,LEN(A194)-22)&amp;"mm",ExceptionalData,5,0),IF(ISERROR(FIND("bins",A194))=FALSE,VLOOKUP("Drawer runners and clip set for bin unit (500) Dynapro",FurnitureData,5,0)+(2*VLOOKUP("Bin (42L Anthracite)",FurnitureData,5,0)),IF(ISERROR(FIND("larder",A194))=FALSE,VLOOKUP("Pull out larder unit 600mm",FurnitureData,5,0),IF(AND(ISERROR(FIND("drawer box",A194))=FALSE,ISERROR(FIND("internal",A194))=TRUE),VLOOKUP("Drawer runners and clip set (550) Dynapro",FurnitureData,5,0),IF(ISERROR(FIND("internal drawer box",A194))=FALSE,VLOOKUP("Drawer runners and clip set (450) Dynapro",FurnitureData,5,0),IF(ISERROR(FIND("table",A194))=FALSE,VLOOKUP("Hairpin Leg (12mm Black "&amp;MID(A194,FIND("(",A194)+1,LEN(A194)-(FIND("(",A194))-1)&amp;"mm)",ExceptionalData,4,FALSE),""))))))</f>
        <v/>
      </c>
      <c r="L194" s="152" t="str">
        <f t="shared" si="3"/>
        <v/>
      </c>
      <c r="M194" s="154" t="str">
        <f>IF(A194="","",IF(AND(ISERROR(FIND("drawer front",A194))=FALSE,WardrobeDoorStyle="Flat"),(((B194/1000)*(C194/1000))*2)+((((B194+C194)/1000)*2)*0.022),IF(AND(ISERROR(FIND("drawer front",A194))=FALSE,LEFT(WardrobeDoorStyle,5)="Panel"),(((B194/1000)*(C194/1000))*2)+((((B194+C194)/1000)*2)*0.022)+((((C194/1000)-0.16)*0.013)*2)+((((D194/1000)-0.16)*0.013)*2),IF(AND(ISERROR(FIND("drawer front",A194))=FALSE,WardrobeDoorStyle="In-frame flat"),((((B194-76)/1000)*((C194-38)/1000))*2)+(MID(WardrobeDoorMaterial,FIND("(",WardrobeDoorMaterial)+1,2)/1000)*((((B194-76)+(C194-38))/1000)*2)+(((B194/1000)*0.032)*2)+((((B194-76)/1000)*0.032)*2)+(((B194/1000)*0.019)*4)+(((C194/1000)*0.032)*2)+((((C194-38)/1000)*0.032)*2)+(((C194/1000)*0.038)*4),IF(AND(ISERROR(FIND("drawer front",A194))=FALSE,LEFT(WardrobeDoorStyle,14)="In-frame panel"),((((B194-76)/1000)*((C194-38)/1000))*2)+((MID(WardrobeDoorMaterial,FIND("(",WardrobeDoorMaterial)+1,2)/1000)*((((B194-76)+(C194-38))/1000)*2))+((((B194-236)/1000)+((C194-198)/1000)*2)*0.013)+(((B194/1000)*0.032)*2)+((((B194-76)/1000)*0.032)*2)+(((B194/1000)*0.019)*4)+(((C194/1000)*0.032)*2)+((((C194-38)/1000)*0.032)*2)+(((C194/1000)*0.038)*4),IF(ISERROR(FIND("drawer box",A194))=FALSE,((((B194/1000)*(D194/1000))+((B194/1000)*(C194/1000)))*4)+((((D194/1000)+(C194/1000))*0.016)*4)+(((C194/1000)*(D194/1000))*2),IF(OR(ISERROR(FIND("shelf",A194))=FALSE,ISERROR(FIND("Filler panel",A194))=FALSE),(((C194/1000)*(D194/1000))*2)+((((C194+D194)*2)/1000)*0.022),IF(ISERROR(FIND("Fireplace",A194))=FALSE,((B194/1000)*(C194/1000)),IF(ISERROR(FIND("Worktop",A194))=FALSE,(B194/1000)*(C194/1000),IF(ISERROR(FIND("table",A194))=FALSE,(B194/1000)*0.6,IF(ISERROR(FIND("arcass",A194))=FALSE,(((C194/1000)*(D194/1000))*2)+(((B194/1000)*(D194/1000))*2)+((B194/1000)*(C194/1000))+((((B194/1000)*0.025)+((C194/1000)*0.025))*2),IF(AND(ISERROR(FIND("door",A194))=FALSE,WardrobeDoorStyle="Flat"),(((B194/1000)*(C194/1000))*2)+(MID(WardrobeDoorMaterial,FIND("(",WardrobeDoorMaterial)+1,2)/1000)*(((B194+C194)/1000)*2),IF(AND(ISERROR(FIND("door",A194))=FALSE,LEFT(WardrobeDoorStyle,5)="Panel"),(((B194/1000)*(C194/1000))*2)+((MID(WardrobeDoorMaterial,FIND("(",WardrobeDoorMaterial)+1,2)/1000)*(((B194+C194)/1000)*2))+(((((B194-160)+(C194-160))*2)/1000)*(0.013)),IF(AND(ISERROR(FIND("door",A194))=FALSE,WardrobeDoorStyle="In-frame flat"),((((B194-76)/1000)*((C194-38)/1000))*2)+(MID(WardrobeDoorMaterial,FIND("(",WardrobeDoorMaterial)+1,2)/1000)*((((B194-76)+(C194-38))/1000)*2)+(((B194/1000)*0.032)*2)+((((B194-76)/1000)*0.032)*2)+(((B194/1000)*0.019)*4)+(((C194/1000)*0.032)*2)+((((C194-38)/1000)*0.032)*2)+(((C194/1000)*0.038)*4),IF(AND(ISERROR(FIND("door",A194))=FALSE,LEFT(WardrobeDoorStyle,14)="In-frame panel"),((((B194-76)/1000)*((C194-38)/1000))*2)+((MID(WardrobeDoorMaterial,FIND("(",WardrobeDoorMaterial)+1,2)/1000)*((((B194-76)+(C194-38))/1000)*2))+((((B194-236)/1000)+((C194-198)/1000)*2)*0.013)+(((B194/1000)*0.032)*2)+((((B194-76)/1000)*0.032)*2)+(((B194/1000)*0.019)*4)+(((C194/1000)*0.032)*2)+((((C194-38)/1000)*0.032)*2)+(((C194/1000)*0.038)*4),IF(ISERROR(FIND("Plinth",A194))=FALSE,((B194/1000)*(C194/1000))+(((C194/1000)*0.018)*2)+(((B194/1000)*0.018)*2),IF(ISERROR(FIND("Cornice",A194))=FALSE,(((C194/1000)*0.1)*2)+(((C194/1000)*0.044)*2)+(((B194/1000)*0.08)*2),IF(ISERROR(FIND("Office pod",A194))=FALSE,((2400/1000)*(1200/1000))*6,IF(ISERROR(FIND("panel",A194))=FALSE,((B194/1000)*(C194/1000))+(0.022*((B194/1000)+((C194/1000)*2)))+((B194/1000)*0.05),IF(ISERROR(FIND("Fillers",A194))=FALSE,((C194/1000)*0.06)+((C194/1000)*0.069)+((0.06*0.018)*2)+((0.06*0.009)*2)+((C194/1000)*0.009)+((C194/1000)*0.018),IF(ISERROR(FIND("Pelmet",A194))=FALSE,((C194/1000)*0.05)+((C194/1000)*0.068)+((0.05*0.018)*4)+(((C194/1000)*0.018))*2)))))))))))))))))))))</f>
        <v/>
      </c>
      <c r="N194" s="152" t="str">
        <f>IF(M194="","",IF(AND(ISERROR(FIND("carcass",A194))=TRUE,ISERROR(FIND("unit",A194))=TRUE,ISERROR(FIND("insert",A194))=TRUE,ISERROR(FIND("rack",A194))=TRUE,ISERROR(FIND("box",A194))=TRUE,ISERROR(FIND("shelf",A194))=TRUE),VLOOKUP(WardrobeDoorFinish,Finishing!$A$2:$K$10,9,0)*M194,IF(ISERROR(FIND("table",A194))=FALSE,VLOOKUP("Sayerlack AF0072 Interior Clear Self-Sealer",FinishingData,9,FALSE)*M194,VLOOKUP(WardrobeCarcassFinish,Finishing!$A$2:$K$40,9,0)*M194)))</f>
        <v/>
      </c>
      <c r="O194" s="155"/>
      <c r="P194" s="155"/>
      <c r="Q194" s="152" t="str">
        <f>IF(OR(O194="",P194=""),"",((O194*X194)*(VLOOKUP("Workshop",Labour!$A$3:$E$20,4,0)/8))+((P194*AE194)*(VLOOKUP("Finishing",Labour!$A$3:$E$20,4,0)/8)))</f>
        <v/>
      </c>
      <c r="R194" s="152" t="str">
        <f t="shared" si="4"/>
        <v/>
      </c>
      <c r="S194" s="156" t="str">
        <f>IF(OR(O194="",P194=""),"",IF(OR(ISERROR(FIND("carcass",$A194))=FALSE,ISERROR(FIND("unit",$A194))=FALSE),VLOOKUP(WardrobeCarcassMaterial,FixedListsCarcassMaterial,2,0),0))</f>
        <v/>
      </c>
      <c r="T194" s="156" t="str">
        <f>IF(OR(O194="",P194=""),"",IF(ISERROR(FIND("door",$A194))=FALSE,VLOOKUP(WardrobeDoorStyle,FixedListsDoorStyle,2,0),0))</f>
        <v/>
      </c>
      <c r="U194" s="156" t="str">
        <f>IF(OR(O194="",P194=""),"",IF(ISERROR(FIND("door",$A194))=FALSE,VLOOKUP(WardrobeDoorMaterial,FixedListsDoorMaterial,2,0),0))</f>
        <v/>
      </c>
      <c r="V194" s="156" t="str">
        <f>IF(OR(O194="",P194=""),"",IF(ISERROR(FIND("drawer",$A194))=FALSE,VLOOKUP(WardrobeDrawerType,FixedListsDrawerType,2,0),0))</f>
        <v/>
      </c>
      <c r="W194" s="156" t="str">
        <f>IF(OR(O194="",P194=""),"",IF(S194&gt;0,VLOOKUP(WardrobeHandleType,FixedListsHandleType,2,FALSE),0))</f>
        <v/>
      </c>
      <c r="X194" s="156" t="str">
        <f t="shared" si="5"/>
        <v/>
      </c>
      <c r="Y194" s="156" t="str">
        <f>IF(OR(O194="",P194=""),"",IF(OR(ISERROR(FIND("carcass",$A194))=FALSE,ISERROR(FIND("unit",$A194))=FALSE),VLOOKUP(WardrobeCarcassMaterial,FixedListsCarcassMaterial,3,0),0))</f>
        <v/>
      </c>
      <c r="Z194" s="156" t="str">
        <f>IF(OR(O194="",P194=""),"",IF(ISERROR(FIND("door",$A194))=FALSE,VLOOKUP(WardrobeDoorStyle,FixedListsDoorStyle,3,0),0))</f>
        <v/>
      </c>
      <c r="AA194" s="156" t="str">
        <f>IF(OR(O194="",P194=""),"",IF(ISERROR(FIND("door",$A194))=FALSE,VLOOKUP(WardrobeDoorMaterial,FixedListsDoorMaterial,3,0),0))</f>
        <v/>
      </c>
      <c r="AB194" s="156" t="str">
        <f>IF(OR(O194="",P194=""),"",IF(ISERROR(FIND("drawer",$A194))=FALSE,VLOOKUP(WardrobeDrawerType,FixedListsDrawerType,3,0),0))</f>
        <v/>
      </c>
      <c r="AC194" s="156" t="str">
        <f>IF(OR(O194="",P194=""),"",IF(S194&gt;0,VLOOKUP(WardrobeHandleType,FixedListsHandleType,3,FALSE),0))</f>
        <v/>
      </c>
      <c r="AD194" s="156" t="str">
        <f>IF(OR(O194="",P194=""),"",IF(OR(ISERROR(FIND("carcass",$A194))=FALSE,ISERROR(FIND("unit",$A194))=FALSE),VLOOKUP(WardrobeCarcassFinish,FixedListsFinishes,3,0),IF(OR(ISERROR(FIND("door",$A194))=FALSE,ISERROR(FIND("Plinth",$A194))=FALSE,ISERROR(FIND("Cornice",$A194))=FALSE,ISERROR(FIND("Fillers",$A194))=FALSE,ISERROR(FIND("Pelmet",$A194))=FALSE,ISERROR(FIND("panel",$A194))=FALSE,ISERROR(FIND("post",$A194))=FALSE),VLOOKUP(WardrobeDoorFinish,FixedListsFinishes,3,0),IF(OR(ISERROR(FIND("drawer",$A194))=FALSE,ISERROR(FIND("insert",$A194))=FALSE,ISERROR(FIND("rck",$A194))=FALSE),VLOOKUP(WardrobeCarcassFinish,FixedListsFinishes,3,0),0))))</f>
        <v/>
      </c>
      <c r="AE194" s="156" t="str">
        <f t="shared" si="6"/>
        <v/>
      </c>
      <c r="AF194" s="157" t="str">
        <f>IF(AND(WardrobeHandleType="Channel",OR(ISERROR(FIND("arcass",$A194))=FALSE,ISERROR(FIND("unit",$A194))=FALSE)),IF(ISERROR(FIND("Tower",$A194))=TRUE,IF(WardrobeHandleFinish="Match carcass",IF(ISERROR(FIND("Walnut",WardrobeCarcassMaterial))=FALSE,(0.035*0.075*($C194/1000))*VLOOKUP("Walnut (solid m3)",SolidData,4,FALSE),IF(ISERROR(FIND("Oak",WardrobeCarcassMaterial))=FALSE,(0.035*0.075*($C194/1000))*VLOOKUP("Oak (solid m3)",SolidData,4,FALSE),IF(ISERROR(FIND("ply",WardrobeCarcassMaterial))=FALSE,(0.1*($C194/1000))*VLOOKUP("Birch ply (24mm)",SheetsData,7,FALSE),IF(ISERROR(FIND("H/F",WardrobeCarcassMaterial))=FALSE,(0.1*($C194/1000))*VLOOKUP("H/F (22mm)",SheetsData,7,FALSE),"Carcass - not tower - new material")))),IF(WardrobeHandleFinish="Match door",IF(ISERROR(FIND("Walnut",WardrobeDoorMaterial))=FALSE,(0.035*0.075*($C194/1000))*VLOOKUP("Walnut (solid m3)",SolidData,4,FALSE),IF(ISERROR(FIND("Oak",WardrobeDoorMaterial))=FALSE,(0.035*0.075*($C194/1000))*VLOOKUP("Oak (solid m3)",SolidData,4,FALSE),IF(ISERROR(FIND("ply",WardrobeDoorMaterial))=FALSE,(0.1*($C194/1000))*VLOOKUP("Birch ply (24mm)",SheetsData,7,FALSE),IF(ISERROR(FIND("H/F",WardrobeCarcassMaterial))=FALSE,(0.1*($C194/1000))*VLOOKUP("H/F (22mm)",SheetsData,7,FALSE),"Door - not tower - new material")))),"Channel - not tower - handle set to other")),IF(ISERROR(FIND("Tower",$A194))=FALSE,IF(WardrobeHandleFinish="Match carcass",IF(ISERROR(FIND("Walnut",WardrobeCarcassMaterial))=FALSE,(0.035*0.075*($B194/1000))*VLOOKUP("Walnut (solid m3)",SolidData,4,FALSE),IF(ISERROR(FIND("Oak",WardrobeCarcassMaterial))=FALSE,(0.035*0.075*($B194/1000))*VLOOKUP("Oak (solid m3)",SolidData,4,FALSE),IF(ISERROR(FIND("ply",WardrobeCarcassMaterial))=FALSE,(0.1*($B194/1000))*VLOOKUP("Birch ply (24mm)",SheetsData,7,FALSE),IF(ISERROR(FIND("H/F",WardrobeCarcassMaterial))=FALSE,(0.1*($C194/1000))*VLOOKUP("H/F (22mm)",SheetsData,7,FALSE),"Carcass - tower - new material")))),IF(WardrobeHandleFinish="Match door",IF(ISERROR(FIND("Walnut",WardrobeDoorMaterial))=FALSE,(0.035*0.075*($B194/1000))*VLOOKUP("Walnut (solid m3)",SolidData,4,FALSE),IF(ISERROR(FIND("Oak",WardrobeDoorMaterial))=FALSE,(0.035*0.075*($B194/1000))*VLOOKUP("Oak (solid m3)",SolidData,4,FALSE),IF(ISERROR(FIND("ply",WardrobeDoorMaterial))=FALSE,(0.1*($B194/1000))*VLOOKUP("Birch ply (24mm)",SheetData,7,FALSE),IF(ISERROR(FIND("H/F",WardrobeCarcassMaterial))=FALSE,(0.1*($C194/1000))*VLOOKUP("H/F (22mm)",SheetsData,7,FALSE),"Door - tower - new material")))),"Channel - tower - handle set to other")))),"")</f>
        <v/>
      </c>
    </row>
    <row r="195">
      <c r="A195" s="150"/>
      <c r="B195" s="160" t="str">
        <f t="shared" si="1"/>
        <v/>
      </c>
      <c r="C195" s="160" t="str">
        <f>IFERROR(__xludf.DUMMYFUNCTION("IF(A195="""","""",IF(ISERROR(FIND(""arcass"",A195))=FALSE,MID(A195,FIND(""*"",A195)+1,FIND(""*"",A195,FIND(""*"",A195)+1)-FIND(""*"",A195)-1),IF(ISERROR(FIND(""End panel"",A195))=FALSE,RIGHT(A195,3),IF(OR(ISERROR(FIND(""drawer"",A195))=FALSE,ISERROR(FIND("&amp;"""door"",A195))=FALSE,ISERROR(FIND(""shelf"",A195))=FALSE,ISERROR(FIND(""panel"",A195))=FALSE,ISERROR(FIND(""Plinth"",A195))=FALSE,ISERROR(FIND(""Cornice"",A195))=FALSE,ISERROR(FIND(""Fillers"",A195))=FALSE,ISERROR(FIND(""Pelmet"",A195))=FALSE,ISERROR(FIN"&amp;"D(""Fireplace up to 1600"",A195))=FALSE),RIGHT(A195,LEN(A195)-LEN(regexextract(A195,"".* ""))),IF(ISERROR(FIND(""table"",A195))=FALSE,""560"",IF(ISERROR(FIND(""Office pod"",A195))=FALSE,""1600"",IF(ISERROR(FIND(""Fireplace over 1600"",A195))=FALSE,""2400"&amp;""",IF(ISERROR(FIND(""Worktop"",A195))=FALSE,""650"",""Whoops""))))))))"),"")</f>
        <v/>
      </c>
      <c r="D195" s="161" t="str">
        <f t="shared" si="2"/>
        <v/>
      </c>
      <c r="E195" s="152" t="str">
        <f>IF(OR(A195="",AND(ISERROR(FIND("drawer",A195))=FALSE,WardrobeDrawerType="")),"",IF(ISERROR(FIND("door",A195))=FALSE,IF(WardrobeDoorStyle="Flat",((B195/1000)*(C195/1000))*VLOOKUP(WardrobeDoorMaterial,SheetsData,8,0),IF(LEFT(WardrobeDoorStyle,5)="Panel",(((((B195/1000)*2)*0.08)+((((C195/1000)-0.16)*2)*0.08))*VLOOKUP("H/F (22mm)",SheetsData,8,0))+(((B195/1000)-0.14)*((C195/1000)-0.14)*VLOOKUP("H/F (9mm)",SheetsData,8,0)),IF(WardrobeDoorStyle="In-frame flat",((((((B195/1000)*0.019)*0.038)+((((C195-38)/1000)*0.038)*0.038))*2)*VLOOKUP("Tulip (solid m3)",SolidData,4,0))+(((B195-76)/1000)*((C195-38)/1000))*VLOOKUP("H/F (22mm)",SheetsData,8,0),IF(LEFT(WardrobeDoorStyle,14)="In-frame panel",(((((((B195/1000)*0.019)*0.038)+((((C195-38)/1000)*0.038)*0.038))*2)*VLOOKUP("Tulip (solid m3)",SolidData,4,0))+(((((((B195-76)/1000)*2)*0.08)+(((((C195-198)/1000)*2)*0.08)))*VLOOKUP("H/F (22mm)",SheetsData,8,0))+(((B195-216)/1000)*((C195-178)/1000)*VLOOKUP("H/F (9mm)",SheetsData,8,0)))))))),IF(AND(ISERROR(FIND("arcass",A195))=FALSE,ISERROR(FIND("ost corner",A195))=TRUE),IF(AND(VALUE(B195)&lt;1211,VALUE(C195)&lt;1211,VALUE(D195)&lt;606),1*VLOOKUP(WardrobeCarcassMaterial,SheetsData,5,FALSE),IF(AND(VALUE(B195)&lt;2421,VALUE(C195)&lt;2421,VALUE(D195)&lt;606),2*VLOOKUP(WardrobeCarcassMaterial,SheetsData,5,FALSE),IF(AND(VALUE(B195)&lt;2421,VALUE(C195)&lt;1211,VALUE(D195)&lt;1211),3*VLOOKUP(WardrobeCarcassMaterial,SheetsData,5,FALSE),IF(AND(VALUE(B195)&lt;2421,VALUE(C195)&lt;2421,VALUE(D195)&lt;1211),4*VLOOKUP(WardrobeCarcassMaterial,SheetsData,5,FALSE))))),IF(AND(ISERROR(FIND("arcass",A195))=FALSE,ISERROR(FIND("ost corner",A195))=FALSE),IF(AND(VALUE(B195)&lt;1211,VALUE(C195)&lt;1211,VALUE(D195)&lt;606),(1*VLOOKUP(WardrobeCarcassMaterial,SheetsData,5,FALSE))+(VLOOKUP("H/F (22mm)",SheetsData,7,FALSE)*1.44),IF(AND(VALUE(B195)&lt;2421,VALUE(C195)&lt;2421,VALUE(D195)&lt;606),(2*VLOOKUP(WardrobeCarcassMaterial,SheetsData,5,FALSE))+(VLOOKUP("H/F (22mm)",SheetsData,7,FALSE)*1.44),IF(AND(VALUE(B195)&lt;2421,VALUE(C195)&lt;1211,VALUE(D195)&lt;1211),(3*VLOOKUP(WardrobeCarcassMaterial,SheetsData,5,FALSE))+(VLOOKUP("H/F (22mm)",SheetsData,7,FALSE)*1.44),IF(AND(VALUE(B195)&lt;2421,VALUE(C195)&lt;2421,VALUE(D195)&lt;1211),(4*VLOOKUP(WardrobeCarcassMaterial,SheetsData,5,FALSE))+(VLOOKUP("H/F (22mm)",SheetsData,7,FALSE)*1.44))))),IF(ISERROR(FIND("drawer front",A195))=FALSE,((B195/1000)*(C195/1000))*VLOOKUP(WardrobeDoorMaterial,SheetsData,8,0),IF(AND(WardrobeDrawerType="Match carcass",ISERROR(FIND("drawer box",A195))=FALSE),(((((B195/1000)*(C195/1000))+((B195/1000)*(D195/1000)))*2)*VLOOKUP(WardrobeCarcassMaterial,SheetsData,8,0))+(((C195/1000)*(D195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box",A195))=FALSE),(((((B195/1000)*(C195/1000))+((B195/1000)*(D195/1000)))*2)*(16/1000)*VLOOKUP(LEFT(WardrobeCarcassMaterial,FIND(" ",WardrobeCarcassMaterial))&amp;"(solid m3)",SolidData,4,0))+(((C195/1000)*(D195/1000))*VLOOKUP(LEFT(WardrobeCarcassMaterial,FIND("(",WardrobeCarcassMaterial)-1)&amp;IF(OR(ISERROR(FIND("ply",WardrobeCarcassMaterial))=FALSE,ISERROR(FIND("H/F",WardrobeCarcassMaterial))=FALSE),"(9mm)","(10mm)"),SheetsData,8,0)),IF(ISERROR(FIND("shelf",A195))=FALSE,((C195/1000)*(D195/1000))*VLOOKUP(WardrobeCarcassMaterial,SheetsData,7,FALSE),IF(ISERROR(FIND("Office pod",A195))=FALSE,3*VLOOKUP(WardrobeCarcassMaterial,SheetsData,5,0),IF(ISERROR(FIND(" panel",A195))=FALSE,((B195/1000)*(C195/1000))*VLOOKUP(WardrobeDoorMaterial,SheetsData,8,0),IF(ISERROR(FIND("Fillers",A195))=FALSE,(((0.06*(C195/1000))*2)*VLOOKUP("H/F (18mm)",SheetsData,8,0))+(((0.06*(C195/1000))*2)*VLOOKUP("H/F (9mm)",SheetsData,8,0)),IF(ISERROR(FIND("Cornice (stacked)",A195))=FALSE,((0.08*(C195/1000))*2)*VLOOKUP("H/F (22mm)",SheetsData,8,0),IF(OR(ISERROR(FIND("Plinth",A195))=FALSE,ISERROR(FIND("Cornice (flat)",A195))=FALSE),((B195/1000)*(C195/1000))*VLOOKUP("H/F (18mm)",SheetsData,8,0),IF(ISERROR(FIND("Pelmet",A195))=FALSE,((((B195/1000)*(C195/1000))*2)*VLOOKUP("H/F (18mm)",SheetsData,8,0)),IF(ISERROR(FIND("Fireplace",A195))=FALSE,IF(ISERROR(FIND("over 1600",A195))=FALSE,2*VLOOKUP(WardrobeCarcassMaterial,SheetsData,5,FALSE),VLOOKUP(WardrobeCarcassMaterial,SheetsData,5,FALSE)),IF(ISERROR(FIND("table",A195))=FALSE,((B195/1000)*0.6)*VLOOKUP("Birch ply (24mm)",SheetsData,7,FALSE),IF(ISERROR(FIND("Worktop",A195))=FALSE,((B195/1000)*(C195/1000))*VLOOKUP(WardrobeDoorMaterial,SheetsData,7,FALSE),"Check formula")))))))))))))))))</f>
        <v/>
      </c>
      <c r="F195" s="152" t="str">
        <f>IFERROR(__xludf.DUMMYFUNCTION("IF(OR(A195="""",AND(ISERROR(FIND(""drawer box"",A195))=FALSE,WardrobeDrawerType=""Solid dovetail"")),"""",IF(ISERROR(FIND(""bins"",A195))=FALSE,VLOOKUP(""Base carcass 600"",Wardrobes_etcData,6,0),IF(OR(ISERROR(FIND(""larder"",A195))=FALSE,ISERROR(FIND(""u"&amp;"nit"",A195))=FALSE),VLOOKUP(LEFT(A195,FIND("" "",A195))&amp;""carcass ""&amp;RIGHT(A195,LEN(A195)-len(regexextract(A195,"".* ""))),Wardrobes_etcData,6,0),IF(ISERROR(FIND(""drawer front"",A195))=FALSE,IF(ISERROR(FIND(""veneer"",WardrobeCarcassMaterial))=TRUE,0,((("&amp;"B195+C195)/1000)*2)*VLOOKUP(""Edge banding (per M)"",SheetsData,5,0)),IF(ISERROR(FIND(""drawer box"",A195))=FALSE,IF(ISERROR(FIND(""veneer"",WardrobeCarcassMaterial))=TRUE,0,(((C195+D195)/1000)*2)*VLOOKUP(""Edge banding (per M)"",SheetsData,5,0)),IF(ISERR"&amp;"OR(FIND(""shelf"",A195))=FALSE,IF(ISERROR(FIND(""veneer"",WardrobeCarcassMaterial))=TRUE,0,(C195/1000)*VLOOKUP(""Edge banding (per M)"",SheetsData,5,0)),IF(AND(OR(ISERROR(FIND(""arcass"",A195))=FALSE,ISERROR(FIND(""Fireplace"",A195))=FALSE),ISERROR(FIND("&amp;"""shelf"",A195))=TRUE),IF(ISERROR(FIND(""veneer"",WardrobeCarcassMaterial))=TRUE,0,((2*(B195+C195))/1000)*VLOOKUP(""Edge banding (per M)"",SheetsData,5,0)),IF(ISERROR(FIND(""door"",A195))=TRUE,"""",IF(ISERROR(FIND(""veneer"",WardrobeDoorMaterial))=TRUE,"""&amp;""",((2*(B195+C195))/1000)*VLOOKUP(""Edge banding (per M)"",SheetsData,5,0))))))))))"),"")</f>
        <v/>
      </c>
      <c r="G195" s="153" t="str">
        <f>IF(A195="","",IF(AND(ISERROR(FIND("arcass",A195))=TRUE,ISERROR(FIND("Fireplace",A195))=TRUE),"",IF(VALUE(C195)&lt;606,4*VLOOKUP("Plinth foot (2 Parts 80mm)",FurnitureData,5,FALSE),IF(VALUE(C195)&lt;1211,6*VLOOKUP("Plinth foot (2 Parts 80mm)",FurnitureData,5,FALSE),8*VLOOKUP("Plinth foot (2 Parts 80mm)",FurnitureData,5,FALSE)))))</f>
        <v/>
      </c>
      <c r="H195" s="115" t="str">
        <f>IF(OR(A195="",ISERROR(FIND("door",A195))=TRUE),"",VLOOKUP("Hinges &amp; plates (Hettich thick door)",FurnitureData,5,0)*5)</f>
        <v/>
      </c>
      <c r="I195" s="115" t="str">
        <f>IF(ISERROR(FIND("shelf",A195))=FALSE,(VLOOKUP("Shelf pegs",FurnitureData,5,0)/100)*4,"")</f>
        <v/>
      </c>
      <c r="J195" s="152" t="str">
        <f>IF(OR(ISERROR(FIND("fridge/freezer",A195))=FALSE,ISERROR(FIND("sink",A195))=FALSE,ISERROR(FIND("larder",A195))=FALSE),VLOOKUP("Deep shelf "&amp;C195,Wardrobes_etcData,18,0),IF(OR(ISERROR(FIND("single oven",A195))=FALSE,ISERROR(FIND("Base carcass",A195))=FALSE),2*VLOOKUP("Deep shelf "&amp;C195,Wardrobes_etcData,18,0),IF(AND(ISERROR(FIND("wall carcass",A195))=FALSE,ISERROR(FIND("Boiler",A195))=TRUE),2*VLOOKUP("Shallow shelf "&amp;C195,Wardrobes_etcData,18,0),IF(ISERROR(FIND("double oven",A195))=FALSE,3*VLOOKUP("Deep shelf "&amp;C195,Wardrobes_etcData,18,0),IF(ISERROR(FIND("Tower carcass",A195))=FALSE,6*VLOOKUP("Deep shelf "&amp;C195,Wardrobes_etcData,18,0),"")))))</f>
        <v/>
      </c>
      <c r="K195" s="152" t="str">
        <f>IF(ISERROR(FIND("sink",A195))=FALSE,VLOOKUP("Sink liner - Aluminium "&amp;RIGHT(A195,LEN(A195)-22)&amp;"mm",ExceptionalData,5,0),IF(ISERROR(FIND("bins",A195))=FALSE,VLOOKUP("Drawer runners and clip set for bin unit (500) Dynapro",FurnitureData,5,0)+(2*VLOOKUP("Bin (42L Anthracite)",FurnitureData,5,0)),IF(ISERROR(FIND("larder",A195))=FALSE,VLOOKUP("Pull out larder unit 600mm",FurnitureData,5,0),IF(AND(ISERROR(FIND("drawer box",A195))=FALSE,ISERROR(FIND("internal",A195))=TRUE),VLOOKUP("Drawer runners and clip set (550) Dynapro",FurnitureData,5,0),IF(ISERROR(FIND("internal drawer box",A195))=FALSE,VLOOKUP("Drawer runners and clip set (450) Dynapro",FurnitureData,5,0),IF(ISERROR(FIND("table",A195))=FALSE,VLOOKUP("Hairpin Leg (12mm Black "&amp;MID(A195,FIND("(",A195)+1,LEN(A195)-(FIND("(",A195))-1)&amp;"mm)",ExceptionalData,4,FALSE),""))))))</f>
        <v/>
      </c>
      <c r="L195" s="152" t="str">
        <f t="shared" si="3"/>
        <v/>
      </c>
      <c r="M195" s="154" t="str">
        <f>IF(A195="","",IF(AND(ISERROR(FIND("drawer front",A195))=FALSE,WardrobeDoorStyle="Flat"),(((B195/1000)*(C195/1000))*2)+((((B195+C195)/1000)*2)*0.022),IF(AND(ISERROR(FIND("drawer front",A195))=FALSE,LEFT(WardrobeDoorStyle,5)="Panel"),(((B195/1000)*(C195/1000))*2)+((((B195+C195)/1000)*2)*0.022)+((((C195/1000)-0.16)*0.013)*2)+((((D195/1000)-0.16)*0.013)*2),IF(AND(ISERROR(FIND("drawer front",A195))=FALSE,WardrobeDoorStyle="In-frame flat"),((((B195-76)/1000)*((C195-38)/1000))*2)+(MID(WardrobeDoorMaterial,FIND("(",WardrobeDoorMaterial)+1,2)/1000)*((((B195-76)+(C195-38))/1000)*2)+(((B195/1000)*0.032)*2)+((((B195-76)/1000)*0.032)*2)+(((B195/1000)*0.019)*4)+(((C195/1000)*0.032)*2)+((((C195-38)/1000)*0.032)*2)+(((C195/1000)*0.038)*4),IF(AND(ISERROR(FIND("drawer front",A195))=FALSE,LEFT(WardrobeDoorStyle,14)="In-frame panel"),((((B195-76)/1000)*((C195-38)/1000))*2)+((MID(WardrobeDoorMaterial,FIND("(",WardrobeDoorMaterial)+1,2)/1000)*((((B195-76)+(C195-38))/1000)*2))+((((B195-236)/1000)+((C195-198)/1000)*2)*0.013)+(((B195/1000)*0.032)*2)+((((B195-76)/1000)*0.032)*2)+(((B195/1000)*0.019)*4)+(((C195/1000)*0.032)*2)+((((C195-38)/1000)*0.032)*2)+(((C195/1000)*0.038)*4),IF(ISERROR(FIND("drawer box",A195))=FALSE,((((B195/1000)*(D195/1000))+((B195/1000)*(C195/1000)))*4)+((((D195/1000)+(C195/1000))*0.016)*4)+(((C195/1000)*(D195/1000))*2),IF(OR(ISERROR(FIND("shelf",A195))=FALSE,ISERROR(FIND("Filler panel",A195))=FALSE),(((C195/1000)*(D195/1000))*2)+((((C195+D195)*2)/1000)*0.022),IF(ISERROR(FIND("Fireplace",A195))=FALSE,((B195/1000)*(C195/1000)),IF(ISERROR(FIND("Worktop",A195))=FALSE,(B195/1000)*(C195/1000),IF(ISERROR(FIND("table",A195))=FALSE,(B195/1000)*0.6,IF(ISERROR(FIND("arcass",A195))=FALSE,(((C195/1000)*(D195/1000))*2)+(((B195/1000)*(D195/1000))*2)+((B195/1000)*(C195/1000))+((((B195/1000)*0.025)+((C195/1000)*0.025))*2),IF(AND(ISERROR(FIND("door",A195))=FALSE,WardrobeDoorStyle="Flat"),(((B195/1000)*(C195/1000))*2)+(MID(WardrobeDoorMaterial,FIND("(",WardrobeDoorMaterial)+1,2)/1000)*(((B195+C195)/1000)*2),IF(AND(ISERROR(FIND("door",A195))=FALSE,LEFT(WardrobeDoorStyle,5)="Panel"),(((B195/1000)*(C195/1000))*2)+((MID(WardrobeDoorMaterial,FIND("(",WardrobeDoorMaterial)+1,2)/1000)*(((B195+C195)/1000)*2))+(((((B195-160)+(C195-160))*2)/1000)*(0.013)),IF(AND(ISERROR(FIND("door",A195))=FALSE,WardrobeDoorStyle="In-frame flat"),((((B195-76)/1000)*((C195-38)/1000))*2)+(MID(WardrobeDoorMaterial,FIND("(",WardrobeDoorMaterial)+1,2)/1000)*((((B195-76)+(C195-38))/1000)*2)+(((B195/1000)*0.032)*2)+((((B195-76)/1000)*0.032)*2)+(((B195/1000)*0.019)*4)+(((C195/1000)*0.032)*2)+((((C195-38)/1000)*0.032)*2)+(((C195/1000)*0.038)*4),IF(AND(ISERROR(FIND("door",A195))=FALSE,LEFT(WardrobeDoorStyle,14)="In-frame panel"),((((B195-76)/1000)*((C195-38)/1000))*2)+((MID(WardrobeDoorMaterial,FIND("(",WardrobeDoorMaterial)+1,2)/1000)*((((B195-76)+(C195-38))/1000)*2))+((((B195-236)/1000)+((C195-198)/1000)*2)*0.013)+(((B195/1000)*0.032)*2)+((((B195-76)/1000)*0.032)*2)+(((B195/1000)*0.019)*4)+(((C195/1000)*0.032)*2)+((((C195-38)/1000)*0.032)*2)+(((C195/1000)*0.038)*4),IF(ISERROR(FIND("Plinth",A195))=FALSE,((B195/1000)*(C195/1000))+(((C195/1000)*0.018)*2)+(((B195/1000)*0.018)*2),IF(ISERROR(FIND("Cornice",A195))=FALSE,(((C195/1000)*0.1)*2)+(((C195/1000)*0.044)*2)+(((B195/1000)*0.08)*2),IF(ISERROR(FIND("Office pod",A195))=FALSE,((2400/1000)*(1200/1000))*6,IF(ISERROR(FIND("panel",A195))=FALSE,((B195/1000)*(C195/1000))+(0.022*((B195/1000)+((C195/1000)*2)))+((B195/1000)*0.05),IF(ISERROR(FIND("Fillers",A195))=FALSE,((C195/1000)*0.06)+((C195/1000)*0.069)+((0.06*0.018)*2)+((0.06*0.009)*2)+((C195/1000)*0.009)+((C195/1000)*0.018),IF(ISERROR(FIND("Pelmet",A195))=FALSE,((C195/1000)*0.05)+((C195/1000)*0.068)+((0.05*0.018)*4)+(((C195/1000)*0.018))*2)))))))))))))))))))))</f>
        <v/>
      </c>
      <c r="N195" s="152" t="str">
        <f>IF(M195="","",IF(AND(ISERROR(FIND("carcass",A195))=TRUE,ISERROR(FIND("unit",A195))=TRUE,ISERROR(FIND("insert",A195))=TRUE,ISERROR(FIND("rack",A195))=TRUE,ISERROR(FIND("box",A195))=TRUE,ISERROR(FIND("shelf",A195))=TRUE),VLOOKUP(WardrobeDoorFinish,Finishing!$A$2:$K$10,9,0)*M195,IF(ISERROR(FIND("table",A195))=FALSE,VLOOKUP("Sayerlack AF0072 Interior Clear Self-Sealer",FinishingData,9,FALSE)*M195,VLOOKUP(WardrobeCarcassFinish,Finishing!$A$2:$K$40,9,0)*M195)))</f>
        <v/>
      </c>
      <c r="O195" s="155"/>
      <c r="P195" s="155"/>
      <c r="Q195" s="152" t="str">
        <f>IF(OR(O195="",P195=""),"",((O195*X195)*(VLOOKUP("Workshop",Labour!$A$3:$E$20,4,0)/8))+((P195*AE195)*(VLOOKUP("Finishing",Labour!$A$3:$E$20,4,0)/8)))</f>
        <v/>
      </c>
      <c r="R195" s="152" t="str">
        <f t="shared" si="4"/>
        <v/>
      </c>
      <c r="S195" s="156" t="str">
        <f>IF(OR(O195="",P195=""),"",IF(OR(ISERROR(FIND("carcass",$A195))=FALSE,ISERROR(FIND("unit",$A195))=FALSE),VLOOKUP(WardrobeCarcassMaterial,FixedListsCarcassMaterial,2,0),0))</f>
        <v/>
      </c>
      <c r="T195" s="156" t="str">
        <f>IF(OR(O195="",P195=""),"",IF(ISERROR(FIND("door",$A195))=FALSE,VLOOKUP(WardrobeDoorStyle,FixedListsDoorStyle,2,0),0))</f>
        <v/>
      </c>
      <c r="U195" s="156" t="str">
        <f>IF(OR(O195="",P195=""),"",IF(ISERROR(FIND("door",$A195))=FALSE,VLOOKUP(WardrobeDoorMaterial,FixedListsDoorMaterial,2,0),0))</f>
        <v/>
      </c>
      <c r="V195" s="156" t="str">
        <f>IF(OR(O195="",P195=""),"",IF(ISERROR(FIND("drawer",$A195))=FALSE,VLOOKUP(WardrobeDrawerType,FixedListsDrawerType,2,0),0))</f>
        <v/>
      </c>
      <c r="W195" s="156" t="str">
        <f>IF(OR(O195="",P195=""),"",IF(S195&gt;0,VLOOKUP(WardrobeHandleType,FixedListsHandleType,2,FALSE),0))</f>
        <v/>
      </c>
      <c r="X195" s="156" t="str">
        <f t="shared" si="5"/>
        <v/>
      </c>
      <c r="Y195" s="156" t="str">
        <f>IF(OR(O195="",P195=""),"",IF(OR(ISERROR(FIND("carcass",$A195))=FALSE,ISERROR(FIND("unit",$A195))=FALSE),VLOOKUP(WardrobeCarcassMaterial,FixedListsCarcassMaterial,3,0),0))</f>
        <v/>
      </c>
      <c r="Z195" s="156" t="str">
        <f>IF(OR(O195="",P195=""),"",IF(ISERROR(FIND("door",$A195))=FALSE,VLOOKUP(WardrobeDoorStyle,FixedListsDoorStyle,3,0),0))</f>
        <v/>
      </c>
      <c r="AA195" s="156" t="str">
        <f>IF(OR(O195="",P195=""),"",IF(ISERROR(FIND("door",$A195))=FALSE,VLOOKUP(WardrobeDoorMaterial,FixedListsDoorMaterial,3,0),0))</f>
        <v/>
      </c>
      <c r="AB195" s="156" t="str">
        <f>IF(OR(O195="",P195=""),"",IF(ISERROR(FIND("drawer",$A195))=FALSE,VLOOKUP(WardrobeDrawerType,FixedListsDrawerType,3,0),0))</f>
        <v/>
      </c>
      <c r="AC195" s="156" t="str">
        <f>IF(OR(O195="",P195=""),"",IF(S195&gt;0,VLOOKUP(WardrobeHandleType,FixedListsHandleType,3,FALSE),0))</f>
        <v/>
      </c>
      <c r="AD195" s="156" t="str">
        <f>IF(OR(O195="",P195=""),"",IF(OR(ISERROR(FIND("carcass",$A195))=FALSE,ISERROR(FIND("unit",$A195))=FALSE),VLOOKUP(WardrobeCarcassFinish,FixedListsFinishes,3,0),IF(OR(ISERROR(FIND("door",$A195))=FALSE,ISERROR(FIND("Plinth",$A195))=FALSE,ISERROR(FIND("Cornice",$A195))=FALSE,ISERROR(FIND("Fillers",$A195))=FALSE,ISERROR(FIND("Pelmet",$A195))=FALSE,ISERROR(FIND("panel",$A195))=FALSE,ISERROR(FIND("post",$A195))=FALSE),VLOOKUP(WardrobeDoorFinish,FixedListsFinishes,3,0),IF(OR(ISERROR(FIND("drawer",$A195))=FALSE,ISERROR(FIND("insert",$A195))=FALSE,ISERROR(FIND("rck",$A195))=FALSE),VLOOKUP(WardrobeCarcassFinish,FixedListsFinishes,3,0),0))))</f>
        <v/>
      </c>
      <c r="AE195" s="156" t="str">
        <f t="shared" si="6"/>
        <v/>
      </c>
      <c r="AF195" s="157" t="str">
        <f>IF(AND(WardrobeHandleType="Channel",OR(ISERROR(FIND("arcass",$A195))=FALSE,ISERROR(FIND("unit",$A195))=FALSE)),IF(ISERROR(FIND("Tower",$A195))=TRUE,IF(WardrobeHandleFinish="Match carcass",IF(ISERROR(FIND("Walnut",WardrobeCarcassMaterial))=FALSE,(0.035*0.075*($C195/1000))*VLOOKUP("Walnut (solid m3)",SolidData,4,FALSE),IF(ISERROR(FIND("Oak",WardrobeCarcassMaterial))=FALSE,(0.035*0.075*($C195/1000))*VLOOKUP("Oak (solid m3)",SolidData,4,FALSE),IF(ISERROR(FIND("ply",WardrobeCarcassMaterial))=FALSE,(0.1*($C195/1000))*VLOOKUP("Birch ply (24mm)",SheetsData,7,FALSE),IF(ISERROR(FIND("H/F",WardrobeCarcassMaterial))=FALSE,(0.1*($C195/1000))*VLOOKUP("H/F (22mm)",SheetsData,7,FALSE),"Carcass - not tower - new material")))),IF(WardrobeHandleFinish="Match door",IF(ISERROR(FIND("Walnut",WardrobeDoorMaterial))=FALSE,(0.035*0.075*($C195/1000))*VLOOKUP("Walnut (solid m3)",SolidData,4,FALSE),IF(ISERROR(FIND("Oak",WardrobeDoorMaterial))=FALSE,(0.035*0.075*($C195/1000))*VLOOKUP("Oak (solid m3)",SolidData,4,FALSE),IF(ISERROR(FIND("ply",WardrobeDoorMaterial))=FALSE,(0.1*($C195/1000))*VLOOKUP("Birch ply (24mm)",SheetsData,7,FALSE),IF(ISERROR(FIND("H/F",WardrobeCarcassMaterial))=FALSE,(0.1*($C195/1000))*VLOOKUP("H/F (22mm)",SheetsData,7,FALSE),"Door - not tower - new material")))),"Channel - not tower - handle set to other")),IF(ISERROR(FIND("Tower",$A195))=FALSE,IF(WardrobeHandleFinish="Match carcass",IF(ISERROR(FIND("Walnut",WardrobeCarcassMaterial))=FALSE,(0.035*0.075*($B195/1000))*VLOOKUP("Walnut (solid m3)",SolidData,4,FALSE),IF(ISERROR(FIND("Oak",WardrobeCarcassMaterial))=FALSE,(0.035*0.075*($B195/1000))*VLOOKUP("Oak (solid m3)",SolidData,4,FALSE),IF(ISERROR(FIND("ply",WardrobeCarcassMaterial))=FALSE,(0.1*($B195/1000))*VLOOKUP("Birch ply (24mm)",SheetsData,7,FALSE),IF(ISERROR(FIND("H/F",WardrobeCarcassMaterial))=FALSE,(0.1*($C195/1000))*VLOOKUP("H/F (22mm)",SheetsData,7,FALSE),"Carcass - tower - new material")))),IF(WardrobeHandleFinish="Match door",IF(ISERROR(FIND("Walnut",WardrobeDoorMaterial))=FALSE,(0.035*0.075*($B195/1000))*VLOOKUP("Walnut (solid m3)",SolidData,4,FALSE),IF(ISERROR(FIND("Oak",WardrobeDoorMaterial))=FALSE,(0.035*0.075*($B195/1000))*VLOOKUP("Oak (solid m3)",SolidData,4,FALSE),IF(ISERROR(FIND("ply",WardrobeDoorMaterial))=FALSE,(0.1*($B195/1000))*VLOOKUP("Birch ply (24mm)",SheetData,7,FALSE),IF(ISERROR(FIND("H/F",WardrobeCarcassMaterial))=FALSE,(0.1*($C195/1000))*VLOOKUP("H/F (22mm)",SheetsData,7,FALSE),"Door - tower - new material")))),"Channel - tower - handle set to other")))),"")</f>
        <v/>
      </c>
    </row>
    <row r="196">
      <c r="A196" s="150"/>
      <c r="B196" s="160" t="str">
        <f t="shared" si="1"/>
        <v/>
      </c>
      <c r="C196" s="160" t="str">
        <f>IFERROR(__xludf.DUMMYFUNCTION("IF(A196="""","""",IF(ISERROR(FIND(""arcass"",A196))=FALSE,MID(A196,FIND(""*"",A196)+1,FIND(""*"",A196,FIND(""*"",A196)+1)-FIND(""*"",A196)-1),IF(ISERROR(FIND(""End panel"",A196))=FALSE,RIGHT(A196,3),IF(OR(ISERROR(FIND(""drawer"",A196))=FALSE,ISERROR(FIND("&amp;"""door"",A196))=FALSE,ISERROR(FIND(""shelf"",A196))=FALSE,ISERROR(FIND(""panel"",A196))=FALSE,ISERROR(FIND(""Plinth"",A196))=FALSE,ISERROR(FIND(""Cornice"",A196))=FALSE,ISERROR(FIND(""Fillers"",A196))=FALSE,ISERROR(FIND(""Pelmet"",A196))=FALSE,ISERROR(FIN"&amp;"D(""Fireplace up to 1600"",A196))=FALSE),RIGHT(A196,LEN(A196)-LEN(regexextract(A196,"".* ""))),IF(ISERROR(FIND(""table"",A196))=FALSE,""560"",IF(ISERROR(FIND(""Office pod"",A196))=FALSE,""1600"",IF(ISERROR(FIND(""Fireplace over 1600"",A196))=FALSE,""2400"&amp;""",IF(ISERROR(FIND(""Worktop"",A196))=FALSE,""650"",""Whoops""))))))))"),"")</f>
        <v/>
      </c>
      <c r="D196" s="161" t="str">
        <f t="shared" si="2"/>
        <v/>
      </c>
      <c r="E196" s="152" t="str">
        <f>IF(OR(A196="",AND(ISERROR(FIND("drawer",A196))=FALSE,WardrobeDrawerType="")),"",IF(ISERROR(FIND("door",A196))=FALSE,IF(WardrobeDoorStyle="Flat",((B196/1000)*(C196/1000))*VLOOKUP(WardrobeDoorMaterial,SheetsData,8,0),IF(LEFT(WardrobeDoorStyle,5)="Panel",(((((B196/1000)*2)*0.08)+((((C196/1000)-0.16)*2)*0.08))*VLOOKUP("H/F (22mm)",SheetsData,8,0))+(((B196/1000)-0.14)*((C196/1000)-0.14)*VLOOKUP("H/F (9mm)",SheetsData,8,0)),IF(WardrobeDoorStyle="In-frame flat",((((((B196/1000)*0.019)*0.038)+((((C196-38)/1000)*0.038)*0.038))*2)*VLOOKUP("Tulip (solid m3)",SolidData,4,0))+(((B196-76)/1000)*((C196-38)/1000))*VLOOKUP("H/F (22mm)",SheetsData,8,0),IF(LEFT(WardrobeDoorStyle,14)="In-frame panel",(((((((B196/1000)*0.019)*0.038)+((((C196-38)/1000)*0.038)*0.038))*2)*VLOOKUP("Tulip (solid m3)",SolidData,4,0))+(((((((B196-76)/1000)*2)*0.08)+(((((C196-198)/1000)*2)*0.08)))*VLOOKUP("H/F (22mm)",SheetsData,8,0))+(((B196-216)/1000)*((C196-178)/1000)*VLOOKUP("H/F (9mm)",SheetsData,8,0)))))))),IF(AND(ISERROR(FIND("arcass",A196))=FALSE,ISERROR(FIND("ost corner",A196))=TRUE),IF(AND(VALUE(B196)&lt;1211,VALUE(C196)&lt;1211,VALUE(D196)&lt;606),1*VLOOKUP(WardrobeCarcassMaterial,SheetsData,5,FALSE),IF(AND(VALUE(B196)&lt;2421,VALUE(C196)&lt;2421,VALUE(D196)&lt;606),2*VLOOKUP(WardrobeCarcassMaterial,SheetsData,5,FALSE),IF(AND(VALUE(B196)&lt;2421,VALUE(C196)&lt;1211,VALUE(D196)&lt;1211),3*VLOOKUP(WardrobeCarcassMaterial,SheetsData,5,FALSE),IF(AND(VALUE(B196)&lt;2421,VALUE(C196)&lt;2421,VALUE(D196)&lt;1211),4*VLOOKUP(WardrobeCarcassMaterial,SheetsData,5,FALSE))))),IF(AND(ISERROR(FIND("arcass",A196))=FALSE,ISERROR(FIND("ost corner",A196))=FALSE),IF(AND(VALUE(B196)&lt;1211,VALUE(C196)&lt;1211,VALUE(D196)&lt;606),(1*VLOOKUP(WardrobeCarcassMaterial,SheetsData,5,FALSE))+(VLOOKUP("H/F (22mm)",SheetsData,7,FALSE)*1.44),IF(AND(VALUE(B196)&lt;2421,VALUE(C196)&lt;2421,VALUE(D196)&lt;606),(2*VLOOKUP(WardrobeCarcassMaterial,SheetsData,5,FALSE))+(VLOOKUP("H/F (22mm)",SheetsData,7,FALSE)*1.44),IF(AND(VALUE(B196)&lt;2421,VALUE(C196)&lt;1211,VALUE(D196)&lt;1211),(3*VLOOKUP(WardrobeCarcassMaterial,SheetsData,5,FALSE))+(VLOOKUP("H/F (22mm)",SheetsData,7,FALSE)*1.44),IF(AND(VALUE(B196)&lt;2421,VALUE(C196)&lt;2421,VALUE(D196)&lt;1211),(4*VLOOKUP(WardrobeCarcassMaterial,SheetsData,5,FALSE))+(VLOOKUP("H/F (22mm)",SheetsData,7,FALSE)*1.44))))),IF(ISERROR(FIND("drawer front",A196))=FALSE,((B196/1000)*(C196/1000))*VLOOKUP(WardrobeDoorMaterial,SheetsData,8,0),IF(AND(WardrobeDrawerType="Match carcass",ISERROR(FIND("drawer box",A196))=FALSE),(((((B196/1000)*(C196/1000))+((B196/1000)*(D196/1000)))*2)*VLOOKUP(WardrobeCarcassMaterial,SheetsData,8,0))+(((C196/1000)*(D196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box",A196))=FALSE),(((((B196/1000)*(C196/1000))+((B196/1000)*(D196/1000)))*2)*(16/1000)*VLOOKUP(LEFT(WardrobeCarcassMaterial,FIND(" ",WardrobeCarcassMaterial))&amp;"(solid m3)",SolidData,4,0))+(((C196/1000)*(D196/1000))*VLOOKUP(LEFT(WardrobeCarcassMaterial,FIND("(",WardrobeCarcassMaterial)-1)&amp;IF(OR(ISERROR(FIND("ply",WardrobeCarcassMaterial))=FALSE,ISERROR(FIND("H/F",WardrobeCarcassMaterial))=FALSE),"(9mm)","(10mm)"),SheetsData,8,0)),IF(ISERROR(FIND("shelf",A196))=FALSE,((C196/1000)*(D196/1000))*VLOOKUP(WardrobeCarcassMaterial,SheetsData,7,FALSE),IF(ISERROR(FIND("Office pod",A196))=FALSE,3*VLOOKUP(WardrobeCarcassMaterial,SheetsData,5,0),IF(ISERROR(FIND(" panel",A196))=FALSE,((B196/1000)*(C196/1000))*VLOOKUP(WardrobeDoorMaterial,SheetsData,8,0),IF(ISERROR(FIND("Fillers",A196))=FALSE,(((0.06*(C196/1000))*2)*VLOOKUP("H/F (18mm)",SheetsData,8,0))+(((0.06*(C196/1000))*2)*VLOOKUP("H/F (9mm)",SheetsData,8,0)),IF(ISERROR(FIND("Cornice (stacked)",A196))=FALSE,((0.08*(C196/1000))*2)*VLOOKUP("H/F (22mm)",SheetsData,8,0),IF(OR(ISERROR(FIND("Plinth",A196))=FALSE,ISERROR(FIND("Cornice (flat)",A196))=FALSE),((B196/1000)*(C196/1000))*VLOOKUP("H/F (18mm)",SheetsData,8,0),IF(ISERROR(FIND("Pelmet",A196))=FALSE,((((B196/1000)*(C196/1000))*2)*VLOOKUP("H/F (18mm)",SheetsData,8,0)),IF(ISERROR(FIND("Fireplace",A196))=FALSE,IF(ISERROR(FIND("over 1600",A196))=FALSE,2*VLOOKUP(WardrobeCarcassMaterial,SheetsData,5,FALSE),VLOOKUP(WardrobeCarcassMaterial,SheetsData,5,FALSE)),IF(ISERROR(FIND("table",A196))=FALSE,((B196/1000)*0.6)*VLOOKUP("Birch ply (24mm)",SheetsData,7,FALSE),IF(ISERROR(FIND("Worktop",A196))=FALSE,((B196/1000)*(C196/1000))*VLOOKUP(WardrobeDoorMaterial,SheetsData,7,FALSE),"Check formula")))))))))))))))))</f>
        <v/>
      </c>
      <c r="F196" s="152" t="str">
        <f>IFERROR(__xludf.DUMMYFUNCTION("IF(OR(A196="""",AND(ISERROR(FIND(""drawer box"",A196))=FALSE,WardrobeDrawerType=""Solid dovetail"")),"""",IF(ISERROR(FIND(""bins"",A196))=FALSE,VLOOKUP(""Base carcass 600"",Wardrobes_etcData,6,0),IF(OR(ISERROR(FIND(""larder"",A196))=FALSE,ISERROR(FIND(""u"&amp;"nit"",A196))=FALSE),VLOOKUP(LEFT(A196,FIND("" "",A196))&amp;""carcass ""&amp;RIGHT(A196,LEN(A196)-len(regexextract(A196,"".* ""))),Wardrobes_etcData,6,0),IF(ISERROR(FIND(""drawer front"",A196))=FALSE,IF(ISERROR(FIND(""veneer"",WardrobeCarcassMaterial))=TRUE,0,((("&amp;"B196+C196)/1000)*2)*VLOOKUP(""Edge banding (per M)"",SheetsData,5,0)),IF(ISERROR(FIND(""drawer box"",A196))=FALSE,IF(ISERROR(FIND(""veneer"",WardrobeCarcassMaterial))=TRUE,0,(((C196+D196)/1000)*2)*VLOOKUP(""Edge banding (per M)"",SheetsData,5,0)),IF(ISERR"&amp;"OR(FIND(""shelf"",A196))=FALSE,IF(ISERROR(FIND(""veneer"",WardrobeCarcassMaterial))=TRUE,0,(C196/1000)*VLOOKUP(""Edge banding (per M)"",SheetsData,5,0)),IF(AND(OR(ISERROR(FIND(""arcass"",A196))=FALSE,ISERROR(FIND(""Fireplace"",A196))=FALSE),ISERROR(FIND("&amp;"""shelf"",A196))=TRUE),IF(ISERROR(FIND(""veneer"",WardrobeCarcassMaterial))=TRUE,0,((2*(B196+C196))/1000)*VLOOKUP(""Edge banding (per M)"",SheetsData,5,0)),IF(ISERROR(FIND(""door"",A196))=TRUE,"""",IF(ISERROR(FIND(""veneer"",WardrobeDoorMaterial))=TRUE,"""&amp;""",((2*(B196+C196))/1000)*VLOOKUP(""Edge banding (per M)"",SheetsData,5,0))))))))))"),"")</f>
        <v/>
      </c>
      <c r="G196" s="153" t="str">
        <f>IF(A196="","",IF(AND(ISERROR(FIND("arcass",A196))=TRUE,ISERROR(FIND("Fireplace",A196))=TRUE),"",IF(VALUE(C196)&lt;606,4*VLOOKUP("Plinth foot (2 Parts 80mm)",FurnitureData,5,FALSE),IF(VALUE(C196)&lt;1211,6*VLOOKUP("Plinth foot (2 Parts 80mm)",FurnitureData,5,FALSE),8*VLOOKUP("Plinth foot (2 Parts 80mm)",FurnitureData,5,FALSE)))))</f>
        <v/>
      </c>
      <c r="H196" s="115" t="str">
        <f>IF(OR(A196="",ISERROR(FIND("door",A196))=TRUE),"",VLOOKUP("Hinges &amp; plates (Hettich thick door)",FurnitureData,5,0)*5)</f>
        <v/>
      </c>
      <c r="I196" s="115" t="str">
        <f>IF(ISERROR(FIND("shelf",A196))=FALSE,(VLOOKUP("Shelf pegs",FurnitureData,5,0)/100)*4,"")</f>
        <v/>
      </c>
      <c r="J196" s="152" t="str">
        <f>IF(OR(ISERROR(FIND("fridge/freezer",A196))=FALSE,ISERROR(FIND("sink",A196))=FALSE,ISERROR(FIND("larder",A196))=FALSE),VLOOKUP("Deep shelf "&amp;C196,Wardrobes_etcData,18,0),IF(OR(ISERROR(FIND("single oven",A196))=FALSE,ISERROR(FIND("Base carcass",A196))=FALSE),2*VLOOKUP("Deep shelf "&amp;C196,Wardrobes_etcData,18,0),IF(AND(ISERROR(FIND("wall carcass",A196))=FALSE,ISERROR(FIND("Boiler",A196))=TRUE),2*VLOOKUP("Shallow shelf "&amp;C196,Wardrobes_etcData,18,0),IF(ISERROR(FIND("double oven",A196))=FALSE,3*VLOOKUP("Deep shelf "&amp;C196,Wardrobes_etcData,18,0),IF(ISERROR(FIND("Tower carcass",A196))=FALSE,6*VLOOKUP("Deep shelf "&amp;C196,Wardrobes_etcData,18,0),"")))))</f>
        <v/>
      </c>
      <c r="K196" s="152" t="str">
        <f>IF(ISERROR(FIND("sink",A196))=FALSE,VLOOKUP("Sink liner - Aluminium "&amp;RIGHT(A196,LEN(A196)-22)&amp;"mm",ExceptionalData,5,0),IF(ISERROR(FIND("bins",A196))=FALSE,VLOOKUP("Drawer runners and clip set for bin unit (500) Dynapro",FurnitureData,5,0)+(2*VLOOKUP("Bin (42L Anthracite)",FurnitureData,5,0)),IF(ISERROR(FIND("larder",A196))=FALSE,VLOOKUP("Pull out larder unit 600mm",FurnitureData,5,0),IF(AND(ISERROR(FIND("drawer box",A196))=FALSE,ISERROR(FIND("internal",A196))=TRUE),VLOOKUP("Drawer runners and clip set (550) Dynapro",FurnitureData,5,0),IF(ISERROR(FIND("internal drawer box",A196))=FALSE,VLOOKUP("Drawer runners and clip set (450) Dynapro",FurnitureData,5,0),IF(ISERROR(FIND("table",A196))=FALSE,VLOOKUP("Hairpin Leg (12mm Black "&amp;MID(A196,FIND("(",A196)+1,LEN(A196)-(FIND("(",A196))-1)&amp;"mm)",ExceptionalData,4,FALSE),""))))))</f>
        <v/>
      </c>
      <c r="L196" s="152" t="str">
        <f t="shared" si="3"/>
        <v/>
      </c>
      <c r="M196" s="154" t="str">
        <f>IF(A196="","",IF(AND(ISERROR(FIND("drawer front",A196))=FALSE,WardrobeDoorStyle="Flat"),(((B196/1000)*(C196/1000))*2)+((((B196+C196)/1000)*2)*0.022),IF(AND(ISERROR(FIND("drawer front",A196))=FALSE,LEFT(WardrobeDoorStyle,5)="Panel"),(((B196/1000)*(C196/1000))*2)+((((B196+C196)/1000)*2)*0.022)+((((C196/1000)-0.16)*0.013)*2)+((((D196/1000)-0.16)*0.013)*2),IF(AND(ISERROR(FIND("drawer front",A196))=FALSE,WardrobeDoorStyle="In-frame flat"),((((B196-76)/1000)*((C196-38)/1000))*2)+(MID(WardrobeDoorMaterial,FIND("(",WardrobeDoorMaterial)+1,2)/1000)*((((B196-76)+(C196-38))/1000)*2)+(((B196/1000)*0.032)*2)+((((B196-76)/1000)*0.032)*2)+(((B196/1000)*0.019)*4)+(((C196/1000)*0.032)*2)+((((C196-38)/1000)*0.032)*2)+(((C196/1000)*0.038)*4),IF(AND(ISERROR(FIND("drawer front",A196))=FALSE,LEFT(WardrobeDoorStyle,14)="In-frame panel"),((((B196-76)/1000)*((C196-38)/1000))*2)+((MID(WardrobeDoorMaterial,FIND("(",WardrobeDoorMaterial)+1,2)/1000)*((((B196-76)+(C196-38))/1000)*2))+((((B196-236)/1000)+((C196-198)/1000)*2)*0.013)+(((B196/1000)*0.032)*2)+((((B196-76)/1000)*0.032)*2)+(((B196/1000)*0.019)*4)+(((C196/1000)*0.032)*2)+((((C196-38)/1000)*0.032)*2)+(((C196/1000)*0.038)*4),IF(ISERROR(FIND("drawer box",A196))=FALSE,((((B196/1000)*(D196/1000))+((B196/1000)*(C196/1000)))*4)+((((D196/1000)+(C196/1000))*0.016)*4)+(((C196/1000)*(D196/1000))*2),IF(OR(ISERROR(FIND("shelf",A196))=FALSE,ISERROR(FIND("Filler panel",A196))=FALSE),(((C196/1000)*(D196/1000))*2)+((((C196+D196)*2)/1000)*0.022),IF(ISERROR(FIND("Fireplace",A196))=FALSE,((B196/1000)*(C196/1000)),IF(ISERROR(FIND("Worktop",A196))=FALSE,(B196/1000)*(C196/1000),IF(ISERROR(FIND("table",A196))=FALSE,(B196/1000)*0.6,IF(ISERROR(FIND("arcass",A196))=FALSE,(((C196/1000)*(D196/1000))*2)+(((B196/1000)*(D196/1000))*2)+((B196/1000)*(C196/1000))+((((B196/1000)*0.025)+((C196/1000)*0.025))*2),IF(AND(ISERROR(FIND("door",A196))=FALSE,WardrobeDoorStyle="Flat"),(((B196/1000)*(C196/1000))*2)+(MID(WardrobeDoorMaterial,FIND("(",WardrobeDoorMaterial)+1,2)/1000)*(((B196+C196)/1000)*2),IF(AND(ISERROR(FIND("door",A196))=FALSE,LEFT(WardrobeDoorStyle,5)="Panel"),(((B196/1000)*(C196/1000))*2)+((MID(WardrobeDoorMaterial,FIND("(",WardrobeDoorMaterial)+1,2)/1000)*(((B196+C196)/1000)*2))+(((((B196-160)+(C196-160))*2)/1000)*(0.013)),IF(AND(ISERROR(FIND("door",A196))=FALSE,WardrobeDoorStyle="In-frame flat"),((((B196-76)/1000)*((C196-38)/1000))*2)+(MID(WardrobeDoorMaterial,FIND("(",WardrobeDoorMaterial)+1,2)/1000)*((((B196-76)+(C196-38))/1000)*2)+(((B196/1000)*0.032)*2)+((((B196-76)/1000)*0.032)*2)+(((B196/1000)*0.019)*4)+(((C196/1000)*0.032)*2)+((((C196-38)/1000)*0.032)*2)+(((C196/1000)*0.038)*4),IF(AND(ISERROR(FIND("door",A196))=FALSE,LEFT(WardrobeDoorStyle,14)="In-frame panel"),((((B196-76)/1000)*((C196-38)/1000))*2)+((MID(WardrobeDoorMaterial,FIND("(",WardrobeDoorMaterial)+1,2)/1000)*((((B196-76)+(C196-38))/1000)*2))+((((B196-236)/1000)+((C196-198)/1000)*2)*0.013)+(((B196/1000)*0.032)*2)+((((B196-76)/1000)*0.032)*2)+(((B196/1000)*0.019)*4)+(((C196/1000)*0.032)*2)+((((C196-38)/1000)*0.032)*2)+(((C196/1000)*0.038)*4),IF(ISERROR(FIND("Plinth",A196))=FALSE,((B196/1000)*(C196/1000))+(((C196/1000)*0.018)*2)+(((B196/1000)*0.018)*2),IF(ISERROR(FIND("Cornice",A196))=FALSE,(((C196/1000)*0.1)*2)+(((C196/1000)*0.044)*2)+(((B196/1000)*0.08)*2),IF(ISERROR(FIND("Office pod",A196))=FALSE,((2400/1000)*(1200/1000))*6,IF(ISERROR(FIND("panel",A196))=FALSE,((B196/1000)*(C196/1000))+(0.022*((B196/1000)+((C196/1000)*2)))+((B196/1000)*0.05),IF(ISERROR(FIND("Fillers",A196))=FALSE,((C196/1000)*0.06)+((C196/1000)*0.069)+((0.06*0.018)*2)+((0.06*0.009)*2)+((C196/1000)*0.009)+((C196/1000)*0.018),IF(ISERROR(FIND("Pelmet",A196))=FALSE,((C196/1000)*0.05)+((C196/1000)*0.068)+((0.05*0.018)*4)+(((C196/1000)*0.018))*2)))))))))))))))))))))</f>
        <v/>
      </c>
      <c r="N196" s="152" t="str">
        <f>IF(M196="","",IF(AND(ISERROR(FIND("carcass",A196))=TRUE,ISERROR(FIND("unit",A196))=TRUE,ISERROR(FIND("insert",A196))=TRUE,ISERROR(FIND("rack",A196))=TRUE,ISERROR(FIND("box",A196))=TRUE,ISERROR(FIND("shelf",A196))=TRUE),VLOOKUP(WardrobeDoorFinish,Finishing!$A$2:$K$10,9,0)*M196,IF(ISERROR(FIND("table",A196))=FALSE,VLOOKUP("Sayerlack AF0072 Interior Clear Self-Sealer",FinishingData,9,FALSE)*M196,VLOOKUP(WardrobeCarcassFinish,Finishing!$A$2:$K$40,9,0)*M196)))</f>
        <v/>
      </c>
      <c r="O196" s="155"/>
      <c r="P196" s="155"/>
      <c r="Q196" s="152" t="str">
        <f>IF(OR(O196="",P196=""),"",((O196*X196)*(VLOOKUP("Workshop",Labour!$A$3:$E$20,4,0)/8))+((P196*AE196)*(VLOOKUP("Finishing",Labour!$A$3:$E$20,4,0)/8)))</f>
        <v/>
      </c>
      <c r="R196" s="152" t="str">
        <f t="shared" si="4"/>
        <v/>
      </c>
      <c r="S196" s="156" t="str">
        <f>IF(OR(O196="",P196=""),"",IF(OR(ISERROR(FIND("carcass",$A196))=FALSE,ISERROR(FIND("unit",$A196))=FALSE),VLOOKUP(WardrobeCarcassMaterial,FixedListsCarcassMaterial,2,0),0))</f>
        <v/>
      </c>
      <c r="T196" s="156" t="str">
        <f>IF(OR(O196="",P196=""),"",IF(ISERROR(FIND("door",$A196))=FALSE,VLOOKUP(WardrobeDoorStyle,FixedListsDoorStyle,2,0),0))</f>
        <v/>
      </c>
      <c r="U196" s="156" t="str">
        <f>IF(OR(O196="",P196=""),"",IF(ISERROR(FIND("door",$A196))=FALSE,VLOOKUP(WardrobeDoorMaterial,FixedListsDoorMaterial,2,0),0))</f>
        <v/>
      </c>
      <c r="V196" s="156" t="str">
        <f>IF(OR(O196="",P196=""),"",IF(ISERROR(FIND("drawer",$A196))=FALSE,VLOOKUP(WardrobeDrawerType,FixedListsDrawerType,2,0),0))</f>
        <v/>
      </c>
      <c r="W196" s="156" t="str">
        <f>IF(OR(O196="",P196=""),"",IF(S196&gt;0,VLOOKUP(WardrobeHandleType,FixedListsHandleType,2,FALSE),0))</f>
        <v/>
      </c>
      <c r="X196" s="156" t="str">
        <f t="shared" si="5"/>
        <v/>
      </c>
      <c r="Y196" s="156" t="str">
        <f>IF(OR(O196="",P196=""),"",IF(OR(ISERROR(FIND("carcass",$A196))=FALSE,ISERROR(FIND("unit",$A196))=FALSE),VLOOKUP(WardrobeCarcassMaterial,FixedListsCarcassMaterial,3,0),0))</f>
        <v/>
      </c>
      <c r="Z196" s="156" t="str">
        <f>IF(OR(O196="",P196=""),"",IF(ISERROR(FIND("door",$A196))=FALSE,VLOOKUP(WardrobeDoorStyle,FixedListsDoorStyle,3,0),0))</f>
        <v/>
      </c>
      <c r="AA196" s="156" t="str">
        <f>IF(OR(O196="",P196=""),"",IF(ISERROR(FIND("door",$A196))=FALSE,VLOOKUP(WardrobeDoorMaterial,FixedListsDoorMaterial,3,0),0))</f>
        <v/>
      </c>
      <c r="AB196" s="156" t="str">
        <f>IF(OR(O196="",P196=""),"",IF(ISERROR(FIND("drawer",$A196))=FALSE,VLOOKUP(WardrobeDrawerType,FixedListsDrawerType,3,0),0))</f>
        <v/>
      </c>
      <c r="AC196" s="156" t="str">
        <f>IF(OR(O196="",P196=""),"",IF(S196&gt;0,VLOOKUP(WardrobeHandleType,FixedListsHandleType,3,FALSE),0))</f>
        <v/>
      </c>
      <c r="AD196" s="156" t="str">
        <f>IF(OR(O196="",P196=""),"",IF(OR(ISERROR(FIND("carcass",$A196))=FALSE,ISERROR(FIND("unit",$A196))=FALSE),VLOOKUP(WardrobeCarcassFinish,FixedListsFinishes,3,0),IF(OR(ISERROR(FIND("door",$A196))=FALSE,ISERROR(FIND("Plinth",$A196))=FALSE,ISERROR(FIND("Cornice",$A196))=FALSE,ISERROR(FIND("Fillers",$A196))=FALSE,ISERROR(FIND("Pelmet",$A196))=FALSE,ISERROR(FIND("panel",$A196))=FALSE,ISERROR(FIND("post",$A196))=FALSE),VLOOKUP(WardrobeDoorFinish,FixedListsFinishes,3,0),IF(OR(ISERROR(FIND("drawer",$A196))=FALSE,ISERROR(FIND("insert",$A196))=FALSE,ISERROR(FIND("rck",$A196))=FALSE),VLOOKUP(WardrobeCarcassFinish,FixedListsFinishes,3,0),0))))</f>
        <v/>
      </c>
      <c r="AE196" s="156" t="str">
        <f t="shared" si="6"/>
        <v/>
      </c>
      <c r="AF196" s="157" t="str">
        <f>IF(AND(WardrobeHandleType="Channel",OR(ISERROR(FIND("arcass",$A196))=FALSE,ISERROR(FIND("unit",$A196))=FALSE)),IF(ISERROR(FIND("Tower",$A196))=TRUE,IF(WardrobeHandleFinish="Match carcass",IF(ISERROR(FIND("Walnut",WardrobeCarcassMaterial))=FALSE,(0.035*0.075*($C196/1000))*VLOOKUP("Walnut (solid m3)",SolidData,4,FALSE),IF(ISERROR(FIND("Oak",WardrobeCarcassMaterial))=FALSE,(0.035*0.075*($C196/1000))*VLOOKUP("Oak (solid m3)",SolidData,4,FALSE),IF(ISERROR(FIND("ply",WardrobeCarcassMaterial))=FALSE,(0.1*($C196/1000))*VLOOKUP("Birch ply (24mm)",SheetsData,7,FALSE),IF(ISERROR(FIND("H/F",WardrobeCarcassMaterial))=FALSE,(0.1*($C196/1000))*VLOOKUP("H/F (22mm)",SheetsData,7,FALSE),"Carcass - not tower - new material")))),IF(WardrobeHandleFinish="Match door",IF(ISERROR(FIND("Walnut",WardrobeDoorMaterial))=FALSE,(0.035*0.075*($C196/1000))*VLOOKUP("Walnut (solid m3)",SolidData,4,FALSE),IF(ISERROR(FIND("Oak",WardrobeDoorMaterial))=FALSE,(0.035*0.075*($C196/1000))*VLOOKUP("Oak (solid m3)",SolidData,4,FALSE),IF(ISERROR(FIND("ply",WardrobeDoorMaterial))=FALSE,(0.1*($C196/1000))*VLOOKUP("Birch ply (24mm)",SheetsData,7,FALSE),IF(ISERROR(FIND("H/F",WardrobeCarcassMaterial))=FALSE,(0.1*($C196/1000))*VLOOKUP("H/F (22mm)",SheetsData,7,FALSE),"Door - not tower - new material")))),"Channel - not tower - handle set to other")),IF(ISERROR(FIND("Tower",$A196))=FALSE,IF(WardrobeHandleFinish="Match carcass",IF(ISERROR(FIND("Walnut",WardrobeCarcassMaterial))=FALSE,(0.035*0.075*($B196/1000))*VLOOKUP("Walnut (solid m3)",SolidData,4,FALSE),IF(ISERROR(FIND("Oak",WardrobeCarcassMaterial))=FALSE,(0.035*0.075*($B196/1000))*VLOOKUP("Oak (solid m3)",SolidData,4,FALSE),IF(ISERROR(FIND("ply",WardrobeCarcassMaterial))=FALSE,(0.1*($B196/1000))*VLOOKUP("Birch ply (24mm)",SheetsData,7,FALSE),IF(ISERROR(FIND("H/F",WardrobeCarcassMaterial))=FALSE,(0.1*($C196/1000))*VLOOKUP("H/F (22mm)",SheetsData,7,FALSE),"Carcass - tower - new material")))),IF(WardrobeHandleFinish="Match door",IF(ISERROR(FIND("Walnut",WardrobeDoorMaterial))=FALSE,(0.035*0.075*($B196/1000))*VLOOKUP("Walnut (solid m3)",SolidData,4,FALSE),IF(ISERROR(FIND("Oak",WardrobeDoorMaterial))=FALSE,(0.035*0.075*($B196/1000))*VLOOKUP("Oak (solid m3)",SolidData,4,FALSE),IF(ISERROR(FIND("ply",WardrobeDoorMaterial))=FALSE,(0.1*($B196/1000))*VLOOKUP("Birch ply (24mm)",SheetData,7,FALSE),IF(ISERROR(FIND("H/F",WardrobeCarcassMaterial))=FALSE,(0.1*($C196/1000))*VLOOKUP("H/F (22mm)",SheetsData,7,FALSE),"Door - tower - new material")))),"Channel - tower - handle set to other")))),"")</f>
        <v/>
      </c>
    </row>
    <row r="197">
      <c r="A197" s="150"/>
      <c r="B197" s="160" t="str">
        <f t="shared" si="1"/>
        <v/>
      </c>
      <c r="C197" s="160" t="str">
        <f>IFERROR(__xludf.DUMMYFUNCTION("IF(A197="""","""",IF(ISERROR(FIND(""arcass"",A197))=FALSE,MID(A197,FIND(""*"",A197)+1,FIND(""*"",A197,FIND(""*"",A197)+1)-FIND(""*"",A197)-1),IF(ISERROR(FIND(""End panel"",A197))=FALSE,RIGHT(A197,3),IF(OR(ISERROR(FIND(""drawer"",A197))=FALSE,ISERROR(FIND("&amp;"""door"",A197))=FALSE,ISERROR(FIND(""shelf"",A197))=FALSE,ISERROR(FIND(""panel"",A197))=FALSE,ISERROR(FIND(""Plinth"",A197))=FALSE,ISERROR(FIND(""Cornice"",A197))=FALSE,ISERROR(FIND(""Fillers"",A197))=FALSE,ISERROR(FIND(""Pelmet"",A197))=FALSE,ISERROR(FIN"&amp;"D(""Fireplace up to 1600"",A197))=FALSE),RIGHT(A197,LEN(A197)-LEN(regexextract(A197,"".* ""))),IF(ISERROR(FIND(""table"",A197))=FALSE,""560"",IF(ISERROR(FIND(""Office pod"",A197))=FALSE,""1600"",IF(ISERROR(FIND(""Fireplace over 1600"",A197))=FALSE,""2400"&amp;""",IF(ISERROR(FIND(""Worktop"",A197))=FALSE,""650"",""Whoops""))))))))"),"")</f>
        <v/>
      </c>
      <c r="D197" s="161" t="str">
        <f t="shared" si="2"/>
        <v/>
      </c>
      <c r="E197" s="152" t="str">
        <f>IF(OR(A197="",AND(ISERROR(FIND("drawer",A197))=FALSE,WardrobeDrawerType="")),"",IF(ISERROR(FIND("door",A197))=FALSE,IF(WardrobeDoorStyle="Flat",((B197/1000)*(C197/1000))*VLOOKUP(WardrobeDoorMaterial,SheetsData,8,0),IF(LEFT(WardrobeDoorStyle,5)="Panel",(((((B197/1000)*2)*0.08)+((((C197/1000)-0.16)*2)*0.08))*VLOOKUP("H/F (22mm)",SheetsData,8,0))+(((B197/1000)-0.14)*((C197/1000)-0.14)*VLOOKUP("H/F (9mm)",SheetsData,8,0)),IF(WardrobeDoorStyle="In-frame flat",((((((B197/1000)*0.019)*0.038)+((((C197-38)/1000)*0.038)*0.038))*2)*VLOOKUP("Tulip (solid m3)",SolidData,4,0))+(((B197-76)/1000)*((C197-38)/1000))*VLOOKUP("H/F (22mm)",SheetsData,8,0),IF(LEFT(WardrobeDoorStyle,14)="In-frame panel",(((((((B197/1000)*0.019)*0.038)+((((C197-38)/1000)*0.038)*0.038))*2)*VLOOKUP("Tulip (solid m3)",SolidData,4,0))+(((((((B197-76)/1000)*2)*0.08)+(((((C197-198)/1000)*2)*0.08)))*VLOOKUP("H/F (22mm)",SheetsData,8,0))+(((B197-216)/1000)*((C197-178)/1000)*VLOOKUP("H/F (9mm)",SheetsData,8,0)))))))),IF(AND(ISERROR(FIND("arcass",A197))=FALSE,ISERROR(FIND("ost corner",A197))=TRUE),IF(AND(VALUE(B197)&lt;1211,VALUE(C197)&lt;1211,VALUE(D197)&lt;606),1*VLOOKUP(WardrobeCarcassMaterial,SheetsData,5,FALSE),IF(AND(VALUE(B197)&lt;2421,VALUE(C197)&lt;2421,VALUE(D197)&lt;606),2*VLOOKUP(WardrobeCarcassMaterial,SheetsData,5,FALSE),IF(AND(VALUE(B197)&lt;2421,VALUE(C197)&lt;1211,VALUE(D197)&lt;1211),3*VLOOKUP(WardrobeCarcassMaterial,SheetsData,5,FALSE),IF(AND(VALUE(B197)&lt;2421,VALUE(C197)&lt;2421,VALUE(D197)&lt;1211),4*VLOOKUP(WardrobeCarcassMaterial,SheetsData,5,FALSE))))),IF(AND(ISERROR(FIND("arcass",A197))=FALSE,ISERROR(FIND("ost corner",A197))=FALSE),IF(AND(VALUE(B197)&lt;1211,VALUE(C197)&lt;1211,VALUE(D197)&lt;606),(1*VLOOKUP(WardrobeCarcassMaterial,SheetsData,5,FALSE))+(VLOOKUP("H/F (22mm)",SheetsData,7,FALSE)*1.44),IF(AND(VALUE(B197)&lt;2421,VALUE(C197)&lt;2421,VALUE(D197)&lt;606),(2*VLOOKUP(WardrobeCarcassMaterial,SheetsData,5,FALSE))+(VLOOKUP("H/F (22mm)",SheetsData,7,FALSE)*1.44),IF(AND(VALUE(B197)&lt;2421,VALUE(C197)&lt;1211,VALUE(D197)&lt;1211),(3*VLOOKUP(WardrobeCarcassMaterial,SheetsData,5,FALSE))+(VLOOKUP("H/F (22mm)",SheetsData,7,FALSE)*1.44),IF(AND(VALUE(B197)&lt;2421,VALUE(C197)&lt;2421,VALUE(D197)&lt;1211),(4*VLOOKUP(WardrobeCarcassMaterial,SheetsData,5,FALSE))+(VLOOKUP("H/F (22mm)",SheetsData,7,FALSE)*1.44))))),IF(ISERROR(FIND("drawer front",A197))=FALSE,((B197/1000)*(C197/1000))*VLOOKUP(WardrobeDoorMaterial,SheetsData,8,0),IF(AND(WardrobeDrawerType="Match carcass",ISERROR(FIND("drawer box",A197))=FALSE),(((((B197/1000)*(C197/1000))+((B197/1000)*(D197/1000)))*2)*VLOOKUP(WardrobeCarcassMaterial,SheetsData,8,0))+(((C197/1000)*(D197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box",A197))=FALSE),(((((B197/1000)*(C197/1000))+((B197/1000)*(D197/1000)))*2)*(16/1000)*VLOOKUP(LEFT(WardrobeCarcassMaterial,FIND(" ",WardrobeCarcassMaterial))&amp;"(solid m3)",SolidData,4,0))+(((C197/1000)*(D197/1000))*VLOOKUP(LEFT(WardrobeCarcassMaterial,FIND("(",WardrobeCarcassMaterial)-1)&amp;IF(OR(ISERROR(FIND("ply",WardrobeCarcassMaterial))=FALSE,ISERROR(FIND("H/F",WardrobeCarcassMaterial))=FALSE),"(9mm)","(10mm)"),SheetsData,8,0)),IF(ISERROR(FIND("shelf",A197))=FALSE,((C197/1000)*(D197/1000))*VLOOKUP(WardrobeCarcassMaterial,SheetsData,7,FALSE),IF(ISERROR(FIND("Office pod",A197))=FALSE,3*VLOOKUP(WardrobeCarcassMaterial,SheetsData,5,0),IF(ISERROR(FIND(" panel",A197))=FALSE,((B197/1000)*(C197/1000))*VLOOKUP(WardrobeDoorMaterial,SheetsData,8,0),IF(ISERROR(FIND("Fillers",A197))=FALSE,(((0.06*(C197/1000))*2)*VLOOKUP("H/F (18mm)",SheetsData,8,0))+(((0.06*(C197/1000))*2)*VLOOKUP("H/F (9mm)",SheetsData,8,0)),IF(ISERROR(FIND("Cornice (stacked)",A197))=FALSE,((0.08*(C197/1000))*2)*VLOOKUP("H/F (22mm)",SheetsData,8,0),IF(OR(ISERROR(FIND("Plinth",A197))=FALSE,ISERROR(FIND("Cornice (flat)",A197))=FALSE),((B197/1000)*(C197/1000))*VLOOKUP("H/F (18mm)",SheetsData,8,0),IF(ISERROR(FIND("Pelmet",A197))=FALSE,((((B197/1000)*(C197/1000))*2)*VLOOKUP("H/F (18mm)",SheetsData,8,0)),IF(ISERROR(FIND("Fireplace",A197))=FALSE,IF(ISERROR(FIND("over 1600",A197))=FALSE,2*VLOOKUP(WardrobeCarcassMaterial,SheetsData,5,FALSE),VLOOKUP(WardrobeCarcassMaterial,SheetsData,5,FALSE)),IF(ISERROR(FIND("table",A197))=FALSE,((B197/1000)*0.6)*VLOOKUP("Birch ply (24mm)",SheetsData,7,FALSE),IF(ISERROR(FIND("Worktop",A197))=FALSE,((B197/1000)*(C197/1000))*VLOOKUP(WardrobeDoorMaterial,SheetsData,7,FALSE),"Check formula")))))))))))))))))</f>
        <v/>
      </c>
      <c r="F197" s="152" t="str">
        <f>IFERROR(__xludf.DUMMYFUNCTION("IF(OR(A197="""",AND(ISERROR(FIND(""drawer box"",A197))=FALSE,WardrobeDrawerType=""Solid dovetail"")),"""",IF(ISERROR(FIND(""bins"",A197))=FALSE,VLOOKUP(""Base carcass 600"",Wardrobes_etcData,6,0),IF(OR(ISERROR(FIND(""larder"",A197))=FALSE,ISERROR(FIND(""u"&amp;"nit"",A197))=FALSE),VLOOKUP(LEFT(A197,FIND("" "",A197))&amp;""carcass ""&amp;RIGHT(A197,LEN(A197)-len(regexextract(A197,"".* ""))),Wardrobes_etcData,6,0),IF(ISERROR(FIND(""drawer front"",A197))=FALSE,IF(ISERROR(FIND(""veneer"",WardrobeCarcassMaterial))=TRUE,0,((("&amp;"B197+C197)/1000)*2)*VLOOKUP(""Edge banding (per M)"",SheetsData,5,0)),IF(ISERROR(FIND(""drawer box"",A197))=FALSE,IF(ISERROR(FIND(""veneer"",WardrobeCarcassMaterial))=TRUE,0,(((C197+D197)/1000)*2)*VLOOKUP(""Edge banding (per M)"",SheetsData,5,0)),IF(ISERR"&amp;"OR(FIND(""shelf"",A197))=FALSE,IF(ISERROR(FIND(""veneer"",WardrobeCarcassMaterial))=TRUE,0,(C197/1000)*VLOOKUP(""Edge banding (per M)"",SheetsData,5,0)),IF(AND(OR(ISERROR(FIND(""arcass"",A197))=FALSE,ISERROR(FIND(""Fireplace"",A197))=FALSE),ISERROR(FIND("&amp;"""shelf"",A197))=TRUE),IF(ISERROR(FIND(""veneer"",WardrobeCarcassMaterial))=TRUE,0,((2*(B197+C197))/1000)*VLOOKUP(""Edge banding (per M)"",SheetsData,5,0)),IF(ISERROR(FIND(""door"",A197))=TRUE,"""",IF(ISERROR(FIND(""veneer"",WardrobeDoorMaterial))=TRUE,"""&amp;""",((2*(B197+C197))/1000)*VLOOKUP(""Edge banding (per M)"",SheetsData,5,0))))))))))"),"")</f>
        <v/>
      </c>
      <c r="G197" s="153" t="str">
        <f>IF(A197="","",IF(AND(ISERROR(FIND("arcass",A197))=TRUE,ISERROR(FIND("Fireplace",A197))=TRUE),"",IF(VALUE(C197)&lt;606,4*VLOOKUP("Plinth foot (2 Parts 80mm)",FurnitureData,5,FALSE),IF(VALUE(C197)&lt;1211,6*VLOOKUP("Plinth foot (2 Parts 80mm)",FurnitureData,5,FALSE),8*VLOOKUP("Plinth foot (2 Parts 80mm)",FurnitureData,5,FALSE)))))</f>
        <v/>
      </c>
      <c r="H197" s="115" t="str">
        <f>IF(OR(A197="",ISERROR(FIND("door",A197))=TRUE),"",VLOOKUP("Hinges &amp; plates (Hettich thick door)",FurnitureData,5,0)*5)</f>
        <v/>
      </c>
      <c r="I197" s="115" t="str">
        <f>IF(ISERROR(FIND("shelf",A197))=FALSE,(VLOOKUP("Shelf pegs",FurnitureData,5,0)/100)*4,"")</f>
        <v/>
      </c>
      <c r="J197" s="152" t="str">
        <f>IF(OR(ISERROR(FIND("fridge/freezer",A197))=FALSE,ISERROR(FIND("sink",A197))=FALSE,ISERROR(FIND("larder",A197))=FALSE),VLOOKUP("Deep shelf "&amp;C197,Wardrobes_etcData,18,0),IF(OR(ISERROR(FIND("single oven",A197))=FALSE,ISERROR(FIND("Base carcass",A197))=FALSE),2*VLOOKUP("Deep shelf "&amp;C197,Wardrobes_etcData,18,0),IF(AND(ISERROR(FIND("wall carcass",A197))=FALSE,ISERROR(FIND("Boiler",A197))=TRUE),2*VLOOKUP("Shallow shelf "&amp;C197,Wardrobes_etcData,18,0),IF(ISERROR(FIND("double oven",A197))=FALSE,3*VLOOKUP("Deep shelf "&amp;C197,Wardrobes_etcData,18,0),IF(ISERROR(FIND("Tower carcass",A197))=FALSE,6*VLOOKUP("Deep shelf "&amp;C197,Wardrobes_etcData,18,0),"")))))</f>
        <v/>
      </c>
      <c r="K197" s="152" t="str">
        <f>IF(ISERROR(FIND("sink",A197))=FALSE,VLOOKUP("Sink liner - Aluminium "&amp;RIGHT(A197,LEN(A197)-22)&amp;"mm",ExceptionalData,5,0),IF(ISERROR(FIND("bins",A197))=FALSE,VLOOKUP("Drawer runners and clip set for bin unit (500) Dynapro",FurnitureData,5,0)+(2*VLOOKUP("Bin (42L Anthracite)",FurnitureData,5,0)),IF(ISERROR(FIND("larder",A197))=FALSE,VLOOKUP("Pull out larder unit 600mm",FurnitureData,5,0),IF(AND(ISERROR(FIND("drawer box",A197))=FALSE,ISERROR(FIND("internal",A197))=TRUE),VLOOKUP("Drawer runners and clip set (550) Dynapro",FurnitureData,5,0),IF(ISERROR(FIND("internal drawer box",A197))=FALSE,VLOOKUP("Drawer runners and clip set (450) Dynapro",FurnitureData,5,0),IF(ISERROR(FIND("table",A197))=FALSE,VLOOKUP("Hairpin Leg (12mm Black "&amp;MID(A197,FIND("(",A197)+1,LEN(A197)-(FIND("(",A197))-1)&amp;"mm)",ExceptionalData,4,FALSE),""))))))</f>
        <v/>
      </c>
      <c r="L197" s="152" t="str">
        <f t="shared" si="3"/>
        <v/>
      </c>
      <c r="M197" s="154" t="str">
        <f>IF(A197="","",IF(AND(ISERROR(FIND("drawer front",A197))=FALSE,WardrobeDoorStyle="Flat"),(((B197/1000)*(C197/1000))*2)+((((B197+C197)/1000)*2)*0.022),IF(AND(ISERROR(FIND("drawer front",A197))=FALSE,LEFT(WardrobeDoorStyle,5)="Panel"),(((B197/1000)*(C197/1000))*2)+((((B197+C197)/1000)*2)*0.022)+((((C197/1000)-0.16)*0.013)*2)+((((D197/1000)-0.16)*0.013)*2),IF(AND(ISERROR(FIND("drawer front",A197))=FALSE,WardrobeDoorStyle="In-frame flat"),((((B197-76)/1000)*((C197-38)/1000))*2)+(MID(WardrobeDoorMaterial,FIND("(",WardrobeDoorMaterial)+1,2)/1000)*((((B197-76)+(C197-38))/1000)*2)+(((B197/1000)*0.032)*2)+((((B197-76)/1000)*0.032)*2)+(((B197/1000)*0.019)*4)+(((C197/1000)*0.032)*2)+((((C197-38)/1000)*0.032)*2)+(((C197/1000)*0.038)*4),IF(AND(ISERROR(FIND("drawer front",A197))=FALSE,LEFT(WardrobeDoorStyle,14)="In-frame panel"),((((B197-76)/1000)*((C197-38)/1000))*2)+((MID(WardrobeDoorMaterial,FIND("(",WardrobeDoorMaterial)+1,2)/1000)*((((B197-76)+(C197-38))/1000)*2))+((((B197-236)/1000)+((C197-198)/1000)*2)*0.013)+(((B197/1000)*0.032)*2)+((((B197-76)/1000)*0.032)*2)+(((B197/1000)*0.019)*4)+(((C197/1000)*0.032)*2)+((((C197-38)/1000)*0.032)*2)+(((C197/1000)*0.038)*4),IF(ISERROR(FIND("drawer box",A197))=FALSE,((((B197/1000)*(D197/1000))+((B197/1000)*(C197/1000)))*4)+((((D197/1000)+(C197/1000))*0.016)*4)+(((C197/1000)*(D197/1000))*2),IF(OR(ISERROR(FIND("shelf",A197))=FALSE,ISERROR(FIND("Filler panel",A197))=FALSE),(((C197/1000)*(D197/1000))*2)+((((C197+D197)*2)/1000)*0.022),IF(ISERROR(FIND("Fireplace",A197))=FALSE,((B197/1000)*(C197/1000)),IF(ISERROR(FIND("Worktop",A197))=FALSE,(B197/1000)*(C197/1000),IF(ISERROR(FIND("table",A197))=FALSE,(B197/1000)*0.6,IF(ISERROR(FIND("arcass",A197))=FALSE,(((C197/1000)*(D197/1000))*2)+(((B197/1000)*(D197/1000))*2)+((B197/1000)*(C197/1000))+((((B197/1000)*0.025)+((C197/1000)*0.025))*2),IF(AND(ISERROR(FIND("door",A197))=FALSE,WardrobeDoorStyle="Flat"),(((B197/1000)*(C197/1000))*2)+(MID(WardrobeDoorMaterial,FIND("(",WardrobeDoorMaterial)+1,2)/1000)*(((B197+C197)/1000)*2),IF(AND(ISERROR(FIND("door",A197))=FALSE,LEFT(WardrobeDoorStyle,5)="Panel"),(((B197/1000)*(C197/1000))*2)+((MID(WardrobeDoorMaterial,FIND("(",WardrobeDoorMaterial)+1,2)/1000)*(((B197+C197)/1000)*2))+(((((B197-160)+(C197-160))*2)/1000)*(0.013)),IF(AND(ISERROR(FIND("door",A197))=FALSE,WardrobeDoorStyle="In-frame flat"),((((B197-76)/1000)*((C197-38)/1000))*2)+(MID(WardrobeDoorMaterial,FIND("(",WardrobeDoorMaterial)+1,2)/1000)*((((B197-76)+(C197-38))/1000)*2)+(((B197/1000)*0.032)*2)+((((B197-76)/1000)*0.032)*2)+(((B197/1000)*0.019)*4)+(((C197/1000)*0.032)*2)+((((C197-38)/1000)*0.032)*2)+(((C197/1000)*0.038)*4),IF(AND(ISERROR(FIND("door",A197))=FALSE,LEFT(WardrobeDoorStyle,14)="In-frame panel"),((((B197-76)/1000)*((C197-38)/1000))*2)+((MID(WardrobeDoorMaterial,FIND("(",WardrobeDoorMaterial)+1,2)/1000)*((((B197-76)+(C197-38))/1000)*2))+((((B197-236)/1000)+((C197-198)/1000)*2)*0.013)+(((B197/1000)*0.032)*2)+((((B197-76)/1000)*0.032)*2)+(((B197/1000)*0.019)*4)+(((C197/1000)*0.032)*2)+((((C197-38)/1000)*0.032)*2)+(((C197/1000)*0.038)*4),IF(ISERROR(FIND("Plinth",A197))=FALSE,((B197/1000)*(C197/1000))+(((C197/1000)*0.018)*2)+(((B197/1000)*0.018)*2),IF(ISERROR(FIND("Cornice",A197))=FALSE,(((C197/1000)*0.1)*2)+(((C197/1000)*0.044)*2)+(((B197/1000)*0.08)*2),IF(ISERROR(FIND("Office pod",A197))=FALSE,((2400/1000)*(1200/1000))*6,IF(ISERROR(FIND("panel",A197))=FALSE,((B197/1000)*(C197/1000))+(0.022*((B197/1000)+((C197/1000)*2)))+((B197/1000)*0.05),IF(ISERROR(FIND("Fillers",A197))=FALSE,((C197/1000)*0.06)+((C197/1000)*0.069)+((0.06*0.018)*2)+((0.06*0.009)*2)+((C197/1000)*0.009)+((C197/1000)*0.018),IF(ISERROR(FIND("Pelmet",A197))=FALSE,((C197/1000)*0.05)+((C197/1000)*0.068)+((0.05*0.018)*4)+(((C197/1000)*0.018))*2)))))))))))))))))))))</f>
        <v/>
      </c>
      <c r="N197" s="152" t="str">
        <f>IF(M197="","",IF(AND(ISERROR(FIND("carcass",A197))=TRUE,ISERROR(FIND("unit",A197))=TRUE,ISERROR(FIND("insert",A197))=TRUE,ISERROR(FIND("rack",A197))=TRUE,ISERROR(FIND("box",A197))=TRUE,ISERROR(FIND("shelf",A197))=TRUE),VLOOKUP(WardrobeDoorFinish,Finishing!$A$2:$K$10,9,0)*M197,IF(ISERROR(FIND("table",A197))=FALSE,VLOOKUP("Sayerlack AF0072 Interior Clear Self-Sealer",FinishingData,9,FALSE)*M197,VLOOKUP(WardrobeCarcassFinish,Finishing!$A$2:$K$40,9,0)*M197)))</f>
        <v/>
      </c>
      <c r="O197" s="159"/>
      <c r="P197" s="159"/>
      <c r="Q197" s="152" t="str">
        <f>IF(OR(O197="",P197=""),"",((O197*X197)*(VLOOKUP("Workshop",Labour!$A$3:$E$20,4,0)/8))+((P197*AE197)*(VLOOKUP("Finishing",Labour!$A$3:$E$20,4,0)/8)))</f>
        <v/>
      </c>
      <c r="R197" s="152" t="str">
        <f t="shared" si="4"/>
        <v/>
      </c>
      <c r="S197" s="156" t="str">
        <f>IF(OR(O197="",P197=""),"",IF(OR(ISERROR(FIND("carcass",$A197))=FALSE,ISERROR(FIND("unit",$A197))=FALSE),VLOOKUP(WardrobeCarcassMaterial,FixedListsCarcassMaterial,2,0),0))</f>
        <v/>
      </c>
      <c r="T197" s="156" t="str">
        <f>IF(OR(O197="",P197=""),"",IF(ISERROR(FIND("door",$A197))=FALSE,VLOOKUP(WardrobeDoorStyle,FixedListsDoorStyle,2,0),0))</f>
        <v/>
      </c>
      <c r="U197" s="156" t="str">
        <f>IF(OR(O197="",P197=""),"",IF(ISERROR(FIND("door",$A197))=FALSE,VLOOKUP(WardrobeDoorMaterial,FixedListsDoorMaterial,2,0),0))</f>
        <v/>
      </c>
      <c r="V197" s="156" t="str">
        <f>IF(OR(O197="",P197=""),"",IF(ISERROR(FIND("drawer",$A197))=FALSE,VLOOKUP(WardrobeDrawerType,FixedListsDrawerType,2,0),0))</f>
        <v/>
      </c>
      <c r="W197" s="156" t="str">
        <f>IF(OR(O197="",P197=""),"",IF(S197&gt;0,VLOOKUP(WardrobeHandleType,FixedListsHandleType,2,FALSE),0))</f>
        <v/>
      </c>
      <c r="X197" s="156" t="str">
        <f t="shared" si="5"/>
        <v/>
      </c>
      <c r="Y197" s="156" t="str">
        <f>IF(OR(O197="",P197=""),"",IF(OR(ISERROR(FIND("carcass",$A197))=FALSE,ISERROR(FIND("unit",$A197))=FALSE),VLOOKUP(WardrobeCarcassMaterial,FixedListsCarcassMaterial,3,0),0))</f>
        <v/>
      </c>
      <c r="Z197" s="156" t="str">
        <f>IF(OR(O197="",P197=""),"",IF(ISERROR(FIND("door",$A197))=FALSE,VLOOKUP(WardrobeDoorStyle,FixedListsDoorStyle,3,0),0))</f>
        <v/>
      </c>
      <c r="AA197" s="156" t="str">
        <f>IF(OR(O197="",P197=""),"",IF(ISERROR(FIND("door",$A197))=FALSE,VLOOKUP(WardrobeDoorMaterial,FixedListsDoorMaterial,3,0),0))</f>
        <v/>
      </c>
      <c r="AB197" s="156" t="str">
        <f>IF(OR(O197="",P197=""),"",IF(ISERROR(FIND("drawer",$A197))=FALSE,VLOOKUP(WardrobeDrawerType,FixedListsDrawerType,3,0),0))</f>
        <v/>
      </c>
      <c r="AC197" s="156" t="str">
        <f>IF(OR(O197="",P197=""),"",IF(S197&gt;0,VLOOKUP(WardrobeHandleType,FixedListsHandleType,3,FALSE),0))</f>
        <v/>
      </c>
      <c r="AD197" s="156" t="str">
        <f>IF(OR(O197="",P197=""),"",IF(OR(ISERROR(FIND("carcass",$A197))=FALSE,ISERROR(FIND("unit",$A197))=FALSE),VLOOKUP(WardrobeCarcassFinish,FixedListsFinishes,3,0),IF(OR(ISERROR(FIND("door",$A197))=FALSE,ISERROR(FIND("Plinth",$A197))=FALSE,ISERROR(FIND("Cornice",$A197))=FALSE,ISERROR(FIND("Fillers",$A197))=FALSE,ISERROR(FIND("Pelmet",$A197))=FALSE,ISERROR(FIND("panel",$A197))=FALSE,ISERROR(FIND("post",$A197))=FALSE),VLOOKUP(WardrobeDoorFinish,FixedListsFinishes,3,0),IF(OR(ISERROR(FIND("drawer",$A197))=FALSE,ISERROR(FIND("insert",$A197))=FALSE,ISERROR(FIND("rck",$A197))=FALSE),VLOOKUP(WardrobeCarcassFinish,FixedListsFinishes,3,0),0))))</f>
        <v/>
      </c>
      <c r="AE197" s="156" t="str">
        <f t="shared" si="6"/>
        <v/>
      </c>
      <c r="AF197" s="157" t="str">
        <f>IF(AND(WardrobeHandleType="Channel",OR(ISERROR(FIND("arcass",$A197))=FALSE,ISERROR(FIND("unit",$A197))=FALSE)),IF(ISERROR(FIND("Tower",$A197))=TRUE,IF(WardrobeHandleFinish="Match carcass",IF(ISERROR(FIND("Walnut",WardrobeCarcassMaterial))=FALSE,(0.035*0.075*($C197/1000))*VLOOKUP("Walnut (solid m3)",SolidData,4,FALSE),IF(ISERROR(FIND("Oak",WardrobeCarcassMaterial))=FALSE,(0.035*0.075*($C197/1000))*VLOOKUP("Oak (solid m3)",SolidData,4,FALSE),IF(ISERROR(FIND("ply",WardrobeCarcassMaterial))=FALSE,(0.1*($C197/1000))*VLOOKUP("Birch ply (24mm)",SheetsData,7,FALSE),IF(ISERROR(FIND("H/F",WardrobeCarcassMaterial))=FALSE,(0.1*($C197/1000))*VLOOKUP("H/F (22mm)",SheetsData,7,FALSE),"Carcass - not tower - new material")))),IF(WardrobeHandleFinish="Match door",IF(ISERROR(FIND("Walnut",WardrobeDoorMaterial))=FALSE,(0.035*0.075*($C197/1000))*VLOOKUP("Walnut (solid m3)",SolidData,4,FALSE),IF(ISERROR(FIND("Oak",WardrobeDoorMaterial))=FALSE,(0.035*0.075*($C197/1000))*VLOOKUP("Oak (solid m3)",SolidData,4,FALSE),IF(ISERROR(FIND("ply",WardrobeDoorMaterial))=FALSE,(0.1*($C197/1000))*VLOOKUP("Birch ply (24mm)",SheetsData,7,FALSE),IF(ISERROR(FIND("H/F",WardrobeCarcassMaterial))=FALSE,(0.1*($C197/1000))*VLOOKUP("H/F (22mm)",SheetsData,7,FALSE),"Door - not tower - new material")))),"Channel - not tower - handle set to other")),IF(ISERROR(FIND("Tower",$A197))=FALSE,IF(WardrobeHandleFinish="Match carcass",IF(ISERROR(FIND("Walnut",WardrobeCarcassMaterial))=FALSE,(0.035*0.075*($B197/1000))*VLOOKUP("Walnut (solid m3)",SolidData,4,FALSE),IF(ISERROR(FIND("Oak",WardrobeCarcassMaterial))=FALSE,(0.035*0.075*($B197/1000))*VLOOKUP("Oak (solid m3)",SolidData,4,FALSE),IF(ISERROR(FIND("ply",WardrobeCarcassMaterial))=FALSE,(0.1*($B197/1000))*VLOOKUP("Birch ply (24mm)",SheetsData,7,FALSE),IF(ISERROR(FIND("H/F",WardrobeCarcassMaterial))=FALSE,(0.1*($C197/1000))*VLOOKUP("H/F (22mm)",SheetsData,7,FALSE),"Carcass - tower - new material")))),IF(WardrobeHandleFinish="Match door",IF(ISERROR(FIND("Walnut",WardrobeDoorMaterial))=FALSE,(0.035*0.075*($B197/1000))*VLOOKUP("Walnut (solid m3)",SolidData,4,FALSE),IF(ISERROR(FIND("Oak",WardrobeDoorMaterial))=FALSE,(0.035*0.075*($B197/1000))*VLOOKUP("Oak (solid m3)",SolidData,4,FALSE),IF(ISERROR(FIND("ply",WardrobeDoorMaterial))=FALSE,(0.1*($B197/1000))*VLOOKUP("Birch ply (24mm)",SheetData,7,FALSE),IF(ISERROR(FIND("H/F",WardrobeCarcassMaterial))=FALSE,(0.1*($C197/1000))*VLOOKUP("H/F (22mm)",SheetsData,7,FALSE),"Door - tower - new material")))),"Channel - tower - handle set to other")))),"")</f>
        <v/>
      </c>
    </row>
    <row r="198">
      <c r="A198" s="150"/>
      <c r="B198" s="160" t="str">
        <f t="shared" si="1"/>
        <v/>
      </c>
      <c r="C198" s="160" t="str">
        <f>IFERROR(__xludf.DUMMYFUNCTION("IF(A198="""","""",IF(ISERROR(FIND(""arcass"",A198))=FALSE,MID(A198,FIND(""*"",A198)+1,FIND(""*"",A198,FIND(""*"",A198)+1)-FIND(""*"",A198)-1),IF(ISERROR(FIND(""End panel"",A198))=FALSE,RIGHT(A198,3),IF(OR(ISERROR(FIND(""drawer"",A198))=FALSE,ISERROR(FIND("&amp;"""door"",A198))=FALSE,ISERROR(FIND(""shelf"",A198))=FALSE,ISERROR(FIND(""panel"",A198))=FALSE,ISERROR(FIND(""Plinth"",A198))=FALSE,ISERROR(FIND(""Cornice"",A198))=FALSE,ISERROR(FIND(""Fillers"",A198))=FALSE,ISERROR(FIND(""Pelmet"",A198))=FALSE,ISERROR(FIN"&amp;"D(""Fireplace up to 1600"",A198))=FALSE),RIGHT(A198,LEN(A198)-LEN(regexextract(A198,"".* ""))),IF(ISERROR(FIND(""table"",A198))=FALSE,""560"",IF(ISERROR(FIND(""Office pod"",A198))=FALSE,""1600"",IF(ISERROR(FIND(""Fireplace over 1600"",A198))=FALSE,""2400"&amp;""",IF(ISERROR(FIND(""Worktop"",A198))=FALSE,""650"",""Whoops""))))))))"),"")</f>
        <v/>
      </c>
      <c r="D198" s="161" t="str">
        <f t="shared" si="2"/>
        <v/>
      </c>
      <c r="E198" s="152" t="str">
        <f>IF(OR(A198="",AND(ISERROR(FIND("drawer",A198))=FALSE,WardrobeDrawerType="")),"",IF(ISERROR(FIND("door",A198))=FALSE,IF(WardrobeDoorStyle="Flat",((B198/1000)*(C198/1000))*VLOOKUP(WardrobeDoorMaterial,SheetsData,8,0),IF(LEFT(WardrobeDoorStyle,5)="Panel",(((((B198/1000)*2)*0.08)+((((C198/1000)-0.16)*2)*0.08))*VLOOKUP("H/F (22mm)",SheetsData,8,0))+(((B198/1000)-0.14)*((C198/1000)-0.14)*VLOOKUP("H/F (9mm)",SheetsData,8,0)),IF(WardrobeDoorStyle="In-frame flat",((((((B198/1000)*0.019)*0.038)+((((C198-38)/1000)*0.038)*0.038))*2)*VLOOKUP("Tulip (solid m3)",SolidData,4,0))+(((B198-76)/1000)*((C198-38)/1000))*VLOOKUP("H/F (22mm)",SheetsData,8,0),IF(LEFT(WardrobeDoorStyle,14)="In-frame panel",(((((((B198/1000)*0.019)*0.038)+((((C198-38)/1000)*0.038)*0.038))*2)*VLOOKUP("Tulip (solid m3)",SolidData,4,0))+(((((((B198-76)/1000)*2)*0.08)+(((((C198-198)/1000)*2)*0.08)))*VLOOKUP("H/F (22mm)",SheetsData,8,0))+(((B198-216)/1000)*((C198-178)/1000)*VLOOKUP("H/F (9mm)",SheetsData,8,0)))))))),IF(AND(ISERROR(FIND("arcass",A198))=FALSE,ISERROR(FIND("ost corner",A198))=TRUE),IF(AND(VALUE(B198)&lt;1211,VALUE(C198)&lt;1211,VALUE(D198)&lt;606),1*VLOOKUP(WardrobeCarcassMaterial,SheetsData,5,FALSE),IF(AND(VALUE(B198)&lt;2421,VALUE(C198)&lt;2421,VALUE(D198)&lt;606),2*VLOOKUP(WardrobeCarcassMaterial,SheetsData,5,FALSE),IF(AND(VALUE(B198)&lt;2421,VALUE(C198)&lt;1211,VALUE(D198)&lt;1211),3*VLOOKUP(WardrobeCarcassMaterial,SheetsData,5,FALSE),IF(AND(VALUE(B198)&lt;2421,VALUE(C198)&lt;2421,VALUE(D198)&lt;1211),4*VLOOKUP(WardrobeCarcassMaterial,SheetsData,5,FALSE))))),IF(AND(ISERROR(FIND("arcass",A198))=FALSE,ISERROR(FIND("ost corner",A198))=FALSE),IF(AND(VALUE(B198)&lt;1211,VALUE(C198)&lt;1211,VALUE(D198)&lt;606),(1*VLOOKUP(WardrobeCarcassMaterial,SheetsData,5,FALSE))+(VLOOKUP("H/F (22mm)",SheetsData,7,FALSE)*1.44),IF(AND(VALUE(B198)&lt;2421,VALUE(C198)&lt;2421,VALUE(D198)&lt;606),(2*VLOOKUP(WardrobeCarcassMaterial,SheetsData,5,FALSE))+(VLOOKUP("H/F (22mm)",SheetsData,7,FALSE)*1.44),IF(AND(VALUE(B198)&lt;2421,VALUE(C198)&lt;1211,VALUE(D198)&lt;1211),(3*VLOOKUP(WardrobeCarcassMaterial,SheetsData,5,FALSE))+(VLOOKUP("H/F (22mm)",SheetsData,7,FALSE)*1.44),IF(AND(VALUE(B198)&lt;2421,VALUE(C198)&lt;2421,VALUE(D198)&lt;1211),(4*VLOOKUP(WardrobeCarcassMaterial,SheetsData,5,FALSE))+(VLOOKUP("H/F (22mm)",SheetsData,7,FALSE)*1.44))))),IF(ISERROR(FIND("drawer front",A198))=FALSE,((B198/1000)*(C198/1000))*VLOOKUP(WardrobeDoorMaterial,SheetsData,8,0),IF(AND(WardrobeDrawerType="Match carcass",ISERROR(FIND("drawer box",A198))=FALSE),(((((B198/1000)*(C198/1000))+((B198/1000)*(D198/1000)))*2)*VLOOKUP(WardrobeCarcassMaterial,SheetsData,8,0))+(((C198/1000)*(D198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box",A198))=FALSE),(((((B198/1000)*(C198/1000))+((B198/1000)*(D198/1000)))*2)*(16/1000)*VLOOKUP(LEFT(WardrobeCarcassMaterial,FIND(" ",WardrobeCarcassMaterial))&amp;"(solid m3)",SolidData,4,0))+(((C198/1000)*(D198/1000))*VLOOKUP(LEFT(WardrobeCarcassMaterial,FIND("(",WardrobeCarcassMaterial)-1)&amp;IF(OR(ISERROR(FIND("ply",WardrobeCarcassMaterial))=FALSE,ISERROR(FIND("H/F",WardrobeCarcassMaterial))=FALSE),"(9mm)","(10mm)"),SheetsData,8,0)),IF(ISERROR(FIND("shelf",A198))=FALSE,((C198/1000)*(D198/1000))*VLOOKUP(WardrobeCarcassMaterial,SheetsData,7,FALSE),IF(ISERROR(FIND("Office pod",A198))=FALSE,3*VLOOKUP(WardrobeCarcassMaterial,SheetsData,5,0),IF(ISERROR(FIND(" panel",A198))=FALSE,((B198/1000)*(C198/1000))*VLOOKUP(WardrobeDoorMaterial,SheetsData,8,0),IF(ISERROR(FIND("Fillers",A198))=FALSE,(((0.06*(C198/1000))*2)*VLOOKUP("H/F (18mm)",SheetsData,8,0))+(((0.06*(C198/1000))*2)*VLOOKUP("H/F (9mm)",SheetsData,8,0)),IF(ISERROR(FIND("Cornice (stacked)",A198))=FALSE,((0.08*(C198/1000))*2)*VLOOKUP("H/F (22mm)",SheetsData,8,0),IF(OR(ISERROR(FIND("Plinth",A198))=FALSE,ISERROR(FIND("Cornice (flat)",A198))=FALSE),((B198/1000)*(C198/1000))*VLOOKUP("H/F (18mm)",SheetsData,8,0),IF(ISERROR(FIND("Pelmet",A198))=FALSE,((((B198/1000)*(C198/1000))*2)*VLOOKUP("H/F (18mm)",SheetsData,8,0)),IF(ISERROR(FIND("Fireplace",A198))=FALSE,IF(ISERROR(FIND("over 1600",A198))=FALSE,2*VLOOKUP(WardrobeCarcassMaterial,SheetsData,5,FALSE),VLOOKUP(WardrobeCarcassMaterial,SheetsData,5,FALSE)),IF(ISERROR(FIND("table",A198))=FALSE,((B198/1000)*0.6)*VLOOKUP("Birch ply (24mm)",SheetsData,7,FALSE),IF(ISERROR(FIND("Worktop",A198))=FALSE,((B198/1000)*(C198/1000))*VLOOKUP(WardrobeDoorMaterial,SheetsData,7,FALSE),"Check formula")))))))))))))))))</f>
        <v/>
      </c>
      <c r="F198" s="152" t="str">
        <f>IFERROR(__xludf.DUMMYFUNCTION("IF(OR(A198="""",AND(ISERROR(FIND(""drawer box"",A198))=FALSE,WardrobeDrawerType=""Solid dovetail"")),"""",IF(ISERROR(FIND(""bins"",A198))=FALSE,VLOOKUP(""Base carcass 600"",Wardrobes_etcData,6,0),IF(OR(ISERROR(FIND(""larder"",A198))=FALSE,ISERROR(FIND(""u"&amp;"nit"",A198))=FALSE),VLOOKUP(LEFT(A198,FIND("" "",A198))&amp;""carcass ""&amp;RIGHT(A198,LEN(A198)-len(regexextract(A198,"".* ""))),Wardrobes_etcData,6,0),IF(ISERROR(FIND(""drawer front"",A198))=FALSE,IF(ISERROR(FIND(""veneer"",WardrobeCarcassMaterial))=TRUE,0,((("&amp;"B198+C198)/1000)*2)*VLOOKUP(""Edge banding (per M)"",SheetsData,5,0)),IF(ISERROR(FIND(""drawer box"",A198))=FALSE,IF(ISERROR(FIND(""veneer"",WardrobeCarcassMaterial))=TRUE,0,(((C198+D198)/1000)*2)*VLOOKUP(""Edge banding (per M)"",SheetsData,5,0)),IF(ISERR"&amp;"OR(FIND(""shelf"",A198))=FALSE,IF(ISERROR(FIND(""veneer"",WardrobeCarcassMaterial))=TRUE,0,(C198/1000)*VLOOKUP(""Edge banding (per M)"",SheetsData,5,0)),IF(AND(OR(ISERROR(FIND(""arcass"",A198))=FALSE,ISERROR(FIND(""Fireplace"",A198))=FALSE),ISERROR(FIND("&amp;"""shelf"",A198))=TRUE),IF(ISERROR(FIND(""veneer"",WardrobeCarcassMaterial))=TRUE,0,((2*(B198+C198))/1000)*VLOOKUP(""Edge banding (per M)"",SheetsData,5,0)),IF(ISERROR(FIND(""door"",A198))=TRUE,"""",IF(ISERROR(FIND(""veneer"",WardrobeDoorMaterial))=TRUE,"""&amp;""",((2*(B198+C198))/1000)*VLOOKUP(""Edge banding (per M)"",SheetsData,5,0))))))))))"),"")</f>
        <v/>
      </c>
      <c r="G198" s="153" t="str">
        <f>IF(A198="","",IF(AND(ISERROR(FIND("arcass",A198))=TRUE,ISERROR(FIND("Fireplace",A198))=TRUE),"",IF(VALUE(C198)&lt;606,4*VLOOKUP("Plinth foot (2 Parts 80mm)",FurnitureData,5,FALSE),IF(VALUE(C198)&lt;1211,6*VLOOKUP("Plinth foot (2 Parts 80mm)",FurnitureData,5,FALSE),8*VLOOKUP("Plinth foot (2 Parts 80mm)",FurnitureData,5,FALSE)))))</f>
        <v/>
      </c>
      <c r="H198" s="115" t="str">
        <f>IF(OR(A198="",ISERROR(FIND("door",A198))=TRUE),"",VLOOKUP("Hinges &amp; plates (Hettich thick door)",FurnitureData,5,0)*5)</f>
        <v/>
      </c>
      <c r="I198" s="115" t="str">
        <f>IF(ISERROR(FIND("shelf",A198))=FALSE,(VLOOKUP("Shelf pegs",FurnitureData,5,0)/100)*4,"")</f>
        <v/>
      </c>
      <c r="J198" s="152" t="str">
        <f>IF(OR(ISERROR(FIND("fridge/freezer",A198))=FALSE,ISERROR(FIND("sink",A198))=FALSE,ISERROR(FIND("larder",A198))=FALSE),VLOOKUP("Deep shelf "&amp;C198,Wardrobes_etcData,18,0),IF(OR(ISERROR(FIND("single oven",A198))=FALSE,ISERROR(FIND("Base carcass",A198))=FALSE),2*VLOOKUP("Deep shelf "&amp;C198,Wardrobes_etcData,18,0),IF(AND(ISERROR(FIND("wall carcass",A198))=FALSE,ISERROR(FIND("Boiler",A198))=TRUE),2*VLOOKUP("Shallow shelf "&amp;C198,Wardrobes_etcData,18,0),IF(ISERROR(FIND("double oven",A198))=FALSE,3*VLOOKUP("Deep shelf "&amp;C198,Wardrobes_etcData,18,0),IF(ISERROR(FIND("Tower carcass",A198))=FALSE,6*VLOOKUP("Deep shelf "&amp;C198,Wardrobes_etcData,18,0),"")))))</f>
        <v/>
      </c>
      <c r="K198" s="152" t="str">
        <f>IF(ISERROR(FIND("sink",A198))=FALSE,VLOOKUP("Sink liner - Aluminium "&amp;RIGHT(A198,LEN(A198)-22)&amp;"mm",ExceptionalData,5,0),IF(ISERROR(FIND("bins",A198))=FALSE,VLOOKUP("Drawer runners and clip set for bin unit (500) Dynapro",FurnitureData,5,0)+(2*VLOOKUP("Bin (42L Anthracite)",FurnitureData,5,0)),IF(ISERROR(FIND("larder",A198))=FALSE,VLOOKUP("Pull out larder unit 600mm",FurnitureData,5,0),IF(AND(ISERROR(FIND("drawer box",A198))=FALSE,ISERROR(FIND("internal",A198))=TRUE),VLOOKUP("Drawer runners and clip set (550) Dynapro",FurnitureData,5,0),IF(ISERROR(FIND("internal drawer box",A198))=FALSE,VLOOKUP("Drawer runners and clip set (450) Dynapro",FurnitureData,5,0),IF(ISERROR(FIND("table",A198))=FALSE,VLOOKUP("Hairpin Leg (12mm Black "&amp;MID(A198,FIND("(",A198)+1,LEN(A198)-(FIND("(",A198))-1)&amp;"mm)",ExceptionalData,4,FALSE),""))))))</f>
        <v/>
      </c>
      <c r="L198" s="152" t="str">
        <f t="shared" si="3"/>
        <v/>
      </c>
      <c r="M198" s="154" t="str">
        <f>IF(A198="","",IF(AND(ISERROR(FIND("drawer front",A198))=FALSE,WardrobeDoorStyle="Flat"),(((B198/1000)*(C198/1000))*2)+((((B198+C198)/1000)*2)*0.022),IF(AND(ISERROR(FIND("drawer front",A198))=FALSE,LEFT(WardrobeDoorStyle,5)="Panel"),(((B198/1000)*(C198/1000))*2)+((((B198+C198)/1000)*2)*0.022)+((((C198/1000)-0.16)*0.013)*2)+((((D198/1000)-0.16)*0.013)*2),IF(AND(ISERROR(FIND("drawer front",A198))=FALSE,WardrobeDoorStyle="In-frame flat"),((((B198-76)/1000)*((C198-38)/1000))*2)+(MID(WardrobeDoorMaterial,FIND("(",WardrobeDoorMaterial)+1,2)/1000)*((((B198-76)+(C198-38))/1000)*2)+(((B198/1000)*0.032)*2)+((((B198-76)/1000)*0.032)*2)+(((B198/1000)*0.019)*4)+(((C198/1000)*0.032)*2)+((((C198-38)/1000)*0.032)*2)+(((C198/1000)*0.038)*4),IF(AND(ISERROR(FIND("drawer front",A198))=FALSE,LEFT(WardrobeDoorStyle,14)="In-frame panel"),((((B198-76)/1000)*((C198-38)/1000))*2)+((MID(WardrobeDoorMaterial,FIND("(",WardrobeDoorMaterial)+1,2)/1000)*((((B198-76)+(C198-38))/1000)*2))+((((B198-236)/1000)+((C198-198)/1000)*2)*0.013)+(((B198/1000)*0.032)*2)+((((B198-76)/1000)*0.032)*2)+(((B198/1000)*0.019)*4)+(((C198/1000)*0.032)*2)+((((C198-38)/1000)*0.032)*2)+(((C198/1000)*0.038)*4),IF(ISERROR(FIND("drawer box",A198))=FALSE,((((B198/1000)*(D198/1000))+((B198/1000)*(C198/1000)))*4)+((((D198/1000)+(C198/1000))*0.016)*4)+(((C198/1000)*(D198/1000))*2),IF(OR(ISERROR(FIND("shelf",A198))=FALSE,ISERROR(FIND("Filler panel",A198))=FALSE),(((C198/1000)*(D198/1000))*2)+((((C198+D198)*2)/1000)*0.022),IF(ISERROR(FIND("Fireplace",A198))=FALSE,((B198/1000)*(C198/1000)),IF(ISERROR(FIND("Worktop",A198))=FALSE,(B198/1000)*(C198/1000),IF(ISERROR(FIND("table",A198))=FALSE,(B198/1000)*0.6,IF(ISERROR(FIND("arcass",A198))=FALSE,(((C198/1000)*(D198/1000))*2)+(((B198/1000)*(D198/1000))*2)+((B198/1000)*(C198/1000))+((((B198/1000)*0.025)+((C198/1000)*0.025))*2),IF(AND(ISERROR(FIND("door",A198))=FALSE,WardrobeDoorStyle="Flat"),(((B198/1000)*(C198/1000))*2)+(MID(WardrobeDoorMaterial,FIND("(",WardrobeDoorMaterial)+1,2)/1000)*(((B198+C198)/1000)*2),IF(AND(ISERROR(FIND("door",A198))=FALSE,LEFT(WardrobeDoorStyle,5)="Panel"),(((B198/1000)*(C198/1000))*2)+((MID(WardrobeDoorMaterial,FIND("(",WardrobeDoorMaterial)+1,2)/1000)*(((B198+C198)/1000)*2))+(((((B198-160)+(C198-160))*2)/1000)*(0.013)),IF(AND(ISERROR(FIND("door",A198))=FALSE,WardrobeDoorStyle="In-frame flat"),((((B198-76)/1000)*((C198-38)/1000))*2)+(MID(WardrobeDoorMaterial,FIND("(",WardrobeDoorMaterial)+1,2)/1000)*((((B198-76)+(C198-38))/1000)*2)+(((B198/1000)*0.032)*2)+((((B198-76)/1000)*0.032)*2)+(((B198/1000)*0.019)*4)+(((C198/1000)*0.032)*2)+((((C198-38)/1000)*0.032)*2)+(((C198/1000)*0.038)*4),IF(AND(ISERROR(FIND("door",A198))=FALSE,LEFT(WardrobeDoorStyle,14)="In-frame panel"),((((B198-76)/1000)*((C198-38)/1000))*2)+((MID(WardrobeDoorMaterial,FIND("(",WardrobeDoorMaterial)+1,2)/1000)*((((B198-76)+(C198-38))/1000)*2))+((((B198-236)/1000)+((C198-198)/1000)*2)*0.013)+(((B198/1000)*0.032)*2)+((((B198-76)/1000)*0.032)*2)+(((B198/1000)*0.019)*4)+(((C198/1000)*0.032)*2)+((((C198-38)/1000)*0.032)*2)+(((C198/1000)*0.038)*4),IF(ISERROR(FIND("Plinth",A198))=FALSE,((B198/1000)*(C198/1000))+(((C198/1000)*0.018)*2)+(((B198/1000)*0.018)*2),IF(ISERROR(FIND("Cornice",A198))=FALSE,(((C198/1000)*0.1)*2)+(((C198/1000)*0.044)*2)+(((B198/1000)*0.08)*2),IF(ISERROR(FIND("Office pod",A198))=FALSE,((2400/1000)*(1200/1000))*6,IF(ISERROR(FIND("panel",A198))=FALSE,((B198/1000)*(C198/1000))+(0.022*((B198/1000)+((C198/1000)*2)))+((B198/1000)*0.05),IF(ISERROR(FIND("Fillers",A198))=FALSE,((C198/1000)*0.06)+((C198/1000)*0.069)+((0.06*0.018)*2)+((0.06*0.009)*2)+((C198/1000)*0.009)+((C198/1000)*0.018),IF(ISERROR(FIND("Pelmet",A198))=FALSE,((C198/1000)*0.05)+((C198/1000)*0.068)+((0.05*0.018)*4)+(((C198/1000)*0.018))*2)))))))))))))))))))))</f>
        <v/>
      </c>
      <c r="N198" s="152" t="str">
        <f>IF(M198="","",IF(AND(ISERROR(FIND("carcass",A198))=TRUE,ISERROR(FIND("unit",A198))=TRUE,ISERROR(FIND("insert",A198))=TRUE,ISERROR(FIND("rack",A198))=TRUE,ISERROR(FIND("box",A198))=TRUE,ISERROR(FIND("shelf",A198))=TRUE),VLOOKUP(WardrobeDoorFinish,Finishing!$A$2:$K$10,9,0)*M198,IF(ISERROR(FIND("table",A198))=FALSE,VLOOKUP("Sayerlack AF0072 Interior Clear Self-Sealer",FinishingData,9,FALSE)*M198,VLOOKUP(WardrobeCarcassFinish,Finishing!$A$2:$K$40,9,0)*M198)))</f>
        <v/>
      </c>
      <c r="O198" s="159"/>
      <c r="P198" s="159"/>
      <c r="Q198" s="152" t="str">
        <f>IF(OR(O198="",P198=""),"",((O198*X198)*(VLOOKUP("Workshop",Labour!$A$3:$E$20,4,0)/8))+((P198*AE198)*(VLOOKUP("Finishing",Labour!$A$3:$E$20,4,0)/8)))</f>
        <v/>
      </c>
      <c r="R198" s="152" t="str">
        <f t="shared" si="4"/>
        <v/>
      </c>
      <c r="S198" s="156" t="str">
        <f>IF(OR(O198="",P198=""),"",IF(OR(ISERROR(FIND("carcass",$A198))=FALSE,ISERROR(FIND("unit",$A198))=FALSE),VLOOKUP(WardrobeCarcassMaterial,FixedListsCarcassMaterial,2,0),0))</f>
        <v/>
      </c>
      <c r="T198" s="156" t="str">
        <f>IF(OR(O198="",P198=""),"",IF(ISERROR(FIND("door",$A198))=FALSE,VLOOKUP(WardrobeDoorStyle,FixedListsDoorStyle,2,0),0))</f>
        <v/>
      </c>
      <c r="U198" s="156" t="str">
        <f>IF(OR(O198="",P198=""),"",IF(ISERROR(FIND("door",$A198))=FALSE,VLOOKUP(WardrobeDoorMaterial,FixedListsDoorMaterial,2,0),0))</f>
        <v/>
      </c>
      <c r="V198" s="156" t="str">
        <f>IF(OR(O198="",P198=""),"",IF(ISERROR(FIND("drawer",$A198))=FALSE,VLOOKUP(WardrobeDrawerType,FixedListsDrawerType,2,0),0))</f>
        <v/>
      </c>
      <c r="W198" s="156" t="str">
        <f>IF(OR(O198="",P198=""),"",IF(S198&gt;0,VLOOKUP(WardrobeHandleType,FixedListsHandleType,2,FALSE),0))</f>
        <v/>
      </c>
      <c r="X198" s="156" t="str">
        <f t="shared" si="5"/>
        <v/>
      </c>
      <c r="Y198" s="156" t="str">
        <f>IF(OR(O198="",P198=""),"",IF(OR(ISERROR(FIND("carcass",$A198))=FALSE,ISERROR(FIND("unit",$A198))=FALSE),VLOOKUP(WardrobeCarcassMaterial,FixedListsCarcassMaterial,3,0),0))</f>
        <v/>
      </c>
      <c r="Z198" s="156" t="str">
        <f>IF(OR(O198="",P198=""),"",IF(ISERROR(FIND("door",$A198))=FALSE,VLOOKUP(WardrobeDoorStyle,FixedListsDoorStyle,3,0),0))</f>
        <v/>
      </c>
      <c r="AA198" s="156" t="str">
        <f>IF(OR(O198="",P198=""),"",IF(ISERROR(FIND("door",$A198))=FALSE,VLOOKUP(WardrobeDoorMaterial,FixedListsDoorMaterial,3,0),0))</f>
        <v/>
      </c>
      <c r="AB198" s="156" t="str">
        <f>IF(OR(O198="",P198=""),"",IF(ISERROR(FIND("drawer",$A198))=FALSE,VLOOKUP(WardrobeDrawerType,FixedListsDrawerType,3,0),0))</f>
        <v/>
      </c>
      <c r="AC198" s="156" t="str">
        <f>IF(OR(O198="",P198=""),"",IF(S198&gt;0,VLOOKUP(WardrobeHandleType,FixedListsHandleType,3,FALSE),0))</f>
        <v/>
      </c>
      <c r="AD198" s="156" t="str">
        <f>IF(OR(O198="",P198=""),"",IF(OR(ISERROR(FIND("carcass",$A198))=FALSE,ISERROR(FIND("unit",$A198))=FALSE),VLOOKUP(WardrobeCarcassFinish,FixedListsFinishes,3,0),IF(OR(ISERROR(FIND("door",$A198))=FALSE,ISERROR(FIND("Plinth",$A198))=FALSE,ISERROR(FIND("Cornice",$A198))=FALSE,ISERROR(FIND("Fillers",$A198))=FALSE,ISERROR(FIND("Pelmet",$A198))=FALSE,ISERROR(FIND("panel",$A198))=FALSE,ISERROR(FIND("post",$A198))=FALSE),VLOOKUP(WardrobeDoorFinish,FixedListsFinishes,3,0),IF(OR(ISERROR(FIND("drawer",$A198))=FALSE,ISERROR(FIND("insert",$A198))=FALSE,ISERROR(FIND("rck",$A198))=FALSE),VLOOKUP(WardrobeCarcassFinish,FixedListsFinishes,3,0),0))))</f>
        <v/>
      </c>
      <c r="AE198" s="156" t="str">
        <f t="shared" si="6"/>
        <v/>
      </c>
      <c r="AF198" s="157" t="str">
        <f>IF(AND(WardrobeHandleType="Channel",OR(ISERROR(FIND("arcass",$A198))=FALSE,ISERROR(FIND("unit",$A198))=FALSE)),IF(ISERROR(FIND("Tower",$A198))=TRUE,IF(WardrobeHandleFinish="Match carcass",IF(ISERROR(FIND("Walnut",WardrobeCarcassMaterial))=FALSE,(0.035*0.075*($C198/1000))*VLOOKUP("Walnut (solid m3)",SolidData,4,FALSE),IF(ISERROR(FIND("Oak",WardrobeCarcassMaterial))=FALSE,(0.035*0.075*($C198/1000))*VLOOKUP("Oak (solid m3)",SolidData,4,FALSE),IF(ISERROR(FIND("ply",WardrobeCarcassMaterial))=FALSE,(0.1*($C198/1000))*VLOOKUP("Birch ply (24mm)",SheetsData,7,FALSE),IF(ISERROR(FIND("H/F",WardrobeCarcassMaterial))=FALSE,(0.1*($C198/1000))*VLOOKUP("H/F (22mm)",SheetsData,7,FALSE),"Carcass - not tower - new material")))),IF(WardrobeHandleFinish="Match door",IF(ISERROR(FIND("Walnut",WardrobeDoorMaterial))=FALSE,(0.035*0.075*($C198/1000))*VLOOKUP("Walnut (solid m3)",SolidData,4,FALSE),IF(ISERROR(FIND("Oak",WardrobeDoorMaterial))=FALSE,(0.035*0.075*($C198/1000))*VLOOKUP("Oak (solid m3)",SolidData,4,FALSE),IF(ISERROR(FIND("ply",WardrobeDoorMaterial))=FALSE,(0.1*($C198/1000))*VLOOKUP("Birch ply (24mm)",SheetsData,7,FALSE),IF(ISERROR(FIND("H/F",WardrobeCarcassMaterial))=FALSE,(0.1*($C198/1000))*VLOOKUP("H/F (22mm)",SheetsData,7,FALSE),"Door - not tower - new material")))),"Channel - not tower - handle set to other")),IF(ISERROR(FIND("Tower",$A198))=FALSE,IF(WardrobeHandleFinish="Match carcass",IF(ISERROR(FIND("Walnut",WardrobeCarcassMaterial))=FALSE,(0.035*0.075*($B198/1000))*VLOOKUP("Walnut (solid m3)",SolidData,4,FALSE),IF(ISERROR(FIND("Oak",WardrobeCarcassMaterial))=FALSE,(0.035*0.075*($B198/1000))*VLOOKUP("Oak (solid m3)",SolidData,4,FALSE),IF(ISERROR(FIND("ply",WardrobeCarcassMaterial))=FALSE,(0.1*($B198/1000))*VLOOKUP("Birch ply (24mm)",SheetsData,7,FALSE),IF(ISERROR(FIND("H/F",WardrobeCarcassMaterial))=FALSE,(0.1*($C198/1000))*VLOOKUP("H/F (22mm)",SheetsData,7,FALSE),"Carcass - tower - new material")))),IF(WardrobeHandleFinish="Match door",IF(ISERROR(FIND("Walnut",WardrobeDoorMaterial))=FALSE,(0.035*0.075*($B198/1000))*VLOOKUP("Walnut (solid m3)",SolidData,4,FALSE),IF(ISERROR(FIND("Oak",WardrobeDoorMaterial))=FALSE,(0.035*0.075*($B198/1000))*VLOOKUP("Oak (solid m3)",SolidData,4,FALSE),IF(ISERROR(FIND("ply",WardrobeDoorMaterial))=FALSE,(0.1*($B198/1000))*VLOOKUP("Birch ply (24mm)",SheetData,7,FALSE),IF(ISERROR(FIND("H/F",WardrobeCarcassMaterial))=FALSE,(0.1*($C198/1000))*VLOOKUP("H/F (22mm)",SheetsData,7,FALSE),"Door - tower - new material")))),"Channel - tower - handle set to other")))),"")</f>
        <v/>
      </c>
    </row>
    <row r="199">
      <c r="A199" s="150"/>
      <c r="B199" s="160" t="str">
        <f t="shared" si="1"/>
        <v/>
      </c>
      <c r="C199" s="160" t="str">
        <f>IFERROR(__xludf.DUMMYFUNCTION("IF(A199="""","""",IF(ISERROR(FIND(""arcass"",A199))=FALSE,MID(A199,FIND(""*"",A199)+1,FIND(""*"",A199,FIND(""*"",A199)+1)-FIND(""*"",A199)-1),IF(ISERROR(FIND(""End panel"",A199))=FALSE,RIGHT(A199,3),IF(OR(ISERROR(FIND(""drawer"",A199))=FALSE,ISERROR(FIND("&amp;"""door"",A199))=FALSE,ISERROR(FIND(""shelf"",A199))=FALSE,ISERROR(FIND(""panel"",A199))=FALSE,ISERROR(FIND(""Plinth"",A199))=FALSE,ISERROR(FIND(""Cornice"",A199))=FALSE,ISERROR(FIND(""Fillers"",A199))=FALSE,ISERROR(FIND(""Pelmet"",A199))=FALSE,ISERROR(FIN"&amp;"D(""Fireplace up to 1600"",A199))=FALSE),RIGHT(A199,LEN(A199)-LEN(regexextract(A199,"".* ""))),IF(ISERROR(FIND(""table"",A199))=FALSE,""560"",IF(ISERROR(FIND(""Office pod"",A199))=FALSE,""1600"",IF(ISERROR(FIND(""Fireplace over 1600"",A199))=FALSE,""2400"&amp;""",IF(ISERROR(FIND(""Worktop"",A199))=FALSE,""650"",""Whoops""))))))))"),"")</f>
        <v/>
      </c>
      <c r="D199" s="161" t="str">
        <f t="shared" si="2"/>
        <v/>
      </c>
      <c r="E199" s="152" t="str">
        <f>IF(OR(A199="",AND(ISERROR(FIND("drawer",A199))=FALSE,WardrobeDrawerType="")),"",IF(ISERROR(FIND("door",A199))=FALSE,IF(WardrobeDoorStyle="Flat",((B199/1000)*(C199/1000))*VLOOKUP(WardrobeDoorMaterial,SheetsData,8,0),IF(LEFT(WardrobeDoorStyle,5)="Panel",(((((B199/1000)*2)*0.08)+((((C199/1000)-0.16)*2)*0.08))*VLOOKUP("H/F (22mm)",SheetsData,8,0))+(((B199/1000)-0.14)*((C199/1000)-0.14)*VLOOKUP("H/F (9mm)",SheetsData,8,0)),IF(WardrobeDoorStyle="In-frame flat",((((((B199/1000)*0.019)*0.038)+((((C199-38)/1000)*0.038)*0.038))*2)*VLOOKUP("Tulip (solid m3)",SolidData,4,0))+(((B199-76)/1000)*((C199-38)/1000))*VLOOKUP("H/F (22mm)",SheetsData,8,0),IF(LEFT(WardrobeDoorStyle,14)="In-frame panel",(((((((B199/1000)*0.019)*0.038)+((((C199-38)/1000)*0.038)*0.038))*2)*VLOOKUP("Tulip (solid m3)",SolidData,4,0))+(((((((B199-76)/1000)*2)*0.08)+(((((C199-198)/1000)*2)*0.08)))*VLOOKUP("H/F (22mm)",SheetsData,8,0))+(((B199-216)/1000)*((C199-178)/1000)*VLOOKUP("H/F (9mm)",SheetsData,8,0)))))))),IF(AND(ISERROR(FIND("arcass",A199))=FALSE,ISERROR(FIND("ost corner",A199))=TRUE),IF(AND(VALUE(B199)&lt;1211,VALUE(C199)&lt;1211,VALUE(D199)&lt;606),1*VLOOKUP(WardrobeCarcassMaterial,SheetsData,5,FALSE),IF(AND(VALUE(B199)&lt;2421,VALUE(C199)&lt;2421,VALUE(D199)&lt;606),2*VLOOKUP(WardrobeCarcassMaterial,SheetsData,5,FALSE),IF(AND(VALUE(B199)&lt;2421,VALUE(C199)&lt;1211,VALUE(D199)&lt;1211),3*VLOOKUP(WardrobeCarcassMaterial,SheetsData,5,FALSE),IF(AND(VALUE(B199)&lt;2421,VALUE(C199)&lt;2421,VALUE(D199)&lt;1211),4*VLOOKUP(WardrobeCarcassMaterial,SheetsData,5,FALSE))))),IF(AND(ISERROR(FIND("arcass",A199))=FALSE,ISERROR(FIND("ost corner",A199))=FALSE),IF(AND(VALUE(B199)&lt;1211,VALUE(C199)&lt;1211,VALUE(D199)&lt;606),(1*VLOOKUP(WardrobeCarcassMaterial,SheetsData,5,FALSE))+(VLOOKUP("H/F (22mm)",SheetsData,7,FALSE)*1.44),IF(AND(VALUE(B199)&lt;2421,VALUE(C199)&lt;2421,VALUE(D199)&lt;606),(2*VLOOKUP(WardrobeCarcassMaterial,SheetsData,5,FALSE))+(VLOOKUP("H/F (22mm)",SheetsData,7,FALSE)*1.44),IF(AND(VALUE(B199)&lt;2421,VALUE(C199)&lt;1211,VALUE(D199)&lt;1211),(3*VLOOKUP(WardrobeCarcassMaterial,SheetsData,5,FALSE))+(VLOOKUP("H/F (22mm)",SheetsData,7,FALSE)*1.44),IF(AND(VALUE(B199)&lt;2421,VALUE(C199)&lt;2421,VALUE(D199)&lt;1211),(4*VLOOKUP(WardrobeCarcassMaterial,SheetsData,5,FALSE))+(VLOOKUP("H/F (22mm)",SheetsData,7,FALSE)*1.44))))),IF(ISERROR(FIND("drawer front",A199))=FALSE,((B199/1000)*(C199/1000))*VLOOKUP(WardrobeDoorMaterial,SheetsData,8,0),IF(AND(WardrobeDrawerType="Match carcass",ISERROR(FIND("drawer box",A199))=FALSE),(((((B199/1000)*(C199/1000))+((B199/1000)*(D199/1000)))*2)*VLOOKUP(WardrobeCarcassMaterial,SheetsData,8,0))+(((C199/1000)*(D199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box",A199))=FALSE),(((((B199/1000)*(C199/1000))+((B199/1000)*(D199/1000)))*2)*(16/1000)*VLOOKUP(LEFT(WardrobeCarcassMaterial,FIND(" ",WardrobeCarcassMaterial))&amp;"(solid m3)",SolidData,4,0))+(((C199/1000)*(D199/1000))*VLOOKUP(LEFT(WardrobeCarcassMaterial,FIND("(",WardrobeCarcassMaterial)-1)&amp;IF(OR(ISERROR(FIND("ply",WardrobeCarcassMaterial))=FALSE,ISERROR(FIND("H/F",WardrobeCarcassMaterial))=FALSE),"(9mm)","(10mm)"),SheetsData,8,0)),IF(ISERROR(FIND("shelf",A199))=FALSE,((C199/1000)*(D199/1000))*VLOOKUP(WardrobeCarcassMaterial,SheetsData,7,FALSE),IF(ISERROR(FIND("Office pod",A199))=FALSE,3*VLOOKUP(WardrobeCarcassMaterial,SheetsData,5,0),IF(ISERROR(FIND(" panel",A199))=FALSE,((B199/1000)*(C199/1000))*VLOOKUP(WardrobeDoorMaterial,SheetsData,8,0),IF(ISERROR(FIND("Fillers",A199))=FALSE,(((0.06*(C199/1000))*2)*VLOOKUP("H/F (18mm)",SheetsData,8,0))+(((0.06*(C199/1000))*2)*VLOOKUP("H/F (9mm)",SheetsData,8,0)),IF(ISERROR(FIND("Cornice (stacked)",A199))=FALSE,((0.08*(C199/1000))*2)*VLOOKUP("H/F (22mm)",SheetsData,8,0),IF(OR(ISERROR(FIND("Plinth",A199))=FALSE,ISERROR(FIND("Cornice (flat)",A199))=FALSE),((B199/1000)*(C199/1000))*VLOOKUP("H/F (18mm)",SheetsData,8,0),IF(ISERROR(FIND("Pelmet",A199))=FALSE,((((B199/1000)*(C199/1000))*2)*VLOOKUP("H/F (18mm)",SheetsData,8,0)),IF(ISERROR(FIND("Fireplace",A199))=FALSE,IF(ISERROR(FIND("over 1600",A199))=FALSE,2*VLOOKUP(WardrobeCarcassMaterial,SheetsData,5,FALSE),VLOOKUP(WardrobeCarcassMaterial,SheetsData,5,FALSE)),IF(ISERROR(FIND("table",A199))=FALSE,((B199/1000)*0.6)*VLOOKUP("Birch ply (24mm)",SheetsData,7,FALSE),IF(ISERROR(FIND("Worktop",A199))=FALSE,((B199/1000)*(C199/1000))*VLOOKUP(WardrobeDoorMaterial,SheetsData,7,FALSE),"Check formula")))))))))))))))))</f>
        <v/>
      </c>
      <c r="F199" s="152" t="str">
        <f>IFERROR(__xludf.DUMMYFUNCTION("IF(OR(A199="""",AND(ISERROR(FIND(""drawer box"",A199))=FALSE,WardrobeDrawerType=""Solid dovetail"")),"""",IF(ISERROR(FIND(""bins"",A199))=FALSE,VLOOKUP(""Base carcass 600"",Wardrobes_etcData,6,0),IF(OR(ISERROR(FIND(""larder"",A199))=FALSE,ISERROR(FIND(""u"&amp;"nit"",A199))=FALSE),VLOOKUP(LEFT(A199,FIND("" "",A199))&amp;""carcass ""&amp;RIGHT(A199,LEN(A199)-len(regexextract(A199,"".* ""))),Wardrobes_etcData,6,0),IF(ISERROR(FIND(""drawer front"",A199))=FALSE,IF(ISERROR(FIND(""veneer"",WardrobeCarcassMaterial))=TRUE,0,((("&amp;"B199+C199)/1000)*2)*VLOOKUP(""Edge banding (per M)"",SheetsData,5,0)),IF(ISERROR(FIND(""drawer box"",A199))=FALSE,IF(ISERROR(FIND(""veneer"",WardrobeCarcassMaterial))=TRUE,0,(((C199+D199)/1000)*2)*VLOOKUP(""Edge banding (per M)"",SheetsData,5,0)),IF(ISERR"&amp;"OR(FIND(""shelf"",A199))=FALSE,IF(ISERROR(FIND(""veneer"",WardrobeCarcassMaterial))=TRUE,0,(C199/1000)*VLOOKUP(""Edge banding (per M)"",SheetsData,5,0)),IF(AND(OR(ISERROR(FIND(""arcass"",A199))=FALSE,ISERROR(FIND(""Fireplace"",A199))=FALSE),ISERROR(FIND("&amp;"""shelf"",A199))=TRUE),IF(ISERROR(FIND(""veneer"",WardrobeCarcassMaterial))=TRUE,0,((2*(B199+C199))/1000)*VLOOKUP(""Edge banding (per M)"",SheetsData,5,0)),IF(ISERROR(FIND(""door"",A199))=TRUE,"""",IF(ISERROR(FIND(""veneer"",WardrobeDoorMaterial))=TRUE,"""&amp;""",((2*(B199+C199))/1000)*VLOOKUP(""Edge banding (per M)"",SheetsData,5,0))))))))))"),"")</f>
        <v/>
      </c>
      <c r="G199" s="153" t="str">
        <f>IF(A199="","",IF(AND(ISERROR(FIND("arcass",A199))=TRUE,ISERROR(FIND("Fireplace",A199))=TRUE),"",IF(VALUE(C199)&lt;606,4*VLOOKUP("Plinth foot (2 Parts 80mm)",FurnitureData,5,FALSE),IF(VALUE(C199)&lt;1211,6*VLOOKUP("Plinth foot (2 Parts 80mm)",FurnitureData,5,FALSE),8*VLOOKUP("Plinth foot (2 Parts 80mm)",FurnitureData,5,FALSE)))))</f>
        <v/>
      </c>
      <c r="H199" s="115" t="str">
        <f>IF(OR(A199="",ISERROR(FIND("door",A199))=TRUE),"",VLOOKUP("Hinges &amp; plates (Hettich thick door)",FurnitureData,5,0)*5)</f>
        <v/>
      </c>
      <c r="I199" s="115" t="str">
        <f>IF(ISERROR(FIND("shelf",A199))=FALSE,(VLOOKUP("Shelf pegs",FurnitureData,5,0)/100)*4,"")</f>
        <v/>
      </c>
      <c r="J199" s="152" t="str">
        <f>IF(OR(ISERROR(FIND("fridge/freezer",A199))=FALSE,ISERROR(FIND("sink",A199))=FALSE,ISERROR(FIND("larder",A199))=FALSE),VLOOKUP("Deep shelf "&amp;C199,Wardrobes_etcData,18,0),IF(OR(ISERROR(FIND("single oven",A199))=FALSE,ISERROR(FIND("Base carcass",A199))=FALSE),2*VLOOKUP("Deep shelf "&amp;C199,Wardrobes_etcData,18,0),IF(AND(ISERROR(FIND("wall carcass",A199))=FALSE,ISERROR(FIND("Boiler",A199))=TRUE),2*VLOOKUP("Shallow shelf "&amp;C199,Wardrobes_etcData,18,0),IF(ISERROR(FIND("double oven",A199))=FALSE,3*VLOOKUP("Deep shelf "&amp;C199,Wardrobes_etcData,18,0),IF(ISERROR(FIND("Tower carcass",A199))=FALSE,6*VLOOKUP("Deep shelf "&amp;C199,Wardrobes_etcData,18,0),"")))))</f>
        <v/>
      </c>
      <c r="K199" s="152" t="str">
        <f>IF(ISERROR(FIND("sink",A199))=FALSE,VLOOKUP("Sink liner - Aluminium "&amp;RIGHT(A199,LEN(A199)-22)&amp;"mm",ExceptionalData,5,0),IF(ISERROR(FIND("bins",A199))=FALSE,VLOOKUP("Drawer runners and clip set for bin unit (500) Dynapro",FurnitureData,5,0)+(2*VLOOKUP("Bin (42L Anthracite)",FurnitureData,5,0)),IF(ISERROR(FIND("larder",A199))=FALSE,VLOOKUP("Pull out larder unit 600mm",FurnitureData,5,0),IF(AND(ISERROR(FIND("drawer box",A199))=FALSE,ISERROR(FIND("internal",A199))=TRUE),VLOOKUP("Drawer runners and clip set (550) Dynapro",FurnitureData,5,0),IF(ISERROR(FIND("internal drawer box",A199))=FALSE,VLOOKUP("Drawer runners and clip set (450) Dynapro",FurnitureData,5,0),IF(ISERROR(FIND("table",A199))=FALSE,VLOOKUP("Hairpin Leg (12mm Black "&amp;MID(A199,FIND("(",A199)+1,LEN(A199)-(FIND("(",A199))-1)&amp;"mm)",ExceptionalData,4,FALSE),""))))))</f>
        <v/>
      </c>
      <c r="L199" s="152" t="str">
        <f t="shared" si="3"/>
        <v/>
      </c>
      <c r="M199" s="154" t="str">
        <f>IF(A199="","",IF(AND(ISERROR(FIND("drawer front",A199))=FALSE,WardrobeDoorStyle="Flat"),(((B199/1000)*(C199/1000))*2)+((((B199+C199)/1000)*2)*0.022),IF(AND(ISERROR(FIND("drawer front",A199))=FALSE,LEFT(WardrobeDoorStyle,5)="Panel"),(((B199/1000)*(C199/1000))*2)+((((B199+C199)/1000)*2)*0.022)+((((C199/1000)-0.16)*0.013)*2)+((((D199/1000)-0.16)*0.013)*2),IF(AND(ISERROR(FIND("drawer front",A199))=FALSE,WardrobeDoorStyle="In-frame flat"),((((B199-76)/1000)*((C199-38)/1000))*2)+(MID(WardrobeDoorMaterial,FIND("(",WardrobeDoorMaterial)+1,2)/1000)*((((B199-76)+(C199-38))/1000)*2)+(((B199/1000)*0.032)*2)+((((B199-76)/1000)*0.032)*2)+(((B199/1000)*0.019)*4)+(((C199/1000)*0.032)*2)+((((C199-38)/1000)*0.032)*2)+(((C199/1000)*0.038)*4),IF(AND(ISERROR(FIND("drawer front",A199))=FALSE,LEFT(WardrobeDoorStyle,14)="In-frame panel"),((((B199-76)/1000)*((C199-38)/1000))*2)+((MID(WardrobeDoorMaterial,FIND("(",WardrobeDoorMaterial)+1,2)/1000)*((((B199-76)+(C199-38))/1000)*2))+((((B199-236)/1000)+((C199-198)/1000)*2)*0.013)+(((B199/1000)*0.032)*2)+((((B199-76)/1000)*0.032)*2)+(((B199/1000)*0.019)*4)+(((C199/1000)*0.032)*2)+((((C199-38)/1000)*0.032)*2)+(((C199/1000)*0.038)*4),IF(ISERROR(FIND("drawer box",A199))=FALSE,((((B199/1000)*(D199/1000))+((B199/1000)*(C199/1000)))*4)+((((D199/1000)+(C199/1000))*0.016)*4)+(((C199/1000)*(D199/1000))*2),IF(OR(ISERROR(FIND("shelf",A199))=FALSE,ISERROR(FIND("Filler panel",A199))=FALSE),(((C199/1000)*(D199/1000))*2)+((((C199+D199)*2)/1000)*0.022),IF(ISERROR(FIND("Fireplace",A199))=FALSE,((B199/1000)*(C199/1000)),IF(ISERROR(FIND("Worktop",A199))=FALSE,(B199/1000)*(C199/1000),IF(ISERROR(FIND("table",A199))=FALSE,(B199/1000)*0.6,IF(ISERROR(FIND("arcass",A199))=FALSE,(((C199/1000)*(D199/1000))*2)+(((B199/1000)*(D199/1000))*2)+((B199/1000)*(C199/1000))+((((B199/1000)*0.025)+((C199/1000)*0.025))*2),IF(AND(ISERROR(FIND("door",A199))=FALSE,WardrobeDoorStyle="Flat"),(((B199/1000)*(C199/1000))*2)+(MID(WardrobeDoorMaterial,FIND("(",WardrobeDoorMaterial)+1,2)/1000)*(((B199+C199)/1000)*2),IF(AND(ISERROR(FIND("door",A199))=FALSE,LEFT(WardrobeDoorStyle,5)="Panel"),(((B199/1000)*(C199/1000))*2)+((MID(WardrobeDoorMaterial,FIND("(",WardrobeDoorMaterial)+1,2)/1000)*(((B199+C199)/1000)*2))+(((((B199-160)+(C199-160))*2)/1000)*(0.013)),IF(AND(ISERROR(FIND("door",A199))=FALSE,WardrobeDoorStyle="In-frame flat"),((((B199-76)/1000)*((C199-38)/1000))*2)+(MID(WardrobeDoorMaterial,FIND("(",WardrobeDoorMaterial)+1,2)/1000)*((((B199-76)+(C199-38))/1000)*2)+(((B199/1000)*0.032)*2)+((((B199-76)/1000)*0.032)*2)+(((B199/1000)*0.019)*4)+(((C199/1000)*0.032)*2)+((((C199-38)/1000)*0.032)*2)+(((C199/1000)*0.038)*4),IF(AND(ISERROR(FIND("door",A199))=FALSE,LEFT(WardrobeDoorStyle,14)="In-frame panel"),((((B199-76)/1000)*((C199-38)/1000))*2)+((MID(WardrobeDoorMaterial,FIND("(",WardrobeDoorMaterial)+1,2)/1000)*((((B199-76)+(C199-38))/1000)*2))+((((B199-236)/1000)+((C199-198)/1000)*2)*0.013)+(((B199/1000)*0.032)*2)+((((B199-76)/1000)*0.032)*2)+(((B199/1000)*0.019)*4)+(((C199/1000)*0.032)*2)+((((C199-38)/1000)*0.032)*2)+(((C199/1000)*0.038)*4),IF(ISERROR(FIND("Plinth",A199))=FALSE,((B199/1000)*(C199/1000))+(((C199/1000)*0.018)*2)+(((B199/1000)*0.018)*2),IF(ISERROR(FIND("Cornice",A199))=FALSE,(((C199/1000)*0.1)*2)+(((C199/1000)*0.044)*2)+(((B199/1000)*0.08)*2),IF(ISERROR(FIND("Office pod",A199))=FALSE,((2400/1000)*(1200/1000))*6,IF(ISERROR(FIND("panel",A199))=FALSE,((B199/1000)*(C199/1000))+(0.022*((B199/1000)+((C199/1000)*2)))+((B199/1000)*0.05),IF(ISERROR(FIND("Fillers",A199))=FALSE,((C199/1000)*0.06)+((C199/1000)*0.069)+((0.06*0.018)*2)+((0.06*0.009)*2)+((C199/1000)*0.009)+((C199/1000)*0.018),IF(ISERROR(FIND("Pelmet",A199))=FALSE,((C199/1000)*0.05)+((C199/1000)*0.068)+((0.05*0.018)*4)+(((C199/1000)*0.018))*2)))))))))))))))))))))</f>
        <v/>
      </c>
      <c r="N199" s="152" t="str">
        <f>IF(M199="","",IF(AND(ISERROR(FIND("carcass",A199))=TRUE,ISERROR(FIND("unit",A199))=TRUE,ISERROR(FIND("insert",A199))=TRUE,ISERROR(FIND("rack",A199))=TRUE,ISERROR(FIND("box",A199))=TRUE,ISERROR(FIND("shelf",A199))=TRUE),VLOOKUP(WardrobeDoorFinish,Finishing!$A$2:$K$10,9,0)*M199,IF(ISERROR(FIND("table",A199))=FALSE,VLOOKUP("Sayerlack AF0072 Interior Clear Self-Sealer",FinishingData,9,FALSE)*M199,VLOOKUP(WardrobeCarcassFinish,Finishing!$A$2:$K$40,9,0)*M199)))</f>
        <v/>
      </c>
      <c r="O199" s="159"/>
      <c r="P199" s="159"/>
      <c r="Q199" s="152" t="str">
        <f>IF(OR(O199="",P199=""),"",((O199*X199)*(VLOOKUP("Workshop",Labour!$A$3:$E$20,4,0)/8))+((P199*AE199)*(VLOOKUP("Finishing",Labour!$A$3:$E$20,4,0)/8)))</f>
        <v/>
      </c>
      <c r="R199" s="152" t="str">
        <f t="shared" si="4"/>
        <v/>
      </c>
      <c r="S199" s="156" t="str">
        <f>IF(OR(O199="",P199=""),"",IF(OR(ISERROR(FIND("carcass",$A199))=FALSE,ISERROR(FIND("unit",$A199))=FALSE),VLOOKUP(WardrobeCarcassMaterial,FixedListsCarcassMaterial,2,0),0))</f>
        <v/>
      </c>
      <c r="T199" s="156" t="str">
        <f>IF(OR(O199="",P199=""),"",IF(ISERROR(FIND("door",$A199))=FALSE,VLOOKUP(WardrobeDoorStyle,FixedListsDoorStyle,2,0),0))</f>
        <v/>
      </c>
      <c r="U199" s="156" t="str">
        <f>IF(OR(O199="",P199=""),"",IF(ISERROR(FIND("door",$A199))=FALSE,VLOOKUP(WardrobeDoorMaterial,FixedListsDoorMaterial,2,0),0))</f>
        <v/>
      </c>
      <c r="V199" s="156" t="str">
        <f>IF(OR(O199="",P199=""),"",IF(ISERROR(FIND("drawer",$A199))=FALSE,VLOOKUP(WardrobeDrawerType,FixedListsDrawerType,2,0),0))</f>
        <v/>
      </c>
      <c r="W199" s="156" t="str">
        <f>IF(OR(O199="",P199=""),"",IF(S199&gt;0,VLOOKUP(WardrobeHandleType,FixedListsHandleType,2,FALSE),0))</f>
        <v/>
      </c>
      <c r="X199" s="156" t="str">
        <f t="shared" si="5"/>
        <v/>
      </c>
      <c r="Y199" s="156" t="str">
        <f>IF(OR(O199="",P199=""),"",IF(OR(ISERROR(FIND("carcass",$A199))=FALSE,ISERROR(FIND("unit",$A199))=FALSE),VLOOKUP(WardrobeCarcassMaterial,FixedListsCarcassMaterial,3,0),0))</f>
        <v/>
      </c>
      <c r="Z199" s="156" t="str">
        <f>IF(OR(O199="",P199=""),"",IF(ISERROR(FIND("door",$A199))=FALSE,VLOOKUP(WardrobeDoorStyle,FixedListsDoorStyle,3,0),0))</f>
        <v/>
      </c>
      <c r="AA199" s="156" t="str">
        <f>IF(OR(O199="",P199=""),"",IF(ISERROR(FIND("door",$A199))=FALSE,VLOOKUP(WardrobeDoorMaterial,FixedListsDoorMaterial,3,0),0))</f>
        <v/>
      </c>
      <c r="AB199" s="156" t="str">
        <f>IF(OR(O199="",P199=""),"",IF(ISERROR(FIND("drawer",$A199))=FALSE,VLOOKUP(WardrobeDrawerType,FixedListsDrawerType,3,0),0))</f>
        <v/>
      </c>
      <c r="AC199" s="156" t="str">
        <f>IF(OR(O199="",P199=""),"",IF(S199&gt;0,VLOOKUP(WardrobeHandleType,FixedListsHandleType,3,FALSE),0))</f>
        <v/>
      </c>
      <c r="AD199" s="156" t="str">
        <f>IF(OR(O199="",P199=""),"",IF(OR(ISERROR(FIND("carcass",$A199))=FALSE,ISERROR(FIND("unit",$A199))=FALSE),VLOOKUP(WardrobeCarcassFinish,FixedListsFinishes,3,0),IF(OR(ISERROR(FIND("door",$A199))=FALSE,ISERROR(FIND("Plinth",$A199))=FALSE,ISERROR(FIND("Cornice",$A199))=FALSE,ISERROR(FIND("Fillers",$A199))=FALSE,ISERROR(FIND("Pelmet",$A199))=FALSE,ISERROR(FIND("panel",$A199))=FALSE,ISERROR(FIND("post",$A199))=FALSE),VLOOKUP(WardrobeDoorFinish,FixedListsFinishes,3,0),IF(OR(ISERROR(FIND("drawer",$A199))=FALSE,ISERROR(FIND("insert",$A199))=FALSE,ISERROR(FIND("rck",$A199))=FALSE),VLOOKUP(WardrobeCarcassFinish,FixedListsFinishes,3,0),0))))</f>
        <v/>
      </c>
      <c r="AE199" s="156" t="str">
        <f t="shared" si="6"/>
        <v/>
      </c>
      <c r="AF199" s="157" t="str">
        <f>IF(AND(WardrobeHandleType="Channel",OR(ISERROR(FIND("arcass",$A199))=FALSE,ISERROR(FIND("unit",$A199))=FALSE)),IF(ISERROR(FIND("Tower",$A199))=TRUE,IF(WardrobeHandleFinish="Match carcass",IF(ISERROR(FIND("Walnut",WardrobeCarcassMaterial))=FALSE,(0.035*0.075*($C199/1000))*VLOOKUP("Walnut (solid m3)",SolidData,4,FALSE),IF(ISERROR(FIND("Oak",WardrobeCarcassMaterial))=FALSE,(0.035*0.075*($C199/1000))*VLOOKUP("Oak (solid m3)",SolidData,4,FALSE),IF(ISERROR(FIND("ply",WardrobeCarcassMaterial))=FALSE,(0.1*($C199/1000))*VLOOKUP("Birch ply (24mm)",SheetsData,7,FALSE),IF(ISERROR(FIND("H/F",WardrobeCarcassMaterial))=FALSE,(0.1*($C199/1000))*VLOOKUP("H/F (22mm)",SheetsData,7,FALSE),"Carcass - not tower - new material")))),IF(WardrobeHandleFinish="Match door",IF(ISERROR(FIND("Walnut",WardrobeDoorMaterial))=FALSE,(0.035*0.075*($C199/1000))*VLOOKUP("Walnut (solid m3)",SolidData,4,FALSE),IF(ISERROR(FIND("Oak",WardrobeDoorMaterial))=FALSE,(0.035*0.075*($C199/1000))*VLOOKUP("Oak (solid m3)",SolidData,4,FALSE),IF(ISERROR(FIND("ply",WardrobeDoorMaterial))=FALSE,(0.1*($C199/1000))*VLOOKUP("Birch ply (24mm)",SheetsData,7,FALSE),IF(ISERROR(FIND("H/F",WardrobeCarcassMaterial))=FALSE,(0.1*($C199/1000))*VLOOKUP("H/F (22mm)",SheetsData,7,FALSE),"Door - not tower - new material")))),"Channel - not tower - handle set to other")),IF(ISERROR(FIND("Tower",$A199))=FALSE,IF(WardrobeHandleFinish="Match carcass",IF(ISERROR(FIND("Walnut",WardrobeCarcassMaterial))=FALSE,(0.035*0.075*($B199/1000))*VLOOKUP("Walnut (solid m3)",SolidData,4,FALSE),IF(ISERROR(FIND("Oak",WardrobeCarcassMaterial))=FALSE,(0.035*0.075*($B199/1000))*VLOOKUP("Oak (solid m3)",SolidData,4,FALSE),IF(ISERROR(FIND("ply",WardrobeCarcassMaterial))=FALSE,(0.1*($B199/1000))*VLOOKUP("Birch ply (24mm)",SheetsData,7,FALSE),IF(ISERROR(FIND("H/F",WardrobeCarcassMaterial))=FALSE,(0.1*($C199/1000))*VLOOKUP("H/F (22mm)",SheetsData,7,FALSE),"Carcass - tower - new material")))),IF(WardrobeHandleFinish="Match door",IF(ISERROR(FIND("Walnut",WardrobeDoorMaterial))=FALSE,(0.035*0.075*($B199/1000))*VLOOKUP("Walnut (solid m3)",SolidData,4,FALSE),IF(ISERROR(FIND("Oak",WardrobeDoorMaterial))=FALSE,(0.035*0.075*($B199/1000))*VLOOKUP("Oak (solid m3)",SolidData,4,FALSE),IF(ISERROR(FIND("ply",WardrobeDoorMaterial))=FALSE,(0.1*($B199/1000))*VLOOKUP("Birch ply (24mm)",SheetData,7,FALSE),IF(ISERROR(FIND("H/F",WardrobeCarcassMaterial))=FALSE,(0.1*($C199/1000))*VLOOKUP("H/F (22mm)",SheetsData,7,FALSE),"Door - tower - new material")))),"Channel - tower - handle set to other")))),"")</f>
        <v/>
      </c>
    </row>
    <row r="200">
      <c r="A200" s="150"/>
      <c r="B200" s="160" t="str">
        <f t="shared" si="1"/>
        <v/>
      </c>
      <c r="C200" s="160" t="str">
        <f>IFERROR(__xludf.DUMMYFUNCTION("IF(A200="""","""",IF(ISERROR(FIND(""arcass"",A200))=FALSE,MID(A200,FIND(""*"",A200)+1,FIND(""*"",A200,FIND(""*"",A200)+1)-FIND(""*"",A200)-1),IF(ISERROR(FIND(""End panel"",A200))=FALSE,RIGHT(A200,3),IF(OR(ISERROR(FIND(""drawer"",A200))=FALSE,ISERROR(FIND("&amp;"""door"",A200))=FALSE,ISERROR(FIND(""shelf"",A200))=FALSE,ISERROR(FIND(""panel"",A200))=FALSE,ISERROR(FIND(""Plinth"",A200))=FALSE,ISERROR(FIND(""Cornice"",A200))=FALSE,ISERROR(FIND(""Fillers"",A200))=FALSE,ISERROR(FIND(""Pelmet"",A200))=FALSE,ISERROR(FIN"&amp;"D(""Fireplace up to 1600"",A200))=FALSE),RIGHT(A200,LEN(A200)-LEN(regexextract(A200,"".* ""))),IF(ISERROR(FIND(""table"",A200))=FALSE,""560"",IF(ISERROR(FIND(""Office pod"",A200))=FALSE,""1600"",IF(ISERROR(FIND(""Fireplace over 1600"",A200))=FALSE,""2400"&amp;""",IF(ISERROR(FIND(""Worktop"",A200))=FALSE,""650"",""Whoops""))))))))"),"")</f>
        <v/>
      </c>
      <c r="D200" s="161" t="str">
        <f t="shared" si="2"/>
        <v/>
      </c>
      <c r="E200" s="152" t="str">
        <f>IF(OR(A200="",AND(ISERROR(FIND("drawer",A200))=FALSE,WardrobeDrawerType="")),"",IF(ISERROR(FIND("door",A200))=FALSE,IF(WardrobeDoorStyle="Flat",((B200/1000)*(C200/1000))*VLOOKUP(WardrobeDoorMaterial,SheetsData,8,0),IF(LEFT(WardrobeDoorStyle,5)="Panel",(((((B200/1000)*2)*0.08)+((((C200/1000)-0.16)*2)*0.08))*VLOOKUP("H/F (22mm)",SheetsData,8,0))+(((B200/1000)-0.14)*((C200/1000)-0.14)*VLOOKUP("H/F (9mm)",SheetsData,8,0)),IF(WardrobeDoorStyle="In-frame flat",((((((B200/1000)*0.019)*0.038)+((((C200-38)/1000)*0.038)*0.038))*2)*VLOOKUP("Tulip (solid m3)",SolidData,4,0))+(((B200-76)/1000)*((C200-38)/1000))*VLOOKUP("H/F (22mm)",SheetsData,8,0),IF(LEFT(WardrobeDoorStyle,14)="In-frame panel",(((((((B200/1000)*0.019)*0.038)+((((C200-38)/1000)*0.038)*0.038))*2)*VLOOKUP("Tulip (solid m3)",SolidData,4,0))+(((((((B200-76)/1000)*2)*0.08)+(((((C200-198)/1000)*2)*0.08)))*VLOOKUP("H/F (22mm)",SheetsData,8,0))+(((B200-216)/1000)*((C200-178)/1000)*VLOOKUP("H/F (9mm)",SheetsData,8,0)))))))),IF(AND(ISERROR(FIND("arcass",A200))=FALSE,ISERROR(FIND("ost corner",A200))=TRUE),IF(AND(VALUE(B200)&lt;1211,VALUE(C200)&lt;1211,VALUE(D200)&lt;606),1*VLOOKUP(WardrobeCarcassMaterial,SheetsData,5,FALSE),IF(AND(VALUE(B200)&lt;2421,VALUE(C200)&lt;2421,VALUE(D200)&lt;606),2*VLOOKUP(WardrobeCarcassMaterial,SheetsData,5,FALSE),IF(AND(VALUE(B200)&lt;2421,VALUE(C200)&lt;1211,VALUE(D200)&lt;1211),3*VLOOKUP(WardrobeCarcassMaterial,SheetsData,5,FALSE),IF(AND(VALUE(B200)&lt;2421,VALUE(C200)&lt;2421,VALUE(D200)&lt;1211),4*VLOOKUP(WardrobeCarcassMaterial,SheetsData,5,FALSE))))),IF(AND(ISERROR(FIND("arcass",A200))=FALSE,ISERROR(FIND("ost corner",A200))=FALSE),IF(AND(VALUE(B200)&lt;1211,VALUE(C200)&lt;1211,VALUE(D200)&lt;606),(1*VLOOKUP(WardrobeCarcassMaterial,SheetsData,5,FALSE))+(VLOOKUP("H/F (22mm)",SheetsData,7,FALSE)*1.44),IF(AND(VALUE(B200)&lt;2421,VALUE(C200)&lt;2421,VALUE(D200)&lt;606),(2*VLOOKUP(WardrobeCarcassMaterial,SheetsData,5,FALSE))+(VLOOKUP("H/F (22mm)",SheetsData,7,FALSE)*1.44),IF(AND(VALUE(B200)&lt;2421,VALUE(C200)&lt;1211,VALUE(D200)&lt;1211),(3*VLOOKUP(WardrobeCarcassMaterial,SheetsData,5,FALSE))+(VLOOKUP("H/F (22mm)",SheetsData,7,FALSE)*1.44),IF(AND(VALUE(B200)&lt;2421,VALUE(C200)&lt;2421,VALUE(D200)&lt;1211),(4*VLOOKUP(WardrobeCarcassMaterial,SheetsData,5,FALSE))+(VLOOKUP("H/F (22mm)",SheetsData,7,FALSE)*1.44))))),IF(ISERROR(FIND("drawer front",A200))=FALSE,((B200/1000)*(C200/1000))*VLOOKUP(WardrobeDoorMaterial,SheetsData,8,0),IF(AND(WardrobeDrawerType="Match carcass",ISERROR(FIND("drawer box",A200))=FALSE),(((((B200/1000)*(C200/1000))+((B200/1000)*(D200/1000)))*2)*VLOOKUP(WardrobeCarcassMaterial,SheetsData,8,0))+(((C200/1000)*(D200/1000))*VLOOKUP(LEFT(WardrobeCarcassMaterial,FIND("(",WardrobeCarcassMaterial)-1)&amp;IF(OR(ISERROR(FIND("ply",WardrobeCarcassMaterial))=FALSE,ISERROR(FIND("H/F",WardrobeCarcassMaterial))=FALSE),"(9mm)","(10mm)"),SheetsData,8,0)),IF(AND(WardrobeDrawerType="Solid dovetail",ISERROR(FIND("drawer box",A200))=FALSE),(((((B200/1000)*(C200/1000))+((B200/1000)*(D200/1000)))*2)*(16/1000)*VLOOKUP(LEFT(WardrobeCarcassMaterial,FIND(" ",WardrobeCarcassMaterial))&amp;"(solid m3)",SolidData,4,0))+(((C200/1000)*(D200/1000))*VLOOKUP(LEFT(WardrobeCarcassMaterial,FIND("(",WardrobeCarcassMaterial)-1)&amp;IF(OR(ISERROR(FIND("ply",WardrobeCarcassMaterial))=FALSE,ISERROR(FIND("H/F",WardrobeCarcassMaterial))=FALSE),"(9mm)","(10mm)"),SheetsData,8,0)),IF(ISERROR(FIND("shelf",A200))=FALSE,((C200/1000)*(D200/1000))*VLOOKUP(WardrobeCarcassMaterial,SheetsData,7,FALSE),IF(ISERROR(FIND("Office pod",A200))=FALSE,3*VLOOKUP(WardrobeCarcassMaterial,SheetsData,5,0),IF(ISERROR(FIND(" panel",A200))=FALSE,((B200/1000)*(C200/1000))*VLOOKUP(WardrobeDoorMaterial,SheetsData,8,0),IF(ISERROR(FIND("Fillers",A200))=FALSE,(((0.06*(C200/1000))*2)*VLOOKUP("H/F (18mm)",SheetsData,8,0))+(((0.06*(C200/1000))*2)*VLOOKUP("H/F (9mm)",SheetsData,8,0)),IF(ISERROR(FIND("Cornice (stacked)",A200))=FALSE,((0.08*(C200/1000))*2)*VLOOKUP("H/F (22mm)",SheetsData,8,0),IF(OR(ISERROR(FIND("Plinth",A200))=FALSE,ISERROR(FIND("Cornice (flat)",A200))=FALSE),((B200/1000)*(C200/1000))*VLOOKUP("H/F (18mm)",SheetsData,8,0),IF(ISERROR(FIND("Pelmet",A200))=FALSE,((((B200/1000)*(C200/1000))*2)*VLOOKUP("H/F (18mm)",SheetsData,8,0)),IF(ISERROR(FIND("Fireplace",A200))=FALSE,IF(ISERROR(FIND("over 1600",A200))=FALSE,2*VLOOKUP(WardrobeCarcassMaterial,SheetsData,5,FALSE),VLOOKUP(WardrobeCarcassMaterial,SheetsData,5,FALSE)),IF(ISERROR(FIND("table",A200))=FALSE,((B200/1000)*0.6)*VLOOKUP("Birch ply (24mm)",SheetsData,7,FALSE),IF(ISERROR(FIND("Worktop",A200))=FALSE,((B200/1000)*(C200/1000))*VLOOKUP(WardrobeDoorMaterial,SheetsData,7,FALSE),"Check formula")))))))))))))))))</f>
        <v/>
      </c>
      <c r="F200" s="152" t="str">
        <f>IFERROR(__xludf.DUMMYFUNCTION("IF(OR(A200="""",AND(ISERROR(FIND(""drawer box"",A200))=FALSE,WardrobeDrawerType=""Solid dovetail"")),"""",IF(ISERROR(FIND(""bins"",A200))=FALSE,VLOOKUP(""Base carcass 600"",Wardrobes_etcData,6,0),IF(OR(ISERROR(FIND(""larder"",A200))=FALSE,ISERROR(FIND(""u"&amp;"nit"",A200))=FALSE),VLOOKUP(LEFT(A200,FIND("" "",A200))&amp;""carcass ""&amp;RIGHT(A200,LEN(A200)-len(regexextract(A200,"".* ""))),Wardrobes_etcData,6,0),IF(ISERROR(FIND(""drawer front"",A200))=FALSE,IF(ISERROR(FIND(""veneer"",WardrobeCarcassMaterial))=TRUE,0,((("&amp;"B200+C200)/1000)*2)*VLOOKUP(""Edge banding (per M)"",SheetsData,5,0)),IF(ISERROR(FIND(""drawer box"",A200))=FALSE,IF(ISERROR(FIND(""veneer"",WardrobeCarcassMaterial))=TRUE,0,(((C200+D200)/1000)*2)*VLOOKUP(""Edge banding (per M)"",SheetsData,5,0)),IF(ISERR"&amp;"OR(FIND(""shelf"",A200))=FALSE,IF(ISERROR(FIND(""veneer"",WardrobeCarcassMaterial))=TRUE,0,(C200/1000)*VLOOKUP(""Edge banding (per M)"",SheetsData,5,0)),IF(AND(OR(ISERROR(FIND(""arcass"",A200))=FALSE,ISERROR(FIND(""Fireplace"",A200))=FALSE),ISERROR(FIND("&amp;"""shelf"",A200))=TRUE),IF(ISERROR(FIND(""veneer"",WardrobeCarcassMaterial))=TRUE,0,((2*(B200+C200))/1000)*VLOOKUP(""Edge banding (per M)"",SheetsData,5,0)),IF(ISERROR(FIND(""door"",A200))=TRUE,"""",IF(ISERROR(FIND(""veneer"",WardrobeDoorMaterial))=TRUE,"""&amp;""",((2*(B200+C200))/1000)*VLOOKUP(""Edge banding (per M)"",SheetsData,5,0))))))))))"),"")</f>
        <v/>
      </c>
      <c r="G200" s="153" t="str">
        <f>IF(A200="","",IF(AND(ISERROR(FIND("arcass",A200))=TRUE,ISERROR(FIND("Fireplace",A200))=TRUE),"",IF(VALUE(C200)&lt;606,4*VLOOKUP("Plinth foot (2 Parts 80mm)",FurnitureData,5,FALSE),IF(VALUE(C200)&lt;1211,6*VLOOKUP("Plinth foot (2 Parts 80mm)",FurnitureData,5,FALSE),8*VLOOKUP("Plinth foot (2 Parts 80mm)",FurnitureData,5,FALSE)))))</f>
        <v/>
      </c>
      <c r="H200" s="115" t="str">
        <f>IF(OR(A200="",ISERROR(FIND("door",A200))=TRUE),"",VLOOKUP("Hinges &amp; plates (Hettich thick door)",FurnitureData,5,0)*5)</f>
        <v/>
      </c>
      <c r="I200" s="115" t="str">
        <f>IF(ISERROR(FIND("shelf",A200))=FALSE,(VLOOKUP("Shelf pegs",FurnitureData,5,0)/100)*4,"")</f>
        <v/>
      </c>
      <c r="J200" s="152" t="str">
        <f>IF(OR(ISERROR(FIND("fridge/freezer",A200))=FALSE,ISERROR(FIND("sink",A200))=FALSE,ISERROR(FIND("larder",A200))=FALSE),VLOOKUP("Deep shelf "&amp;C200,Wardrobes_etcData,18,0),IF(OR(ISERROR(FIND("single oven",A200))=FALSE,ISERROR(FIND("Base carcass",A200))=FALSE),2*VLOOKUP("Deep shelf "&amp;C200,Wardrobes_etcData,18,0),IF(AND(ISERROR(FIND("wall carcass",A200))=FALSE,ISERROR(FIND("Boiler",A200))=TRUE),2*VLOOKUP("Shallow shelf "&amp;C200,Wardrobes_etcData,18,0),IF(ISERROR(FIND("double oven",A200))=FALSE,3*VLOOKUP("Deep shelf "&amp;C200,Wardrobes_etcData,18,0),IF(ISERROR(FIND("Tower carcass",A200))=FALSE,6*VLOOKUP("Deep shelf "&amp;C200,Wardrobes_etcData,18,0),"")))))</f>
        <v/>
      </c>
      <c r="K200" s="152" t="str">
        <f>IF(ISERROR(FIND("sink",A200))=FALSE,VLOOKUP("Sink liner - Aluminium "&amp;RIGHT(A200,LEN(A200)-22)&amp;"mm",ExceptionalData,5,0),IF(ISERROR(FIND("bins",A200))=FALSE,VLOOKUP("Drawer runners and clip set for bin unit (500) Dynapro",FurnitureData,5,0)+(2*VLOOKUP("Bin (42L Anthracite)",FurnitureData,5,0)),IF(ISERROR(FIND("larder",A200))=FALSE,VLOOKUP("Pull out larder unit 600mm",FurnitureData,5,0),IF(AND(ISERROR(FIND("drawer box",A200))=FALSE,ISERROR(FIND("internal",A200))=TRUE),VLOOKUP("Drawer runners and clip set (550) Dynapro",FurnitureData,5,0),IF(ISERROR(FIND("internal drawer box",A200))=FALSE,VLOOKUP("Drawer runners and clip set (450) Dynapro",FurnitureData,5,0),IF(ISERROR(FIND("table",A200))=FALSE,VLOOKUP("Hairpin Leg (12mm Black "&amp;MID(A200,FIND("(",A200)+1,LEN(A200)-(FIND("(",A200))-1)&amp;"mm)",ExceptionalData,4,FALSE),""))))))</f>
        <v/>
      </c>
      <c r="L200" s="152" t="str">
        <f t="shared" si="3"/>
        <v/>
      </c>
      <c r="M200" s="154" t="str">
        <f>IF(A200="","",IF(AND(ISERROR(FIND("drawer front",A200))=FALSE,WardrobeDoorStyle="Flat"),(((B200/1000)*(C200/1000))*2)+((((B200+C200)/1000)*2)*0.022),IF(AND(ISERROR(FIND("drawer front",A200))=FALSE,LEFT(WardrobeDoorStyle,5)="Panel"),(((B200/1000)*(C200/1000))*2)+((((B200+C200)/1000)*2)*0.022)+((((C200/1000)-0.16)*0.013)*2)+((((D200/1000)-0.16)*0.013)*2),IF(AND(ISERROR(FIND("drawer front",A200))=FALSE,WardrobeDoorStyle="In-frame flat"),((((B200-76)/1000)*((C200-38)/1000))*2)+(MID(WardrobeDoorMaterial,FIND("(",WardrobeDoorMaterial)+1,2)/1000)*((((B200-76)+(C200-38))/1000)*2)+(((B200/1000)*0.032)*2)+((((B200-76)/1000)*0.032)*2)+(((B200/1000)*0.019)*4)+(((C200/1000)*0.032)*2)+((((C200-38)/1000)*0.032)*2)+(((C200/1000)*0.038)*4),IF(AND(ISERROR(FIND("drawer front",A200))=FALSE,LEFT(WardrobeDoorStyle,14)="In-frame panel"),((((B200-76)/1000)*((C200-38)/1000))*2)+((MID(WardrobeDoorMaterial,FIND("(",WardrobeDoorMaterial)+1,2)/1000)*((((B200-76)+(C200-38))/1000)*2))+((((B200-236)/1000)+((C200-198)/1000)*2)*0.013)+(((B200/1000)*0.032)*2)+((((B200-76)/1000)*0.032)*2)+(((B200/1000)*0.019)*4)+(((C200/1000)*0.032)*2)+((((C200-38)/1000)*0.032)*2)+(((C200/1000)*0.038)*4),IF(ISERROR(FIND("drawer box",A200))=FALSE,((((B200/1000)*(D200/1000))+((B200/1000)*(C200/1000)))*4)+((((D200/1000)+(C200/1000))*0.016)*4)+(((C200/1000)*(D200/1000))*2),IF(OR(ISERROR(FIND("shelf",A200))=FALSE,ISERROR(FIND("Filler panel",A200))=FALSE),(((C200/1000)*(D200/1000))*2)+((((C200+D200)*2)/1000)*0.022),IF(ISERROR(FIND("Fireplace",A200))=FALSE,((B200/1000)*(C200/1000)),IF(ISERROR(FIND("Worktop",A200))=FALSE,(B200/1000)*(C200/1000),IF(ISERROR(FIND("table",A200))=FALSE,(B200/1000)*0.6,IF(ISERROR(FIND("arcass",A200))=FALSE,(((C200/1000)*(D200/1000))*2)+(((B200/1000)*(D200/1000))*2)+((B200/1000)*(C200/1000))+((((B200/1000)*0.025)+((C200/1000)*0.025))*2),IF(AND(ISERROR(FIND("door",A200))=FALSE,WardrobeDoorStyle="Flat"),(((B200/1000)*(C200/1000))*2)+(MID(WardrobeDoorMaterial,FIND("(",WardrobeDoorMaterial)+1,2)/1000)*(((B200+C200)/1000)*2),IF(AND(ISERROR(FIND("door",A200))=FALSE,LEFT(WardrobeDoorStyle,5)="Panel"),(((B200/1000)*(C200/1000))*2)+((MID(WardrobeDoorMaterial,FIND("(",WardrobeDoorMaterial)+1,2)/1000)*(((B200+C200)/1000)*2))+(((((B200-160)+(C200-160))*2)/1000)*(0.013)),IF(AND(ISERROR(FIND("door",A200))=FALSE,WardrobeDoorStyle="In-frame flat"),((((B200-76)/1000)*((C200-38)/1000))*2)+(MID(WardrobeDoorMaterial,FIND("(",WardrobeDoorMaterial)+1,2)/1000)*((((B200-76)+(C200-38))/1000)*2)+(((B200/1000)*0.032)*2)+((((B200-76)/1000)*0.032)*2)+(((B200/1000)*0.019)*4)+(((C200/1000)*0.032)*2)+((((C200-38)/1000)*0.032)*2)+(((C200/1000)*0.038)*4),IF(AND(ISERROR(FIND("door",A200))=FALSE,LEFT(WardrobeDoorStyle,14)="In-frame panel"),((((B200-76)/1000)*((C200-38)/1000))*2)+((MID(WardrobeDoorMaterial,FIND("(",WardrobeDoorMaterial)+1,2)/1000)*((((B200-76)+(C200-38))/1000)*2))+((((B200-236)/1000)+((C200-198)/1000)*2)*0.013)+(((B200/1000)*0.032)*2)+((((B200-76)/1000)*0.032)*2)+(((B200/1000)*0.019)*4)+(((C200/1000)*0.032)*2)+((((C200-38)/1000)*0.032)*2)+(((C200/1000)*0.038)*4),IF(ISERROR(FIND("Plinth",A200))=FALSE,((B200/1000)*(C200/1000))+(((C200/1000)*0.018)*2)+(((B200/1000)*0.018)*2),IF(ISERROR(FIND("Cornice",A200))=FALSE,(((C200/1000)*0.1)*2)+(((C200/1000)*0.044)*2)+(((B200/1000)*0.08)*2),IF(ISERROR(FIND("Office pod",A200))=FALSE,((2400/1000)*(1200/1000))*6,IF(ISERROR(FIND("panel",A200))=FALSE,((B200/1000)*(C200/1000))+(0.022*((B200/1000)+((C200/1000)*2)))+((B200/1000)*0.05),IF(ISERROR(FIND("Fillers",A200))=FALSE,((C200/1000)*0.06)+((C200/1000)*0.069)+((0.06*0.018)*2)+((0.06*0.009)*2)+((C200/1000)*0.009)+((C200/1000)*0.018),IF(ISERROR(FIND("Pelmet",A200))=FALSE,((C200/1000)*0.05)+((C200/1000)*0.068)+((0.05*0.018)*4)+(((C200/1000)*0.018))*2)))))))))))))))))))))</f>
        <v/>
      </c>
      <c r="N200" s="152" t="str">
        <f>IF(M200="","",IF(AND(ISERROR(FIND("carcass",A200))=TRUE,ISERROR(FIND("unit",A200))=TRUE,ISERROR(FIND("insert",A200))=TRUE,ISERROR(FIND("rack",A200))=TRUE,ISERROR(FIND("box",A200))=TRUE,ISERROR(FIND("shelf",A200))=TRUE),VLOOKUP(WardrobeDoorFinish,Finishing!$A$2:$K$10,9,0)*M200,IF(ISERROR(FIND("table",A200))=FALSE,VLOOKUP("Sayerlack AF0072 Interior Clear Self-Sealer",FinishingData,9,FALSE)*M200,VLOOKUP(WardrobeCarcassFinish,Finishing!$A$2:$K$40,9,0)*M200)))</f>
        <v/>
      </c>
      <c r="O200" s="159"/>
      <c r="P200" s="159"/>
      <c r="Q200" s="152" t="str">
        <f>IF(OR(O200="",P200=""),"",((O200*X200)*(VLOOKUP("Workshop",Labour!$A$3:$E$20,4,0)/8))+((P200*AE200)*(VLOOKUP("Finishing",Labour!$A$3:$E$20,4,0)/8)))</f>
        <v/>
      </c>
      <c r="R200" s="152" t="str">
        <f t="shared" si="4"/>
        <v/>
      </c>
      <c r="S200" s="156" t="str">
        <f>IF(OR(O200="",P200=""),"",IF(OR(ISERROR(FIND("carcass",$A200))=FALSE,ISERROR(FIND("unit",$A200))=FALSE),VLOOKUP(WardrobeCarcassMaterial,FixedListsCarcassMaterial,2,0),0))</f>
        <v/>
      </c>
      <c r="T200" s="156" t="str">
        <f>IF(OR(O200="",P200=""),"",IF(ISERROR(FIND("door",$A200))=FALSE,VLOOKUP(WardrobeDoorStyle,FixedListsDoorStyle,2,0),0))</f>
        <v/>
      </c>
      <c r="U200" s="156" t="str">
        <f>IF(OR(O200="",P200=""),"",IF(ISERROR(FIND("door",$A200))=FALSE,VLOOKUP(WardrobeDoorMaterial,FixedListsDoorMaterial,2,0),0))</f>
        <v/>
      </c>
      <c r="V200" s="156" t="str">
        <f>IF(OR(O200="",P200=""),"",IF(ISERROR(FIND("drawer",$A200))=FALSE,VLOOKUP(WardrobeDrawerType,FixedListsDrawerType,2,0),0))</f>
        <v/>
      </c>
      <c r="W200" s="156" t="str">
        <f>IF(OR(O200="",P200=""),"",IF(S200&gt;0,VLOOKUP(WardrobeHandleType,FixedListsHandleType,2,FALSE),0))</f>
        <v/>
      </c>
      <c r="X200" s="156" t="str">
        <f t="shared" si="5"/>
        <v/>
      </c>
      <c r="Y200" s="156" t="str">
        <f>IF(OR(O200="",P200=""),"",IF(OR(ISERROR(FIND("carcass",$A200))=FALSE,ISERROR(FIND("unit",$A200))=FALSE),VLOOKUP(WardrobeCarcassMaterial,FixedListsCarcassMaterial,3,0),0))</f>
        <v/>
      </c>
      <c r="Z200" s="156" t="str">
        <f>IF(OR(O200="",P200=""),"",IF(ISERROR(FIND("door",$A200))=FALSE,VLOOKUP(WardrobeDoorStyle,FixedListsDoorStyle,3,0),0))</f>
        <v/>
      </c>
      <c r="AA200" s="156" t="str">
        <f>IF(OR(O200="",P200=""),"",IF(ISERROR(FIND("door",$A200))=FALSE,VLOOKUP(WardrobeDoorMaterial,FixedListsDoorMaterial,3,0),0))</f>
        <v/>
      </c>
      <c r="AB200" s="156" t="str">
        <f>IF(OR(O200="",P200=""),"",IF(ISERROR(FIND("drawer",$A200))=FALSE,VLOOKUP(WardrobeDrawerType,FixedListsDrawerType,3,0),0))</f>
        <v/>
      </c>
      <c r="AC200" s="156" t="str">
        <f>IF(OR(O200="",P200=""),"",IF(S200&gt;0,VLOOKUP(WardrobeHandleType,FixedListsHandleType,3,FALSE),0))</f>
        <v/>
      </c>
      <c r="AD200" s="156" t="str">
        <f>IF(OR(O200="",P200=""),"",IF(OR(ISERROR(FIND("carcass",$A200))=FALSE,ISERROR(FIND("unit",$A200))=FALSE),VLOOKUP(WardrobeCarcassFinish,FixedListsFinishes,3,0),IF(OR(ISERROR(FIND("door",$A200))=FALSE,ISERROR(FIND("Plinth",$A200))=FALSE,ISERROR(FIND("Cornice",$A200))=FALSE,ISERROR(FIND("Fillers",$A200))=FALSE,ISERROR(FIND("Pelmet",$A200))=FALSE,ISERROR(FIND("panel",$A200))=FALSE,ISERROR(FIND("post",$A200))=FALSE),VLOOKUP(WardrobeDoorFinish,FixedListsFinishes,3,0),IF(OR(ISERROR(FIND("drawer",$A200))=FALSE,ISERROR(FIND("insert",$A200))=FALSE,ISERROR(FIND("rck",$A200))=FALSE),VLOOKUP(WardrobeCarcassFinish,FixedListsFinishes,3,0),0))))</f>
        <v/>
      </c>
      <c r="AE200" s="156" t="str">
        <f t="shared" si="6"/>
        <v/>
      </c>
      <c r="AF200" s="157" t="str">
        <f>IF(AND(WardrobeHandleType="Channel",OR(ISERROR(FIND("arcass",$A200))=FALSE,ISERROR(FIND("unit",$A200))=FALSE)),IF(ISERROR(FIND("Tower",$A200))=TRUE,IF(WardrobeHandleFinish="Match carcass",IF(ISERROR(FIND("Walnut",WardrobeCarcassMaterial))=FALSE,(0.035*0.075*($C200/1000))*VLOOKUP("Walnut (solid m3)",SolidData,4,FALSE),IF(ISERROR(FIND("Oak",WardrobeCarcassMaterial))=FALSE,(0.035*0.075*($C200/1000))*VLOOKUP("Oak (solid m3)",SolidData,4,FALSE),IF(ISERROR(FIND("ply",WardrobeCarcassMaterial))=FALSE,(0.1*($C200/1000))*VLOOKUP("Birch ply (24mm)",SheetsData,7,FALSE),IF(ISERROR(FIND("H/F",WardrobeCarcassMaterial))=FALSE,(0.1*($C200/1000))*VLOOKUP("H/F (22mm)",SheetsData,7,FALSE),"Carcass - not tower - new material")))),IF(WardrobeHandleFinish="Match door",IF(ISERROR(FIND("Walnut",WardrobeDoorMaterial))=FALSE,(0.035*0.075*($C200/1000))*VLOOKUP("Walnut (solid m3)",SolidData,4,FALSE),IF(ISERROR(FIND("Oak",WardrobeDoorMaterial))=FALSE,(0.035*0.075*($C200/1000))*VLOOKUP("Oak (solid m3)",SolidData,4,FALSE),IF(ISERROR(FIND("ply",WardrobeDoorMaterial))=FALSE,(0.1*($C200/1000))*VLOOKUP("Birch ply (24mm)",SheetsData,7,FALSE),IF(ISERROR(FIND("H/F",WardrobeCarcassMaterial))=FALSE,(0.1*($C200/1000))*VLOOKUP("H/F (22mm)",SheetsData,7,FALSE),"Door - not tower - new material")))),"Channel - not tower - handle set to other")),IF(ISERROR(FIND("Tower",$A200))=FALSE,IF(WardrobeHandleFinish="Match carcass",IF(ISERROR(FIND("Walnut",WardrobeCarcassMaterial))=FALSE,(0.035*0.075*($B200/1000))*VLOOKUP("Walnut (solid m3)",SolidData,4,FALSE),IF(ISERROR(FIND("Oak",WardrobeCarcassMaterial))=FALSE,(0.035*0.075*($B200/1000))*VLOOKUP("Oak (solid m3)",SolidData,4,FALSE),IF(ISERROR(FIND("ply",WardrobeCarcassMaterial))=FALSE,(0.1*($B200/1000))*VLOOKUP("Birch ply (24mm)",SheetsData,7,FALSE),IF(ISERROR(FIND("H/F",WardrobeCarcassMaterial))=FALSE,(0.1*($C200/1000))*VLOOKUP("H/F (22mm)",SheetsData,7,FALSE),"Carcass - tower - new material")))),IF(WardrobeHandleFinish="Match door",IF(ISERROR(FIND("Walnut",WardrobeDoorMaterial))=FALSE,(0.035*0.075*($B200/1000))*VLOOKUP("Walnut (solid m3)",SolidData,4,FALSE),IF(ISERROR(FIND("Oak",WardrobeDoorMaterial))=FALSE,(0.035*0.075*($B200/1000))*VLOOKUP("Oak (solid m3)",SolidData,4,FALSE),IF(ISERROR(FIND("ply",WardrobeDoorMaterial))=FALSE,(0.1*($B200/1000))*VLOOKUP("Birch ply (24mm)",SheetData,7,FALSE),IF(ISERROR(FIND("H/F",WardrobeCarcassMaterial))=FALSE,(0.1*($C200/1000))*VLOOKUP("H/F (22mm)",SheetsData,7,FALSE),"Door - tower - new material")))),"Channel - tower - handle set to other")))),"")</f>
        <v/>
      </c>
    </row>
  </sheetData>
  <mergeCells count="6">
    <mergeCell ref="B1:L1"/>
    <mergeCell ref="M1:N1"/>
    <mergeCell ref="O1:Q1"/>
    <mergeCell ref="R1:R2"/>
    <mergeCell ref="S1:X1"/>
    <mergeCell ref="Y1:AE1"/>
  </mergeCells>
  <conditionalFormatting sqref="R3:R200">
    <cfRule type="expression" dxfId="7" priority="1">
      <formula>(AND(A3&lt;&gt;"",OR(L3="",N3="",Q3="")))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7" width="15.25"/>
  </cols>
  <sheetData>
    <row r="1">
      <c r="A1" s="162" t="s">
        <v>257</v>
      </c>
      <c r="B1" s="162" t="s">
        <v>258</v>
      </c>
      <c r="C1" s="162" t="s">
        <v>259</v>
      </c>
      <c r="D1" s="163"/>
      <c r="E1" s="162" t="s">
        <v>260</v>
      </c>
    </row>
    <row r="2">
      <c r="A2" s="164" t="str">
        <f>IFERROR(__xludf.DUMMYFUNCTION("UNIQUE(FILTER(IMPORTRANGE(""https://docs.google.com/spreadsheets/d/1NZ7KZ8QRn9cC9OkxU06yX2pqENLgZnk6je3s3MqbSbQ"",""ReferenceCodeGenerator!B2:D1000""),NOT(ISBLANK(IMPORTRANGE(""https://docs.google.com/spreadsheets/d/1NZ7KZ8QRn9cC9OkxU06yX2pqENLgZnk6je3s3M"&amp;"qbSbQ"",""ReferenceCodeGenerator!B2:B1000"")))))"),"Louise Brooks")</f>
        <v>Louise Brooks</v>
      </c>
      <c r="B2" s="164" t="str">
        <f>IFERROR(__xludf.DUMMYFUNCTION("""COMPUTED_VALUE"""),"Vanity unit")</f>
        <v>Vanity unit</v>
      </c>
      <c r="C2" s="164" t="str">
        <f>IFERROR(__xludf.DUMMYFUNCTION("""COMPUTED_VALUE"""),"ADF3200")</f>
        <v>ADF3200</v>
      </c>
      <c r="D2" s="163"/>
      <c r="E2" s="27" t="str">
        <f>IFERROR(__xludf.DUMMYFUNCTION("IF(B2="""","""",FILTER($A$2:$C200,$A$2:$A200 = Description!C1))"),"")</f>
        <v/>
      </c>
      <c r="F2" s="27"/>
      <c r="G2" s="27"/>
    </row>
    <row r="3">
      <c r="A3" s="165" t="str">
        <f>IFERROR(__xludf.DUMMYFUNCTION("""COMPUTED_VALUE"""),"Jim Beardsmore")</f>
        <v>Jim Beardsmore</v>
      </c>
      <c r="B3" s="165" t="str">
        <f>IFERROR(__xludf.DUMMYFUNCTION("""COMPUTED_VALUE"""),"Fireplace")</f>
        <v>Fireplace</v>
      </c>
      <c r="C3" s="165" t="str">
        <f>IFERROR(__xludf.DUMMYFUNCTION("""COMPUTED_VALUE"""),"ADF3201")</f>
        <v>ADF3201</v>
      </c>
      <c r="D3" s="166"/>
      <c r="E3" s="165"/>
      <c r="F3" s="165"/>
      <c r="G3" s="165"/>
    </row>
    <row r="4">
      <c r="A4" s="167" t="str">
        <f>IFERROR(__xludf.DUMMYFUNCTION("""COMPUTED_VALUE"""),"Qiong (Joan) Xu")</f>
        <v>Qiong (Joan) Xu</v>
      </c>
      <c r="B4" s="167" t="str">
        <f>IFERROR(__xludf.DUMMYFUNCTION("""COMPUTED_VALUE"""),"Kitchen, utility, bookcase &amp; wardrobe")</f>
        <v>Kitchen, utility, bookcase &amp; wardrobe</v>
      </c>
      <c r="C4" s="167" t="str">
        <f>IFERROR(__xludf.DUMMYFUNCTION("""COMPUTED_VALUE"""),"ADF3202")</f>
        <v>ADF3202</v>
      </c>
      <c r="D4" s="168"/>
      <c r="E4" s="167"/>
      <c r="F4" s="167"/>
      <c r="G4" s="167"/>
    </row>
    <row r="5">
      <c r="A5" s="167" t="str">
        <f>IFERROR(__xludf.DUMMYFUNCTION("""COMPUTED_VALUE"""),"Luna Design")</f>
        <v>Luna Design</v>
      </c>
      <c r="B5" s="167" t="str">
        <f>IFERROR(__xludf.DUMMYFUNCTION("""COMPUTED_VALUE"""),"Manor house")</f>
        <v>Manor house</v>
      </c>
      <c r="C5" s="167" t="str">
        <f>IFERROR(__xludf.DUMMYFUNCTION("""COMPUTED_VALUE"""),"ADF3203")</f>
        <v>ADF3203</v>
      </c>
      <c r="D5" s="168"/>
      <c r="E5" s="167"/>
      <c r="F5" s="167"/>
      <c r="G5" s="167"/>
    </row>
    <row r="6">
      <c r="A6" s="167" t="str">
        <f>IFERROR(__xludf.DUMMYFUNCTION("""COMPUTED_VALUE"""),"Kate Donovan-Smith")</f>
        <v>Kate Donovan-Smith</v>
      </c>
      <c r="B6" s="167" t="str">
        <f>IFERROR(__xludf.DUMMYFUNCTION("""COMPUTED_VALUE"""),"3 x bedrooms")</f>
        <v>3 x bedrooms</v>
      </c>
      <c r="C6" s="167" t="str">
        <f>IFERROR(__xludf.DUMMYFUNCTION("""COMPUTED_VALUE"""),"ADF3204")</f>
        <v>ADF3204</v>
      </c>
      <c r="D6" s="168"/>
      <c r="E6" s="167"/>
      <c r="F6" s="167"/>
      <c r="G6" s="167"/>
    </row>
    <row r="7">
      <c r="A7" s="167" t="str">
        <f>IFERROR(__xludf.DUMMYFUNCTION("""COMPUTED_VALUE"""),"Julia Graham")</f>
        <v>Julia Graham</v>
      </c>
      <c r="B7" s="167" t="str">
        <f>IFERROR(__xludf.DUMMYFUNCTION("""COMPUTED_VALUE"""),"Bedside tables")</f>
        <v>Bedside tables</v>
      </c>
      <c r="C7" s="167" t="str">
        <f>IFERROR(__xludf.DUMMYFUNCTION("""COMPUTED_VALUE"""),"ADF3206")</f>
        <v>ADF3206</v>
      </c>
      <c r="D7" s="168"/>
      <c r="E7" s="167"/>
      <c r="F7" s="167"/>
      <c r="G7" s="167"/>
    </row>
    <row r="8">
      <c r="A8" s="167" t="str">
        <f>IFERROR(__xludf.DUMMYFUNCTION("""COMPUTED_VALUE"""),"Stuart &amp; Karina Calder")</f>
        <v>Stuart &amp; Karina Calder</v>
      </c>
      <c r="B8" s="167" t="str">
        <f>IFERROR(__xludf.DUMMYFUNCTION("""COMPUTED_VALUE"""),"Kitchen, utility, dining, master bed &amp; internal doors")</f>
        <v>Kitchen, utility, dining, master bed &amp; internal doors</v>
      </c>
      <c r="C8" s="167" t="str">
        <f>IFERROR(__xludf.DUMMYFUNCTION("""COMPUTED_VALUE"""),"ADF3207")</f>
        <v>ADF3207</v>
      </c>
      <c r="D8" s="168"/>
      <c r="E8" s="167"/>
      <c r="F8" s="167"/>
      <c r="G8" s="167"/>
    </row>
    <row r="9">
      <c r="A9" s="167" t="str">
        <f>IFERROR(__xludf.DUMMYFUNCTION("""COMPUTED_VALUE"""),"Lindsay Duncan")</f>
        <v>Lindsay Duncan</v>
      </c>
      <c r="B9" s="167" t="str">
        <f>IFERROR(__xludf.DUMMYFUNCTION("""COMPUTED_VALUE"""),"Hallway cupboard")</f>
        <v>Hallway cupboard</v>
      </c>
      <c r="C9" s="167" t="str">
        <f>IFERROR(__xludf.DUMMYFUNCTION("""COMPUTED_VALUE"""),"ADF3208")</f>
        <v>ADF3208</v>
      </c>
      <c r="D9" s="168"/>
      <c r="E9" s="167"/>
      <c r="F9" s="167"/>
      <c r="G9" s="167"/>
    </row>
    <row r="10">
      <c r="A10" s="167" t="str">
        <f>IFERROR(__xludf.DUMMYFUNCTION("""COMPUTED_VALUE"""),"Stuart &amp; Karina Calder")</f>
        <v>Stuart &amp; Karina Calder</v>
      </c>
      <c r="B10" s="167" t="str">
        <f>IFERROR(__xludf.DUMMYFUNCTION("""COMPUTED_VALUE"""),"Kitchen, utility, dining, living, master bed &amp; internal doors")</f>
        <v>Kitchen, utility, dining, living, master bed &amp; internal doors</v>
      </c>
      <c r="C10" s="167" t="str">
        <f>IFERROR(__xludf.DUMMYFUNCTION("""COMPUTED_VALUE"""),"ADF3211")</f>
        <v>ADF3211</v>
      </c>
      <c r="D10" s="168"/>
      <c r="E10" s="167"/>
      <c r="F10" s="167"/>
      <c r="G10" s="167"/>
    </row>
    <row r="11">
      <c r="A11" s="167" t="str">
        <f>IFERROR(__xludf.DUMMYFUNCTION("""COMPUTED_VALUE"""),"Hub 8")</f>
        <v>Hub 8</v>
      </c>
      <c r="B11" s="167" t="str">
        <f>IFERROR(__xludf.DUMMYFUNCTION("""COMPUTED_VALUE"""),"AWS windows")</f>
        <v>AWS windows</v>
      </c>
      <c r="C11" s="167" t="str">
        <f>IFERROR(__xludf.DUMMYFUNCTION("""COMPUTED_VALUE"""),"ADF3212")</f>
        <v>ADF3212</v>
      </c>
      <c r="D11" s="168"/>
      <c r="E11" s="167"/>
      <c r="F11" s="167"/>
      <c r="G11" s="167"/>
    </row>
    <row r="12">
      <c r="A12" s="167" t="str">
        <f>IFERROR(__xludf.DUMMYFUNCTION("""COMPUTED_VALUE"""),"Michael &amp; Angela Cronk")</f>
        <v>Michael &amp; Angela Cronk</v>
      </c>
      <c r="B12" s="167" t="str">
        <f>IFERROR(__xludf.DUMMYFUNCTION("""COMPUTED_VALUE"""),"Kitchen &amp; wardrobe")</f>
        <v>Kitchen &amp; wardrobe</v>
      </c>
      <c r="C12" s="167" t="str">
        <f>IFERROR(__xludf.DUMMYFUNCTION("""COMPUTED_VALUE"""),"ADF3213")</f>
        <v>ADF3213</v>
      </c>
      <c r="D12" s="168"/>
      <c r="E12" s="167"/>
      <c r="F12" s="167"/>
      <c r="G12" s="167"/>
    </row>
    <row r="13">
      <c r="A13" s="167" t="str">
        <f>IFERROR(__xludf.DUMMYFUNCTION("""COMPUTED_VALUE"""),"Nikki Stephens")</f>
        <v>Nikki Stephens</v>
      </c>
      <c r="B13" s="167" t="str">
        <f>IFERROR(__xludf.DUMMYFUNCTION("""COMPUTED_VALUE"""),"Sliding doors")</f>
        <v>Sliding doors</v>
      </c>
      <c r="C13" s="167" t="str">
        <f>IFERROR(__xludf.DUMMYFUNCTION("""COMPUTED_VALUE"""),"ADF3214")</f>
        <v>ADF3214</v>
      </c>
      <c r="D13" s="168"/>
      <c r="E13" s="167"/>
      <c r="F13" s="167"/>
      <c r="G13" s="167"/>
    </row>
    <row r="14">
      <c r="A14" s="169" t="str">
        <f>IFERROR(__xludf.DUMMYFUNCTION("""COMPUTED_VALUE"""),"Sharron Holliday")</f>
        <v>Sharron Holliday</v>
      </c>
      <c r="B14" s="169" t="str">
        <f>IFERROR(__xludf.DUMMYFUNCTION("""COMPUTED_VALUE"""),"Bathroom cabinetry")</f>
        <v>Bathroom cabinetry</v>
      </c>
      <c r="C14" s="169" t="str">
        <f>IFERROR(__xludf.DUMMYFUNCTION("""COMPUTED_VALUE"""),"ADF_SH1_20230802")</f>
        <v>ADF_SH1_20230802</v>
      </c>
      <c r="D14" s="170"/>
      <c r="E14" s="169"/>
      <c r="F14" s="169"/>
      <c r="G14" s="169"/>
    </row>
    <row r="15">
      <c r="A15" s="169" t="str">
        <f>IFERROR(__xludf.DUMMYFUNCTION("""COMPUTED_VALUE"""),"MX")</f>
        <v>MX</v>
      </c>
      <c r="B15" s="169" t="str">
        <f>IFERROR(__xludf.DUMMYFUNCTION("""COMPUTED_VALUE"""),"Furniture package")</f>
        <v>Furniture package</v>
      </c>
      <c r="C15" s="169" t="str">
        <f>IFERROR(__xludf.DUMMYFUNCTION("""COMPUTED_VALUE"""),"ADF_MX1_20230824")</f>
        <v>ADF_MX1_20230824</v>
      </c>
      <c r="D15" s="170"/>
      <c r="E15" s="169"/>
      <c r="F15" s="169"/>
      <c r="G15" s="169"/>
    </row>
    <row r="16">
      <c r="A16" s="169" t="str">
        <f>IFERROR(__xludf.DUMMYFUNCTION("""COMPUTED_VALUE"""),"John Bayston")</f>
        <v>John Bayston</v>
      </c>
      <c r="B16" s="169" t="str">
        <f>IFERROR(__xludf.DUMMYFUNCTION("""COMPUTED_VALUE"""),"Bedroom furniture")</f>
        <v>Bedroom furniture</v>
      </c>
      <c r="C16" s="169" t="str">
        <f>IFERROR(__xludf.DUMMYFUNCTION("""COMPUTED_VALUE"""),"ADF_JB2_20230825")</f>
        <v>ADF_JB2_20230825</v>
      </c>
      <c r="D16" s="170"/>
      <c r="E16" s="169"/>
      <c r="F16" s="169"/>
      <c r="G16" s="169"/>
    </row>
    <row r="17">
      <c r="A17" s="169" t="str">
        <f>IFERROR(__xludf.DUMMYFUNCTION("""COMPUTED_VALUE"""),"Lucy Walker")</f>
        <v>Lucy Walker</v>
      </c>
      <c r="B17" s="169" t="str">
        <f>IFERROR(__xludf.DUMMYFUNCTION("""COMPUTED_VALUE"""),"Low level cabinets &amp; shelving")</f>
        <v>Low level cabinets &amp; shelving</v>
      </c>
      <c r="C17" s="169" t="str">
        <f>IFERROR(__xludf.DUMMYFUNCTION("""COMPUTED_VALUE"""),"ADF_LW1_20230901")</f>
        <v>ADF_LW1_20230901</v>
      </c>
      <c r="D17" s="170"/>
      <c r="E17" s="169"/>
      <c r="F17" s="169"/>
      <c r="G17" s="169"/>
    </row>
    <row r="18">
      <c r="A18" s="169" t="str">
        <f>IFERROR(__xludf.DUMMYFUNCTION("""COMPUTED_VALUE"""),"Karina &amp; Gio Stewart")</f>
        <v>Karina &amp; Gio Stewart</v>
      </c>
      <c r="B18" s="169" t="str">
        <f>IFERROR(__xludf.DUMMYFUNCTION("""COMPUTED_VALUE"""),"Kitchen")</f>
        <v>Kitchen</v>
      </c>
      <c r="C18" s="169" t="str">
        <f>IFERROR(__xludf.DUMMYFUNCTION("""COMPUTED_VALUE"""),"ADF_KS1_20230101")</f>
        <v>ADF_KS1_20230101</v>
      </c>
      <c r="D18" s="170"/>
      <c r="E18" s="169"/>
      <c r="F18" s="169"/>
      <c r="G18" s="169"/>
    </row>
    <row r="19">
      <c r="A19" s="169" t="str">
        <f>IFERROR(__xludf.DUMMYFUNCTION("""COMPUTED_VALUE"""),"Georgie Nock")</f>
        <v>Georgie Nock</v>
      </c>
      <c r="B19" s="169" t="str">
        <f>IFERROR(__xludf.DUMMYFUNCTION("""COMPUTED_VALUE"""),"Office")</f>
        <v>Office</v>
      </c>
      <c r="C19" s="169" t="str">
        <f>IFERROR(__xludf.DUMMYFUNCTION("""COMPUTED_VALUE"""),"ADF_GN1_20230908")</f>
        <v>ADF_GN1_20230908</v>
      </c>
      <c r="D19" s="170"/>
      <c r="E19" s="169"/>
      <c r="F19" s="169"/>
      <c r="G19" s="169"/>
    </row>
    <row r="20">
      <c r="A20" s="169" t="str">
        <f>IFERROR(__xludf.DUMMYFUNCTION("""COMPUTED_VALUE"""),"Matt &amp; Yve Charman")</f>
        <v>Matt &amp; Yve Charman</v>
      </c>
      <c r="B20" s="169" t="str">
        <f>IFERROR(__xludf.DUMMYFUNCTION("""COMPUTED_VALUE"""),"2 * bedroom, shelf, cabinet")</f>
        <v>2 * bedroom, shelf, cabinet</v>
      </c>
      <c r="C20" s="169" t="str">
        <f>IFERROR(__xludf.DUMMYFUNCTION("""COMPUTED_VALUE"""),"ADF_MC2_20230908")</f>
        <v>ADF_MC2_20230908</v>
      </c>
      <c r="D20" s="170"/>
      <c r="E20" s="169"/>
      <c r="F20" s="169"/>
      <c r="G20" s="169"/>
    </row>
    <row r="21">
      <c r="A21" s="169" t="str">
        <f>IFERROR(__xludf.DUMMYFUNCTION("""COMPUTED_VALUE"""),"Valerie Udale")</f>
        <v>Valerie Udale</v>
      </c>
      <c r="B21" s="169" t="str">
        <f>IFERROR(__xludf.DUMMYFUNCTION("""COMPUTED_VALUE"""),"Kitchen")</f>
        <v>Kitchen</v>
      </c>
      <c r="C21" s="169" t="str">
        <f>IFERROR(__xludf.DUMMYFUNCTION("""COMPUTED_VALUE"""),"ADF_VU1_20230911")</f>
        <v>ADF_VU1_20230911</v>
      </c>
      <c r="D21" s="170"/>
      <c r="E21" s="169"/>
      <c r="F21" s="169"/>
      <c r="G21" s="169"/>
    </row>
    <row r="22">
      <c r="A22" s="169" t="str">
        <f>IFERROR(__xludf.DUMMYFUNCTION("""COMPUTED_VALUE"""),"Luna Design")</f>
        <v>Luna Design</v>
      </c>
      <c r="B22" s="169" t="str">
        <f>IFERROR(__xludf.DUMMYFUNCTION("""COMPUTED_VALUE"""),"Rochfort House - shelving &amp; vanity unit")</f>
        <v>Rochfort House - shelving &amp; vanity unit</v>
      </c>
      <c r="C22" s="169" t="str">
        <f>IFERROR(__xludf.DUMMYFUNCTION("""COMPUTED_VALUE"""),"ADF_LD3_20230913")</f>
        <v>ADF_LD3_20230913</v>
      </c>
      <c r="D22" s="170"/>
      <c r="E22" s="169"/>
      <c r="F22" s="169"/>
      <c r="G22" s="169"/>
    </row>
    <row r="23">
      <c r="A23" s="169" t="str">
        <f>IFERROR(__xludf.DUMMYFUNCTION("""COMPUTED_VALUE"""),"Suzie Pinless")</f>
        <v>Suzie Pinless</v>
      </c>
      <c r="B23" s="169" t="str">
        <f>IFERROR(__xludf.DUMMYFUNCTION("""COMPUTED_VALUE"""),"Bedroom furniture")</f>
        <v>Bedroom furniture</v>
      </c>
      <c r="C23" s="169" t="str">
        <f>IFERROR(__xludf.DUMMYFUNCTION("""COMPUTED_VALUE"""),"ADF_SP1_20230921")</f>
        <v>ADF_SP1_20230921</v>
      </c>
      <c r="D23" s="170"/>
      <c r="E23" s="169"/>
      <c r="F23" s="169"/>
      <c r="G23" s="169"/>
    </row>
    <row r="24">
      <c r="A24" s="169" t="str">
        <f>IFERROR(__xludf.DUMMYFUNCTION("""COMPUTED_VALUE"""),"Anzal &amp; Mehroana Mohammed")</f>
        <v>Anzal &amp; Mehroana Mohammed</v>
      </c>
      <c r="B24" s="169" t="str">
        <f>IFERROR(__xludf.DUMMYFUNCTION("""COMPUTED_VALUE"""),"Kitchen, utility, living, beds*3, hallway")</f>
        <v>Kitchen, utility, living, beds*3, hallway</v>
      </c>
      <c r="C24" s="169" t="str">
        <f>IFERROR(__xludf.DUMMYFUNCTION("""COMPUTED_VALUE"""),"ADF_AM1_20231018")</f>
        <v>ADF_AM1_20231018</v>
      </c>
      <c r="D24" s="170"/>
      <c r="E24" s="169"/>
      <c r="F24" s="169"/>
      <c r="G24" s="169"/>
    </row>
    <row r="25">
      <c r="A25" s="169" t="str">
        <f>IFERROR(__xludf.DUMMYFUNCTION("""COMPUTED_VALUE"""),"Kate Donovan-Smith")</f>
        <v>Kate Donovan-Smith</v>
      </c>
      <c r="B25" s="169" t="str">
        <f>IFERROR(__xludf.DUMMYFUNCTION("""COMPUTED_VALUE"""),"Master bedroom wardrobe. Childrens's bookcase and shelving")</f>
        <v>Master bedroom wardrobe. Childrens's bookcase and shelving</v>
      </c>
      <c r="C25" s="169" t="str">
        <f>IFERROR(__xludf.DUMMYFUNCTION("""COMPUTED_VALUE"""),"ADF_KD2_20231019")</f>
        <v>ADF_KD2_20231019</v>
      </c>
      <c r="D25" s="170"/>
      <c r="E25" s="169"/>
      <c r="F25" s="169"/>
      <c r="G25" s="169"/>
    </row>
    <row r="26">
      <c r="A26" s="169" t="str">
        <f>IFERROR(__xludf.DUMMYFUNCTION("""COMPUTED_VALUE"""),"Plexal")</f>
        <v>Plexal</v>
      </c>
      <c r="B26" s="169" t="str">
        <f>IFERROR(__xludf.DUMMYFUNCTION("""COMPUTED_VALUE"""),"Office pods")</f>
        <v>Office pods</v>
      </c>
      <c r="C26" s="169" t="str">
        <f>IFERROR(__xludf.DUMMYFUNCTION("""COMPUTED_VALUE"""),"ADF_PL1_20231027")</f>
        <v>ADF_PL1_20231027</v>
      </c>
      <c r="D26" s="170"/>
      <c r="E26" s="169"/>
      <c r="F26" s="169"/>
      <c r="G26" s="169"/>
    </row>
    <row r="27">
      <c r="A27" s="169" t="str">
        <f>IFERROR(__xludf.DUMMYFUNCTION("""COMPUTED_VALUE"""),"Taner Sahin")</f>
        <v>Taner Sahin</v>
      </c>
      <c r="B27" s="169" t="str">
        <f>IFERROR(__xludf.DUMMYFUNCTION("""COMPUTED_VALUE"""),"Media unit, Dresser, Splashback, Utility storage, Hallway")</f>
        <v>Media unit, Dresser, Splashback, Utility storage, Hallway</v>
      </c>
      <c r="C27" s="169" t="str">
        <f>IFERROR(__xludf.DUMMYFUNCTION("""COMPUTED_VALUE"""),"ADF_TS1_20231027")</f>
        <v>ADF_TS1_20231027</v>
      </c>
      <c r="D27" s="170"/>
      <c r="E27" s="169"/>
      <c r="F27" s="169"/>
      <c r="G27" s="169"/>
    </row>
    <row r="28">
      <c r="A28" s="169" t="str">
        <f>IFERROR(__xludf.DUMMYFUNCTION("""COMPUTED_VALUE"""),"Greg &amp; Sue Herdman")</f>
        <v>Greg &amp; Sue Herdman</v>
      </c>
      <c r="B28" s="169" t="str">
        <f>IFERROR(__xludf.DUMMYFUNCTION("""COMPUTED_VALUE"""),"Under stairs storage")</f>
        <v>Under stairs storage</v>
      </c>
      <c r="C28" s="169" t="str">
        <f>IFERROR(__xludf.DUMMYFUNCTION("""COMPUTED_VALUE"""),"ADF_GH1_20231101")</f>
        <v>ADF_GH1_20231101</v>
      </c>
      <c r="D28" s="170"/>
      <c r="E28" s="169"/>
      <c r="F28" s="169"/>
      <c r="G28" s="169"/>
    </row>
    <row r="29">
      <c r="A29" s="169" t="str">
        <f>IFERROR(__xludf.DUMMYFUNCTION("""COMPUTED_VALUE"""),"Malcom Cawston")</f>
        <v>Malcom Cawston</v>
      </c>
      <c r="B29" s="169" t="str">
        <f>IFERROR(__xludf.DUMMYFUNCTION("""COMPUTED_VALUE"""),"Boiler cupboard doors")</f>
        <v>Boiler cupboard doors</v>
      </c>
      <c r="C29" s="169" t="str">
        <f>IFERROR(__xludf.DUMMYFUNCTION("""COMPUTED_VALUE"""),"ADF_MC3_20231117")</f>
        <v>ADF_MC3_20231117</v>
      </c>
      <c r="D29" s="170"/>
      <c r="E29" s="169"/>
      <c r="F29" s="169"/>
      <c r="G29" s="169"/>
    </row>
    <row r="30">
      <c r="A30" s="169" t="str">
        <f>IFERROR(__xludf.DUMMYFUNCTION("""COMPUTED_VALUE"""),"Stephanie Breeze")</f>
        <v>Stephanie Breeze</v>
      </c>
      <c r="B30" s="169" t="str">
        <f>IFERROR(__xludf.DUMMYFUNCTION("""COMPUTED_VALUE"""),"Fireside storage")</f>
        <v>Fireside storage</v>
      </c>
      <c r="C30" s="169" t="str">
        <f>IFERROR(__xludf.DUMMYFUNCTION("""COMPUTED_VALUE"""),"ADF_SB1_20231117")</f>
        <v>ADF_SB1_20231117</v>
      </c>
      <c r="D30" s="170"/>
      <c r="E30" s="169"/>
      <c r="F30" s="169"/>
      <c r="G30" s="169"/>
    </row>
    <row r="31">
      <c r="A31" s="169" t="str">
        <f>IFERROR(__xludf.DUMMYFUNCTION("""COMPUTED_VALUE"""),"Chrissie &amp; James Cooper")</f>
        <v>Chrissie &amp; James Cooper</v>
      </c>
      <c r="B31" s="169" t="str">
        <f>IFERROR(__xludf.DUMMYFUNCTION("""COMPUTED_VALUE"""),"Hallway cupboard")</f>
        <v>Hallway cupboard</v>
      </c>
      <c r="C31" s="169" t="str">
        <f>IFERROR(__xludf.DUMMYFUNCTION("""COMPUTED_VALUE"""),"ADF_CC1_20231120")</f>
        <v>ADF_CC1_20231120</v>
      </c>
      <c r="D31" s="170"/>
      <c r="E31" s="169"/>
      <c r="F31" s="169"/>
      <c r="G31" s="169"/>
    </row>
    <row r="32">
      <c r="A32" s="169" t="str">
        <f>IFERROR(__xludf.DUMMYFUNCTION("""COMPUTED_VALUE"""),"MX")</f>
        <v>MX</v>
      </c>
      <c r="B32" s="169" t="str">
        <f>IFERROR(__xludf.DUMMYFUNCTION("""COMPUTED_VALUE"""),"Modular stage")</f>
        <v>Modular stage</v>
      </c>
      <c r="C32" s="169" t="str">
        <f>IFERROR(__xludf.DUMMYFUNCTION("""COMPUTED_VALUE"""),"ADF_MX2_20231120")</f>
        <v>ADF_MX2_20231120</v>
      </c>
      <c r="D32" s="170"/>
      <c r="E32" s="169"/>
      <c r="F32" s="169"/>
      <c r="G32" s="169"/>
    </row>
    <row r="33">
      <c r="A33" s="169" t="str">
        <f>IFERROR(__xludf.DUMMYFUNCTION("""COMPUTED_VALUE"""),"Natalie &amp; Paul Killacky-Wheeler")</f>
        <v>Natalie &amp; Paul Killacky-Wheeler</v>
      </c>
      <c r="B33" s="169" t="str">
        <f>IFERROR(__xludf.DUMMYFUNCTION("""COMPUTED_VALUE"""),"Kitchen splashback")</f>
        <v>Kitchen splashback</v>
      </c>
      <c r="C33" s="169" t="str">
        <f>IFERROR(__xludf.DUMMYFUNCTION("""COMPUTED_VALUE"""),"ADFC28_NK1_20231127")</f>
        <v>ADFC28_NK1_20231127</v>
      </c>
      <c r="D33" s="170"/>
      <c r="E33" s="169"/>
      <c r="F33" s="169"/>
      <c r="G33" s="169"/>
    </row>
    <row r="34">
      <c r="A34" s="169" t="str">
        <f>IFERROR(__xludf.DUMMYFUNCTION("""COMPUTED_VALUE"""),"Suffolk Coffee Kitchen")</f>
        <v>Suffolk Coffee Kitchen</v>
      </c>
      <c r="B34" s="169" t="str">
        <f>IFERROR(__xludf.DUMMYFUNCTION("""COMPUTED_VALUE"""),"Counter additions")</f>
        <v>Counter additions</v>
      </c>
      <c r="C34" s="169" t="str">
        <f>IFERROR(__xludf.DUMMYFUNCTION("""COMPUTED_VALUE"""),"ADFC29_SK1_20231127")</f>
        <v>ADFC29_SK1_20231127</v>
      </c>
      <c r="D34" s="170"/>
      <c r="E34" s="169"/>
      <c r="F34" s="169"/>
      <c r="G34" s="169"/>
    </row>
    <row r="35">
      <c r="A35" s="169" t="str">
        <f>IFERROR(__xludf.DUMMYFUNCTION("""COMPUTED_VALUE"""),"Angela Colley")</f>
        <v>Angela Colley</v>
      </c>
      <c r="B35" s="169" t="str">
        <f>IFERROR(__xludf.DUMMYFUNCTION("""COMPUTED_VALUE"""),"New kitchen doors/drawer fronts")</f>
        <v>New kitchen doors/drawer fronts</v>
      </c>
      <c r="C35" s="169" t="str">
        <f>IFERROR(__xludf.DUMMYFUNCTION("""COMPUTED_VALUE"""),"ADFC30_AC1_20231211")</f>
        <v>ADFC30_AC1_20231211</v>
      </c>
      <c r="D35" s="170"/>
      <c r="E35" s="169"/>
      <c r="F35" s="169"/>
      <c r="G35" s="169"/>
    </row>
    <row r="36">
      <c r="A36" s="169" t="str">
        <f>IFERROR(__xludf.DUMMYFUNCTION("""COMPUTED_VALUE"""),"Wilson Museum")</f>
        <v>Wilson Museum</v>
      </c>
      <c r="B36" s="169" t="str">
        <f>IFERROR(__xludf.DUMMYFUNCTION("""COMPUTED_VALUE"""),"Display cabinets")</f>
        <v>Display cabinets</v>
      </c>
      <c r="C36" s="169" t="str">
        <f>IFERROR(__xludf.DUMMYFUNCTION("""COMPUTED_VALUE"""),"ADFC31_WM1_20240119")</f>
        <v>ADFC31_WM1_20240119</v>
      </c>
      <c r="D36" s="170"/>
      <c r="E36" s="169"/>
      <c r="F36" s="169"/>
      <c r="G36" s="169"/>
    </row>
    <row r="37">
      <c r="A37" s="169" t="str">
        <f>IFERROR(__xludf.DUMMYFUNCTION("""COMPUTED_VALUE"""),"James &amp; Laura O'Keefe")</f>
        <v>James &amp; Laura O'Keefe</v>
      </c>
      <c r="B37" s="169" t="str">
        <f>IFERROR(__xludf.DUMMYFUNCTION("""COMPUTED_VALUE"""),"Alcove units")</f>
        <v>Alcove units</v>
      </c>
      <c r="C37" s="169" t="str">
        <f>IFERROR(__xludf.DUMMYFUNCTION("""COMPUTED_VALUE"""),"ADFC32_JO1_20240131")</f>
        <v>ADFC32_JO1_20240131</v>
      </c>
      <c r="D37" s="170"/>
      <c r="E37" s="169"/>
      <c r="F37" s="169"/>
      <c r="G37" s="169"/>
    </row>
    <row r="38">
      <c r="A38" s="169" t="str">
        <f>IFERROR(__xludf.DUMMYFUNCTION("""COMPUTED_VALUE"""),"Stuart &amp; Karina Calder")</f>
        <v>Stuart &amp; Karina Calder</v>
      </c>
      <c r="B38" s="169" t="str">
        <f>IFERROR(__xludf.DUMMYFUNCTION("""COMPUTED_VALUE"""),"Coffee table")</f>
        <v>Coffee table</v>
      </c>
      <c r="C38" s="169" t="str">
        <f>IFERROR(__xludf.DUMMYFUNCTION("""COMPUTED_VALUE"""),"ADFC7_SC3_20240212")</f>
        <v>ADFC7_SC3_20240212</v>
      </c>
      <c r="D38" s="170"/>
      <c r="E38" s="169"/>
      <c r="F38" s="169"/>
      <c r="G38" s="169"/>
    </row>
    <row r="39">
      <c r="A39" s="169" t="str">
        <f>IFERROR(__xludf.DUMMYFUNCTION("""COMPUTED_VALUE"""),"Tim &amp; Bella Beardsmore")</f>
        <v>Tim &amp; Bella Beardsmore</v>
      </c>
      <c r="B39" s="169" t="str">
        <f>IFERROR(__xludf.DUMMYFUNCTION("""COMPUTED_VALUE"""),"Walk in wardrobe")</f>
        <v>Walk in wardrobe</v>
      </c>
      <c r="C39" s="169" t="str">
        <f>IFERROR(__xludf.DUMMYFUNCTION("""COMPUTED_VALUE"""),"ADFC33_TB1_20240222")</f>
        <v>ADFC33_TB1_20240222</v>
      </c>
      <c r="D39" s="170"/>
      <c r="E39" s="169"/>
      <c r="F39" s="169"/>
      <c r="G39" s="169"/>
    </row>
    <row r="40">
      <c r="A40" s="169" t="str">
        <f>IFERROR(__xludf.DUMMYFUNCTION("""COMPUTED_VALUE"""),"Kathryn Best")</f>
        <v>Kathryn Best</v>
      </c>
      <c r="B40" s="169" t="str">
        <f>IFERROR(__xludf.DUMMYFUNCTION("""COMPUTED_VALUE"""),"Wardrobe")</f>
        <v>Wardrobe</v>
      </c>
      <c r="C40" s="169" t="str">
        <f>IFERROR(__xludf.DUMMYFUNCTION("""COMPUTED_VALUE"""),"ADFC34_KB1_20240307")</f>
        <v>ADFC34_KB1_20240307</v>
      </c>
      <c r="D40" s="170"/>
      <c r="E40" s="169"/>
      <c r="F40" s="169"/>
      <c r="G40" s="169"/>
    </row>
    <row r="41">
      <c r="A41" s="169" t="str">
        <f>IFERROR(__xludf.DUMMYFUNCTION("""COMPUTED_VALUE"""),"Erica Hole-Jones")</f>
        <v>Erica Hole-Jones</v>
      </c>
      <c r="B41" s="169" t="str">
        <f>IFERROR(__xludf.DUMMYFUNCTION("""COMPUTED_VALUE"""),"Wine rack &amp; Door")</f>
        <v>Wine rack &amp; Door</v>
      </c>
      <c r="C41" s="169" t="str">
        <f>IFERROR(__xludf.DUMMYFUNCTION("""COMPUTED_VALUE"""),"ADFC35_EH1_20240307")</f>
        <v>ADFC35_EH1_20240307</v>
      </c>
      <c r="D41" s="170"/>
      <c r="E41" s="169"/>
      <c r="F41" s="169"/>
      <c r="G41" s="169"/>
    </row>
    <row r="42">
      <c r="A42" s="169" t="str">
        <f>IFERROR(__xludf.DUMMYFUNCTION("""COMPUTED_VALUE"""),"Sue Lester")</f>
        <v>Sue Lester</v>
      </c>
      <c r="B42" s="169" t="str">
        <f>IFERROR(__xludf.DUMMYFUNCTION("""COMPUTED_VALUE"""),"Wardrobes")</f>
        <v>Wardrobes</v>
      </c>
      <c r="C42" s="169" t="str">
        <f>IFERROR(__xludf.DUMMYFUNCTION("""COMPUTED_VALUE"""),"ADFC36_SL1_20240311")</f>
        <v>ADFC36_SL1_20240311</v>
      </c>
      <c r="D42" s="170"/>
      <c r="E42" s="169"/>
      <c r="F42" s="169"/>
      <c r="G42" s="169"/>
    </row>
    <row r="43">
      <c r="A43" s="169" t="str">
        <f>IFERROR(__xludf.DUMMYFUNCTION("""COMPUTED_VALUE"""),"Sophie Goddard")</f>
        <v>Sophie Goddard</v>
      </c>
      <c r="B43" s="169" t="str">
        <f>IFERROR(__xludf.DUMMYFUNCTION("""COMPUTED_VALUE"""),"Built in furniture")</f>
        <v>Built in furniture</v>
      </c>
      <c r="C43" s="169" t="str">
        <f>IFERROR(__xludf.DUMMYFUNCTION("""COMPUTED_VALUE"""),"ADFC37_SG1_20240311")</f>
        <v>ADFC37_SG1_20240311</v>
      </c>
      <c r="D43" s="170"/>
      <c r="E43" s="169"/>
      <c r="F43" s="169"/>
      <c r="G43" s="169"/>
    </row>
    <row r="44">
      <c r="A44" s="169" t="str">
        <f>IFERROR(__xludf.DUMMYFUNCTION("""COMPUTED_VALUE"""),"Brian Claridge")</f>
        <v>Brian Claridge</v>
      </c>
      <c r="B44" s="169" t="str">
        <f>IFERROR(__xludf.DUMMYFUNCTION("""COMPUTED_VALUE"""),"Bedroom furniture")</f>
        <v>Bedroom furniture</v>
      </c>
      <c r="C44" s="169" t="str">
        <f>IFERROR(__xludf.DUMMYFUNCTION("""COMPUTED_VALUE"""),"ADFC38_BC1_20240311")</f>
        <v>ADFC38_BC1_20240311</v>
      </c>
      <c r="D44" s="170"/>
      <c r="E44" s="169"/>
      <c r="F44" s="169"/>
      <c r="G44" s="169"/>
    </row>
    <row r="45">
      <c r="A45" s="169" t="str">
        <f>IFERROR(__xludf.DUMMYFUNCTION("""COMPUTED_VALUE"""),"Edge Design Workshop")</f>
        <v>Edge Design Workshop</v>
      </c>
      <c r="B45" s="169" t="str">
        <f>IFERROR(__xludf.DUMMYFUNCTION("""COMPUTED_VALUE"""),"Wardrobe doors (JasonP)")</f>
        <v>Wardrobe doors (JasonP)</v>
      </c>
      <c r="C45" s="169" t="str">
        <f>IFERROR(__xludf.DUMMYFUNCTION("""COMPUTED_VALUE"""),"ADFC39_EW1_20240312")</f>
        <v>ADFC39_EW1_20240312</v>
      </c>
      <c r="D45" s="170"/>
      <c r="E45" s="169"/>
      <c r="F45" s="169"/>
      <c r="G45" s="169"/>
    </row>
    <row r="46">
      <c r="A46" s="169" t="str">
        <f>IFERROR(__xludf.DUMMYFUNCTION("""COMPUTED_VALUE"""),"Ardagh Management")</f>
        <v>Ardagh Management</v>
      </c>
      <c r="B46" s="169" t="str">
        <f>IFERROR(__xludf.DUMMYFUNCTION("""COMPUTED_VALUE"""),"Mack House Reception desk")</f>
        <v>Mack House Reception desk</v>
      </c>
      <c r="C46" s="169" t="str">
        <f>IFERROR(__xludf.DUMMYFUNCTION("""COMPUTED_VALUE"""),"ADFC40_AM2_20240402")</f>
        <v>ADFC40_AM2_20240402</v>
      </c>
      <c r="D46" s="170"/>
      <c r="E46" s="169"/>
      <c r="F46" s="169"/>
      <c r="G46" s="169"/>
    </row>
    <row r="47">
      <c r="A47" s="169" t="str">
        <f>IFERROR(__xludf.DUMMYFUNCTION("""COMPUTED_VALUE"""),"Culina+Balneo")</f>
        <v>Culina+Balneo</v>
      </c>
      <c r="B47" s="169" t="str">
        <f>IFERROR(__xludf.DUMMYFUNCTION("""COMPUTED_VALUE"""),"Chest of drawers (MartaZ)")</f>
        <v>Chest of drawers (MartaZ)</v>
      </c>
      <c r="C47" s="169" t="str">
        <f>IFERROR(__xludf.DUMMYFUNCTION("""COMPUTED_VALUE"""),"ADFC41_CU1_20240328")</f>
        <v>ADFC41_CU1_20240328</v>
      </c>
      <c r="D47" s="170"/>
      <c r="E47" s="169"/>
      <c r="F47" s="169"/>
      <c r="G47" s="169"/>
    </row>
    <row r="48">
      <c r="A48" s="169" t="str">
        <f>IFERROR(__xludf.DUMMYFUNCTION("""COMPUTED_VALUE"""),"Hayles Farm")</f>
        <v>Hayles Farm</v>
      </c>
      <c r="B48" s="169" t="str">
        <f>IFERROR(__xludf.DUMMYFUNCTION("""COMPUTED_VALUE"""),"Outdoor kitchen")</f>
        <v>Outdoor kitchen</v>
      </c>
      <c r="C48" s="169" t="str">
        <f>IFERROR(__xludf.DUMMYFUNCTION("""COMPUTED_VALUE"""),"ADFC42_HF1_20240326")</f>
        <v>ADFC42_HF1_20240326</v>
      </c>
      <c r="D48" s="170"/>
      <c r="E48" s="169"/>
      <c r="F48" s="169"/>
      <c r="G48" s="169"/>
    </row>
    <row r="49">
      <c r="A49" s="169" t="str">
        <f>IFERROR(__xludf.DUMMYFUNCTION("""COMPUTED_VALUE"""),"MX")</f>
        <v>MX</v>
      </c>
      <c r="B49" s="169" t="str">
        <f>IFERROR(__xludf.DUMMYFUNCTION("""COMPUTED_VALUE"""),"Phone booth plywood cladding")</f>
        <v>Phone booth plywood cladding</v>
      </c>
      <c r="C49" s="169" t="str">
        <f>IFERROR(__xludf.DUMMYFUNCTION("""COMPUTED_VALUE"""),"ADFC13_MX3_20240404")</f>
        <v>ADFC13_MX3_20240404</v>
      </c>
      <c r="D49" s="170"/>
      <c r="E49" s="169"/>
      <c r="F49" s="169"/>
      <c r="G49" s="169"/>
    </row>
    <row r="50">
      <c r="A50" s="169" t="str">
        <f>IFERROR(__xludf.DUMMYFUNCTION("""COMPUTED_VALUE"""),"Michael &amp; Angela Cronk")</f>
        <v>Michael &amp; Angela Cronk</v>
      </c>
      <c r="B50" s="169" t="str">
        <f>IFERROR(__xludf.DUMMYFUNCTION("""COMPUTED_VALUE"""),"Stovax electric fireplace")</f>
        <v>Stovax electric fireplace</v>
      </c>
      <c r="C50" s="169" t="str">
        <f>IFERROR(__xludf.DUMMYFUNCTION("""COMPUTED_VALUE"""),"ADFC10_MC4_20240404")</f>
        <v>ADFC10_MC4_20240404</v>
      </c>
      <c r="D50" s="170"/>
      <c r="E50" s="169"/>
      <c r="F50" s="169"/>
      <c r="G50" s="169"/>
    </row>
    <row r="51">
      <c r="A51" s="169" t="str">
        <f>IFERROR(__xludf.DUMMYFUNCTION("""COMPUTED_VALUE"""),"Chris &amp; Jenny Evans")</f>
        <v>Chris &amp; Jenny Evans</v>
      </c>
      <c r="B51" s="169" t="str">
        <f>IFERROR(__xludf.DUMMYFUNCTION("""COMPUTED_VALUE"""),"Whole house")</f>
        <v>Whole house</v>
      </c>
      <c r="C51" s="169" t="str">
        <f>IFERROR(__xludf.DUMMYFUNCTION("""COMPUTED_VALUE"""),"ADFC43_CE1_20240405")</f>
        <v>ADFC43_CE1_20240405</v>
      </c>
      <c r="D51" s="170"/>
      <c r="E51" s="169"/>
      <c r="F51" s="169"/>
      <c r="G51" s="169"/>
    </row>
    <row r="52">
      <c r="A52" s="169" t="str">
        <f>IFERROR(__xludf.DUMMYFUNCTION("""COMPUTED_VALUE"""),"Sam Woodward")</f>
        <v>Sam Woodward</v>
      </c>
      <c r="B52" s="169" t="str">
        <f>IFERROR(__xludf.DUMMYFUNCTION("""COMPUTED_VALUE"""),"Low level cabinets ")</f>
        <v>Low level cabinets </v>
      </c>
      <c r="C52" s="169" t="str">
        <f>IFERROR(__xludf.DUMMYFUNCTION("""COMPUTED_VALUE"""),"ADFC44_SW1_20240408")</f>
        <v>ADFC44_SW1_20240408</v>
      </c>
      <c r="D52" s="170"/>
      <c r="E52" s="169"/>
      <c r="F52" s="169"/>
      <c r="G52" s="169"/>
    </row>
    <row r="53">
      <c r="A53" s="169" t="str">
        <f>IFERROR(__xludf.DUMMYFUNCTION("""COMPUTED_VALUE"""),"Kate Donovan-Smith")</f>
        <v>Kate Donovan-Smith</v>
      </c>
      <c r="B53" s="169" t="str">
        <f>IFERROR(__xludf.DUMMYFUNCTION("""COMPUTED_VALUE"""),"Replacement plinth")</f>
        <v>Replacement plinth</v>
      </c>
      <c r="C53" s="169" t="str">
        <f>IFERROR(__xludf.DUMMYFUNCTION("""COMPUTED_VALUE"""),"ADFC5_KD3_20240408")</f>
        <v>ADFC5_KD3_20240408</v>
      </c>
      <c r="D53" s="170"/>
      <c r="E53" s="169"/>
      <c r="F53" s="169"/>
      <c r="G53" s="169"/>
    </row>
    <row r="54">
      <c r="A54" s="169" t="str">
        <f>IFERROR(__xludf.DUMMYFUNCTION("""COMPUTED_VALUE"""),"Ian Jones")</f>
        <v>Ian Jones</v>
      </c>
      <c r="B54" s="169" t="str">
        <f>IFERROR(__xludf.DUMMYFUNCTION("""COMPUTED_VALUE"""),"Utility, Understairs storage &amp; Dining room cabinet")</f>
        <v>Utility, Understairs storage &amp; Dining room cabinet</v>
      </c>
      <c r="C54" s="169" t="str">
        <f>IFERROR(__xludf.DUMMYFUNCTION("""COMPUTED_VALUE"""),"ADFC45_IJ1_20240410")</f>
        <v>ADFC45_IJ1_20240410</v>
      </c>
      <c r="D54" s="170"/>
      <c r="E54" s="169"/>
      <c r="F54" s="169"/>
      <c r="G54" s="169"/>
    </row>
    <row r="55">
      <c r="A55" s="169" t="str">
        <f>IFERROR(__xludf.DUMMYFUNCTION("""COMPUTED_VALUE"""),"Eliza Clark")</f>
        <v>Eliza Clark</v>
      </c>
      <c r="B55" s="169" t="str">
        <f>IFERROR(__xludf.DUMMYFUNCTION("""COMPUTED_VALUE"""),"Workplace storage")</f>
        <v>Workplace storage</v>
      </c>
      <c r="C55" s="169" t="str">
        <f>IFERROR(__xludf.DUMMYFUNCTION("""COMPUTED_VALUE"""),"ADFC46_EC1_20240410")</f>
        <v>ADFC46_EC1_20240410</v>
      </c>
      <c r="D55" s="170"/>
      <c r="E55" s="169"/>
      <c r="F55" s="169"/>
      <c r="G55" s="169"/>
    </row>
    <row r="56">
      <c r="A56" s="169" t="str">
        <f>IFERROR(__xludf.DUMMYFUNCTION("""COMPUTED_VALUE"""),"Tim &amp; Bella Beardsmore")</f>
        <v>Tim &amp; Bella Beardsmore</v>
      </c>
      <c r="B56" s="169" t="str">
        <f>IFERROR(__xludf.DUMMYFUNCTION("""COMPUTED_VALUE"""),"Bedroom step and doors")</f>
        <v>Bedroom step and doors</v>
      </c>
      <c r="C56" s="169" t="str">
        <f>IFERROR(__xludf.DUMMYFUNCTION("""COMPUTED_VALUE"""),"ADFC33_TB2_20240418")</f>
        <v>ADFC33_TB2_20240418</v>
      </c>
      <c r="D56" s="170"/>
      <c r="E56" s="169"/>
      <c r="F56" s="169"/>
      <c r="G56" s="169"/>
    </row>
    <row r="57">
      <c r="A57" s="169" t="str">
        <f>IFERROR(__xludf.DUMMYFUNCTION("""COMPUTED_VALUE"""),"Anzal &amp; Mehroana Mohammed")</f>
        <v>Anzal &amp; Mehroana Mohammed</v>
      </c>
      <c r="B57" s="169" t="str">
        <f>IFERROR(__xludf.DUMMYFUNCTION("""COMPUTED_VALUE"""),"Desk, coat hooks &amp; spice store")</f>
        <v>Desk, coat hooks &amp; spice store</v>
      </c>
      <c r="C57" s="169" t="str">
        <f>IFERROR(__xludf.DUMMYFUNCTION("""COMPUTED_VALUE"""),"ADFC21_AM3_20240419")</f>
        <v>ADFC21_AM3_20240419</v>
      </c>
      <c r="D57" s="170"/>
      <c r="E57" s="169"/>
      <c r="F57" s="169"/>
      <c r="G57" s="169"/>
    </row>
    <row r="58">
      <c r="A58" s="169" t="str">
        <f>IFERROR(__xludf.DUMMYFUNCTION("""COMPUTED_VALUE"""),"Catherine Priest")</f>
        <v>Catherine Priest</v>
      </c>
      <c r="B58" s="169" t="str">
        <f>IFERROR(__xludf.DUMMYFUNCTION("""COMPUTED_VALUE"""),"Media unit")</f>
        <v>Media unit</v>
      </c>
      <c r="C58" s="169" t="str">
        <f>IFERROR(__xludf.DUMMYFUNCTION("""COMPUTED_VALUE"""),"ADFC47_CP1_20240422")</f>
        <v>ADFC47_CP1_20240422</v>
      </c>
      <c r="D58" s="170"/>
      <c r="E58" s="169"/>
      <c r="F58" s="169"/>
      <c r="G58" s="169"/>
    </row>
    <row r="59">
      <c r="A59" s="169" t="str">
        <f>IFERROR(__xludf.DUMMYFUNCTION("""COMPUTED_VALUE"""),"Shelly Wood")</f>
        <v>Shelly Wood</v>
      </c>
      <c r="B59" s="169" t="str">
        <f>IFERROR(__xludf.DUMMYFUNCTION("""COMPUTED_VALUE"""),"Cupboard")</f>
        <v>Cupboard</v>
      </c>
      <c r="C59" s="169" t="str">
        <f>IFERROR(__xludf.DUMMYFUNCTION("""COMPUTED_VALUE"""),"ADFC48_SW2_20240424")</f>
        <v>ADFC48_SW2_20240424</v>
      </c>
      <c r="D59" s="170"/>
      <c r="E59" s="169"/>
      <c r="F59" s="169"/>
      <c r="G59" s="169"/>
    </row>
    <row r="60">
      <c r="A60" s="169" t="str">
        <f>IFERROR(__xludf.DUMMYFUNCTION("""COMPUTED_VALUE"""),"Laura Steward")</f>
        <v>Laura Steward</v>
      </c>
      <c r="B60" s="169" t="str">
        <f>IFERROR(__xludf.DUMMYFUNCTION("""COMPUTED_VALUE"""),"Bedroom chest of drawers")</f>
        <v>Bedroom chest of drawers</v>
      </c>
      <c r="C60" s="169" t="str">
        <f>IFERROR(__xludf.DUMMYFUNCTION("""COMPUTED_VALUE"""),"ADFC49_LS1_20240429")</f>
        <v>ADFC49_LS1_20240429</v>
      </c>
      <c r="D60" s="170"/>
      <c r="E60" s="169"/>
      <c r="F60" s="169"/>
      <c r="G60" s="169"/>
    </row>
    <row r="61">
      <c r="A61" s="169" t="str">
        <f>IFERROR(__xludf.DUMMYFUNCTION("""COMPUTED_VALUE"""),"Julie_xoc")</f>
        <v>Julie_xoc</v>
      </c>
      <c r="B61" s="169" t="str">
        <f>IFERROR(__xludf.DUMMYFUNCTION("""COMPUTED_VALUE"""),"Bunk bed")</f>
        <v>Bunk bed</v>
      </c>
      <c r="C61" s="169" t="str">
        <f>IFERROR(__xludf.DUMMYFUNCTION("""COMPUTED_VALUE"""),"ADFC50_JU1_20240429")</f>
        <v>ADFC50_JU1_20240429</v>
      </c>
      <c r="D61" s="170"/>
      <c r="E61" s="169"/>
      <c r="F61" s="169"/>
      <c r="G61" s="169"/>
    </row>
    <row r="62">
      <c r="A62" s="169" t="str">
        <f>IFERROR(__xludf.DUMMYFUNCTION("""COMPUTED_VALUE"""),"Elaine Dunn")</f>
        <v>Elaine Dunn</v>
      </c>
      <c r="B62" s="169" t="str">
        <f>IFERROR(__xludf.DUMMYFUNCTION("""COMPUTED_VALUE"""),"Dining table")</f>
        <v>Dining table</v>
      </c>
      <c r="C62" s="169" t="str">
        <f>IFERROR(__xludf.DUMMYFUNCTION("""COMPUTED_VALUE"""),"ADFC51_ED1_20240429")</f>
        <v>ADFC51_ED1_20240429</v>
      </c>
      <c r="D62" s="170"/>
      <c r="E62" s="169"/>
      <c r="F62" s="169"/>
      <c r="G62" s="169"/>
    </row>
    <row r="63">
      <c r="A63" s="169" t="str">
        <f>IFERROR(__xludf.DUMMYFUNCTION("""COMPUTED_VALUE"""),"Lucy Ryan")</f>
        <v>Lucy Ryan</v>
      </c>
      <c r="B63" s="169" t="str">
        <f>IFERROR(__xludf.DUMMYFUNCTION("""COMPUTED_VALUE"""),"Outdoor bar")</f>
        <v>Outdoor bar</v>
      </c>
      <c r="C63" s="169" t="str">
        <f>IFERROR(__xludf.DUMMYFUNCTION("""COMPUTED_VALUE"""),"ADFC52_LR1_20240501")</f>
        <v>ADFC52_LR1_20240501</v>
      </c>
      <c r="D63" s="170"/>
      <c r="E63" s="169"/>
      <c r="F63" s="169"/>
      <c r="G63" s="169"/>
    </row>
    <row r="64">
      <c r="A64" s="169" t="str">
        <f>IFERROR(__xludf.DUMMYFUNCTION("""COMPUTED_VALUE"""),"Chris Vickery")</f>
        <v>Chris Vickery</v>
      </c>
      <c r="B64" s="169" t="str">
        <f>IFERROR(__xludf.DUMMYFUNCTION("""COMPUTED_VALUE"""),"Wardrobe &amp; chest of drawers")</f>
        <v>Wardrobe &amp; chest of drawers</v>
      </c>
      <c r="C64" s="169" t="str">
        <f>IFERROR(__xludf.DUMMYFUNCTION("""COMPUTED_VALUE"""),"ADFC53_CV1_20240501")</f>
        <v>ADFC53_CV1_20240501</v>
      </c>
      <c r="D64" s="170"/>
      <c r="E64" s="169"/>
      <c r="F64" s="169"/>
      <c r="G64" s="169"/>
    </row>
    <row r="65">
      <c r="A65" s="169" t="str">
        <f>IFERROR(__xludf.DUMMYFUNCTION("""COMPUTED_VALUE"""),"Michael Leslie")</f>
        <v>Michael Leslie</v>
      </c>
      <c r="B65" s="169" t="str">
        <f>IFERROR(__xludf.DUMMYFUNCTION("""COMPUTED_VALUE"""),"Bedroom furniture")</f>
        <v>Bedroom furniture</v>
      </c>
      <c r="C65" s="169" t="str">
        <f>IFERROR(__xludf.DUMMYFUNCTION("""COMPUTED_VALUE"""),"ADFC54_ML1_20240513")</f>
        <v>ADFC54_ML1_20240513</v>
      </c>
      <c r="D65" s="170"/>
      <c r="E65" s="169"/>
      <c r="F65" s="169"/>
      <c r="G65" s="169"/>
    </row>
    <row r="66">
      <c r="A66" s="169" t="str">
        <f>IFERROR(__xludf.DUMMYFUNCTION("""COMPUTED_VALUE"""),"Kirsten Stewart")</f>
        <v>Kirsten Stewart</v>
      </c>
      <c r="B66" s="169" t="str">
        <f>IFERROR(__xludf.DUMMYFUNCTION("""COMPUTED_VALUE"""),"Outdoor kitchen")</f>
        <v>Outdoor kitchen</v>
      </c>
      <c r="C66" s="169" t="str">
        <f>IFERROR(__xludf.DUMMYFUNCTION("""COMPUTED_VALUE"""),"ADFC55_KS2_20240504")</f>
        <v>ADFC55_KS2_20240504</v>
      </c>
      <c r="D66" s="170"/>
      <c r="E66" s="169"/>
      <c r="F66" s="169"/>
      <c r="G66" s="169"/>
    </row>
    <row r="67">
      <c r="A67" s="169"/>
      <c r="B67" s="169"/>
      <c r="C67" s="169"/>
      <c r="D67" s="170"/>
      <c r="E67" s="169"/>
      <c r="F67" s="169"/>
      <c r="G67" s="169"/>
    </row>
    <row r="68">
      <c r="A68" s="169"/>
      <c r="B68" s="169"/>
      <c r="C68" s="169"/>
      <c r="D68" s="170"/>
      <c r="E68" s="169"/>
      <c r="F68" s="169"/>
      <c r="G68" s="169"/>
    </row>
    <row r="69">
      <c r="A69" s="169"/>
      <c r="B69" s="169"/>
      <c r="C69" s="169"/>
      <c r="D69" s="170"/>
      <c r="E69" s="169"/>
      <c r="F69" s="169"/>
      <c r="G69" s="169"/>
    </row>
    <row r="70">
      <c r="A70" s="169"/>
      <c r="B70" s="169"/>
      <c r="C70" s="169"/>
      <c r="D70" s="170"/>
      <c r="E70" s="169"/>
      <c r="F70" s="169"/>
      <c r="G70" s="169"/>
    </row>
    <row r="71">
      <c r="A71" s="169"/>
      <c r="B71" s="169"/>
      <c r="C71" s="169"/>
      <c r="D71" s="170"/>
      <c r="E71" s="169"/>
      <c r="F71" s="169"/>
      <c r="G71" s="169"/>
    </row>
    <row r="72">
      <c r="A72" s="169"/>
      <c r="B72" s="169"/>
      <c r="C72" s="169"/>
      <c r="D72" s="170"/>
      <c r="E72" s="169"/>
      <c r="F72" s="169"/>
      <c r="G72" s="169"/>
    </row>
    <row r="73">
      <c r="A73" s="169"/>
      <c r="B73" s="169"/>
      <c r="C73" s="169"/>
      <c r="D73" s="170"/>
      <c r="E73" s="169"/>
      <c r="F73" s="169"/>
      <c r="G73" s="169"/>
    </row>
    <row r="74">
      <c r="A74" s="169"/>
      <c r="B74" s="169"/>
      <c r="C74" s="169"/>
      <c r="D74" s="170"/>
      <c r="E74" s="169"/>
      <c r="F74" s="169"/>
      <c r="G74" s="169"/>
    </row>
    <row r="75">
      <c r="A75" s="169"/>
      <c r="B75" s="169"/>
      <c r="C75" s="169"/>
      <c r="D75" s="170"/>
      <c r="E75" s="169"/>
      <c r="F75" s="169"/>
      <c r="G75" s="169"/>
    </row>
    <row r="76">
      <c r="A76" s="169"/>
      <c r="B76" s="169"/>
      <c r="C76" s="169"/>
      <c r="D76" s="170"/>
      <c r="E76" s="169"/>
      <c r="F76" s="169"/>
      <c r="G76" s="169"/>
    </row>
    <row r="77">
      <c r="A77" s="169"/>
      <c r="B77" s="169"/>
      <c r="C77" s="169"/>
      <c r="D77" s="170"/>
      <c r="E77" s="169"/>
      <c r="F77" s="169"/>
      <c r="G77" s="169"/>
    </row>
    <row r="78">
      <c r="A78" s="169"/>
      <c r="B78" s="169"/>
      <c r="C78" s="169"/>
      <c r="D78" s="170"/>
      <c r="E78" s="169"/>
      <c r="F78" s="169"/>
      <c r="G78" s="169"/>
    </row>
    <row r="79">
      <c r="A79" s="169"/>
      <c r="B79" s="169"/>
      <c r="C79" s="169"/>
      <c r="D79" s="170"/>
      <c r="E79" s="169"/>
      <c r="F79" s="169"/>
      <c r="G79" s="169"/>
    </row>
    <row r="80">
      <c r="A80" s="169"/>
      <c r="B80" s="169"/>
      <c r="C80" s="169"/>
      <c r="D80" s="170"/>
      <c r="E80" s="169"/>
      <c r="F80" s="169"/>
      <c r="G80" s="169"/>
    </row>
    <row r="81">
      <c r="A81" s="169"/>
      <c r="B81" s="169"/>
      <c r="C81" s="169"/>
      <c r="D81" s="170"/>
      <c r="E81" s="169"/>
      <c r="F81" s="169"/>
      <c r="G81" s="169"/>
    </row>
    <row r="82">
      <c r="A82" s="169"/>
      <c r="B82" s="169"/>
      <c r="C82" s="169"/>
      <c r="D82" s="170"/>
      <c r="E82" s="169"/>
      <c r="F82" s="169"/>
      <c r="G82" s="169"/>
    </row>
    <row r="83">
      <c r="A83" s="169"/>
      <c r="B83" s="169"/>
      <c r="C83" s="169"/>
      <c r="D83" s="170"/>
      <c r="E83" s="169"/>
      <c r="F83" s="169"/>
      <c r="G83" s="169"/>
    </row>
    <row r="84">
      <c r="A84" s="169"/>
      <c r="B84" s="169"/>
      <c r="C84" s="169"/>
      <c r="D84" s="170"/>
      <c r="E84" s="169"/>
      <c r="F84" s="169"/>
      <c r="G84" s="169"/>
    </row>
    <row r="85">
      <c r="A85" s="169"/>
      <c r="B85" s="169"/>
      <c r="C85" s="169"/>
      <c r="D85" s="170"/>
      <c r="E85" s="169"/>
      <c r="F85" s="169"/>
      <c r="G85" s="169"/>
    </row>
    <row r="86">
      <c r="A86" s="169"/>
      <c r="B86" s="169"/>
      <c r="C86" s="169"/>
      <c r="D86" s="170"/>
      <c r="E86" s="169"/>
      <c r="F86" s="169"/>
      <c r="G86" s="169"/>
    </row>
    <row r="87">
      <c r="A87" s="169"/>
      <c r="B87" s="169"/>
      <c r="C87" s="169"/>
      <c r="D87" s="170"/>
      <c r="E87" s="169"/>
      <c r="F87" s="169"/>
      <c r="G87" s="169"/>
    </row>
    <row r="88">
      <c r="A88" s="169"/>
      <c r="B88" s="169"/>
      <c r="C88" s="169"/>
      <c r="D88" s="170"/>
      <c r="E88" s="169"/>
      <c r="F88" s="169"/>
      <c r="G88" s="169"/>
    </row>
    <row r="89">
      <c r="A89" s="169"/>
      <c r="B89" s="169"/>
      <c r="C89" s="169"/>
      <c r="D89" s="170"/>
      <c r="E89" s="169"/>
      <c r="F89" s="169"/>
      <c r="G89" s="169"/>
    </row>
    <row r="90">
      <c r="A90" s="169"/>
      <c r="B90" s="169"/>
      <c r="C90" s="169"/>
      <c r="D90" s="170"/>
      <c r="E90" s="169"/>
      <c r="F90" s="169"/>
      <c r="G90" s="169"/>
    </row>
    <row r="91">
      <c r="A91" s="169"/>
      <c r="B91" s="169"/>
      <c r="C91" s="169"/>
      <c r="D91" s="170"/>
      <c r="E91" s="169"/>
      <c r="F91" s="169"/>
      <c r="G91" s="169"/>
    </row>
    <row r="92">
      <c r="A92" s="169"/>
      <c r="B92" s="169"/>
      <c r="C92" s="169"/>
      <c r="D92" s="170"/>
      <c r="E92" s="169"/>
      <c r="F92" s="169"/>
      <c r="G92" s="169"/>
    </row>
    <row r="93">
      <c r="A93" s="169"/>
      <c r="B93" s="169"/>
      <c r="C93" s="169"/>
      <c r="D93" s="170"/>
      <c r="E93" s="169"/>
      <c r="F93" s="169"/>
      <c r="G93" s="169"/>
    </row>
    <row r="94">
      <c r="A94" s="169"/>
      <c r="B94" s="169"/>
      <c r="C94" s="169"/>
      <c r="D94" s="170"/>
      <c r="E94" s="169"/>
      <c r="F94" s="169"/>
      <c r="G94" s="169"/>
    </row>
    <row r="95">
      <c r="A95" s="169"/>
      <c r="B95" s="169"/>
      <c r="C95" s="169"/>
      <c r="D95" s="170"/>
      <c r="E95" s="169"/>
      <c r="F95" s="169"/>
      <c r="G95" s="169"/>
    </row>
    <row r="96">
      <c r="A96" s="169"/>
      <c r="B96" s="169"/>
      <c r="C96" s="169"/>
      <c r="D96" s="170"/>
      <c r="E96" s="169"/>
      <c r="F96" s="169"/>
      <c r="G96" s="169"/>
    </row>
    <row r="97">
      <c r="A97" s="169"/>
      <c r="B97" s="169"/>
      <c r="C97" s="169"/>
      <c r="D97" s="170"/>
      <c r="E97" s="169"/>
      <c r="F97" s="169"/>
      <c r="G97" s="169"/>
    </row>
    <row r="98">
      <c r="A98" s="169"/>
      <c r="B98" s="169"/>
      <c r="C98" s="169"/>
      <c r="D98" s="170"/>
      <c r="E98" s="169"/>
      <c r="F98" s="169"/>
      <c r="G98" s="169"/>
    </row>
    <row r="99">
      <c r="A99" s="169"/>
      <c r="B99" s="169"/>
      <c r="C99" s="169"/>
      <c r="D99" s="170"/>
      <c r="E99" s="169"/>
      <c r="F99" s="169"/>
      <c r="G99" s="169"/>
    </row>
    <row r="100">
      <c r="A100" s="169"/>
      <c r="B100" s="169"/>
      <c r="C100" s="169"/>
      <c r="D100" s="170"/>
      <c r="E100" s="169"/>
      <c r="F100" s="169"/>
      <c r="G100" s="169"/>
    </row>
    <row r="101">
      <c r="A101" s="169"/>
      <c r="B101" s="169"/>
      <c r="C101" s="169"/>
      <c r="D101" s="170"/>
      <c r="E101" s="169"/>
      <c r="F101" s="169"/>
      <c r="G101" s="169"/>
    </row>
    <row r="102">
      <c r="A102" s="169"/>
      <c r="B102" s="169"/>
      <c r="C102" s="169"/>
      <c r="D102" s="170"/>
      <c r="E102" s="169"/>
      <c r="F102" s="169"/>
      <c r="G102" s="169"/>
    </row>
    <row r="103">
      <c r="A103" s="169"/>
      <c r="B103" s="169"/>
      <c r="C103" s="169"/>
      <c r="D103" s="170"/>
      <c r="E103" s="169"/>
      <c r="F103" s="169"/>
      <c r="G103" s="169"/>
    </row>
    <row r="104">
      <c r="A104" s="169"/>
      <c r="B104" s="169"/>
      <c r="C104" s="169"/>
      <c r="D104" s="170"/>
      <c r="E104" s="169"/>
      <c r="F104" s="169"/>
      <c r="G104" s="169"/>
    </row>
    <row r="105">
      <c r="A105" s="169"/>
      <c r="B105" s="169"/>
      <c r="C105" s="169"/>
      <c r="D105" s="170"/>
      <c r="E105" s="169"/>
      <c r="F105" s="169"/>
      <c r="G105" s="169"/>
    </row>
    <row r="106">
      <c r="A106" s="169"/>
      <c r="B106" s="169"/>
      <c r="C106" s="169"/>
      <c r="D106" s="170"/>
      <c r="E106" s="169"/>
      <c r="F106" s="169"/>
      <c r="G106" s="169"/>
    </row>
    <row r="107">
      <c r="A107" s="169"/>
      <c r="B107" s="169"/>
      <c r="C107" s="169"/>
      <c r="D107" s="170"/>
      <c r="E107" s="169"/>
      <c r="F107" s="169"/>
      <c r="G107" s="169"/>
    </row>
    <row r="108">
      <c r="A108" s="169"/>
      <c r="B108" s="169"/>
      <c r="C108" s="169"/>
      <c r="D108" s="170"/>
      <c r="E108" s="169"/>
      <c r="F108" s="169"/>
      <c r="G108" s="169"/>
    </row>
    <row r="109">
      <c r="A109" s="169"/>
      <c r="B109" s="169"/>
      <c r="C109" s="169"/>
      <c r="D109" s="170"/>
      <c r="E109" s="169"/>
      <c r="F109" s="169"/>
      <c r="G109" s="169"/>
    </row>
    <row r="110">
      <c r="A110" s="169"/>
      <c r="B110" s="169"/>
      <c r="C110" s="169"/>
      <c r="D110" s="170"/>
      <c r="E110" s="169"/>
      <c r="F110" s="169"/>
      <c r="G110" s="169"/>
    </row>
    <row r="111">
      <c r="A111" s="169"/>
      <c r="B111" s="169"/>
      <c r="C111" s="169"/>
      <c r="D111" s="170"/>
      <c r="E111" s="169"/>
      <c r="F111" s="169"/>
      <c r="G111" s="169"/>
    </row>
    <row r="112">
      <c r="A112" s="169"/>
      <c r="B112" s="169"/>
      <c r="C112" s="169"/>
      <c r="D112" s="170"/>
      <c r="E112" s="169"/>
      <c r="F112" s="169"/>
      <c r="G112" s="169"/>
    </row>
    <row r="113">
      <c r="A113" s="169"/>
      <c r="B113" s="169"/>
      <c r="C113" s="169"/>
      <c r="D113" s="170"/>
      <c r="E113" s="169"/>
      <c r="F113" s="169"/>
      <c r="G113" s="169"/>
    </row>
    <row r="114">
      <c r="A114" s="169"/>
      <c r="B114" s="169"/>
      <c r="C114" s="169"/>
      <c r="D114" s="170"/>
      <c r="E114" s="169"/>
      <c r="F114" s="169"/>
      <c r="G114" s="169"/>
    </row>
    <row r="115">
      <c r="A115" s="169"/>
      <c r="B115" s="169"/>
      <c r="C115" s="169"/>
      <c r="D115" s="170"/>
      <c r="E115" s="169"/>
      <c r="F115" s="169"/>
      <c r="G115" s="169"/>
    </row>
    <row r="116">
      <c r="A116" s="169"/>
      <c r="B116" s="169"/>
      <c r="C116" s="169"/>
      <c r="D116" s="170"/>
      <c r="E116" s="169"/>
      <c r="F116" s="169"/>
      <c r="G116" s="169"/>
    </row>
    <row r="117">
      <c r="A117" s="169"/>
      <c r="B117" s="169"/>
      <c r="C117" s="169"/>
      <c r="D117" s="170"/>
      <c r="E117" s="169"/>
      <c r="F117" s="169"/>
      <c r="G117" s="169"/>
    </row>
    <row r="118">
      <c r="A118" s="169"/>
      <c r="B118" s="169"/>
      <c r="C118" s="169"/>
      <c r="D118" s="170"/>
      <c r="E118" s="169"/>
      <c r="F118" s="169"/>
      <c r="G118" s="169"/>
    </row>
    <row r="119">
      <c r="A119" s="169"/>
      <c r="B119" s="169"/>
      <c r="C119" s="169"/>
      <c r="D119" s="170"/>
      <c r="E119" s="169"/>
      <c r="F119" s="169"/>
      <c r="G119" s="169"/>
    </row>
    <row r="120">
      <c r="A120" s="169"/>
      <c r="B120" s="169"/>
      <c r="C120" s="169"/>
      <c r="D120" s="170"/>
      <c r="E120" s="169"/>
      <c r="F120" s="169"/>
      <c r="G120" s="169"/>
    </row>
    <row r="121">
      <c r="A121" s="169"/>
      <c r="B121" s="169"/>
      <c r="C121" s="169"/>
      <c r="D121" s="170"/>
      <c r="E121" s="169"/>
      <c r="F121" s="169"/>
      <c r="G121" s="169"/>
    </row>
    <row r="122">
      <c r="A122" s="169"/>
      <c r="B122" s="169"/>
      <c r="C122" s="169"/>
      <c r="D122" s="170"/>
      <c r="E122" s="169"/>
      <c r="F122" s="169"/>
      <c r="G122" s="169"/>
    </row>
    <row r="123">
      <c r="A123" s="169"/>
      <c r="B123" s="169"/>
      <c r="C123" s="169"/>
      <c r="D123" s="170"/>
      <c r="E123" s="169"/>
      <c r="F123" s="169"/>
      <c r="G123" s="169"/>
    </row>
    <row r="124">
      <c r="A124" s="169"/>
      <c r="B124" s="169"/>
      <c r="C124" s="169"/>
      <c r="D124" s="170"/>
      <c r="E124" s="169"/>
      <c r="F124" s="169"/>
      <c r="G124" s="169"/>
    </row>
    <row r="125">
      <c r="A125" s="169"/>
      <c r="B125" s="169"/>
      <c r="C125" s="169"/>
      <c r="D125" s="170"/>
      <c r="E125" s="169"/>
      <c r="F125" s="169"/>
      <c r="G125" s="169"/>
    </row>
    <row r="126">
      <c r="A126" s="169"/>
      <c r="B126" s="169"/>
      <c r="C126" s="169"/>
      <c r="D126" s="170"/>
      <c r="E126" s="169"/>
      <c r="F126" s="169"/>
      <c r="G126" s="169"/>
    </row>
    <row r="127">
      <c r="A127" s="169"/>
      <c r="B127" s="169"/>
      <c r="C127" s="169"/>
      <c r="D127" s="170"/>
      <c r="E127" s="169"/>
      <c r="F127" s="169"/>
      <c r="G127" s="169"/>
    </row>
    <row r="128">
      <c r="A128" s="169"/>
      <c r="B128" s="169"/>
      <c r="C128" s="169"/>
      <c r="D128" s="170"/>
      <c r="E128" s="169"/>
      <c r="F128" s="169"/>
      <c r="G128" s="169"/>
    </row>
    <row r="129">
      <c r="A129" s="169"/>
      <c r="B129" s="169"/>
      <c r="C129" s="169"/>
      <c r="D129" s="170"/>
      <c r="E129" s="169"/>
      <c r="F129" s="169"/>
      <c r="G129" s="169"/>
    </row>
    <row r="130">
      <c r="A130" s="169"/>
      <c r="B130" s="169"/>
      <c r="C130" s="169"/>
      <c r="D130" s="170"/>
      <c r="E130" s="169"/>
      <c r="F130" s="169"/>
      <c r="G130" s="169"/>
    </row>
    <row r="131">
      <c r="A131" s="169"/>
      <c r="B131" s="169"/>
      <c r="C131" s="169"/>
      <c r="D131" s="170"/>
      <c r="E131" s="169"/>
      <c r="F131" s="169"/>
      <c r="G131" s="169"/>
    </row>
    <row r="132">
      <c r="A132" s="169"/>
      <c r="B132" s="169"/>
      <c r="C132" s="169"/>
      <c r="D132" s="170"/>
      <c r="E132" s="169"/>
      <c r="F132" s="169"/>
      <c r="G132" s="169"/>
    </row>
    <row r="133">
      <c r="A133" s="169"/>
      <c r="B133" s="169"/>
      <c r="C133" s="169"/>
      <c r="D133" s="170"/>
      <c r="E133" s="169"/>
      <c r="F133" s="169"/>
      <c r="G133" s="169"/>
    </row>
    <row r="134">
      <c r="A134" s="169"/>
      <c r="B134" s="169"/>
      <c r="C134" s="169"/>
      <c r="D134" s="170"/>
      <c r="E134" s="169"/>
      <c r="F134" s="169"/>
      <c r="G134" s="169"/>
    </row>
    <row r="135">
      <c r="A135" s="169"/>
      <c r="B135" s="169"/>
      <c r="C135" s="169"/>
      <c r="D135" s="170"/>
      <c r="E135" s="169"/>
      <c r="F135" s="169"/>
      <c r="G135" s="169"/>
    </row>
    <row r="136">
      <c r="A136" s="169"/>
      <c r="B136" s="169"/>
      <c r="C136" s="169"/>
      <c r="D136" s="170"/>
      <c r="E136" s="169"/>
      <c r="F136" s="169"/>
      <c r="G136" s="169"/>
    </row>
    <row r="137">
      <c r="A137" s="169"/>
      <c r="B137" s="169"/>
      <c r="C137" s="169"/>
      <c r="D137" s="170"/>
      <c r="E137" s="169"/>
      <c r="F137" s="169"/>
      <c r="G137" s="169"/>
    </row>
    <row r="138">
      <c r="A138" s="169"/>
      <c r="B138" s="169"/>
      <c r="C138" s="169"/>
      <c r="D138" s="170"/>
      <c r="E138" s="169"/>
      <c r="F138" s="169"/>
      <c r="G138" s="169"/>
    </row>
    <row r="139">
      <c r="A139" s="169"/>
      <c r="B139" s="169"/>
      <c r="C139" s="169"/>
      <c r="D139" s="170"/>
      <c r="E139" s="169"/>
      <c r="F139" s="169"/>
      <c r="G139" s="169"/>
    </row>
    <row r="140">
      <c r="A140" s="169"/>
      <c r="B140" s="169"/>
      <c r="C140" s="169"/>
      <c r="D140" s="170"/>
      <c r="E140" s="169"/>
      <c r="F140" s="169"/>
      <c r="G140" s="169"/>
    </row>
    <row r="141">
      <c r="A141" s="169"/>
      <c r="B141" s="169"/>
      <c r="C141" s="169"/>
      <c r="D141" s="170"/>
      <c r="E141" s="169"/>
      <c r="F141" s="169"/>
      <c r="G141" s="169"/>
    </row>
    <row r="142">
      <c r="A142" s="169"/>
      <c r="B142" s="169"/>
      <c r="C142" s="169"/>
      <c r="D142" s="170"/>
      <c r="E142" s="169"/>
      <c r="F142" s="169"/>
      <c r="G142" s="169"/>
    </row>
    <row r="143">
      <c r="A143" s="169"/>
      <c r="B143" s="169"/>
      <c r="C143" s="169"/>
      <c r="D143" s="170"/>
      <c r="E143" s="169"/>
      <c r="F143" s="169"/>
      <c r="G143" s="169"/>
    </row>
    <row r="144">
      <c r="A144" s="169"/>
      <c r="B144" s="169"/>
      <c r="C144" s="169"/>
      <c r="D144" s="170"/>
      <c r="E144" s="169"/>
      <c r="F144" s="169"/>
      <c r="G144" s="169"/>
    </row>
    <row r="145">
      <c r="A145" s="169"/>
      <c r="B145" s="169"/>
      <c r="C145" s="169"/>
      <c r="D145" s="170"/>
      <c r="E145" s="169"/>
      <c r="F145" s="169"/>
      <c r="G145" s="169"/>
    </row>
    <row r="146">
      <c r="A146" s="169"/>
      <c r="B146" s="169"/>
      <c r="C146" s="169"/>
      <c r="D146" s="170"/>
      <c r="E146" s="169"/>
      <c r="F146" s="169"/>
      <c r="G146" s="169"/>
    </row>
    <row r="147">
      <c r="A147" s="169"/>
      <c r="B147" s="169"/>
      <c r="C147" s="169"/>
      <c r="D147" s="170"/>
      <c r="E147" s="169"/>
      <c r="F147" s="169"/>
      <c r="G147" s="169"/>
    </row>
    <row r="148">
      <c r="A148" s="169"/>
      <c r="B148" s="169"/>
      <c r="C148" s="169"/>
      <c r="D148" s="170"/>
      <c r="E148" s="169"/>
      <c r="F148" s="169"/>
      <c r="G148" s="169"/>
    </row>
    <row r="149">
      <c r="A149" s="169"/>
      <c r="B149" s="169"/>
      <c r="C149" s="169"/>
      <c r="D149" s="170"/>
      <c r="E149" s="169"/>
      <c r="F149" s="169"/>
      <c r="G149" s="169"/>
    </row>
    <row r="150">
      <c r="A150" s="169"/>
      <c r="B150" s="169"/>
      <c r="C150" s="169"/>
      <c r="D150" s="170"/>
      <c r="E150" s="169"/>
      <c r="F150" s="169"/>
      <c r="G150" s="169"/>
    </row>
    <row r="151">
      <c r="A151" s="169"/>
      <c r="B151" s="169"/>
      <c r="C151" s="169"/>
      <c r="D151" s="170"/>
      <c r="E151" s="169"/>
      <c r="F151" s="169"/>
      <c r="G151" s="169"/>
    </row>
    <row r="152">
      <c r="A152" s="169"/>
      <c r="B152" s="169"/>
      <c r="C152" s="169"/>
      <c r="D152" s="170"/>
      <c r="E152" s="169"/>
      <c r="F152" s="169"/>
      <c r="G152" s="169"/>
    </row>
    <row r="153">
      <c r="A153" s="169"/>
      <c r="B153" s="169"/>
      <c r="C153" s="169"/>
      <c r="D153" s="170"/>
      <c r="E153" s="169"/>
      <c r="F153" s="169"/>
      <c r="G153" s="169"/>
    </row>
    <row r="154">
      <c r="A154" s="169"/>
      <c r="B154" s="169"/>
      <c r="C154" s="169"/>
      <c r="D154" s="170"/>
      <c r="E154" s="169"/>
      <c r="F154" s="169"/>
      <c r="G154" s="169"/>
    </row>
    <row r="155">
      <c r="A155" s="169"/>
      <c r="B155" s="169"/>
      <c r="C155" s="169"/>
      <c r="D155" s="170"/>
      <c r="E155" s="169"/>
      <c r="F155" s="169"/>
      <c r="G155" s="169"/>
    </row>
    <row r="156">
      <c r="A156" s="169"/>
      <c r="B156" s="169"/>
      <c r="C156" s="169"/>
      <c r="D156" s="170"/>
      <c r="E156" s="169"/>
      <c r="F156" s="169"/>
      <c r="G156" s="169"/>
    </row>
    <row r="157">
      <c r="A157" s="169"/>
      <c r="B157" s="169"/>
      <c r="C157" s="169"/>
      <c r="D157" s="170"/>
      <c r="E157" s="169"/>
      <c r="F157" s="169"/>
      <c r="G157" s="169"/>
    </row>
    <row r="158">
      <c r="A158" s="169"/>
      <c r="B158" s="169"/>
      <c r="C158" s="169"/>
      <c r="D158" s="170"/>
      <c r="E158" s="169"/>
      <c r="F158" s="169"/>
      <c r="G158" s="169"/>
    </row>
    <row r="159">
      <c r="A159" s="169"/>
      <c r="B159" s="169"/>
      <c r="C159" s="169"/>
      <c r="D159" s="170"/>
      <c r="E159" s="169"/>
      <c r="F159" s="169"/>
      <c r="G159" s="169"/>
    </row>
    <row r="160">
      <c r="A160" s="169"/>
      <c r="B160" s="169"/>
      <c r="C160" s="169"/>
      <c r="D160" s="170"/>
      <c r="E160" s="169"/>
      <c r="F160" s="169"/>
      <c r="G160" s="169"/>
    </row>
    <row r="161">
      <c r="A161" s="169"/>
      <c r="B161" s="169"/>
      <c r="C161" s="169"/>
      <c r="D161" s="170"/>
      <c r="E161" s="169"/>
      <c r="F161" s="169"/>
      <c r="G161" s="169"/>
    </row>
    <row r="162">
      <c r="A162" s="169"/>
      <c r="B162" s="169"/>
      <c r="C162" s="169"/>
      <c r="D162" s="170"/>
      <c r="E162" s="169"/>
      <c r="F162" s="169"/>
      <c r="G162" s="169"/>
    </row>
    <row r="163">
      <c r="A163" s="169"/>
      <c r="B163" s="169"/>
      <c r="C163" s="169"/>
      <c r="D163" s="170"/>
      <c r="E163" s="169"/>
      <c r="F163" s="169"/>
      <c r="G163" s="169"/>
    </row>
    <row r="164">
      <c r="A164" s="169"/>
      <c r="B164" s="169"/>
      <c r="C164" s="169"/>
      <c r="D164" s="170"/>
      <c r="E164" s="169"/>
      <c r="F164" s="169"/>
      <c r="G164" s="169"/>
    </row>
    <row r="165">
      <c r="A165" s="169"/>
      <c r="B165" s="169"/>
      <c r="C165" s="169"/>
      <c r="D165" s="170"/>
      <c r="E165" s="169"/>
      <c r="F165" s="169"/>
      <c r="G165" s="169"/>
    </row>
    <row r="166">
      <c r="A166" s="169"/>
      <c r="B166" s="169"/>
      <c r="C166" s="169"/>
      <c r="D166" s="170"/>
      <c r="E166" s="169"/>
      <c r="F166" s="169"/>
      <c r="G166" s="169"/>
    </row>
    <row r="167">
      <c r="A167" s="169"/>
      <c r="B167" s="169"/>
      <c r="C167" s="169"/>
      <c r="D167" s="170"/>
      <c r="E167" s="169"/>
      <c r="F167" s="169"/>
      <c r="G167" s="169"/>
    </row>
    <row r="168">
      <c r="A168" s="169"/>
      <c r="B168" s="169"/>
      <c r="C168" s="169"/>
      <c r="D168" s="170"/>
      <c r="E168" s="169"/>
      <c r="F168" s="169"/>
      <c r="G168" s="169"/>
    </row>
    <row r="169">
      <c r="A169" s="169"/>
      <c r="B169" s="169"/>
      <c r="C169" s="169"/>
      <c r="D169" s="170"/>
      <c r="E169" s="169"/>
      <c r="F169" s="169"/>
      <c r="G169" s="169"/>
    </row>
    <row r="170">
      <c r="A170" s="169"/>
      <c r="B170" s="169"/>
      <c r="C170" s="169"/>
      <c r="D170" s="170"/>
      <c r="E170" s="169"/>
      <c r="F170" s="169"/>
      <c r="G170" s="169"/>
    </row>
    <row r="171">
      <c r="A171" s="169"/>
      <c r="B171" s="169"/>
      <c r="C171" s="169"/>
      <c r="D171" s="170"/>
      <c r="E171" s="169"/>
      <c r="F171" s="169"/>
      <c r="G171" s="169"/>
    </row>
    <row r="172">
      <c r="A172" s="169"/>
      <c r="B172" s="169"/>
      <c r="C172" s="169"/>
      <c r="D172" s="170"/>
      <c r="E172" s="169"/>
      <c r="F172" s="169"/>
      <c r="G172" s="169"/>
    </row>
    <row r="173">
      <c r="A173" s="169"/>
      <c r="B173" s="169"/>
      <c r="C173" s="169"/>
      <c r="D173" s="170"/>
      <c r="E173" s="169"/>
      <c r="F173" s="169"/>
      <c r="G173" s="169"/>
    </row>
    <row r="174">
      <c r="A174" s="169"/>
      <c r="B174" s="169"/>
      <c r="C174" s="169"/>
      <c r="D174" s="170"/>
      <c r="E174" s="169"/>
      <c r="F174" s="169"/>
      <c r="G174" s="169"/>
    </row>
    <row r="175">
      <c r="A175" s="169"/>
      <c r="B175" s="169"/>
      <c r="C175" s="169"/>
      <c r="D175" s="170"/>
      <c r="E175" s="169"/>
      <c r="F175" s="169"/>
      <c r="G175" s="169"/>
    </row>
    <row r="176">
      <c r="A176" s="169"/>
      <c r="B176" s="169"/>
      <c r="C176" s="169"/>
      <c r="D176" s="170"/>
      <c r="E176" s="169"/>
      <c r="F176" s="169"/>
      <c r="G176" s="169"/>
    </row>
    <row r="177">
      <c r="A177" s="169"/>
      <c r="B177" s="169"/>
      <c r="C177" s="169"/>
      <c r="D177" s="170"/>
      <c r="E177" s="169"/>
      <c r="F177" s="169"/>
      <c r="G177" s="169"/>
    </row>
    <row r="178">
      <c r="A178" s="169"/>
      <c r="B178" s="169"/>
      <c r="C178" s="169"/>
      <c r="D178" s="170"/>
      <c r="E178" s="169"/>
      <c r="F178" s="169"/>
      <c r="G178" s="169"/>
    </row>
    <row r="179">
      <c r="A179" s="169"/>
      <c r="B179" s="169"/>
      <c r="C179" s="169"/>
      <c r="D179" s="170"/>
      <c r="E179" s="169"/>
      <c r="F179" s="169"/>
      <c r="G179" s="169"/>
    </row>
    <row r="180">
      <c r="A180" s="169"/>
      <c r="B180" s="169"/>
      <c r="C180" s="169"/>
      <c r="D180" s="170"/>
      <c r="E180" s="169"/>
      <c r="F180" s="169"/>
      <c r="G180" s="169"/>
    </row>
    <row r="181">
      <c r="A181" s="169"/>
      <c r="B181" s="169"/>
      <c r="C181" s="169"/>
      <c r="D181" s="170"/>
      <c r="E181" s="169"/>
      <c r="F181" s="169"/>
      <c r="G181" s="169"/>
    </row>
    <row r="182">
      <c r="A182" s="169"/>
      <c r="B182" s="169"/>
      <c r="C182" s="169"/>
      <c r="D182" s="170"/>
      <c r="E182" s="169"/>
      <c r="F182" s="169"/>
      <c r="G182" s="169"/>
    </row>
    <row r="183">
      <c r="A183" s="169"/>
      <c r="B183" s="169"/>
      <c r="C183" s="169"/>
      <c r="D183" s="170"/>
      <c r="E183" s="169"/>
      <c r="F183" s="169"/>
      <c r="G183" s="169"/>
    </row>
    <row r="184">
      <c r="A184" s="169"/>
      <c r="B184" s="169"/>
      <c r="C184" s="169"/>
      <c r="D184" s="170"/>
      <c r="E184" s="169"/>
      <c r="F184" s="169"/>
      <c r="G184" s="169"/>
    </row>
    <row r="185">
      <c r="A185" s="169"/>
      <c r="B185" s="169"/>
      <c r="C185" s="169"/>
      <c r="D185" s="170"/>
      <c r="E185" s="169"/>
      <c r="F185" s="169"/>
      <c r="G185" s="169"/>
    </row>
    <row r="186">
      <c r="A186" s="169"/>
      <c r="B186" s="169"/>
      <c r="C186" s="169"/>
      <c r="D186" s="170"/>
      <c r="E186" s="169"/>
      <c r="F186" s="169"/>
      <c r="G186" s="169"/>
    </row>
    <row r="187">
      <c r="A187" s="169"/>
      <c r="B187" s="169"/>
      <c r="C187" s="169"/>
      <c r="D187" s="170"/>
      <c r="E187" s="169"/>
      <c r="F187" s="169"/>
      <c r="G187" s="169"/>
    </row>
    <row r="188">
      <c r="A188" s="169"/>
      <c r="B188" s="169"/>
      <c r="C188" s="169"/>
      <c r="D188" s="170"/>
      <c r="E188" s="169"/>
      <c r="F188" s="169"/>
      <c r="G188" s="169"/>
    </row>
    <row r="189">
      <c r="A189" s="169"/>
      <c r="B189" s="169"/>
      <c r="C189" s="169"/>
      <c r="D189" s="170"/>
      <c r="E189" s="169"/>
      <c r="F189" s="169"/>
      <c r="G189" s="169"/>
    </row>
    <row r="190">
      <c r="A190" s="169"/>
      <c r="B190" s="169"/>
      <c r="C190" s="169"/>
      <c r="D190" s="170"/>
      <c r="E190" s="169"/>
      <c r="F190" s="169"/>
      <c r="G190" s="169"/>
    </row>
    <row r="191">
      <c r="A191" s="169"/>
      <c r="B191" s="169"/>
      <c r="C191" s="169"/>
      <c r="D191" s="170"/>
      <c r="E191" s="169"/>
      <c r="F191" s="169"/>
      <c r="G191" s="169"/>
    </row>
    <row r="192">
      <c r="A192" s="169"/>
      <c r="B192" s="169"/>
      <c r="C192" s="169"/>
      <c r="D192" s="170"/>
      <c r="E192" s="169"/>
      <c r="F192" s="169"/>
      <c r="G192" s="169"/>
    </row>
    <row r="193">
      <c r="A193" s="169"/>
      <c r="B193" s="169"/>
      <c r="C193" s="169"/>
      <c r="D193" s="170"/>
      <c r="E193" s="169"/>
      <c r="F193" s="169"/>
      <c r="G193" s="169"/>
    </row>
    <row r="194">
      <c r="A194" s="169"/>
      <c r="B194" s="169"/>
      <c r="C194" s="169"/>
      <c r="D194" s="170"/>
      <c r="E194" s="169"/>
      <c r="F194" s="169"/>
      <c r="G194" s="169"/>
    </row>
    <row r="195">
      <c r="A195" s="169"/>
      <c r="B195" s="169"/>
      <c r="C195" s="169"/>
      <c r="D195" s="170"/>
      <c r="E195" s="169"/>
      <c r="F195" s="169"/>
      <c r="G195" s="169"/>
    </row>
    <row r="196">
      <c r="A196" s="169"/>
      <c r="B196" s="169"/>
      <c r="C196" s="169"/>
      <c r="D196" s="170"/>
      <c r="E196" s="169"/>
      <c r="F196" s="169"/>
      <c r="G196" s="169"/>
    </row>
    <row r="197">
      <c r="A197" s="169"/>
      <c r="B197" s="169"/>
      <c r="C197" s="169"/>
      <c r="D197" s="170"/>
      <c r="E197" s="169"/>
      <c r="F197" s="169"/>
      <c r="G197" s="169"/>
    </row>
    <row r="198">
      <c r="A198" s="169"/>
      <c r="B198" s="169"/>
      <c r="C198" s="169"/>
      <c r="D198" s="170"/>
      <c r="E198" s="169"/>
      <c r="F198" s="169"/>
      <c r="G198" s="169"/>
    </row>
    <row r="199">
      <c r="A199" s="169"/>
      <c r="B199" s="169"/>
      <c r="C199" s="169"/>
      <c r="D199" s="170"/>
      <c r="E199" s="169"/>
      <c r="F199" s="169"/>
      <c r="G199" s="169"/>
    </row>
    <row r="200">
      <c r="A200" s="171"/>
      <c r="B200" s="171"/>
      <c r="C200" s="171"/>
      <c r="E200" s="171"/>
      <c r="F200" s="171"/>
      <c r="G200" s="171"/>
    </row>
  </sheetData>
  <mergeCells count="1">
    <mergeCell ref="E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5.25"/>
    <col customWidth="1" min="3" max="3" width="15.75"/>
    <col customWidth="1" min="4" max="4" width="8.88"/>
    <col customWidth="1" min="5" max="5" width="5.13"/>
    <col customWidth="1" min="6" max="6" width="7.13"/>
    <col customWidth="1" min="7" max="7" width="14.63"/>
    <col customWidth="1" min="8" max="8" width="11.25"/>
    <col customWidth="1" min="9" max="9" width="4.0"/>
    <col customWidth="1" min="10" max="10" width="18.88"/>
    <col customWidth="1" min="11" max="11" width="12.13"/>
    <col customWidth="1" min="12" max="13" width="10.0"/>
  </cols>
  <sheetData>
    <row r="1">
      <c r="A1" s="172" t="s">
        <v>261</v>
      </c>
      <c r="B1" s="172" t="s">
        <v>262</v>
      </c>
      <c r="C1" s="173" t="s">
        <v>263</v>
      </c>
      <c r="D1" s="174" t="s">
        <v>24</v>
      </c>
      <c r="E1" s="174" t="s">
        <v>264</v>
      </c>
      <c r="F1" s="175"/>
      <c r="G1" s="174" t="s">
        <v>265</v>
      </c>
      <c r="H1" s="174" t="s">
        <v>266</v>
      </c>
      <c r="I1" s="174" t="s">
        <v>267</v>
      </c>
      <c r="J1" s="172" t="s">
        <v>268</v>
      </c>
      <c r="K1" s="172" t="s">
        <v>269</v>
      </c>
      <c r="L1" s="173" t="s">
        <v>270</v>
      </c>
      <c r="M1" s="173" t="s">
        <v>271</v>
      </c>
    </row>
    <row r="2">
      <c r="A2" s="176" t="s">
        <v>272</v>
      </c>
      <c r="B2" s="176" t="s">
        <v>273</v>
      </c>
      <c r="C2" s="177"/>
      <c r="D2" s="178" t="s">
        <v>274</v>
      </c>
      <c r="E2" s="178">
        <f t="shared" ref="E2:E15" si="1">IF(G2="","",G2+(I2*J2))</f>
        <v>116.582</v>
      </c>
      <c r="F2" s="179"/>
      <c r="G2" s="178">
        <v>83.75</v>
      </c>
      <c r="H2" s="178">
        <f t="shared" ref="H2:H35" si="2">IF(OR(A2="",B2="",D2=""),"",IF(D2="2440x1220 board",(G2/(2.44*1.22)),IF(D2="3050x1220 board",(G2/(3.05*1.22)),"Check units column")))</f>
        <v>28.13423811</v>
      </c>
      <c r="I2" s="178">
        <f t="shared" ref="I2:I51" si="3">IF(ISERROR(FIND("veneer",A2))=TRUE,"",VLOOKUP("Edge banding (per M)",$A$3:$K$30,5,0))</f>
        <v>4.56</v>
      </c>
      <c r="J2" s="176">
        <v>7.2</v>
      </c>
      <c r="K2" s="176" t="s">
        <v>275</v>
      </c>
      <c r="L2" s="180" t="s">
        <v>276</v>
      </c>
      <c r="M2" s="180" t="s">
        <v>277</v>
      </c>
    </row>
    <row r="3">
      <c r="A3" s="176" t="s">
        <v>278</v>
      </c>
      <c r="B3" s="176" t="s">
        <v>273</v>
      </c>
      <c r="C3" s="177"/>
      <c r="D3" s="178" t="s">
        <v>274</v>
      </c>
      <c r="E3" s="178">
        <f t="shared" si="1"/>
        <v>95.082</v>
      </c>
      <c r="F3" s="179"/>
      <c r="G3" s="178">
        <v>62.25</v>
      </c>
      <c r="H3" s="178">
        <f t="shared" si="2"/>
        <v>20.91171728</v>
      </c>
      <c r="I3" s="178">
        <f t="shared" si="3"/>
        <v>4.56</v>
      </c>
      <c r="J3" s="176">
        <v>7.2</v>
      </c>
      <c r="K3" s="176" t="s">
        <v>275</v>
      </c>
      <c r="L3" s="180" t="s">
        <v>276</v>
      </c>
      <c r="M3" s="180" t="s">
        <v>276</v>
      </c>
    </row>
    <row r="4">
      <c r="A4" s="176" t="s">
        <v>279</v>
      </c>
      <c r="B4" s="176" t="s">
        <v>273</v>
      </c>
      <c r="C4" s="177"/>
      <c r="D4" s="178" t="s">
        <v>274</v>
      </c>
      <c r="E4" s="178">
        <f t="shared" si="1"/>
        <v>94.332</v>
      </c>
      <c r="F4" s="179"/>
      <c r="G4" s="178">
        <v>61.5</v>
      </c>
      <c r="H4" s="178">
        <f t="shared" si="2"/>
        <v>20.65976888</v>
      </c>
      <c r="I4" s="178">
        <f t="shared" si="3"/>
        <v>4.56</v>
      </c>
      <c r="J4" s="176">
        <v>7.2</v>
      </c>
      <c r="K4" s="176" t="s">
        <v>275</v>
      </c>
      <c r="L4" s="180" t="s">
        <v>277</v>
      </c>
      <c r="M4" s="180" t="s">
        <v>277</v>
      </c>
    </row>
    <row r="5">
      <c r="A5" s="176" t="s">
        <v>280</v>
      </c>
      <c r="B5" s="176" t="s">
        <v>273</v>
      </c>
      <c r="C5" s="177"/>
      <c r="D5" s="178" t="s">
        <v>274</v>
      </c>
      <c r="E5" s="178">
        <f t="shared" si="1"/>
        <v>89.082</v>
      </c>
      <c r="F5" s="179"/>
      <c r="G5" s="178">
        <v>56.25</v>
      </c>
      <c r="H5" s="178">
        <f t="shared" si="2"/>
        <v>18.89613007</v>
      </c>
      <c r="I5" s="178">
        <f t="shared" si="3"/>
        <v>4.56</v>
      </c>
      <c r="J5" s="176">
        <v>7.2</v>
      </c>
      <c r="K5" s="176" t="s">
        <v>275</v>
      </c>
      <c r="L5" s="180" t="s">
        <v>277</v>
      </c>
      <c r="M5" s="180" t="s">
        <v>277</v>
      </c>
    </row>
    <row r="6">
      <c r="A6" s="176" t="s">
        <v>281</v>
      </c>
      <c r="B6" s="176" t="s">
        <v>273</v>
      </c>
      <c r="C6" s="177"/>
      <c r="D6" s="178" t="s">
        <v>274</v>
      </c>
      <c r="E6" s="178">
        <f t="shared" si="1"/>
        <v>84.082</v>
      </c>
      <c r="F6" s="179"/>
      <c r="G6" s="178">
        <v>51.25</v>
      </c>
      <c r="H6" s="178">
        <f t="shared" si="2"/>
        <v>17.21647407</v>
      </c>
      <c r="I6" s="178">
        <f t="shared" si="3"/>
        <v>4.56</v>
      </c>
      <c r="J6" s="176">
        <v>7.2</v>
      </c>
      <c r="K6" s="176" t="s">
        <v>275</v>
      </c>
      <c r="L6" s="180" t="s">
        <v>277</v>
      </c>
      <c r="M6" s="180" t="s">
        <v>277</v>
      </c>
    </row>
    <row r="7">
      <c r="A7" s="176" t="s">
        <v>282</v>
      </c>
      <c r="B7" s="176" t="s">
        <v>273</v>
      </c>
      <c r="C7" s="177"/>
      <c r="D7" s="178" t="s">
        <v>274</v>
      </c>
      <c r="E7" s="178">
        <f t="shared" si="1"/>
        <v>80.082</v>
      </c>
      <c r="F7" s="179"/>
      <c r="G7" s="178">
        <v>47.25</v>
      </c>
      <c r="H7" s="178">
        <f t="shared" si="2"/>
        <v>15.87274926</v>
      </c>
      <c r="I7" s="178">
        <f t="shared" si="3"/>
        <v>4.56</v>
      </c>
      <c r="J7" s="176">
        <v>7.2</v>
      </c>
      <c r="K7" s="176" t="s">
        <v>275</v>
      </c>
      <c r="L7" s="180" t="s">
        <v>277</v>
      </c>
      <c r="M7" s="180" t="s">
        <v>277</v>
      </c>
    </row>
    <row r="8">
      <c r="A8" s="176" t="s">
        <v>283</v>
      </c>
      <c r="B8" s="176" t="s">
        <v>273</v>
      </c>
      <c r="C8" s="177"/>
      <c r="D8" s="178" t="s">
        <v>274</v>
      </c>
      <c r="E8" s="178">
        <f t="shared" si="1"/>
        <v>165.614</v>
      </c>
      <c r="F8" s="179"/>
      <c r="G8" s="178">
        <v>99.95</v>
      </c>
      <c r="H8" s="178">
        <f t="shared" si="2"/>
        <v>33.57632357</v>
      </c>
      <c r="I8" s="178">
        <f t="shared" si="3"/>
        <v>4.56</v>
      </c>
      <c r="J8" s="176">
        <v>14.4</v>
      </c>
      <c r="K8" s="176" t="s">
        <v>275</v>
      </c>
      <c r="L8" s="180" t="s">
        <v>276</v>
      </c>
      <c r="M8" s="180" t="s">
        <v>277</v>
      </c>
    </row>
    <row r="9">
      <c r="A9" s="176" t="s">
        <v>284</v>
      </c>
      <c r="B9" s="176" t="s">
        <v>273</v>
      </c>
      <c r="C9" s="177"/>
      <c r="D9" s="178" t="s">
        <v>274</v>
      </c>
      <c r="E9" s="178">
        <f t="shared" si="1"/>
        <v>114.582</v>
      </c>
      <c r="F9" s="179"/>
      <c r="G9" s="178">
        <v>81.75</v>
      </c>
      <c r="H9" s="178">
        <f t="shared" si="2"/>
        <v>27.46237571</v>
      </c>
      <c r="I9" s="178">
        <f t="shared" si="3"/>
        <v>4.56</v>
      </c>
      <c r="J9" s="176">
        <v>7.2</v>
      </c>
      <c r="K9" s="176" t="s">
        <v>275</v>
      </c>
      <c r="L9" s="180" t="s">
        <v>276</v>
      </c>
      <c r="M9" s="180" t="s">
        <v>276</v>
      </c>
    </row>
    <row r="10">
      <c r="A10" s="176" t="s">
        <v>285</v>
      </c>
      <c r="B10" s="176" t="s">
        <v>273</v>
      </c>
      <c r="C10" s="177"/>
      <c r="D10" s="178" t="s">
        <v>274</v>
      </c>
      <c r="E10" s="178">
        <f t="shared" si="1"/>
        <v>114.082</v>
      </c>
      <c r="F10" s="179"/>
      <c r="G10" s="178">
        <v>81.25</v>
      </c>
      <c r="H10" s="178">
        <f t="shared" si="2"/>
        <v>27.2944101</v>
      </c>
      <c r="I10" s="178">
        <f t="shared" si="3"/>
        <v>4.56</v>
      </c>
      <c r="J10" s="176">
        <v>7.2</v>
      </c>
      <c r="K10" s="176" t="s">
        <v>275</v>
      </c>
      <c r="L10" s="180" t="s">
        <v>277</v>
      </c>
      <c r="M10" s="180" t="s">
        <v>277</v>
      </c>
    </row>
    <row r="11">
      <c r="A11" s="176" t="s">
        <v>286</v>
      </c>
      <c r="B11" s="176" t="s">
        <v>273</v>
      </c>
      <c r="C11" s="177"/>
      <c r="D11" s="178" t="s">
        <v>274</v>
      </c>
      <c r="E11" s="178">
        <f t="shared" si="1"/>
        <v>109.082</v>
      </c>
      <c r="F11" s="179"/>
      <c r="G11" s="178">
        <v>76.25</v>
      </c>
      <c r="H11" s="178">
        <f t="shared" si="2"/>
        <v>25.6147541</v>
      </c>
      <c r="I11" s="178">
        <f t="shared" si="3"/>
        <v>4.56</v>
      </c>
      <c r="J11" s="176">
        <v>7.2</v>
      </c>
      <c r="K11" s="176" t="s">
        <v>275</v>
      </c>
      <c r="L11" s="180" t="s">
        <v>277</v>
      </c>
      <c r="M11" s="180" t="s">
        <v>277</v>
      </c>
    </row>
    <row r="12">
      <c r="A12" s="176" t="s">
        <v>287</v>
      </c>
      <c r="B12" s="176" t="s">
        <v>273</v>
      </c>
      <c r="C12" s="177"/>
      <c r="D12" s="178" t="s">
        <v>274</v>
      </c>
      <c r="E12" s="178">
        <f t="shared" si="1"/>
        <v>107.782</v>
      </c>
      <c r="F12" s="179"/>
      <c r="G12" s="178">
        <v>74.95</v>
      </c>
      <c r="H12" s="178">
        <f t="shared" si="2"/>
        <v>25.17804354</v>
      </c>
      <c r="I12" s="178">
        <f t="shared" si="3"/>
        <v>4.56</v>
      </c>
      <c r="J12" s="176">
        <v>7.2</v>
      </c>
      <c r="K12" s="176" t="s">
        <v>275</v>
      </c>
      <c r="L12" s="180" t="s">
        <v>277</v>
      </c>
      <c r="M12" s="180" t="s">
        <v>277</v>
      </c>
    </row>
    <row r="13">
      <c r="A13" s="176" t="s">
        <v>288</v>
      </c>
      <c r="B13" s="176" t="s">
        <v>273</v>
      </c>
      <c r="C13" s="177"/>
      <c r="D13" s="178" t="s">
        <v>274</v>
      </c>
      <c r="E13" s="178">
        <f t="shared" si="1"/>
        <v>106.082</v>
      </c>
      <c r="F13" s="179"/>
      <c r="G13" s="178">
        <v>73.25</v>
      </c>
      <c r="H13" s="178">
        <f t="shared" si="2"/>
        <v>24.60696049</v>
      </c>
      <c r="I13" s="178">
        <f t="shared" si="3"/>
        <v>4.56</v>
      </c>
      <c r="J13" s="176">
        <v>7.2</v>
      </c>
      <c r="K13" s="176" t="s">
        <v>275</v>
      </c>
      <c r="L13" s="180" t="s">
        <v>277</v>
      </c>
      <c r="M13" s="180" t="s">
        <v>277</v>
      </c>
    </row>
    <row r="14">
      <c r="A14" s="176" t="s">
        <v>289</v>
      </c>
      <c r="B14" s="176" t="s">
        <v>273</v>
      </c>
      <c r="C14" s="177"/>
      <c r="D14" s="178" t="s">
        <v>290</v>
      </c>
      <c r="E14" s="178">
        <f t="shared" si="1"/>
        <v>4.56</v>
      </c>
      <c r="F14" s="179"/>
      <c r="G14" s="178">
        <v>4.56</v>
      </c>
      <c r="H14" s="178" t="str">
        <f t="shared" si="2"/>
        <v>Check units column</v>
      </c>
      <c r="I14" s="179" t="str">
        <f t="shared" si="3"/>
        <v/>
      </c>
      <c r="J14" s="176">
        <v>0.0</v>
      </c>
      <c r="K14" s="177"/>
      <c r="L14" s="180" t="s">
        <v>277</v>
      </c>
      <c r="M14" s="180" t="s">
        <v>277</v>
      </c>
    </row>
    <row r="15">
      <c r="A15" s="176" t="s">
        <v>291</v>
      </c>
      <c r="B15" s="176" t="s">
        <v>292</v>
      </c>
      <c r="C15" s="177"/>
      <c r="D15" s="178" t="s">
        <v>274</v>
      </c>
      <c r="E15" s="178">
        <f t="shared" si="1"/>
        <v>62.5</v>
      </c>
      <c r="F15" s="179"/>
      <c r="G15" s="178">
        <v>62.5</v>
      </c>
      <c r="H15" s="178">
        <f t="shared" si="2"/>
        <v>20.99570008</v>
      </c>
      <c r="I15" s="179" t="str">
        <f t="shared" si="3"/>
        <v/>
      </c>
      <c r="J15" s="181">
        <v>0.0</v>
      </c>
      <c r="K15" s="177"/>
      <c r="L15" s="180" t="s">
        <v>277</v>
      </c>
      <c r="M15" s="180" t="s">
        <v>277</v>
      </c>
    </row>
    <row r="16">
      <c r="A16" s="176" t="s">
        <v>75</v>
      </c>
      <c r="B16" s="176" t="s">
        <v>292</v>
      </c>
      <c r="C16" s="177"/>
      <c r="D16" s="178" t="s">
        <v>274</v>
      </c>
      <c r="E16" s="178">
        <v>54.75</v>
      </c>
      <c r="F16" s="179"/>
      <c r="G16" s="178">
        <v>54.95</v>
      </c>
      <c r="H16" s="178">
        <f t="shared" si="2"/>
        <v>18.45941951</v>
      </c>
      <c r="I16" s="179" t="str">
        <f t="shared" si="3"/>
        <v/>
      </c>
      <c r="J16" s="181">
        <v>0.0</v>
      </c>
      <c r="K16" s="177"/>
      <c r="L16" s="182" t="s">
        <v>276</v>
      </c>
      <c r="M16" s="180" t="s">
        <v>276</v>
      </c>
    </row>
    <row r="17">
      <c r="A17" s="176" t="s">
        <v>293</v>
      </c>
      <c r="B17" s="176" t="s">
        <v>292</v>
      </c>
      <c r="C17" s="177"/>
      <c r="D17" s="178" t="s">
        <v>274</v>
      </c>
      <c r="E17" s="178">
        <f t="shared" ref="E17:E31" si="4">IF(G17="","",G17+(I17*J17))</f>
        <v>45.95</v>
      </c>
      <c r="F17" s="179"/>
      <c r="G17" s="178">
        <v>45.95</v>
      </c>
      <c r="H17" s="178">
        <f t="shared" si="2"/>
        <v>15.4360387</v>
      </c>
      <c r="I17" s="179" t="str">
        <f t="shared" si="3"/>
        <v/>
      </c>
      <c r="J17" s="181">
        <v>0.0</v>
      </c>
      <c r="K17" s="177"/>
      <c r="L17" s="180" t="s">
        <v>276</v>
      </c>
      <c r="M17" s="180" t="s">
        <v>276</v>
      </c>
    </row>
    <row r="18">
      <c r="A18" s="176" t="s">
        <v>294</v>
      </c>
      <c r="B18" s="176" t="s">
        <v>292</v>
      </c>
      <c r="C18" s="177"/>
      <c r="D18" s="178" t="s">
        <v>274</v>
      </c>
      <c r="E18" s="178">
        <f t="shared" si="4"/>
        <v>42.95</v>
      </c>
      <c r="F18" s="179"/>
      <c r="G18" s="178">
        <v>42.95</v>
      </c>
      <c r="H18" s="178">
        <f t="shared" si="2"/>
        <v>14.4282451</v>
      </c>
      <c r="I18" s="179" t="str">
        <f t="shared" si="3"/>
        <v/>
      </c>
      <c r="J18" s="181">
        <v>0.0</v>
      </c>
      <c r="K18" s="177"/>
      <c r="L18" s="180" t="s">
        <v>277</v>
      </c>
      <c r="M18" s="180" t="s">
        <v>276</v>
      </c>
    </row>
    <row r="19">
      <c r="A19" s="176" t="s">
        <v>295</v>
      </c>
      <c r="B19" s="176" t="s">
        <v>292</v>
      </c>
      <c r="C19" s="177"/>
      <c r="D19" s="178" t="s">
        <v>274</v>
      </c>
      <c r="E19" s="178">
        <f t="shared" si="4"/>
        <v>34.5</v>
      </c>
      <c r="F19" s="179"/>
      <c r="G19" s="178">
        <v>34.5</v>
      </c>
      <c r="H19" s="178">
        <f t="shared" si="2"/>
        <v>11.58962644</v>
      </c>
      <c r="I19" s="179" t="str">
        <f t="shared" si="3"/>
        <v/>
      </c>
      <c r="J19" s="181">
        <v>0.0</v>
      </c>
      <c r="K19" s="177"/>
      <c r="L19" s="180" t="s">
        <v>277</v>
      </c>
      <c r="M19" s="180" t="s">
        <v>277</v>
      </c>
    </row>
    <row r="20">
      <c r="A20" s="176" t="s">
        <v>296</v>
      </c>
      <c r="B20" s="176" t="s">
        <v>292</v>
      </c>
      <c r="C20" s="177"/>
      <c r="D20" s="178" t="s">
        <v>274</v>
      </c>
      <c r="E20" s="178">
        <f t="shared" si="4"/>
        <v>27.5</v>
      </c>
      <c r="F20" s="179"/>
      <c r="G20" s="178">
        <v>27.5</v>
      </c>
      <c r="H20" s="178">
        <f t="shared" si="2"/>
        <v>9.238108035</v>
      </c>
      <c r="I20" s="179" t="str">
        <f t="shared" si="3"/>
        <v/>
      </c>
      <c r="J20" s="181">
        <v>0.0</v>
      </c>
      <c r="K20" s="177"/>
      <c r="L20" s="180" t="s">
        <v>277</v>
      </c>
      <c r="M20" s="180" t="s">
        <v>277</v>
      </c>
    </row>
    <row r="21">
      <c r="A21" s="176" t="s">
        <v>297</v>
      </c>
      <c r="B21" s="176" t="s">
        <v>292</v>
      </c>
      <c r="C21" s="177"/>
      <c r="D21" s="178" t="s">
        <v>274</v>
      </c>
      <c r="E21" s="178">
        <f t="shared" si="4"/>
        <v>19.5</v>
      </c>
      <c r="F21" s="179"/>
      <c r="G21" s="178">
        <v>19.5</v>
      </c>
      <c r="H21" s="178">
        <f t="shared" si="2"/>
        <v>6.550658425</v>
      </c>
      <c r="I21" s="179" t="str">
        <f t="shared" si="3"/>
        <v/>
      </c>
      <c r="J21" s="181">
        <v>0.0</v>
      </c>
      <c r="K21" s="177"/>
      <c r="L21" s="180" t="s">
        <v>277</v>
      </c>
      <c r="M21" s="180" t="s">
        <v>277</v>
      </c>
    </row>
    <row r="22">
      <c r="A22" s="176" t="s">
        <v>298</v>
      </c>
      <c r="B22" s="176" t="s">
        <v>299</v>
      </c>
      <c r="C22" s="177"/>
      <c r="D22" s="178" t="s">
        <v>274</v>
      </c>
      <c r="E22" s="178">
        <f t="shared" si="4"/>
        <v>59.17</v>
      </c>
      <c r="F22" s="179"/>
      <c r="G22" s="178">
        <v>59.17</v>
      </c>
      <c r="H22" s="178">
        <f t="shared" si="2"/>
        <v>19.87704918</v>
      </c>
      <c r="I22" s="179" t="str">
        <f t="shared" si="3"/>
        <v/>
      </c>
      <c r="J22" s="181">
        <v>0.0</v>
      </c>
      <c r="K22" s="177"/>
      <c r="L22" s="180" t="s">
        <v>276</v>
      </c>
      <c r="M22" s="180" t="s">
        <v>277</v>
      </c>
    </row>
    <row r="23">
      <c r="A23" s="176" t="s">
        <v>300</v>
      </c>
      <c r="B23" s="176" t="s">
        <v>299</v>
      </c>
      <c r="C23" s="177"/>
      <c r="D23" s="178" t="s">
        <v>274</v>
      </c>
      <c r="E23" s="178">
        <f t="shared" si="4"/>
        <v>53.87</v>
      </c>
      <c r="F23" s="179"/>
      <c r="G23" s="178">
        <v>53.87</v>
      </c>
      <c r="H23" s="178">
        <f t="shared" si="2"/>
        <v>18.09661381</v>
      </c>
      <c r="I23" s="179" t="str">
        <f t="shared" si="3"/>
        <v/>
      </c>
      <c r="J23" s="181">
        <v>0.0</v>
      </c>
      <c r="K23" s="177"/>
      <c r="L23" s="180" t="s">
        <v>277</v>
      </c>
      <c r="M23" s="180" t="s">
        <v>277</v>
      </c>
    </row>
    <row r="24">
      <c r="A24" s="176" t="s">
        <v>301</v>
      </c>
      <c r="B24" s="176" t="s">
        <v>299</v>
      </c>
      <c r="C24" s="177"/>
      <c r="D24" s="178" t="s">
        <v>274</v>
      </c>
      <c r="E24" s="178">
        <f t="shared" si="4"/>
        <v>48.55</v>
      </c>
      <c r="F24" s="179"/>
      <c r="G24" s="178">
        <v>48.55</v>
      </c>
      <c r="H24" s="178">
        <f t="shared" si="2"/>
        <v>16.30945982</v>
      </c>
      <c r="I24" s="179" t="str">
        <f t="shared" si="3"/>
        <v/>
      </c>
      <c r="J24" s="181">
        <v>0.0</v>
      </c>
      <c r="K24" s="177"/>
      <c r="L24" s="180" t="s">
        <v>277</v>
      </c>
      <c r="M24" s="180" t="s">
        <v>277</v>
      </c>
    </row>
    <row r="25">
      <c r="A25" s="176" t="s">
        <v>302</v>
      </c>
      <c r="B25" s="176" t="s">
        <v>299</v>
      </c>
      <c r="C25" s="177"/>
      <c r="D25" s="178" t="s">
        <v>274</v>
      </c>
      <c r="E25" s="178">
        <f t="shared" si="4"/>
        <v>48.55</v>
      </c>
      <c r="F25" s="179"/>
      <c r="G25" s="178">
        <v>48.55</v>
      </c>
      <c r="H25" s="178">
        <f t="shared" si="2"/>
        <v>16.30945982</v>
      </c>
      <c r="I25" s="179" t="str">
        <f t="shared" si="3"/>
        <v/>
      </c>
      <c r="J25" s="181">
        <v>0.0</v>
      </c>
      <c r="K25" s="177"/>
      <c r="L25" s="180" t="s">
        <v>277</v>
      </c>
      <c r="M25" s="180" t="s">
        <v>277</v>
      </c>
    </row>
    <row r="26">
      <c r="A26" s="176" t="s">
        <v>303</v>
      </c>
      <c r="B26" s="176" t="s">
        <v>273</v>
      </c>
      <c r="C26" s="177"/>
      <c r="D26" s="178" t="s">
        <v>274</v>
      </c>
      <c r="E26" s="178">
        <f t="shared" si="4"/>
        <v>48.5</v>
      </c>
      <c r="F26" s="179"/>
      <c r="G26" s="178">
        <v>48.5</v>
      </c>
      <c r="H26" s="178">
        <f t="shared" si="2"/>
        <v>16.29266326</v>
      </c>
      <c r="I26" s="179" t="str">
        <f t="shared" si="3"/>
        <v/>
      </c>
      <c r="J26" s="181">
        <v>0.0</v>
      </c>
      <c r="K26" s="177"/>
      <c r="L26" s="180" t="s">
        <v>277</v>
      </c>
      <c r="M26" s="180" t="s">
        <v>277</v>
      </c>
    </row>
    <row r="27">
      <c r="A27" s="176" t="s">
        <v>304</v>
      </c>
      <c r="B27" s="176" t="s">
        <v>273</v>
      </c>
      <c r="C27" s="177"/>
      <c r="D27" s="178" t="s">
        <v>274</v>
      </c>
      <c r="E27" s="178">
        <f t="shared" si="4"/>
        <v>133.25</v>
      </c>
      <c r="F27" s="179"/>
      <c r="G27" s="178">
        <v>133.25</v>
      </c>
      <c r="H27" s="178">
        <f t="shared" si="2"/>
        <v>44.76283257</v>
      </c>
      <c r="I27" s="179" t="str">
        <f t="shared" si="3"/>
        <v/>
      </c>
      <c r="J27" s="181">
        <v>0.0</v>
      </c>
      <c r="K27" s="177"/>
      <c r="L27" s="180" t="s">
        <v>277</v>
      </c>
      <c r="M27" s="180" t="s">
        <v>277</v>
      </c>
    </row>
    <row r="28">
      <c r="A28" s="181" t="s">
        <v>67</v>
      </c>
      <c r="B28" s="181" t="s">
        <v>273</v>
      </c>
      <c r="C28" s="183"/>
      <c r="D28" s="178" t="s">
        <v>274</v>
      </c>
      <c r="E28" s="178">
        <f t="shared" si="4"/>
        <v>98.95</v>
      </c>
      <c r="F28" s="179"/>
      <c r="G28" s="178">
        <v>98.95</v>
      </c>
      <c r="H28" s="178">
        <f t="shared" si="2"/>
        <v>33.24039237</v>
      </c>
      <c r="I28" s="179" t="str">
        <f t="shared" si="3"/>
        <v/>
      </c>
      <c r="J28" s="181">
        <v>0.0</v>
      </c>
      <c r="K28" s="177"/>
      <c r="L28" s="180" t="s">
        <v>276</v>
      </c>
      <c r="M28" s="180" t="s">
        <v>276</v>
      </c>
    </row>
    <row r="29">
      <c r="A29" s="181" t="s">
        <v>305</v>
      </c>
      <c r="B29" s="181" t="s">
        <v>273</v>
      </c>
      <c r="C29" s="183"/>
      <c r="D29" s="178" t="s">
        <v>274</v>
      </c>
      <c r="E29" s="178">
        <f t="shared" si="4"/>
        <v>92.75</v>
      </c>
      <c r="F29" s="179"/>
      <c r="G29" s="178">
        <v>92.75</v>
      </c>
      <c r="H29" s="178">
        <f t="shared" si="2"/>
        <v>31.15761892</v>
      </c>
      <c r="I29" s="179" t="str">
        <f t="shared" si="3"/>
        <v/>
      </c>
      <c r="J29" s="181">
        <v>0.0</v>
      </c>
      <c r="K29" s="177"/>
      <c r="L29" s="180" t="s">
        <v>277</v>
      </c>
      <c r="M29" s="180" t="s">
        <v>277</v>
      </c>
    </row>
    <row r="30">
      <c r="A30" s="181" t="s">
        <v>306</v>
      </c>
      <c r="B30" s="181" t="s">
        <v>273</v>
      </c>
      <c r="C30" s="183"/>
      <c r="D30" s="178" t="s">
        <v>274</v>
      </c>
      <c r="E30" s="178">
        <f t="shared" si="4"/>
        <v>67.5</v>
      </c>
      <c r="F30" s="179"/>
      <c r="G30" s="178">
        <v>67.5</v>
      </c>
      <c r="H30" s="178">
        <f t="shared" si="2"/>
        <v>22.67535609</v>
      </c>
      <c r="I30" s="179" t="str">
        <f t="shared" si="3"/>
        <v/>
      </c>
      <c r="J30" s="181">
        <v>0.0</v>
      </c>
      <c r="K30" s="177"/>
      <c r="L30" s="180" t="s">
        <v>277</v>
      </c>
      <c r="M30" s="180" t="s">
        <v>277</v>
      </c>
    </row>
    <row r="31">
      <c r="A31" s="176" t="s">
        <v>307</v>
      </c>
      <c r="B31" s="181" t="s">
        <v>273</v>
      </c>
      <c r="C31" s="183"/>
      <c r="D31" s="178" t="s">
        <v>274</v>
      </c>
      <c r="E31" s="178">
        <f t="shared" si="4"/>
        <v>63.95</v>
      </c>
      <c r="F31" s="179"/>
      <c r="G31" s="178">
        <v>63.95</v>
      </c>
      <c r="H31" s="178">
        <f t="shared" si="2"/>
        <v>21.48280032</v>
      </c>
      <c r="I31" s="179" t="str">
        <f t="shared" si="3"/>
        <v/>
      </c>
      <c r="J31" s="181">
        <v>0.0</v>
      </c>
      <c r="K31" s="177"/>
      <c r="L31" s="180" t="s">
        <v>277</v>
      </c>
      <c r="M31" s="180" t="s">
        <v>277</v>
      </c>
    </row>
    <row r="32">
      <c r="A32" s="181" t="s">
        <v>308</v>
      </c>
      <c r="B32" s="181" t="s">
        <v>273</v>
      </c>
      <c r="C32" s="183"/>
      <c r="D32" s="178" t="s">
        <v>274</v>
      </c>
      <c r="E32" s="184">
        <v>49.5</v>
      </c>
      <c r="F32" s="179"/>
      <c r="G32" s="178">
        <v>47.5</v>
      </c>
      <c r="H32" s="178">
        <f t="shared" si="2"/>
        <v>15.95673206</v>
      </c>
      <c r="I32" s="179" t="str">
        <f t="shared" si="3"/>
        <v/>
      </c>
      <c r="J32" s="181">
        <v>0.0</v>
      </c>
      <c r="K32" s="177"/>
      <c r="L32" s="180" t="s">
        <v>277</v>
      </c>
      <c r="M32" s="180" t="s">
        <v>277</v>
      </c>
    </row>
    <row r="33">
      <c r="A33" s="181" t="s">
        <v>309</v>
      </c>
      <c r="B33" s="181" t="s">
        <v>273</v>
      </c>
      <c r="C33" s="183"/>
      <c r="D33" s="178" t="s">
        <v>274</v>
      </c>
      <c r="E33" s="178">
        <f t="shared" ref="E33:E35" si="5">IF(G33="","",G33+(I33*J33))</f>
        <v>46.95</v>
      </c>
      <c r="F33" s="179"/>
      <c r="G33" s="178">
        <v>46.95</v>
      </c>
      <c r="H33" s="178">
        <f t="shared" si="2"/>
        <v>15.7719699</v>
      </c>
      <c r="I33" s="179" t="str">
        <f t="shared" si="3"/>
        <v/>
      </c>
      <c r="J33" s="181">
        <v>0.0</v>
      </c>
      <c r="K33" s="177"/>
      <c r="L33" s="180" t="s">
        <v>277</v>
      </c>
      <c r="M33" s="180" t="s">
        <v>277</v>
      </c>
    </row>
    <row r="34">
      <c r="A34" s="176" t="s">
        <v>310</v>
      </c>
      <c r="B34" s="176" t="s">
        <v>311</v>
      </c>
      <c r="C34" s="183"/>
      <c r="D34" s="178" t="s">
        <v>274</v>
      </c>
      <c r="E34" s="178">
        <f t="shared" si="5"/>
        <v>130</v>
      </c>
      <c r="F34" s="179"/>
      <c r="G34" s="178">
        <v>130.0</v>
      </c>
      <c r="H34" s="178">
        <f t="shared" si="2"/>
        <v>43.67105617</v>
      </c>
      <c r="I34" s="179" t="str">
        <f t="shared" si="3"/>
        <v/>
      </c>
      <c r="J34" s="181">
        <v>0.0</v>
      </c>
      <c r="K34" s="177"/>
      <c r="L34" s="180" t="s">
        <v>276</v>
      </c>
      <c r="M34" s="180" t="s">
        <v>276</v>
      </c>
    </row>
    <row r="35">
      <c r="A35" s="176" t="s">
        <v>312</v>
      </c>
      <c r="B35" s="176" t="s">
        <v>311</v>
      </c>
      <c r="C35" s="183"/>
      <c r="D35" s="178" t="s">
        <v>274</v>
      </c>
      <c r="E35" s="178">
        <f t="shared" si="5"/>
        <v>130</v>
      </c>
      <c r="F35" s="179"/>
      <c r="G35" s="178">
        <v>130.0</v>
      </c>
      <c r="H35" s="178">
        <f t="shared" si="2"/>
        <v>43.67105617</v>
      </c>
      <c r="I35" s="179" t="str">
        <f t="shared" si="3"/>
        <v/>
      </c>
      <c r="J35" s="181">
        <v>0.0</v>
      </c>
      <c r="K35" s="177"/>
      <c r="L35" s="180" t="s">
        <v>277</v>
      </c>
      <c r="M35" s="180" t="s">
        <v>277</v>
      </c>
    </row>
    <row r="36">
      <c r="A36" s="177"/>
      <c r="B36" s="177"/>
      <c r="C36" s="177"/>
      <c r="D36" s="179"/>
      <c r="E36" s="179"/>
      <c r="F36" s="179"/>
      <c r="G36" s="179"/>
      <c r="H36" s="179"/>
      <c r="I36" s="179" t="str">
        <f t="shared" si="3"/>
        <v/>
      </c>
      <c r="J36" s="177"/>
      <c r="K36" s="177"/>
      <c r="L36" s="163"/>
      <c r="M36" s="163"/>
    </row>
    <row r="37">
      <c r="A37" s="183"/>
      <c r="B37" s="183"/>
      <c r="C37" s="183"/>
      <c r="D37" s="179"/>
      <c r="E37" s="179" t="str">
        <f t="shared" ref="E37:E51" si="6">IF(G37="","",G37+(I37*J37))</f>
        <v/>
      </c>
      <c r="F37" s="179"/>
      <c r="G37" s="179"/>
      <c r="H37" s="179" t="str">
        <f t="shared" ref="H37:H51" si="7">IF(OR(A37="",B37="",D37=""),"",IF(D37="2440x1220 board",(G37/(2.44*1.22)),IF(D37="3050x1220 board",(G37/(3.05*1.22)),"Check units column")))</f>
        <v/>
      </c>
      <c r="I37" s="179" t="str">
        <f t="shared" si="3"/>
        <v/>
      </c>
      <c r="J37" s="183"/>
      <c r="K37" s="183"/>
      <c r="L37" s="185"/>
      <c r="M37" s="185"/>
    </row>
    <row r="38">
      <c r="A38" s="183"/>
      <c r="B38" s="183"/>
      <c r="C38" s="183"/>
      <c r="D38" s="179"/>
      <c r="E38" s="179" t="str">
        <f t="shared" si="6"/>
        <v/>
      </c>
      <c r="F38" s="179"/>
      <c r="G38" s="179"/>
      <c r="H38" s="179" t="str">
        <f t="shared" si="7"/>
        <v/>
      </c>
      <c r="I38" s="179" t="str">
        <f t="shared" si="3"/>
        <v/>
      </c>
      <c r="J38" s="183"/>
      <c r="K38" s="183"/>
      <c r="L38" s="185"/>
      <c r="M38" s="185"/>
    </row>
    <row r="39">
      <c r="A39" s="183"/>
      <c r="B39" s="183"/>
      <c r="C39" s="183"/>
      <c r="D39" s="179"/>
      <c r="E39" s="179" t="str">
        <f t="shared" si="6"/>
        <v/>
      </c>
      <c r="F39" s="179"/>
      <c r="G39" s="179"/>
      <c r="H39" s="179" t="str">
        <f t="shared" si="7"/>
        <v/>
      </c>
      <c r="I39" s="179" t="str">
        <f t="shared" si="3"/>
        <v/>
      </c>
      <c r="J39" s="183"/>
      <c r="K39" s="183"/>
      <c r="L39" s="185"/>
      <c r="M39" s="185"/>
    </row>
    <row r="40">
      <c r="A40" s="183"/>
      <c r="B40" s="183"/>
      <c r="C40" s="183"/>
      <c r="D40" s="179"/>
      <c r="E40" s="179" t="str">
        <f t="shared" si="6"/>
        <v/>
      </c>
      <c r="F40" s="179"/>
      <c r="G40" s="179"/>
      <c r="H40" s="179" t="str">
        <f t="shared" si="7"/>
        <v/>
      </c>
      <c r="I40" s="179" t="str">
        <f t="shared" si="3"/>
        <v/>
      </c>
      <c r="J40" s="183"/>
      <c r="K40" s="183"/>
      <c r="L40" s="185"/>
      <c r="M40" s="185"/>
    </row>
    <row r="41">
      <c r="A41" s="183"/>
      <c r="B41" s="183"/>
      <c r="C41" s="183"/>
      <c r="D41" s="179"/>
      <c r="E41" s="179" t="str">
        <f t="shared" si="6"/>
        <v/>
      </c>
      <c r="F41" s="179"/>
      <c r="G41" s="179"/>
      <c r="H41" s="179" t="str">
        <f t="shared" si="7"/>
        <v/>
      </c>
      <c r="I41" s="179" t="str">
        <f t="shared" si="3"/>
        <v/>
      </c>
      <c r="J41" s="183"/>
      <c r="K41" s="183"/>
      <c r="L41" s="185"/>
      <c r="M41" s="185"/>
    </row>
    <row r="42">
      <c r="A42" s="183"/>
      <c r="B42" s="183"/>
      <c r="C42" s="183"/>
      <c r="D42" s="179"/>
      <c r="E42" s="179" t="str">
        <f t="shared" si="6"/>
        <v/>
      </c>
      <c r="F42" s="179"/>
      <c r="G42" s="179"/>
      <c r="H42" s="179" t="str">
        <f t="shared" si="7"/>
        <v/>
      </c>
      <c r="I42" s="179" t="str">
        <f t="shared" si="3"/>
        <v/>
      </c>
      <c r="J42" s="183"/>
      <c r="K42" s="183"/>
      <c r="L42" s="185"/>
      <c r="M42" s="185"/>
    </row>
    <row r="43">
      <c r="A43" s="183"/>
      <c r="B43" s="183"/>
      <c r="C43" s="183"/>
      <c r="D43" s="179"/>
      <c r="E43" s="179" t="str">
        <f t="shared" si="6"/>
        <v/>
      </c>
      <c r="F43" s="179"/>
      <c r="G43" s="179"/>
      <c r="H43" s="179" t="str">
        <f t="shared" si="7"/>
        <v/>
      </c>
      <c r="I43" s="179" t="str">
        <f t="shared" si="3"/>
        <v/>
      </c>
      <c r="J43" s="183"/>
      <c r="K43" s="183"/>
      <c r="L43" s="185"/>
      <c r="M43" s="185"/>
    </row>
    <row r="44">
      <c r="A44" s="183"/>
      <c r="B44" s="183"/>
      <c r="C44" s="183"/>
      <c r="D44" s="179"/>
      <c r="E44" s="179" t="str">
        <f t="shared" si="6"/>
        <v/>
      </c>
      <c r="F44" s="179"/>
      <c r="G44" s="179"/>
      <c r="H44" s="179" t="str">
        <f t="shared" si="7"/>
        <v/>
      </c>
      <c r="I44" s="179" t="str">
        <f t="shared" si="3"/>
        <v/>
      </c>
      <c r="J44" s="183"/>
      <c r="K44" s="183"/>
      <c r="L44" s="185"/>
      <c r="M44" s="185"/>
    </row>
    <row r="45">
      <c r="A45" s="183"/>
      <c r="B45" s="183"/>
      <c r="C45" s="183"/>
      <c r="D45" s="179"/>
      <c r="E45" s="179" t="str">
        <f t="shared" si="6"/>
        <v/>
      </c>
      <c r="F45" s="179"/>
      <c r="G45" s="179"/>
      <c r="H45" s="179" t="str">
        <f t="shared" si="7"/>
        <v/>
      </c>
      <c r="I45" s="179" t="str">
        <f t="shared" si="3"/>
        <v/>
      </c>
      <c r="J45" s="183"/>
      <c r="K45" s="183"/>
      <c r="L45" s="185"/>
      <c r="M45" s="185"/>
    </row>
    <row r="46">
      <c r="A46" s="183"/>
      <c r="B46" s="183"/>
      <c r="C46" s="183"/>
      <c r="D46" s="179"/>
      <c r="E46" s="179" t="str">
        <f t="shared" si="6"/>
        <v/>
      </c>
      <c r="F46" s="179"/>
      <c r="G46" s="179"/>
      <c r="H46" s="179" t="str">
        <f t="shared" si="7"/>
        <v/>
      </c>
      <c r="I46" s="179" t="str">
        <f t="shared" si="3"/>
        <v/>
      </c>
      <c r="J46" s="183"/>
      <c r="K46" s="183"/>
      <c r="L46" s="185"/>
      <c r="M46" s="185"/>
    </row>
    <row r="47">
      <c r="A47" s="183"/>
      <c r="B47" s="183"/>
      <c r="C47" s="183"/>
      <c r="D47" s="179"/>
      <c r="E47" s="179" t="str">
        <f t="shared" si="6"/>
        <v/>
      </c>
      <c r="F47" s="179"/>
      <c r="G47" s="179"/>
      <c r="H47" s="179" t="str">
        <f t="shared" si="7"/>
        <v/>
      </c>
      <c r="I47" s="179" t="str">
        <f t="shared" si="3"/>
        <v/>
      </c>
      <c r="J47" s="183"/>
      <c r="K47" s="183"/>
      <c r="L47" s="185"/>
      <c r="M47" s="185"/>
    </row>
    <row r="48">
      <c r="A48" s="183"/>
      <c r="B48" s="183"/>
      <c r="C48" s="183"/>
      <c r="D48" s="179"/>
      <c r="E48" s="179" t="str">
        <f t="shared" si="6"/>
        <v/>
      </c>
      <c r="F48" s="179"/>
      <c r="G48" s="179"/>
      <c r="H48" s="179" t="str">
        <f t="shared" si="7"/>
        <v/>
      </c>
      <c r="I48" s="179" t="str">
        <f t="shared" si="3"/>
        <v/>
      </c>
      <c r="J48" s="183"/>
      <c r="K48" s="183"/>
      <c r="L48" s="185"/>
      <c r="M48" s="185"/>
    </row>
    <row r="49">
      <c r="A49" s="183"/>
      <c r="B49" s="183"/>
      <c r="C49" s="183"/>
      <c r="D49" s="179"/>
      <c r="E49" s="179" t="str">
        <f t="shared" si="6"/>
        <v/>
      </c>
      <c r="F49" s="179"/>
      <c r="G49" s="179"/>
      <c r="H49" s="179" t="str">
        <f t="shared" si="7"/>
        <v/>
      </c>
      <c r="I49" s="179" t="str">
        <f t="shared" si="3"/>
        <v/>
      </c>
      <c r="J49" s="183"/>
      <c r="K49" s="183"/>
      <c r="L49" s="185"/>
      <c r="M49" s="185"/>
    </row>
    <row r="50">
      <c r="A50" s="183"/>
      <c r="B50" s="183"/>
      <c r="C50" s="183"/>
      <c r="D50" s="179"/>
      <c r="E50" s="179" t="str">
        <f t="shared" si="6"/>
        <v/>
      </c>
      <c r="F50" s="179"/>
      <c r="G50" s="179"/>
      <c r="H50" s="179" t="str">
        <f t="shared" si="7"/>
        <v/>
      </c>
      <c r="I50" s="179" t="str">
        <f t="shared" si="3"/>
        <v/>
      </c>
      <c r="J50" s="183"/>
      <c r="K50" s="183"/>
      <c r="L50" s="185"/>
      <c r="M50" s="185"/>
    </row>
    <row r="51">
      <c r="A51" s="183"/>
      <c r="B51" s="183"/>
      <c r="C51" s="183"/>
      <c r="D51" s="179"/>
      <c r="E51" s="179" t="str">
        <f t="shared" si="6"/>
        <v/>
      </c>
      <c r="F51" s="179"/>
      <c r="G51" s="179"/>
      <c r="H51" s="179" t="str">
        <f t="shared" si="7"/>
        <v/>
      </c>
      <c r="I51" s="179" t="str">
        <f t="shared" si="3"/>
        <v/>
      </c>
      <c r="J51" s="183"/>
      <c r="K51" s="183"/>
      <c r="L51" s="185"/>
      <c r="M51" s="18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9.25"/>
    <col customWidth="1" min="3" max="3" width="6.25"/>
    <col customWidth="1" min="4" max="4" width="9.25"/>
    <col customWidth="1" min="5" max="5" width="7.25"/>
    <col customWidth="1" min="6" max="6" width="7.0"/>
    <col customWidth="1" min="7" max="7" width="9.5"/>
    <col customWidth="1" min="8" max="8" width="8.63"/>
    <col customWidth="1" min="9" max="9" width="9.38"/>
    <col customWidth="1" min="10" max="10" width="8.38"/>
  </cols>
  <sheetData>
    <row r="1">
      <c r="A1" s="173" t="s">
        <v>313</v>
      </c>
      <c r="B1" s="173" t="s">
        <v>262</v>
      </c>
      <c r="C1" s="173" t="s">
        <v>263</v>
      </c>
      <c r="D1" s="173" t="s">
        <v>24</v>
      </c>
      <c r="E1" s="186" t="s">
        <v>264</v>
      </c>
      <c r="F1" s="187" t="s">
        <v>314</v>
      </c>
      <c r="G1" s="188" t="s">
        <v>315</v>
      </c>
      <c r="H1" s="188" t="s">
        <v>56</v>
      </c>
      <c r="I1" s="188" t="s">
        <v>55</v>
      </c>
      <c r="J1" s="189" t="s">
        <v>316</v>
      </c>
    </row>
    <row r="2">
      <c r="A2" s="180" t="s">
        <v>317</v>
      </c>
      <c r="B2" s="180" t="s">
        <v>273</v>
      </c>
      <c r="C2" s="163"/>
      <c r="D2" s="180" t="s">
        <v>318</v>
      </c>
      <c r="E2" s="190">
        <f t="shared" ref="E2:E20" si="1">IF(A2="","",(G2/1000*H2/1000*I2/1000)/1*F2)</f>
        <v>3285</v>
      </c>
      <c r="F2" s="190">
        <v>3285.0</v>
      </c>
      <c r="G2" s="191">
        <v>1000.0</v>
      </c>
      <c r="H2" s="191">
        <v>1000.0</v>
      </c>
      <c r="I2" s="191">
        <v>1000.0</v>
      </c>
      <c r="J2" s="192"/>
    </row>
    <row r="3">
      <c r="A3" s="180" t="s">
        <v>319</v>
      </c>
      <c r="B3" s="180" t="s">
        <v>273</v>
      </c>
      <c r="C3" s="163"/>
      <c r="D3" s="180" t="s">
        <v>318</v>
      </c>
      <c r="E3" s="190">
        <f t="shared" si="1"/>
        <v>5000</v>
      </c>
      <c r="F3" s="190">
        <v>5000.0</v>
      </c>
      <c r="G3" s="191">
        <v>1000.0</v>
      </c>
      <c r="H3" s="191">
        <v>1000.0</v>
      </c>
      <c r="I3" s="191">
        <v>1000.0</v>
      </c>
      <c r="J3" s="192"/>
    </row>
    <row r="4">
      <c r="A4" s="180" t="s">
        <v>320</v>
      </c>
      <c r="B4" s="180" t="s">
        <v>273</v>
      </c>
      <c r="C4" s="163"/>
      <c r="D4" s="180" t="s">
        <v>318</v>
      </c>
      <c r="E4" s="190">
        <f t="shared" si="1"/>
        <v>1165</v>
      </c>
      <c r="F4" s="190">
        <v>1165.0</v>
      </c>
      <c r="G4" s="191">
        <v>1000.0</v>
      </c>
      <c r="H4" s="191">
        <v>1000.0</v>
      </c>
      <c r="I4" s="191">
        <v>1000.0</v>
      </c>
      <c r="J4" s="192"/>
    </row>
    <row r="5">
      <c r="A5" s="180" t="s">
        <v>321</v>
      </c>
      <c r="B5" s="135" t="s">
        <v>322</v>
      </c>
      <c r="C5" s="163"/>
      <c r="D5" s="180" t="s">
        <v>323</v>
      </c>
      <c r="E5" s="190">
        <f t="shared" si="1"/>
        <v>4.995081</v>
      </c>
      <c r="F5" s="190">
        <v>695.5</v>
      </c>
      <c r="G5" s="191">
        <v>3000.0</v>
      </c>
      <c r="H5" s="191">
        <v>63.0</v>
      </c>
      <c r="I5" s="191">
        <v>38.0</v>
      </c>
      <c r="J5" s="192"/>
    </row>
    <row r="6">
      <c r="A6" s="135" t="s">
        <v>324</v>
      </c>
      <c r="B6" s="135" t="s">
        <v>273</v>
      </c>
      <c r="C6" s="185"/>
      <c r="D6" s="135" t="s">
        <v>325</v>
      </c>
      <c r="E6" s="190">
        <f t="shared" si="1"/>
        <v>24.168</v>
      </c>
      <c r="F6" s="193">
        <v>3180.0</v>
      </c>
      <c r="G6" s="191">
        <v>1000.0</v>
      </c>
      <c r="H6" s="191">
        <v>200.0</v>
      </c>
      <c r="I6" s="191">
        <v>38.0</v>
      </c>
      <c r="J6" s="192"/>
    </row>
    <row r="7">
      <c r="A7" s="135" t="s">
        <v>326</v>
      </c>
      <c r="B7" s="135" t="s">
        <v>273</v>
      </c>
      <c r="C7" s="185"/>
      <c r="D7" s="135" t="s">
        <v>325</v>
      </c>
      <c r="E7" s="190">
        <f t="shared" si="1"/>
        <v>19.456</v>
      </c>
      <c r="F7" s="193">
        <v>3040.0</v>
      </c>
      <c r="G7" s="191">
        <v>1000.0</v>
      </c>
      <c r="H7" s="191">
        <v>200.0</v>
      </c>
      <c r="I7" s="191">
        <v>32.0</v>
      </c>
      <c r="J7" s="192"/>
    </row>
    <row r="8">
      <c r="A8" s="135" t="s">
        <v>327</v>
      </c>
      <c r="B8" s="135" t="s">
        <v>273</v>
      </c>
      <c r="C8" s="185"/>
      <c r="D8" s="135" t="s">
        <v>325</v>
      </c>
      <c r="E8" s="190">
        <f t="shared" si="1"/>
        <v>15.725</v>
      </c>
      <c r="F8" s="193">
        <v>3145.0</v>
      </c>
      <c r="G8" s="191">
        <v>1000.0</v>
      </c>
      <c r="H8" s="191">
        <v>200.0</v>
      </c>
      <c r="I8" s="191">
        <v>25.0</v>
      </c>
      <c r="J8" s="192"/>
    </row>
    <row r="9">
      <c r="A9" s="135" t="s">
        <v>328</v>
      </c>
      <c r="B9" s="135" t="s">
        <v>273</v>
      </c>
      <c r="C9" s="185"/>
      <c r="D9" s="135" t="s">
        <v>325</v>
      </c>
      <c r="E9" s="190">
        <f t="shared" si="1"/>
        <v>10.83</v>
      </c>
      <c r="F9" s="193">
        <v>1425.0</v>
      </c>
      <c r="G9" s="191">
        <v>1000.0</v>
      </c>
      <c r="H9" s="191">
        <v>200.0</v>
      </c>
      <c r="I9" s="191">
        <v>38.0</v>
      </c>
      <c r="J9" s="192"/>
    </row>
    <row r="10">
      <c r="A10" s="135" t="s">
        <v>329</v>
      </c>
      <c r="B10" s="135" t="s">
        <v>273</v>
      </c>
      <c r="C10" s="185"/>
      <c r="D10" s="135" t="s">
        <v>325</v>
      </c>
      <c r="E10" s="190">
        <f t="shared" si="1"/>
        <v>9.12</v>
      </c>
      <c r="F10" s="193">
        <v>1425.0</v>
      </c>
      <c r="G10" s="191">
        <v>1000.0</v>
      </c>
      <c r="H10" s="191">
        <v>200.0</v>
      </c>
      <c r="I10" s="191">
        <v>32.0</v>
      </c>
      <c r="J10" s="192"/>
    </row>
    <row r="11">
      <c r="A11" s="135" t="s">
        <v>330</v>
      </c>
      <c r="B11" s="135" t="s">
        <v>273</v>
      </c>
      <c r="C11" s="185"/>
      <c r="D11" s="135" t="s">
        <v>325</v>
      </c>
      <c r="E11" s="190">
        <f t="shared" si="1"/>
        <v>7.125</v>
      </c>
      <c r="F11" s="193">
        <v>1425.0</v>
      </c>
      <c r="G11" s="191">
        <v>1000.0</v>
      </c>
      <c r="H11" s="191">
        <v>200.0</v>
      </c>
      <c r="I11" s="191">
        <v>25.0</v>
      </c>
      <c r="J11" s="192"/>
    </row>
    <row r="12">
      <c r="A12" s="135" t="s">
        <v>331</v>
      </c>
      <c r="B12" s="135" t="s">
        <v>273</v>
      </c>
      <c r="C12" s="185"/>
      <c r="D12" s="135" t="s">
        <v>325</v>
      </c>
      <c r="E12" s="190">
        <f t="shared" si="1"/>
        <v>39.862</v>
      </c>
      <c r="F12" s="193">
        <v>5245.0</v>
      </c>
      <c r="G12" s="191">
        <v>1000.0</v>
      </c>
      <c r="H12" s="191">
        <v>200.0</v>
      </c>
      <c r="I12" s="191">
        <v>38.0</v>
      </c>
      <c r="J12" s="192"/>
    </row>
    <row r="13">
      <c r="A13" s="135" t="s">
        <v>332</v>
      </c>
      <c r="B13" s="135" t="s">
        <v>273</v>
      </c>
      <c r="C13" s="185"/>
      <c r="D13" s="135" t="s">
        <v>325</v>
      </c>
      <c r="E13" s="190">
        <f t="shared" si="1"/>
        <v>32.896</v>
      </c>
      <c r="F13" s="193">
        <v>5140.0</v>
      </c>
      <c r="G13" s="191">
        <v>1000.0</v>
      </c>
      <c r="H13" s="191">
        <v>200.0</v>
      </c>
      <c r="I13" s="191">
        <v>32.0</v>
      </c>
      <c r="J13" s="192"/>
    </row>
    <row r="14">
      <c r="A14" s="135" t="s">
        <v>333</v>
      </c>
      <c r="B14" s="135" t="s">
        <v>273</v>
      </c>
      <c r="C14" s="185"/>
      <c r="D14" s="135" t="s">
        <v>325</v>
      </c>
      <c r="E14" s="190">
        <f t="shared" si="1"/>
        <v>26.4</v>
      </c>
      <c r="F14" s="193">
        <v>5280.0</v>
      </c>
      <c r="G14" s="191">
        <v>1000.0</v>
      </c>
      <c r="H14" s="191">
        <v>200.0</v>
      </c>
      <c r="I14" s="191">
        <v>25.0</v>
      </c>
      <c r="J14" s="192"/>
    </row>
    <row r="15">
      <c r="A15" s="135" t="s">
        <v>334</v>
      </c>
      <c r="B15" s="135" t="s">
        <v>273</v>
      </c>
      <c r="C15" s="185"/>
      <c r="D15" s="135" t="s">
        <v>325</v>
      </c>
      <c r="E15" s="190">
        <f t="shared" si="1"/>
        <v>5.624</v>
      </c>
      <c r="F15" s="193">
        <v>740.0</v>
      </c>
      <c r="G15" s="191">
        <v>1000.0</v>
      </c>
      <c r="H15" s="191">
        <v>200.0</v>
      </c>
      <c r="I15" s="191">
        <v>38.0</v>
      </c>
      <c r="J15" s="192"/>
    </row>
    <row r="16">
      <c r="A16" s="135" t="s">
        <v>335</v>
      </c>
      <c r="B16" s="135" t="s">
        <v>273</v>
      </c>
      <c r="C16" s="185"/>
      <c r="D16" s="135" t="s">
        <v>325</v>
      </c>
      <c r="E16" s="190">
        <f t="shared" si="1"/>
        <v>4.096</v>
      </c>
      <c r="F16" s="193">
        <v>640.0</v>
      </c>
      <c r="G16" s="191">
        <v>1000.0</v>
      </c>
      <c r="H16" s="191">
        <v>200.0</v>
      </c>
      <c r="I16" s="191">
        <v>32.0</v>
      </c>
      <c r="J16" s="192"/>
    </row>
    <row r="17">
      <c r="A17" s="135" t="s">
        <v>336</v>
      </c>
      <c r="B17" s="135" t="s">
        <v>273</v>
      </c>
      <c r="C17" s="185"/>
      <c r="D17" s="135" t="s">
        <v>325</v>
      </c>
      <c r="E17" s="190">
        <f t="shared" si="1"/>
        <v>3.3</v>
      </c>
      <c r="F17" s="193">
        <v>660.0</v>
      </c>
      <c r="G17" s="191">
        <v>1000.0</v>
      </c>
      <c r="H17" s="191">
        <v>200.0</v>
      </c>
      <c r="I17" s="191">
        <v>25.0</v>
      </c>
      <c r="J17" s="192"/>
    </row>
    <row r="18">
      <c r="A18" s="185"/>
      <c r="B18" s="185"/>
      <c r="C18" s="185"/>
      <c r="D18" s="185"/>
      <c r="E18" s="194" t="str">
        <f t="shared" si="1"/>
        <v/>
      </c>
      <c r="F18" s="195"/>
      <c r="G18" s="196"/>
      <c r="H18" s="196"/>
      <c r="I18" s="196"/>
      <c r="J18" s="192"/>
    </row>
    <row r="19">
      <c r="A19" s="185"/>
      <c r="B19" s="185"/>
      <c r="C19" s="185"/>
      <c r="D19" s="185"/>
      <c r="E19" s="194" t="str">
        <f t="shared" si="1"/>
        <v/>
      </c>
      <c r="F19" s="195"/>
      <c r="G19" s="196"/>
      <c r="H19" s="196"/>
      <c r="I19" s="196"/>
      <c r="J19" s="192"/>
    </row>
    <row r="20">
      <c r="A20" s="185"/>
      <c r="B20" s="185"/>
      <c r="C20" s="185"/>
      <c r="D20" s="185"/>
      <c r="E20" s="194" t="str">
        <f t="shared" si="1"/>
        <v/>
      </c>
      <c r="F20" s="195"/>
      <c r="G20" s="196"/>
      <c r="H20" s="196"/>
      <c r="I20" s="196"/>
      <c r="J20" s="192"/>
    </row>
  </sheetData>
  <drawing r:id="rId1"/>
</worksheet>
</file>