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orack-pmod-pcb" sheetId="1" r:id="rId1"/>
  </sheets>
  <definedNames>
    <definedName name="BoardQty" localSheetId="0">'eurorack-pmod-pcb'!$G$1</definedName>
    <definedName name="PURCHASE_DESCRIPTION" localSheetId="0">'eurorack-pmod-pcb'!$G$30</definedName>
    <definedName name="TotalCost" localSheetId="0">'eurorack-pmod-pcb'!$G$3</definedName>
    <definedName name="USD_GBP" localSheetId="0">'eurorack-pmod-pcb'!$C$30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E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W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C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X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Y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Z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A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B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C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J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$0.17    $342.00
  4000   $0.17    $680.40</t>
        </r>
      </text>
    </comment>
    <comment ref="P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$0.67      $0.67
    10   $0.47      $4.71
    50   $0.36     $17.82
   100   $0.31     $31.04
   500   $0.23    $114.95
  1000   $0.20    $195.42
  2000   $0.18    $367.84
  4000   $0.17    $689.72
 10000   $0.16  $1,609.30
 14000   $0.16  $2,212.84
 50000   $0.15  $7,472.00</t>
        </r>
      </text>
    </comment>
    <comment ref="V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£0.39      £1.97
    50   £0.26     £13.00
   100   £0.26     £26.00
   250   £0.25     £63.50
   500   £0.25    £124.50
  1000   £0.24    £244.00
  2000   £0.19    £378.00
 10000   £0.18  £1,850.00</t>
        </r>
      </text>
    </comment>
    <comment ref="AH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$0.70      $0.70
    10   $0.49      $4.93
    50   $0.37     $18.65
   100   $0.33     $32.50
  1000   $0.32    $318.00
 10000   $0.19  $1,910.00</t>
        </r>
      </text>
    </comment>
    <comment ref="AN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$0.70      $0.70
     5   $0.70      $3.50
    10   $0.49      $4.93
    25   $0.43     $10.82
    50   $0.37     $18.65
   100   $0.33     $32.50
  2000   $0.19    $384.00
  4000   $0.19    $764.00</t>
        </r>
      </text>
    </comment>
    <comment ref="J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$0.09    $174.60
 10000   $0.08    $802.00
 24000   $0.07  $1,797.60
 50000   $0.07  $3,475.00</t>
        </r>
      </text>
    </comment>
    <comment ref="P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$0.32      $3.18
    50   $0.24     $12.00
   100   $0.21     $20.91
   500   $0.15     $77.44
  1000   $0.13    $131.65
  2000   $0.12    $247.82
  4000   $0.12    $464.64
 10000   $0.11  $1,084.20
 14000   $0.11  $1,490.72
 50000   $0.10  $5,033.50</t>
        </r>
      </text>
    </comment>
    <comment ref="V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£0.29      £1.46
    50   £0.17      £8.75
   100   £0.17     £17.50
   250   £0.15     £38.50
   500   £0.13     £66.00
  1000   £0.11    £112.00
  2000   £0.11    £222.00
 10000   £0.11  £1,090.00</t>
        </r>
      </text>
    </comment>
    <comment ref="AB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$0.17      $1.74
    30   $0.16      $4.80
   100   $0.15     $14.63
   500   $0.14     $68.60
  1000   $0.13    $131.70</t>
        </r>
      </text>
    </comment>
    <comment ref="AH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$0.52      $0.52
    10   $0.32      $3.16
    50   $0.27     $13.25
   100   $0.24     $23.90
  1000   $0.24    $239.00
 10000   $0.12  $1,170.00</t>
        </r>
      </text>
    </comment>
    <comment ref="AN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 5   $0.52      $2.60
    10   $0.02      $0.23
    25   $0.02      $0.57
    50   $0.02      $1.15
   100   $0.02      $2.30
  2000   $0.13    $256.00
  4000   $0.12    $468.00</t>
        </r>
      </text>
    </comment>
    <comment ref="AT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25   £0.26      £6.42
   400   £0.13     £51.60
  1000   £0.10     £96.00
  2000   £0.09    £182.00
  6000   £0.09    £522.00</t>
        </r>
      </text>
    </comment>
    <comment ref="AZ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£0.20      £2.00
    50   £0.16      £7.90
   250   £0.11     £27.16
  1000   £0.09     £90.61
  2000   £0.08    £163.00</t>
        </r>
      </text>
    </comment>
    <comment ref="P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10   $0.13      $1.34
   100   $0.07      $7.31
   500   $0.05     $22.51
  1000   $0.03     $30.69
  3000   $0.03     $78.27
  6000   $0.02    $141.18
 15000   $0.02    $306.90
 30000   $0.02    $552.30
 75000   $0.02  $1,227.75</t>
        </r>
      </text>
    </comment>
    <comment ref="P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$0.54      $0.54
    10   $0.34      $3.35
   100   $0.19     $19.26
  1000   $0.15    $150.73
  2000   $0.14    $276.34
  6000   $0.13    $753.66
 10000   $0.12  $1,185.00</t>
        </r>
      </text>
    </comment>
    <comment ref="J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$0.08      $0.08
    10   $0.06      $0.59
    25   $0.05      $1.21
   100   $0.03      $3.03
   250   $0.02      $5.92
   500   $0.02      $9.40
  1000   $0.01     $13.30</t>
        </r>
      </text>
    </comment>
    <comment ref="P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$0.09      $0.87
    25   $0.06      $1.50
    50   $0.05      $2.33
   100   $0.03      $3.33
   250   $0.03      $6.50
   500   $0.02     $10.33
  1000   $0.01     $14.67
  5000   $0.01     $56.65
 10000   $0.01    $101.70
 25000   $0.01    $233.25
 50000   $0.01    $438.50
125000   $0.01  $1,071.25</t>
        </r>
      </text>
    </comment>
    <comment ref="V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£0.43
   100   £0.02      £2.36
   500   £0.02      £9.55
  1000   £0.02     £19.00
  2500   £0.02     £47.25
  5000   £0.02     £94.00
 25000   £0.02    £467.50</t>
        </r>
      </text>
    </comment>
    <comment ref="AH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$0.47
    50   $0.05      $2.35
   100   $0.03      $2.60
  1000   $0.01     $15.00
 10000   $0.01    $140.00</t>
        </r>
      </text>
    </comment>
    <comment ref="AN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$0.04      $0.04
    10   $0.04      $0.35
    25   $0.03      $0.80
    50   $0.03      $1.50
   100   $0.03      $2.80
   250   $0.03      $6.50
   500   $0.02     $12.00
  1000   $0.02     $22.00
100000   $0.02  $1,900.00
110000   $0.02  $2,090.00</t>
        </r>
      </text>
    </comment>
    <comment ref="AX2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Z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£0.02      £1.82
  1000   £0.01      £9.59
  5000   £0.01     £34.75</t>
        </r>
      </text>
    </comment>
    <comment ref="J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$0.06      $0.06
    10   $0.06      $0.56
    25   $0.06      $1.39
   100   $0.05      $5.46
   250   $0.05     $13.45
   500   $0.05     $26.45
  1000   $0.05     $52.10
  3000   $0.05    $153.60</t>
        </r>
      </text>
    </comment>
    <comment ref="P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$0.09      $0.87
    25   $0.06      $1.50
    50   $0.05      $2.33
   100   $0.03      $3.33
   250   $0.03      $6.50
   500   $0.02     $10.33
  1000   $0.01     $14.67
  5000   $0.01     $56.65
 10000   $0.01    $101.70
 25000   $0.01    $233.25
 50000   $0.01    $438.50
125000   $0.01  $1,071.25</t>
        </r>
      </text>
    </comment>
    <comment ref="V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£0.08      £0.82
   100   £0.07      £6.77
   500   £0.06     £30.35
  1000   £0.06     £56.00
  2500   £0.05    £130.75
  5000   £0.05    £247.50
 25000   £0.05  £1,190.00</t>
        </r>
      </text>
    </comment>
    <comment ref="AH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 50   $0.05      $2.65
   100   $0.03      $3.20
  1000   $0.02     $21.00
 10000   $0.01    $100.00</t>
        </r>
      </text>
    </comment>
    <comment ref="AN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10   $0.10      $1.00
    25   $0.05      $1.32
    50   $0.04      $2.15
   100   $0.03      $3.20
   250   $0.03      $7.00
   500   $0.02     $11.50
 10000   $0.01    $100.00
 20000   $0.01    $200.00
 30000   $0.01    $270.00</t>
        </r>
      </text>
    </comment>
    <comment ref="T24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V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£0.29      £1.46
    10   £0.24      £2.36
   100   £0.14     £14.50
   500   £0.12     £60.50
  1000   £0.08     £82.20
  5000   £0.07    £363.50
 10000   £0.07    £712.00</t>
        </r>
      </text>
    </comment>
    <comment ref="AF24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H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$0.40      $0.40
    10   $0.32      $3.21
    50   $0.32     $16.05
   100   $0.20     $19.80
  1000   $0.12    $123.00
 10000   $0.10    $980.00</t>
        </r>
      </text>
    </comment>
    <comment ref="AL24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N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$0.40      $0.40
     5   $0.40      $2.00
    10   $0.32      $3.21
    25   $0.28      $7.00
    50   $0.24     $11.95
   100   $0.20     $19.80
   250   $0.18     $45.25
   500   $0.16     $82.00
  1000   $0.12    $123.00</t>
        </r>
      </text>
    </comment>
    <comment ref="AX24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Z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£0.13      £0.65
    25   £0.11      £2.65
   100   £0.09      £9.14
   500   £0.08     £40.00
  4000   £0.07    £298.40</t>
        </r>
      </text>
    </comment>
    <comment ref="P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$0.52      $0.52
    10   $0.42      $4.23
    25   $0.39      $9.69
   100   $0.29     $28.83
   250   $0.26     $65.32
   500   $0.22    $108.12
  1000   $0.16    $162.18</t>
        </r>
      </text>
    </comment>
    <comment ref="AH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$0.52      $0.52
    10   $0.42      $4.24
    50   $0.42     $21.20
   100   $0.26     $26.20
  1000   $0.16    $163.00
 10000   $0.15  $1,480.00</t>
        </r>
      </text>
    </comment>
    <comment ref="P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$4.31      $4.31
    10   $3.87     $38.73
    25   $3.66     $91.53
   100   $3.17    $317.31
   250   $3.01    $752.60
   500   $2.70  $1,350.62
  1000   $2.28  $2,278.15
  2000   $2.16  $4,328.48</t>
        </r>
      </text>
    </comment>
    <comment ref="P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$1.23      $1.23
    10   $1.10     $10.98
    25   $1.04     $26.04
   100   $0.86     $85.57
   250   $0.80    $199.98
   500   $0.71    $353.46
  1000   $0.61    $614.25</t>
        </r>
      </text>
    </comment>
    <comment ref="T2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V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£1.07      £1.07
    10   £0.97      £9.70
    25   £0.96     £24.10
    50   £0.96     £47.85
   100   £0.95     £95.10</t>
        </r>
      </text>
    </comment>
    <comment ref="AH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$1.23      $1.23
    10   $1.10     $11.00
    50   $1.05     $52.50
   100   $0.83     $83.00
  1000   $0.67    $665.00
 10000   $0.62  $6,210.00</t>
        </r>
      </text>
    </comment>
    <comment ref="AL2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N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$1.64      $1.64
    10   $1.51     $15.10
   100   $1.37    $137.00
   500   $1.31    $655.00
  1000   $1.24  $1,240.00
  2500   $1.17  $2,925.00</t>
        </r>
      </text>
    </comment>
    <comment ref="F29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2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2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2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2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G2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2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2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Y2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30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30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<sst xmlns="http://schemas.openxmlformats.org/spreadsheetml/2006/main" count="241" uniqueCount="130">
  <si>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</si>
  <si>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</si>
  <si>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</si>
  <si>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</si>
  <si>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</si>
  <si>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</si>
  <si>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</si>
  <si>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</si>
  <si>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C1-C3,C5,C9,C11,C13,C15</t>
  </si>
  <si>
    <t>10u</t>
  </si>
  <si>
    <t>CP_EIA-3216-10_Kemet-I</t>
  </si>
  <si>
    <t>T491A106K020AT</t>
  </si>
  <si>
    <t>C4,C6,C10,C12,C14,C16</t>
  </si>
  <si>
    <t>100n</t>
  </si>
  <si>
    <t>C_0603_1608Metric</t>
  </si>
  <si>
    <t>C7,C8</t>
  </si>
  <si>
    <t>2u2</t>
  </si>
  <si>
    <t>T491A225K020AT</t>
  </si>
  <si>
    <t>D1-D3</t>
  </si>
  <si>
    <t>1N4007FL</t>
  </si>
  <si>
    <t>D_SOD-123F</t>
  </si>
  <si>
    <t>D4-D11</t>
  </si>
  <si>
    <t>LED_AN</t>
  </si>
  <si>
    <t>LED_1206_3216Metric</t>
  </si>
  <si>
    <t>XZMDKVG55W-4</t>
  </si>
  <si>
    <t>J1</t>
  </si>
  <si>
    <t>PMOD</t>
  </si>
  <si>
    <t>PinHeader_2x06_P2.54mm_Vertical</t>
  </si>
  <si>
    <t>J2</t>
  </si>
  <si>
    <t>EURORACK_PWR</t>
  </si>
  <si>
    <t>PinHeader_2x08_P2.54mm_Vertical</t>
  </si>
  <si>
    <t>J3-J10</t>
  </si>
  <si>
    <t>PJ398SM</t>
  </si>
  <si>
    <t>Jack_3.5mm_QingPu_WQP-PJ302M_Horizontal</t>
  </si>
  <si>
    <t>JP1</t>
  </si>
  <si>
    <t>JUMPER_3V3</t>
  </si>
  <si>
    <t>PinHeader_1x02_P2.54mm_Vertical</t>
  </si>
  <si>
    <t>R1</t>
  </si>
  <si>
    <t>0R</t>
  </si>
  <si>
    <t>R_0603_1608Metric</t>
  </si>
  <si>
    <t>R2,R5,R8,R11</t>
  </si>
  <si>
    <t>100K</t>
  </si>
  <si>
    <t>R3,R6,R9,R12,R14,R16,R18,R20</t>
  </si>
  <si>
    <t>1K</t>
  </si>
  <si>
    <t>R4,R7,R10,R13,R15,R17,R19,R21</t>
  </si>
  <si>
    <t>100R</t>
  </si>
  <si>
    <t>RN1,RN11</t>
  </si>
  <si>
    <t>4K7</t>
  </si>
  <si>
    <t>R_Cat16-4</t>
  </si>
  <si>
    <t>RN2,RN4,RN7,RN9,RN12</t>
  </si>
  <si>
    <t>CAY16-1003F4LF</t>
  </si>
  <si>
    <t>RN3,RN5,RN6,RN8</t>
  </si>
  <si>
    <t>15K</t>
  </si>
  <si>
    <t>CAY16-1502F4LF</t>
  </si>
  <si>
    <t>RN10</t>
  </si>
  <si>
    <t>56K</t>
  </si>
  <si>
    <t>U1</t>
  </si>
  <si>
    <t>LM1117-3.3</t>
  </si>
  <si>
    <t>SOT-223-3_TabPin2</t>
  </si>
  <si>
    <t>AZ1117IH-3.3TRG1</t>
  </si>
  <si>
    <t>U2</t>
  </si>
  <si>
    <t>TL072</t>
  </si>
  <si>
    <t>TSSOP-8_4.4x3mm_P0.65mm</t>
  </si>
  <si>
    <t>TL072HIPWR</t>
  </si>
  <si>
    <t>U3</t>
  </si>
  <si>
    <t>AK4619VN</t>
  </si>
  <si>
    <t>QFN-32-1EP_5x5mm_P0.5mm_EP3.7x3.7mm_ThermalVias</t>
  </si>
  <si>
    <t>U4-U7</t>
  </si>
  <si>
    <t>TL074</t>
  </si>
  <si>
    <t>TSSOP-14_4.4x5mm_P0.65mm</t>
  </si>
  <si>
    <t>TL074CPW</t>
  </si>
  <si>
    <t>Arrow</t>
  </si>
  <si>
    <t>Avail</t>
  </si>
  <si>
    <t>Purch</t>
  </si>
  <si>
    <t>MOQ</t>
  </si>
  <si>
    <t>Cat#</t>
  </si>
  <si>
    <t>Buy here</t>
  </si>
  <si>
    <t>Digi-Key</t>
  </si>
  <si>
    <t>399-18019-1-ND</t>
  </si>
  <si>
    <t>399-8276-1-ND</t>
  </si>
  <si>
    <t>1655-1N4007FLCT-ND</t>
  </si>
  <si>
    <t>1497-1314-1-ND</t>
  </si>
  <si>
    <t>CAY16-1003F4LFCT-ND</t>
  </si>
  <si>
    <t>118-CAY16-1502F4LFCT-ND</t>
  </si>
  <si>
    <t>296-TL072HIPWRCT-ND</t>
  </si>
  <si>
    <t>974-AK4619VNCT-ND</t>
  </si>
  <si>
    <t>296-26697-5-ND</t>
  </si>
  <si>
    <t>Farnell</t>
  </si>
  <si>
    <t>2762124</t>
  </si>
  <si>
    <t>1457419</t>
  </si>
  <si>
    <t>2321739</t>
  </si>
  <si>
    <t>2787786</t>
  </si>
  <si>
    <t>3483087</t>
  </si>
  <si>
    <t>NonStk</t>
  </si>
  <si>
    <t>3117801</t>
  </si>
  <si>
    <t>LCSC</t>
  </si>
  <si>
    <t>C1953682</t>
  </si>
  <si>
    <t>Mouser</t>
  </si>
  <si>
    <t>80-T491A106K020AT</t>
  </si>
  <si>
    <t>80-T491A225K020</t>
  </si>
  <si>
    <t>652-CAY16-1003F4LF</t>
  </si>
  <si>
    <t>652-CAY16-1502F4LF</t>
  </si>
  <si>
    <t>621-AZ1117IH-3.3TRG1</t>
  </si>
  <si>
    <t>595-TL072HIPWR</t>
  </si>
  <si>
    <t>595-TL074CPW</t>
  </si>
  <si>
    <t>Newark</t>
  </si>
  <si>
    <t>18AC7874</t>
  </si>
  <si>
    <t>57K1664</t>
  </si>
  <si>
    <t>06X4913</t>
  </si>
  <si>
    <t>34AK1167</t>
  </si>
  <si>
    <t>76AH4978</t>
  </si>
  <si>
    <t>33AH5103</t>
  </si>
  <si>
    <t>RS Components</t>
  </si>
  <si>
    <t>8015482</t>
  </si>
  <si>
    <t>TME</t>
  </si>
  <si>
    <t>Total Purchase:</t>
  </si>
  <si>
    <t>Purchase description:</t>
  </si>
  <si>
    <t>Used currency rates:</t>
  </si>
  <si>
    <t>USD($)/GBP(£):</t>
  </si>
  <si>
    <t>Prj:</t>
  </si>
  <si>
    <t>eurorack-pmod-pcb.xml</t>
  </si>
  <si>
    <t>Co.:</t>
  </si>
  <si>
    <t>Prj date:</t>
  </si>
  <si>
    <t>Wed 27 Jul 2022 21:35:02</t>
  </si>
  <si>
    <t>Board Qty:</t>
  </si>
  <si>
    <t>Total Cost:</t>
  </si>
  <si>
    <t>Unit Cost:</t>
  </si>
  <si>
    <t>$ date:</t>
  </si>
  <si>
    <t>2022-07-27 21:35:40</t>
  </si>
  <si>
    <t>KiCost® v1.1.10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</si>
</sst>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9" fillId="0" borderId="0" xfId="1" applyAlignment="1" applyProtection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ctopart.com/click/track?ai=8078&amp;sig=0e4bf89&amp;sid=1106&amp;ppid=22092915&amp;vpid=473255726&amp;ct=offers" TargetMode="External"/><Relationship Id="rId2" Type="http://schemas.openxmlformats.org/officeDocument/2006/relationships/hyperlink" Target="https://octopart.com/click/track?ai=8078&amp;sig=0601ada&amp;sid=459&amp;ppid=22092915&amp;vpid=481598296&amp;ct=offers" TargetMode="External"/><Relationship Id="rId3" Type="http://schemas.openxmlformats.org/officeDocument/2006/relationships/hyperlink" Target="https://octopart.com/click/track?ai=8078&amp;sig=065e8a8&amp;sid=11744&amp;ppid=22092915&amp;vpid=429852811&amp;ct=offers" TargetMode="External"/><Relationship Id="rId4" Type="http://schemas.openxmlformats.org/officeDocument/2006/relationships/hyperlink" Target="https://octopart.com/click/track?ai=8078&amp;sig=0b6e00a&amp;sid=2401&amp;ppid=22092915&amp;vpid=408799570&amp;ct=offers" TargetMode="External"/><Relationship Id="rId5" Type="http://schemas.openxmlformats.org/officeDocument/2006/relationships/hyperlink" Target="https://octopart.com/click/track?ai=8078&amp;sig=0802d81&amp;sid=2402&amp;ppid=22092915&amp;vpid=432890296&amp;ct=offers" TargetMode="External"/><Relationship Id="rId6" Type="http://schemas.openxmlformats.org/officeDocument/2006/relationships/hyperlink" Target="https://octopart.com/click/track?ai=8078&amp;sig=02c9b24&amp;sid=1106&amp;ppid=146755&amp;vpid=14874959&amp;ct=offers" TargetMode="External"/><Relationship Id="rId7" Type="http://schemas.openxmlformats.org/officeDocument/2006/relationships/hyperlink" Target="https://octopart.com/click/track?ai=8078&amp;sig=00079fa&amp;sid=459&amp;ppid=146755&amp;vpid=51928025&amp;ct=offers" TargetMode="External"/><Relationship Id="rId8" Type="http://schemas.openxmlformats.org/officeDocument/2006/relationships/hyperlink" Target="https://octopart.com/click/track?c=1&amp;ai=8078&amp;sig=08826b1&amp;sid=11744&amp;ppid=146755&amp;vpid=132346739&amp;ct=offers" TargetMode="External"/><Relationship Id="rId9" Type="http://schemas.openxmlformats.org/officeDocument/2006/relationships/hyperlink" Target="https://octopart.com/click/track?ai=8078&amp;sig=0dffb02&amp;sid=27971&amp;ppid=146755&amp;vpid=762101014&amp;ct=offers" TargetMode="External"/><Relationship Id="rId10" Type="http://schemas.openxmlformats.org/officeDocument/2006/relationships/hyperlink" Target="https://octopart.com/click/track?ai=8078&amp;sig=0ad6d40&amp;sid=2401&amp;ppid=146755&amp;vpid=44737287&amp;ct=offers" TargetMode="External"/><Relationship Id="rId11" Type="http://schemas.openxmlformats.org/officeDocument/2006/relationships/hyperlink" Target="https://octopart.com/click/track?ai=8078&amp;sig=0f84435&amp;sid=2402&amp;ppid=146755&amp;vpid=2998366&amp;ct=offers" TargetMode="External"/><Relationship Id="rId12" Type="http://schemas.openxmlformats.org/officeDocument/2006/relationships/hyperlink" Target="https://octopart.com/click/track?ai=8078&amp;sig=05ca804&amp;sid=10022&amp;ppid=146755&amp;vpid=199041292&amp;ct=offers" TargetMode="External"/><Relationship Id="rId13" Type="http://schemas.openxmlformats.org/officeDocument/2006/relationships/hyperlink" Target="https://octopart.com/click/track?ai=8078&amp;sig=01f4a41&amp;sid=1532&amp;ppid=146755&amp;vpid=709043534&amp;ct=offers" TargetMode="External"/><Relationship Id="rId14" Type="http://schemas.openxmlformats.org/officeDocument/2006/relationships/hyperlink" Target="https://www.diodes.com/assets/Datasheets/ds16008.pdf" TargetMode="External"/><Relationship Id="rId15" Type="http://schemas.openxmlformats.org/officeDocument/2006/relationships/hyperlink" Target="https://octopart.com/click/track?ai=8078&amp;sig=0ad1dc2&amp;sid=459&amp;ppid=122641204&amp;vpid=803604596&amp;ct=offers" TargetMode="External"/><Relationship Id="rId16" Type="http://schemas.openxmlformats.org/officeDocument/2006/relationships/hyperlink" Target="https://octopart.com/click/track?ai=8078&amp;sig=0de0df1&amp;sid=459&amp;ppid=77935508&amp;vpid=410880727&amp;ct=offers" TargetMode="External"/><Relationship Id="rId17" Type="http://schemas.openxmlformats.org/officeDocument/2006/relationships/hyperlink" Target="https://octopart.com/click/track?ai=8078&amp;sig=0167efb&amp;sid=1106&amp;ppid=1793019&amp;vpid=549860343&amp;ct=offers" TargetMode="External"/><Relationship Id="rId18" Type="http://schemas.openxmlformats.org/officeDocument/2006/relationships/hyperlink" Target="https://octopart.com/click/track?ai=8078&amp;sig=00edadc&amp;sid=459&amp;ppid=1793019&amp;vpid=50630128&amp;ct=offers" TargetMode="External"/><Relationship Id="rId19" Type="http://schemas.openxmlformats.org/officeDocument/2006/relationships/hyperlink" Target="https://octopart.com/click/track?ai=8078&amp;sig=015d957&amp;sid=819&amp;ppid=1793019&amp;vpid=138667698&amp;ct=offers" TargetMode="External"/><Relationship Id="rId20" Type="http://schemas.openxmlformats.org/officeDocument/2006/relationships/hyperlink" Target="https://octopart.com/click/track?ai=8078&amp;sig=03b898f&amp;sid=2401&amp;ppid=1793019&amp;vpid=37836969&amp;ct=offers" TargetMode="External"/><Relationship Id="rId21" Type="http://schemas.openxmlformats.org/officeDocument/2006/relationships/hyperlink" Target="https://octopart.com/click/track?ai=8078&amp;sig=0366447&amp;sid=2402&amp;ppid=1793019&amp;vpid=88869551&amp;ct=offers" TargetMode="External"/><Relationship Id="rId22" Type="http://schemas.openxmlformats.org/officeDocument/2006/relationships/hyperlink" Target="https://octopart.com/click/track?ai=8078&amp;sig=015e3bc&amp;sid=1532&amp;ppid=1793019&amp;vpid=707812964&amp;ct=offers" TargetMode="External"/><Relationship Id="rId23" Type="http://schemas.openxmlformats.org/officeDocument/2006/relationships/hyperlink" Target="https://octopart.com/click/track?ai=8078&amp;sig=0b07606&amp;sid=1106&amp;ppid=2086474&amp;vpid=473158531&amp;ct=offers" TargetMode="External"/><Relationship Id="rId24" Type="http://schemas.openxmlformats.org/officeDocument/2006/relationships/hyperlink" Target="https://octopart.com/click/track?ai=8078&amp;sig=0909b5d&amp;sid=459&amp;ppid=2086474&amp;vpid=598541380&amp;ct=offers" TargetMode="External"/><Relationship Id="rId25" Type="http://schemas.openxmlformats.org/officeDocument/2006/relationships/hyperlink" Target="https://octopart.com/click/track?ai=8078&amp;sig=013c79c&amp;sid=11744&amp;ppid=2086474&amp;vpid=464524204&amp;ct=offers" TargetMode="External"/><Relationship Id="rId26" Type="http://schemas.openxmlformats.org/officeDocument/2006/relationships/hyperlink" Target="https://octopart.com/click/track?ai=8078&amp;sig=08172c8&amp;sid=2401&amp;ppid=2086474&amp;vpid=265581250&amp;ct=offers" TargetMode="External"/><Relationship Id="rId27" Type="http://schemas.openxmlformats.org/officeDocument/2006/relationships/hyperlink" Target="https://octopart.com/click/track?c=1&amp;ai=8078&amp;sig=0d33022&amp;sid=2402&amp;ppid=2086474&amp;vpid=826116959&amp;ct=offers" TargetMode="External"/><Relationship Id="rId28" Type="http://schemas.openxmlformats.org/officeDocument/2006/relationships/hyperlink" Target="http://www.ti.com/lit/ds/symlink/lm1117.pdf" TargetMode="External"/><Relationship Id="rId29" Type="http://schemas.openxmlformats.org/officeDocument/2006/relationships/hyperlink" Target="https://octopart.com/click/track?c=1&amp;ai=8078&amp;sig=0697fb8&amp;sid=11744&amp;ppid=66661011&amp;vpid=626849529&amp;ct=offers" TargetMode="External"/><Relationship Id="rId30" Type="http://schemas.openxmlformats.org/officeDocument/2006/relationships/hyperlink" Target="https://octopart.com/click/track?c=1&amp;ai=8078&amp;sig=0212cd8&amp;sid=2401&amp;ppid=66661011&amp;vpid=240466506&amp;ct=offers" TargetMode="External"/><Relationship Id="rId31" Type="http://schemas.openxmlformats.org/officeDocument/2006/relationships/hyperlink" Target="https://octopart.com/click/track?c=1&amp;ai=8078&amp;sig=086fe2d&amp;sid=2402&amp;ppid=66661011&amp;vpid=628074457&amp;ct=offers" TargetMode="External"/><Relationship Id="rId32" Type="http://schemas.openxmlformats.org/officeDocument/2006/relationships/hyperlink" Target="https://octopart.com/click/track?ai=8078&amp;sig=0986718&amp;sid=1532&amp;ppid=66661011&amp;vpid=787625264&amp;ct=offers" TargetMode="External"/><Relationship Id="rId33" Type="http://schemas.openxmlformats.org/officeDocument/2006/relationships/hyperlink" Target="http://www.ti.com/lit/ds/symlink/tl071.pdf" TargetMode="External"/><Relationship Id="rId34" Type="http://schemas.openxmlformats.org/officeDocument/2006/relationships/hyperlink" Target="https://octopart.com/click/track?ai=8078&amp;sig=03d713d&amp;sid=459&amp;ppid=120005007&amp;vpid=764385997&amp;ct=offers" TargetMode="External"/><Relationship Id="rId35" Type="http://schemas.openxmlformats.org/officeDocument/2006/relationships/hyperlink" Target="https://octopart.com/click/track?ai=8078&amp;sig=030b161&amp;sid=2401&amp;ppid=120005007&amp;vpid=756156532&amp;ct=offers" TargetMode="External"/><Relationship Id="rId36" Type="http://schemas.openxmlformats.org/officeDocument/2006/relationships/hyperlink" Target="https://www.akm.com/content/dam/documents/products/audio/audio-codec/ak4619vn/ak4619vn-en-datasheet.pdf" TargetMode="External"/><Relationship Id="rId37" Type="http://schemas.openxmlformats.org/officeDocument/2006/relationships/hyperlink" Target="https://octopart.com/click/track?ai=8078&amp;sig=0d2974d&amp;sid=459&amp;ppid=120079895&amp;vpid=748714728&amp;ct=offers" TargetMode="External"/><Relationship Id="rId38" Type="http://schemas.openxmlformats.org/officeDocument/2006/relationships/hyperlink" Target="http://www.ti.com/lit/ds/symlink/tl071.pdf" TargetMode="External"/><Relationship Id="rId39" Type="http://schemas.openxmlformats.org/officeDocument/2006/relationships/hyperlink" Target="https://octopart.com/click/track?ai=8078&amp;sig=0ff01fb&amp;sid=459&amp;ppid=3750428&amp;vpid=33568266&amp;ct=offers" TargetMode="External"/><Relationship Id="rId40" Type="http://schemas.openxmlformats.org/officeDocument/2006/relationships/hyperlink" Target="https://octopart.com/click/track?c=1&amp;ai=8078&amp;sig=018c510&amp;sid=11744&amp;ppid=3750428&amp;vpid=584721266&amp;ct=offers" TargetMode="External"/><Relationship Id="rId41" Type="http://schemas.openxmlformats.org/officeDocument/2006/relationships/hyperlink" Target="https://octopart.com/click/track?ai=8078&amp;sig=08981b3&amp;sid=2401&amp;ppid=3750428&amp;vpid=37807858&amp;ct=offers" TargetMode="External"/><Relationship Id="rId42" Type="http://schemas.openxmlformats.org/officeDocument/2006/relationships/hyperlink" Target="https://octopart.com/click/track?c=1&amp;ai=8078&amp;sig=0f88287&amp;sid=2402&amp;ppid=3750428&amp;vpid=585373673&amp;ct=offers" TargetMode="External"/><Relationship Id="rId43" Type="http://schemas.openxmlformats.org/officeDocument/2006/relationships/hyperlink" Target="https://www.arrow.com/en/bom-tool/" TargetMode="External"/><Relationship Id="rId44" Type="http://schemas.openxmlformats.org/officeDocument/2006/relationships/hyperlink" Target="https://www.digikey.com/ordering/shoppingcart" TargetMode="External"/><Relationship Id="rId45" Type="http://schemas.openxmlformats.org/officeDocument/2006/relationships/hyperlink" Target="https://fr.farnell.com/en-FR/quick-order?isQuickPaste=true" TargetMode="External"/><Relationship Id="rId46" Type="http://schemas.openxmlformats.org/officeDocument/2006/relationships/hyperlink" Target="https://lcsc.com/bom.html" TargetMode="External"/><Relationship Id="rId47" Type="http://schemas.openxmlformats.org/officeDocument/2006/relationships/hyperlink" Target="https://mouser.com/bom/" TargetMode="External"/><Relationship Id="rId48" Type="http://schemas.openxmlformats.org/officeDocument/2006/relationships/hyperlink" Target="https://www.newark.com/quick-order?isQuickPaste=true" TargetMode="External"/><Relationship Id="rId49" Type="http://schemas.openxmlformats.org/officeDocument/2006/relationships/hyperlink" Target="https://uk.rs-online.com/web/mylists/manualQuotes.html?method=showEnquiryCreationPage&amp;mode=new" TargetMode="External"/><Relationship Id="rId50" Type="http://schemas.openxmlformats.org/officeDocument/2006/relationships/hyperlink" Target="https://www.tme.eu/en/Profile/QuickBuy/load.html" TargetMode="External"/><Relationship Id="rId51" Type="http://schemas.openxmlformats.org/officeDocument/2006/relationships/vmlDrawing" Target="../drawings/vmlDrawing1.vml"/><Relationship Id="rId5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73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3"/>
  <cols>
    <col min="1" max="1" width="30.7109375" customWidth="1"/>
    <col min="2" max="2" width="13.7109375" customWidth="1"/>
    <col min="3" max="3" width="33.7109375" customWidth="1" outlineLevel="2"/>
    <col min="4" max="4" width="17.7109375" customWidth="1" outlineLevel="1"/>
    <col min="5" max="5" width="9.140625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16.7109375" customWidth="1" outlineLevel="2"/>
    <col min="14" max="14" width="9.7109375" customWidth="1" outlineLevel="1"/>
    <col min="15" max="15" width="9.140625" outlineLevel="2"/>
    <col min="16" max="16" width="10.7109375" customWidth="1" outlineLevel="2"/>
    <col min="17" max="17" width="0" hidden="1" customWidth="1" outlineLevel="3" collapsed="1"/>
    <col min="18" max="18" width="16.7109375" customWidth="1"/>
    <col min="19" max="19" width="24.7109375" customWidth="1" outlineLevel="2"/>
    <col min="20" max="20" width="9.7109375" customWidth="1" outlineLevel="1"/>
    <col min="21" max="21" width="9.140625" outlineLevel="2"/>
    <col min="22" max="22" width="10.7109375" customWidth="1" outlineLevel="2"/>
    <col min="23" max="23" width="0" hidden="1" customWidth="1" outlineLevel="3" collapsed="1"/>
    <col min="24" max="24" width="16.7109375" customWidth="1"/>
    <col min="25" max="25" width="16.7109375" customWidth="1" outlineLevel="2"/>
    <col min="26" max="26" width="9.7109375" customWidth="1" outlineLevel="1"/>
    <col min="27" max="27" width="9.140625" outlineLevel="2"/>
    <col min="28" max="28" width="10.7109375" customWidth="1" outlineLevel="2"/>
    <col min="29" max="29" width="0" hidden="1" customWidth="1" outlineLevel="3" collapsed="1"/>
    <col min="30" max="30" width="16.7109375" customWidth="1"/>
    <col min="31" max="31" width="16.7109375" customWidth="1" outlineLevel="2"/>
    <col min="32" max="32" width="9.7109375" customWidth="1" outlineLevel="1"/>
    <col min="33" max="33" width="9.140625" outlineLevel="2"/>
    <col min="34" max="34" width="10.7109375" customWidth="1" outlineLevel="2"/>
    <col min="35" max="35" width="0" hidden="1" customWidth="1" outlineLevel="3" collapsed="1"/>
    <col min="36" max="36" width="16.7109375" customWidth="1"/>
    <col min="37" max="37" width="21.7109375" customWidth="1" outlineLevel="2"/>
    <col min="38" max="38" width="9.7109375" customWidth="1" outlineLevel="1"/>
    <col min="39" max="39" width="9.140625" outlineLevel="2"/>
    <col min="40" max="40" width="10.7109375" customWidth="1" outlineLevel="2"/>
    <col min="41" max="41" width="0" hidden="1" customWidth="1" outlineLevel="3" collapsed="1"/>
    <col min="42" max="42" width="16.7109375" customWidth="1"/>
    <col min="43" max="43" width="16.7109375" customWidth="1" outlineLevel="2"/>
    <col min="44" max="44" width="9.7109375" customWidth="1" outlineLevel="1"/>
    <col min="45" max="45" width="9.140625" outlineLevel="2"/>
    <col min="46" max="46" width="10.7109375" customWidth="1" outlineLevel="2"/>
    <col min="47" max="47" width="0" hidden="1" customWidth="1" outlineLevel="3" collapsed="1"/>
    <col min="48" max="48" width="16.7109375" customWidth="1"/>
    <col min="49" max="49" width="16.7109375" customWidth="1" outlineLevel="2"/>
    <col min="50" max="50" width="9.7109375" customWidth="1" outlineLevel="1"/>
    <col min="51" max="51" width="9.140625" outlineLevel="2"/>
    <col min="52" max="52" width="10.7109375" customWidth="1" outlineLevel="2"/>
    <col min="53" max="53" width="0" hidden="1" customWidth="1" outlineLevel="3" collapsed="1"/>
    <col min="54" max="54" width="16.7109375" customWidth="1"/>
    <col min="55" max="55" width="17.7109375" customWidth="1" outlineLevel="2"/>
  </cols>
  <sheetData>
    <row r="1" spans="1:55">
      <c r="A1" s="1" t="s">
        <v>119</v>
      </c>
      <c r="B1" s="2" t="s">
        <v>120</v>
      </c>
      <c r="F1" s="3" t="s">
        <v>124</v>
      </c>
      <c r="G1" s="3">
        <v>100</v>
      </c>
    </row>
    <row r="2" spans="1:55">
      <c r="A2" s="1" t="s">
        <v>121</v>
      </c>
      <c r="B2" s="2"/>
      <c r="F2" s="1" t="s">
        <v>126</v>
      </c>
      <c r="G2" s="4">
        <f>TotalCost/BoardQty</f>
        <v>10.5884</v>
      </c>
    </row>
    <row r="3" spans="1:55">
      <c r="A3" s="1" t="s">
        <v>122</v>
      </c>
      <c r="B3" s="2" t="s">
        <v>123</v>
      </c>
      <c r="F3" s="1" t="s">
        <v>125</v>
      </c>
      <c r="G3" s="5">
        <f>SUM(G7:G27)</f>
        <v>1058.8362</v>
      </c>
      <c r="L3" s="5">
        <f>SUM(L7:L27)</f>
        <v>30.92</v>
      </c>
      <c r="M3" s="6" t="str">
        <f>(COUNTA(L7:L27)&amp;" of "&amp;ROWS(L7:L27)&amp;" parts found")</f>
        <v>4 of 21 parts found</v>
      </c>
      <c r="R3" s="5">
        <f>SUM(R7:R27)</f>
        <v>1088.588</v>
      </c>
      <c r="S3" s="6" t="str">
        <f>(COUNTA(R7:R27)&amp;" of "&amp;ROWS(R7:R27)&amp;" parts found")</f>
        <v>9 of 21 parts found</v>
      </c>
      <c r="X3" s="5">
        <f>SUM(X7:X27)</f>
        <v>803.2626</v>
      </c>
      <c r="Y3" s="6" t="str">
        <f>(COUNTA(X7:X27)&amp;" of "&amp;ROWS(X7:X27)&amp;" parts found")</f>
        <v>6 of 21 parts found</v>
      </c>
      <c r="AD3" s="5">
        <f>SUM(AD7:AD27)</f>
        <v>29.26</v>
      </c>
      <c r="AE3" s="6" t="str">
        <f>(COUNTA(AD7:AD27)&amp;" of "&amp;ROWS(AD7:AD27)&amp;" parts found")</f>
        <v>1 of 21 parts found</v>
      </c>
      <c r="AJ3" s="5">
        <f>SUM(AJ7:AJ27)</f>
        <v>711.6</v>
      </c>
      <c r="AK3" s="6" t="str">
        <f>(COUNTA(AJ7:AJ27)&amp;" of "&amp;ROWS(AJ7:AJ27)&amp;" parts found")</f>
        <v>7 of 21 parts found</v>
      </c>
      <c r="AP3" s="5">
        <f>SUM(AP7:AP27)</f>
        <v>855.6</v>
      </c>
      <c r="AQ3" s="6" t="str">
        <f>(COUNTA(AP7:AP27)&amp;" of "&amp;ROWS(AP7:AP27)&amp;" parts found")</f>
        <v>6 of 21 parts found</v>
      </c>
      <c r="AV3" s="5">
        <f>SUM(AV7:AV27)</f>
        <v>62.0187</v>
      </c>
      <c r="AW3" s="6" t="str">
        <f>(COUNTA(AV7:AV27)&amp;" of "&amp;ROWS(AV7:AV27)&amp;" parts found")</f>
        <v>1 of 21 parts found</v>
      </c>
      <c r="BB3" s="5">
        <f>SUM(BB7:BB27)</f>
        <v>60.1364</v>
      </c>
      <c r="BC3" s="6" t="str">
        <f>(COUNTA(BB7:BB27)&amp;" of "&amp;ROWS(BB7:BB27)&amp;" parts found")</f>
        <v>3 of 21 parts found</v>
      </c>
    </row>
    <row r="4" spans="1:55">
      <c r="A4" s="1" t="s">
        <v>127</v>
      </c>
      <c r="B4" s="2" t="s">
        <v>128</v>
      </c>
    </row>
    <row r="5" spans="1:55">
      <c r="A5" s="7" t="s">
        <v>0</v>
      </c>
      <c r="B5" s="7"/>
      <c r="C5" s="7"/>
      <c r="D5" s="7"/>
      <c r="E5" s="7"/>
      <c r="F5" s="7"/>
      <c r="G5" s="7"/>
      <c r="H5" s="8" t="s">
        <v>71</v>
      </c>
      <c r="I5" s="8"/>
      <c r="J5" s="8"/>
      <c r="K5" s="8"/>
      <c r="L5" s="8"/>
      <c r="M5" s="8"/>
      <c r="N5" s="9" t="s">
        <v>77</v>
      </c>
      <c r="O5" s="9"/>
      <c r="P5" s="9"/>
      <c r="Q5" s="9"/>
      <c r="R5" s="9"/>
      <c r="S5" s="9"/>
      <c r="T5" s="10" t="s">
        <v>87</v>
      </c>
      <c r="U5" s="10"/>
      <c r="V5" s="10"/>
      <c r="W5" s="10"/>
      <c r="X5" s="10"/>
      <c r="Y5" s="10"/>
      <c r="Z5" s="11" t="s">
        <v>95</v>
      </c>
      <c r="AA5" s="11"/>
      <c r="AB5" s="11"/>
      <c r="AC5" s="11"/>
      <c r="AD5" s="11"/>
      <c r="AE5" s="11"/>
      <c r="AF5" s="12" t="s">
        <v>97</v>
      </c>
      <c r="AG5" s="12"/>
      <c r="AH5" s="12"/>
      <c r="AI5" s="12"/>
      <c r="AJ5" s="12"/>
      <c r="AK5" s="12"/>
      <c r="AL5" s="13" t="s">
        <v>105</v>
      </c>
      <c r="AM5" s="13"/>
      <c r="AN5" s="13"/>
      <c r="AO5" s="13"/>
      <c r="AP5" s="13"/>
      <c r="AQ5" s="13"/>
      <c r="AR5" s="14" t="s">
        <v>112</v>
      </c>
      <c r="AS5" s="14"/>
      <c r="AT5" s="14"/>
      <c r="AU5" s="14"/>
      <c r="AV5" s="14"/>
      <c r="AW5" s="14"/>
      <c r="AX5" s="15" t="s">
        <v>114</v>
      </c>
      <c r="AY5" s="15"/>
      <c r="AZ5" s="15"/>
      <c r="BA5" s="15"/>
      <c r="BB5" s="15"/>
      <c r="BC5" s="15"/>
    </row>
    <row r="6" spans="1:55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72</v>
      </c>
      <c r="I6" s="16" t="s">
        <v>73</v>
      </c>
      <c r="J6" s="16" t="s">
        <v>6</v>
      </c>
      <c r="K6" s="16" t="s">
        <v>74</v>
      </c>
      <c r="L6" s="16" t="s">
        <v>7</v>
      </c>
      <c r="M6" s="16" t="s">
        <v>75</v>
      </c>
      <c r="N6" s="16" t="s">
        <v>72</v>
      </c>
      <c r="O6" s="16" t="s">
        <v>73</v>
      </c>
      <c r="P6" s="16" t="s">
        <v>6</v>
      </c>
      <c r="Q6" s="16" t="s">
        <v>74</v>
      </c>
      <c r="R6" s="16" t="s">
        <v>7</v>
      </c>
      <c r="S6" s="16" t="s">
        <v>75</v>
      </c>
      <c r="T6" s="16" t="s">
        <v>72</v>
      </c>
      <c r="U6" s="16" t="s">
        <v>73</v>
      </c>
      <c r="V6" s="16" t="s">
        <v>6</v>
      </c>
      <c r="W6" s="16" t="s">
        <v>74</v>
      </c>
      <c r="X6" s="16" t="s">
        <v>7</v>
      </c>
      <c r="Y6" s="16" t="s">
        <v>75</v>
      </c>
      <c r="Z6" s="16" t="s">
        <v>72</v>
      </c>
      <c r="AA6" s="16" t="s">
        <v>73</v>
      </c>
      <c r="AB6" s="16" t="s">
        <v>6</v>
      </c>
      <c r="AC6" s="16" t="s">
        <v>74</v>
      </c>
      <c r="AD6" s="16" t="s">
        <v>7</v>
      </c>
      <c r="AE6" s="16" t="s">
        <v>75</v>
      </c>
      <c r="AF6" s="16" t="s">
        <v>72</v>
      </c>
      <c r="AG6" s="16" t="s">
        <v>73</v>
      </c>
      <c r="AH6" s="16" t="s">
        <v>6</v>
      </c>
      <c r="AI6" s="16" t="s">
        <v>74</v>
      </c>
      <c r="AJ6" s="16" t="s">
        <v>7</v>
      </c>
      <c r="AK6" s="16" t="s">
        <v>75</v>
      </c>
      <c r="AL6" s="16" t="s">
        <v>72</v>
      </c>
      <c r="AM6" s="16" t="s">
        <v>73</v>
      </c>
      <c r="AN6" s="16" t="s">
        <v>6</v>
      </c>
      <c r="AO6" s="16" t="s">
        <v>74</v>
      </c>
      <c r="AP6" s="16" t="s">
        <v>7</v>
      </c>
      <c r="AQ6" s="16" t="s">
        <v>75</v>
      </c>
      <c r="AR6" s="16" t="s">
        <v>72</v>
      </c>
      <c r="AS6" s="16" t="s">
        <v>73</v>
      </c>
      <c r="AT6" s="16" t="s">
        <v>6</v>
      </c>
      <c r="AU6" s="16" t="s">
        <v>74</v>
      </c>
      <c r="AV6" s="16" t="s">
        <v>7</v>
      </c>
      <c r="AW6" s="16" t="s">
        <v>75</v>
      </c>
      <c r="AX6" s="16" t="s">
        <v>72</v>
      </c>
      <c r="AY6" s="16" t="s">
        <v>73</v>
      </c>
      <c r="AZ6" s="16" t="s">
        <v>6</v>
      </c>
      <c r="BA6" s="16" t="s">
        <v>74</v>
      </c>
      <c r="BB6" s="16" t="s">
        <v>7</v>
      </c>
      <c r="BC6" s="16" t="s">
        <v>75</v>
      </c>
    </row>
    <row r="7" spans="1:55">
      <c r="A7" s="17" t="s">
        <v>8</v>
      </c>
      <c r="B7" s="17" t="s">
        <v>9</v>
      </c>
      <c r="C7" s="17" t="s">
        <v>10</v>
      </c>
      <c r="D7" s="17" t="s">
        <v>11</v>
      </c>
      <c r="E7" s="17">
        <f>CEILING(BoardQty*8.0,1)</f>
        <v>800</v>
      </c>
      <c r="F7" s="18">
        <f>IF(MIN(J7,P7,V7,AB7,AH7,AN7,AT7,AZ7)&lt;&gt;0,MIN(J7,P7,V7,AB7,AH7,AN7,AT7,AZ7),"")</f>
        <v>0.2299</v>
      </c>
      <c r="G7" s="19">
        <f>IF(AND(ISNUMBER(E7),ISNUMBER(F7)),E7*F7,"")</f>
        <v>183.92</v>
      </c>
      <c r="H7" s="17">
        <v>1056</v>
      </c>
      <c r="I7" s="17"/>
      <c r="J7" s="18">
        <f>IFERROR(IF(OR(I7&gt;=K7,E7&gt;=K7),LOOKUP(IF(I7="",E7,I7),{0,1,2000,4000},{0.0,0.171,0.171,0.1701}),"MOQ="&amp;K7),"")</f>
        <v/>
      </c>
      <c r="K7" s="17">
        <v>2000</v>
      </c>
      <c r="L7" s="19">
        <f>IFERROR(IF(I7="",E7,I7)*J7,"")</f>
        <v/>
      </c>
      <c r="M7" s="17" t="s">
        <v>11</v>
      </c>
      <c r="N7" s="17">
        <v>10000</v>
      </c>
      <c r="O7" s="17"/>
      <c r="P7" s="18">
        <f>IFERROR(IF(OR(O7&gt;=Q7,E7&gt;=Q7),LOOKUP(IF(O7="",E7,O7),{0,1,10,50,100,500,1000,2000,4000,10000,14000,50000},{0.0,0.67,0.471,0.3564,0.3104,0.2299,0.19542,0.18392,0.17243,0.16093,0.15806,0.14944}),"MOQ="&amp;Q7),"")</f>
        <v>0.2299</v>
      </c>
      <c r="Q7" s="17">
        <v>1</v>
      </c>
      <c r="R7" s="19">
        <f>IFERROR(IF(O7="",E7,O7)*P7,"")</f>
        <v>183.92</v>
      </c>
      <c r="S7" s="17" t="s">
        <v>78</v>
      </c>
      <c r="T7" s="17">
        <v>12000</v>
      </c>
      <c r="U7" s="17"/>
      <c r="V7" s="18">
        <f>IFERROR(IF(OR(U7&gt;=W7,E7&gt;=W7),USD_GBP*LOOKUP(IF(U7="",E7,U7),{0,1,5,50,100,250,500,1000,2000,10000},{0.0,0.393,0.393,0.26,0.26,0.254,0.249,0.244,0.189,0.185}),"MOQ="&amp;W7),"")</f>
        <v>0.30044070455679955</v>
      </c>
      <c r="W7" s="17">
        <v>5</v>
      </c>
      <c r="X7" s="19">
        <f>IFERROR(IF(U7="",E7,U7)*V7,"")</f>
        <v>240.3526</v>
      </c>
      <c r="Y7" s="17" t="s">
        <v>88</v>
      </c>
      <c r="AF7" s="17">
        <v>105695</v>
      </c>
      <c r="AG7" s="17"/>
      <c r="AH7" s="18">
        <f>IFERROR(IF(OR(AG7&gt;=AI7,E7&gt;=AI7),LOOKUP(IF(AG7="",E7,AG7),{0,1,10,50,100,1000,10000},{0.0,0.7,0.493,0.373,0.325,0.318,0.191}),"MOQ="&amp;AI7),"")</f>
        <v>0.325</v>
      </c>
      <c r="AI7" s="17">
        <v>1</v>
      </c>
      <c r="AJ7" s="19">
        <f>IFERROR(IF(AG7="",E7,AG7)*AH7,"")</f>
        <v>260.0</v>
      </c>
      <c r="AK7" s="17" t="s">
        <v>98</v>
      </c>
      <c r="AL7" s="17">
        <v>12000</v>
      </c>
      <c r="AM7" s="17"/>
      <c r="AN7" s="18">
        <f>IFERROR(IF(OR(AM7&gt;=AO7,E7&gt;=AO7),LOOKUP(IF(AM7="",E7,AM7),{0,1,5,10,25,50,100,2000,4000},{0.0,0.7,0.7,0.493,0.433,0.373,0.325,0.192,0.191}),"MOQ="&amp;AO7),"")</f>
        <v>0.325</v>
      </c>
      <c r="AO7" s="17">
        <v>1</v>
      </c>
      <c r="AP7" s="19">
        <f>IFERROR(IF(AM7="",E7,AM7)*AN7,"")</f>
        <v>260.0</v>
      </c>
      <c r="AQ7" s="17" t="s">
        <v>106</v>
      </c>
    </row>
    <row r="8" spans="1:55">
      <c r="A8" s="17" t="s">
        <v>12</v>
      </c>
      <c r="B8" s="17" t="s">
        <v>13</v>
      </c>
      <c r="C8" s="17" t="s">
        <v>14</v>
      </c>
      <c r="E8" s="17">
        <f>CEILING(BoardQty*6,1)</f>
        <v>600</v>
      </c>
      <c r="F8" s="18">
        <f>IF(MIN(J8,P8,V8,AB8,AH8,AN8,AT8,AZ8)&lt;&gt;0,MIN(J8,P8,V8,AB8,AH8,AN8,AT8,AZ8),"")</f>
        <v/>
      </c>
      <c r="G8" s="19">
        <f>IF(AND(ISNUMBER(E8),ISNUMBER(F8)),E8*F8,"")</f>
        <v/>
      </c>
    </row>
    <row r="9" spans="1:55">
      <c r="A9" s="17" t="s">
        <v>15</v>
      </c>
      <c r="B9" s="17" t="s">
        <v>16</v>
      </c>
      <c r="C9" s="17" t="s">
        <v>10</v>
      </c>
      <c r="D9" s="17" t="s">
        <v>17</v>
      </c>
      <c r="E9" s="17">
        <f>CEILING(BoardQty*2.0,1)</f>
        <v>200</v>
      </c>
      <c r="F9" s="18">
        <f>IF(MIN(J9,P9,V9,AB9,AH9,AN9,AT9,AZ9)&lt;&gt;0,MIN(J9,P9,V9,AB9,AH9,AN9,AT9,AZ9),"")</f>
        <v>0.023</v>
      </c>
      <c r="G9" s="19">
        <f>IF(AND(ISNUMBER(E9),ISNUMBER(F9)),E9*F9,"")</f>
        <v>4.6</v>
      </c>
      <c r="H9" s="17">
        <v>2000</v>
      </c>
      <c r="I9" s="17"/>
      <c r="J9" s="18">
        <f>IFERROR(IF(OR(I9&gt;=K9,E9&gt;=K9),LOOKUP(IF(I9="",E9,I9),{0,1,2000,10000,24000,50000},{0.0,0.0873,0.0873,0.0802,0.0749,0.0695}),"MOQ="&amp;K9),"")</f>
        <v/>
      </c>
      <c r="K9" s="17">
        <v>2000</v>
      </c>
      <c r="L9" s="19">
        <f>IFERROR(IF(I9="",E9,I9)*J9,"")</f>
        <v/>
      </c>
      <c r="M9" s="17" t="s">
        <v>17</v>
      </c>
      <c r="N9" s="17">
        <v>55839</v>
      </c>
      <c r="O9" s="17"/>
      <c r="P9" s="18">
        <f>IFERROR(IF(OR(O9&gt;=Q9,E9&gt;=Q9),LOOKUP(IF(O9="",E9,O9),{0,1,10,50,100,500,1000,2000,4000,10000,14000,50000},{0.0,0.45,0.318,0.24,0.2091,0.15488,0.13165,0.12391,0.11616,0.10842,0.10648,0.10067}),"MOQ="&amp;Q9),"")</f>
        <v>0.2091</v>
      </c>
      <c r="Q9" s="17">
        <v>1</v>
      </c>
      <c r="R9" s="19">
        <f>IFERROR(IF(O9="",E9,O9)*P9,"")</f>
        <v>41.82</v>
      </c>
      <c r="S9" s="17" t="s">
        <v>79</v>
      </c>
      <c r="T9" s="17">
        <v>4000</v>
      </c>
      <c r="U9" s="17"/>
      <c r="V9" s="18">
        <f>IFERROR(IF(OR(U9&gt;=W9,E9&gt;=W9),USD_GBP*LOOKUP(IF(U9="",E9,U9),{0,1,5,50,100,250,500,1000,2000,10000},{0.0,0.292,0.292,0.175,0.175,0.154,0.132,0.112,0.111,0.109}),"MOQ="&amp;W9),"")</f>
        <v>0.21115310561220849</v>
      </c>
      <c r="W9" s="17">
        <v>5</v>
      </c>
      <c r="X9" s="19">
        <f>IFERROR(IF(U9="",E9,U9)*V9,"")</f>
        <v>42.2306</v>
      </c>
      <c r="Y9" s="17" t="s">
        <v>89</v>
      </c>
      <c r="Z9" s="17">
        <v>1901</v>
      </c>
      <c r="AA9" s="17"/>
      <c r="AB9" s="18">
        <f>IFERROR(IF(OR(AA9&gt;=AC9,E9&gt;=AC9),LOOKUP(IF(AA9="",E9,AA9),{0,1,10,30,100,500,1000},{0.0,0.2056,0.1737,0.16,0.1463,0.1372,0.1317}),"MOQ="&amp;AC9),"")</f>
        <v>0.1463</v>
      </c>
      <c r="AC9" s="17">
        <v>1</v>
      </c>
      <c r="AD9" s="19">
        <f>IFERROR(IF(AA9="",E9,AA9)*AB9,"")</f>
        <v>29.26</v>
      </c>
      <c r="AE9" s="17" t="s">
        <v>96</v>
      </c>
      <c r="AF9" s="17">
        <v>68818</v>
      </c>
      <c r="AG9" s="17"/>
      <c r="AH9" s="18">
        <f>IFERROR(IF(OR(AG9&gt;=AI9,E9&gt;=AI9),LOOKUP(IF(AG9="",E9,AG9),{0,1,10,50,100,1000,10000},{0.0,0.52,0.316,0.265,0.239,0.239,0.117}),"MOQ="&amp;AI9),"")</f>
        <v>0.239</v>
      </c>
      <c r="AI9" s="17">
        <v>1</v>
      </c>
      <c r="AJ9" s="19">
        <f>IFERROR(IF(AG9="",E9,AG9)*AH9,"")</f>
        <v>47.8</v>
      </c>
      <c r="AK9" s="17" t="s">
        <v>99</v>
      </c>
      <c r="AL9" s="17">
        <v>4000</v>
      </c>
      <c r="AM9" s="17"/>
      <c r="AN9" s="18">
        <f>IFERROR(IF(OR(AM9&gt;=AO9,E9&gt;=AO9),LOOKUP(IF(AM9="",E9,AM9),{0,1,5,10,25,50,100,2000,4000},{0.0,0.138,0.52,0.023,0.023,0.023,0.023,0.128,0.117}),"MOQ="&amp;AO9),"")</f>
        <v>0.023</v>
      </c>
      <c r="AO9" s="17">
        <v>1</v>
      </c>
      <c r="AP9" s="19">
        <f>IFERROR(IF(AM9="",E9,AM9)*AN9,"")</f>
        <v>4.6</v>
      </c>
      <c r="AQ9" s="17" t="s">
        <v>107</v>
      </c>
      <c r="AR9" s="17">
        <v>36550</v>
      </c>
      <c r="AS9" s="17"/>
      <c r="AT9" s="18">
        <f>IFERROR(IF(OR(AS9&gt;=AU9,E9&gt;=AU9),USD_GBP*LOOKUP(IF(AS9="",E9,AS9),{0,1,25,400,1000,2000,6000},{0.0,0.257,0.257,0.129,0.096,0.091,0.087}),"MOQ="&amp;AU9),"")</f>
        <v>0.3100934179562148</v>
      </c>
      <c r="AU9" s="17">
        <v>25</v>
      </c>
      <c r="AV9" s="19">
        <f>IFERROR(IF(AS9="",E9,AS9)*AT9,"")</f>
        <v>62.0187</v>
      </c>
      <c r="AW9" s="17" t="s">
        <v>113</v>
      </c>
      <c r="AX9" s="17">
        <v>6015</v>
      </c>
      <c r="AY9" s="17"/>
      <c r="AZ9" s="18">
        <f>IFERROR(IF(OR(AY9&gt;=BA9,E9&gt;=BA9),USD_GBP*LOOKUP(IF(AY9="",E9,AY9),{0,1,10,50,250,1000,2000},{0.0,0.2,0.2,0.158,0.10864,0.09061,0.0815}),"MOQ="&amp;BA9),"")</f>
        <v>0.1906410896384511</v>
      </c>
      <c r="BA9" s="17">
        <v>10</v>
      </c>
      <c r="BB9" s="19">
        <f>IFERROR(IF(AY9="",E9,AY9)*AZ9,"")</f>
        <v>38.1282</v>
      </c>
      <c r="BC9" s="17" t="s">
        <v>17</v>
      </c>
    </row>
    <row r="10" spans="1:55">
      <c r="A10" s="17" t="s">
        <v>18</v>
      </c>
      <c r="B10" s="17" t="s">
        <v>19</v>
      </c>
      <c r="C10" s="17" t="s">
        <v>20</v>
      </c>
      <c r="D10" s="17" t="s">
        <v>19</v>
      </c>
      <c r="E10" s="17">
        <f>CEILING(BoardQty*3.0,1)</f>
        <v>300</v>
      </c>
      <c r="F10" s="18">
        <f>IF(MIN(J10,P10,V10,AB10,AH10,AN10,AT10,AZ10)&lt;&gt;0,MIN(J10,P10,V10,AB10,AH10,AN10,AT10,AZ10),"")</f>
        <v>0.0731</v>
      </c>
      <c r="G10" s="19">
        <f>IF(AND(ISNUMBER(E10),ISNUMBER(F10)),E10*F10,"")</f>
        <v>21.93</v>
      </c>
      <c r="N10" s="17">
        <v>467533</v>
      </c>
      <c r="O10" s="17"/>
      <c r="P10" s="18">
        <f>IFERROR(IF(OR(O10&gt;=Q10,E10&gt;=Q10),LOOKUP(IF(O10="",E10,O10),{0,1,10,100,500,1000,3000,6000,15000,30000,75000},{0.0,0.15,0.134,0.0731,0.04502,0.03069,0.02609,0.02353,0.02046,0.01841,0.01637}),"MOQ="&amp;Q10),"")</f>
        <v>0.0731</v>
      </c>
      <c r="Q10" s="17">
        <v>1</v>
      </c>
      <c r="R10" s="19">
        <f>IFERROR(IF(O10="",E10,O10)*P10,"")</f>
        <v>21.93</v>
      </c>
      <c r="S10" s="17" t="s">
        <v>80</v>
      </c>
    </row>
    <row r="11" spans="1:55">
      <c r="A11" s="17" t="s">
        <v>21</v>
      </c>
      <c r="B11" s="17" t="s">
        <v>22</v>
      </c>
      <c r="C11" s="17" t="s">
        <v>23</v>
      </c>
      <c r="D11" s="17" t="s">
        <v>24</v>
      </c>
      <c r="E11" s="17">
        <f>CEILING(BoardQty*8.0,1)</f>
        <v>800</v>
      </c>
      <c r="F11" s="18">
        <f>IF(MIN(J11,P11,V11,AB11,AH11,AN11,AT11,AZ11)&lt;&gt;0,MIN(J11,P11,V11,AB11,AH11,AN11,AT11,AZ11),"")</f>
        <v>0.1926</v>
      </c>
      <c r="G11" s="19">
        <f>IF(AND(ISNUMBER(E11),ISNUMBER(F11)),E11*F11,"")</f>
        <v>154.08</v>
      </c>
      <c r="N11" s="17">
        <v>24020</v>
      </c>
      <c r="O11" s="17"/>
      <c r="P11" s="18">
        <f>IFERROR(IF(OR(O11&gt;=Q11,E11&gt;=Q11),LOOKUP(IF(O11="",E11,O11),{0,1,10,100,1000,2000,6000,10000},{0.0,0.54,0.335,0.1926,0.15073,0.13817,0.12561,0.1185}),"MOQ="&amp;Q11),"")</f>
        <v>0.1926</v>
      </c>
      <c r="Q11" s="17">
        <v>1</v>
      </c>
      <c r="R11" s="19">
        <f>IFERROR(IF(O11="",E11,O11)*P11,"")</f>
        <v>154.08</v>
      </c>
      <c r="S11" s="17" t="s">
        <v>81</v>
      </c>
    </row>
    <row r="12" spans="1:55">
      <c r="A12" s="17" t="s">
        <v>25</v>
      </c>
      <c r="B12" s="17" t="s">
        <v>26</v>
      </c>
      <c r="C12" s="17" t="s">
        <v>27</v>
      </c>
      <c r="E12" s="17">
        <f>CEILING(BoardQty*1,1)</f>
        <v>100</v>
      </c>
      <c r="F12" s="18">
        <f>IF(MIN(J12,P12,V12,AB12,AH12,AN12,AT12,AZ12)&lt;&gt;0,MIN(J12,P12,V12,AB12,AH12,AN12,AT12,AZ12),"")</f>
        <v/>
      </c>
      <c r="G12" s="19">
        <f>IF(AND(ISNUMBER(E12),ISNUMBER(F12)),E12*F12,"")</f>
        <v/>
      </c>
    </row>
    <row r="13" spans="1:55">
      <c r="A13" s="17" t="s">
        <v>28</v>
      </c>
      <c r="B13" s="17" t="s">
        <v>29</v>
      </c>
      <c r="C13" s="17" t="s">
        <v>30</v>
      </c>
      <c r="E13" s="17">
        <f>CEILING(BoardQty*1,1)</f>
        <v>100</v>
      </c>
      <c r="F13" s="18">
        <f>IF(MIN(J13,P13,V13,AB13,AH13,AN13,AT13,AZ13)&lt;&gt;0,MIN(J13,P13,V13,AB13,AH13,AN13,AT13,AZ13),"")</f>
        <v/>
      </c>
      <c r="G13" s="19">
        <f>IF(AND(ISNUMBER(E13),ISNUMBER(F13)),E13*F13,"")</f>
        <v/>
      </c>
    </row>
    <row r="14" spans="1:55" ht="30" customHeight="1">
      <c r="A14" s="17" t="s">
        <v>31</v>
      </c>
      <c r="B14" s="17" t="s">
        <v>32</v>
      </c>
      <c r="C14" s="17" t="s">
        <v>33</v>
      </c>
      <c r="E14" s="17">
        <f>CEILING(BoardQty*8,1)</f>
        <v>800</v>
      </c>
      <c r="F14" s="18">
        <f>IF(MIN(J14,P14,V14,AB14,AH14,AN14,AT14,AZ14)&lt;&gt;0,MIN(J14,P14,V14,AB14,AH14,AN14,AT14,AZ14),"")</f>
        <v/>
      </c>
      <c r="G14" s="19">
        <f>IF(AND(ISNUMBER(E14),ISNUMBER(F14)),E14*F14,"")</f>
        <v/>
      </c>
    </row>
    <row r="15" spans="1:55">
      <c r="A15" s="17" t="s">
        <v>34</v>
      </c>
      <c r="B15" s="17" t="s">
        <v>35</v>
      </c>
      <c r="C15" s="17" t="s">
        <v>36</v>
      </c>
      <c r="E15" s="17">
        <f>CEILING(BoardQty*1,1)</f>
        <v>100</v>
      </c>
      <c r="F15" s="18">
        <f>IF(MIN(J15,P15,V15,AB15,AH15,AN15,AT15,AZ15)&lt;&gt;0,MIN(J15,P15,V15,AB15,AH15,AN15,AT15,AZ15),"")</f>
        <v/>
      </c>
      <c r="G15" s="19">
        <f>IF(AND(ISNUMBER(E15),ISNUMBER(F15)),E15*F15,"")</f>
        <v/>
      </c>
    </row>
    <row r="16" spans="1:55">
      <c r="A16" s="17" t="s">
        <v>37</v>
      </c>
      <c r="B16" s="17" t="s">
        <v>38</v>
      </c>
      <c r="C16" s="17" t="s">
        <v>39</v>
      </c>
      <c r="E16" s="17">
        <f>CEILING(BoardQty*1,1)</f>
        <v>100</v>
      </c>
      <c r="F16" s="18">
        <f>IF(MIN(J16,P16,V16,AB16,AH16,AN16,AT16,AZ16)&lt;&gt;0,MIN(J16,P16,V16,AB16,AH16,AN16,AT16,AZ16),"")</f>
        <v/>
      </c>
      <c r="G16" s="19">
        <f>IF(AND(ISNUMBER(E16),ISNUMBER(F16)),E16*F16,"")</f>
        <v/>
      </c>
    </row>
    <row r="17" spans="1:55">
      <c r="A17" s="17" t="s">
        <v>40</v>
      </c>
      <c r="B17" s="17" t="s">
        <v>41</v>
      </c>
      <c r="C17" s="17" t="s">
        <v>39</v>
      </c>
      <c r="E17" s="17">
        <f>CEILING(BoardQty*4,1)</f>
        <v>400</v>
      </c>
      <c r="F17" s="18">
        <f>IF(MIN(J17,P17,V17,AB17,AH17,AN17,AT17,AZ17)&lt;&gt;0,MIN(J17,P17,V17,AB17,AH17,AN17,AT17,AZ17),"")</f>
        <v/>
      </c>
      <c r="G17" s="19">
        <f>IF(AND(ISNUMBER(E17),ISNUMBER(F17)),E17*F17,"")</f>
        <v/>
      </c>
    </row>
    <row r="18" spans="1:55">
      <c r="A18" s="17" t="s">
        <v>42</v>
      </c>
      <c r="B18" s="17" t="s">
        <v>43</v>
      </c>
      <c r="C18" s="17" t="s">
        <v>39</v>
      </c>
      <c r="E18" s="17">
        <f>CEILING(BoardQty*8,1)</f>
        <v>800</v>
      </c>
      <c r="F18" s="18">
        <f>IF(MIN(J18,P18,V18,AB18,AH18,AN18,AT18,AZ18)&lt;&gt;0,MIN(J18,P18,V18,AB18,AH18,AN18,AT18,AZ18),"")</f>
        <v/>
      </c>
      <c r="G18" s="19">
        <f>IF(AND(ISNUMBER(E18),ISNUMBER(F18)),E18*F18,"")</f>
        <v/>
      </c>
    </row>
    <row r="19" spans="1:55">
      <c r="A19" s="17" t="s">
        <v>44</v>
      </c>
      <c r="B19" s="17" t="s">
        <v>45</v>
      </c>
      <c r="C19" s="17" t="s">
        <v>39</v>
      </c>
      <c r="E19" s="17">
        <f>CEILING(BoardQty*8,1)</f>
        <v>800</v>
      </c>
      <c r="F19" s="18">
        <f>IF(MIN(J19,P19,V19,AB19,AH19,AN19,AT19,AZ19)&lt;&gt;0,MIN(J19,P19,V19,AB19,AH19,AN19,AT19,AZ19),"")</f>
        <v/>
      </c>
      <c r="G19" s="19">
        <f>IF(AND(ISNUMBER(E19),ISNUMBER(F19)),E19*F19,"")</f>
        <v/>
      </c>
    </row>
    <row r="20" spans="1:55">
      <c r="A20" s="17" t="s">
        <v>46</v>
      </c>
      <c r="B20" s="17" t="s">
        <v>47</v>
      </c>
      <c r="C20" s="17" t="s">
        <v>48</v>
      </c>
      <c r="E20" s="17">
        <f>CEILING(BoardQty*2,1)</f>
        <v>200</v>
      </c>
      <c r="F20" s="18">
        <f>IF(MIN(J20,P20,V20,AB20,AH20,AN20,AT20,AZ20)&lt;&gt;0,MIN(J20,P20,V20,AB20,AH20,AN20,AT20,AZ20),"")</f>
        <v/>
      </c>
      <c r="G20" s="19">
        <f>IF(AND(ISNUMBER(E20),ISNUMBER(F20)),E20*F20,"")</f>
        <v/>
      </c>
    </row>
    <row r="21" spans="1:55">
      <c r="A21" s="17" t="s">
        <v>49</v>
      </c>
      <c r="B21" s="17" t="s">
        <v>41</v>
      </c>
      <c r="C21" s="17" t="s">
        <v>48</v>
      </c>
      <c r="D21" s="17" t="s">
        <v>50</v>
      </c>
      <c r="E21" s="17">
        <f>CEILING(BoardQty*5.0,1)</f>
        <v>500</v>
      </c>
      <c r="F21" s="18">
        <f>IF(MIN(J21,P21,V21,AB21,AH21,AN21,AT21,AZ21)&lt;&gt;0,MIN(J21,P21,V21,AB21,AH21,AN21,AT21,AZ21),"")</f>
        <v>0.0188</v>
      </c>
      <c r="G21" s="19">
        <f>IF(AND(ISNUMBER(E21),ISNUMBER(F21)),E21*F21,"")</f>
        <v>9.4</v>
      </c>
      <c r="H21" s="17">
        <v>170000</v>
      </c>
      <c r="I21" s="17"/>
      <c r="J21" s="18">
        <f>IFERROR(IF(OR(I21&gt;=K21,E21&gt;=K21),LOOKUP(IF(I21="",E21,I21),{0,1,10,25,100,250,500,1000},{0.0,0.0784,0.0592,0.0483,0.0303,0.0237,0.0188,0.0133}),"MOQ="&amp;K21),"")</f>
        <v>0.0188</v>
      </c>
      <c r="K21" s="17">
        <v>1</v>
      </c>
      <c r="L21" s="19">
        <f>IFERROR(IF(I21="",E21,I21)*J21,"")</f>
        <v>9.4</v>
      </c>
      <c r="M21" s="17" t="s">
        <v>50</v>
      </c>
      <c r="N21" s="17">
        <v>29950</v>
      </c>
      <c r="O21" s="17"/>
      <c r="P21" s="18">
        <f>IFERROR(IF(OR(O21&gt;=Q21,E21&gt;=Q21),LOOKUP(IF(O21="",E21,O21),{0,1,10,25,50,100,250,500,1000,5000,10000,25000,50000,125000},{0.0,0.1,0.087,0.06,0.0466,0.0333,0.026,0.02066,0.01467,0.01133,0.01017,0.00933,0.00877,0.00857}),"MOQ="&amp;Q21),"")</f>
        <v>0.02066</v>
      </c>
      <c r="Q21" s="17">
        <v>1</v>
      </c>
      <c r="R21" s="19">
        <f>IFERROR(IF(O21="",E21,O21)*P21,"")</f>
        <v>10.33</v>
      </c>
      <c r="S21" s="17" t="s">
        <v>82</v>
      </c>
      <c r="T21" s="17">
        <v>6106</v>
      </c>
      <c r="U21" s="17"/>
      <c r="V21" s="18">
        <f>IFERROR(IF(OR(U21&gt;=W21,E21&gt;=W21),USD_GBP*LOOKUP(IF(U21="",E21,U21),{0,1,10,100,500,1000,2500,5000,25000},{0.0,0.0425,0.0425,0.0236,0.0191,0.019,0.0189,0.0188,0.0187}),"MOQ="&amp;W21),"")</f>
        <v>0.0230458532411039</v>
      </c>
      <c r="W21" s="17">
        <v>10</v>
      </c>
      <c r="X21" s="19">
        <f>IFERROR(IF(U21="",E21,U21)*V21,"")</f>
        <v>11.5229</v>
      </c>
      <c r="Y21" s="17" t="s">
        <v>90</v>
      </c>
      <c r="AF21" s="17">
        <v>53013</v>
      </c>
      <c r="AG21" s="17"/>
      <c r="AH21" s="18">
        <f>IFERROR(IF(OR(AG21&gt;=AI21,E21&gt;=AI21),LOOKUP(IF(AG21="",E21,AG21),{0,1,10,50,100,1000,10000},{0.0,0.1,0.047,0.047,0.026,0.015,0.014}),"MOQ="&amp;AI21),"")</f>
        <v>0.026</v>
      </c>
      <c r="AI21" s="17">
        <v>1</v>
      </c>
      <c r="AJ21" s="19">
        <f>IFERROR(IF(AG21="",E21,AG21)*AH21,"")</f>
        <v>13.0</v>
      </c>
      <c r="AK21" s="17" t="s">
        <v>100</v>
      </c>
      <c r="AL21" s="17">
        <v>6106</v>
      </c>
      <c r="AM21" s="17"/>
      <c r="AN21" s="18">
        <f>IFERROR(IF(OR(AM21&gt;=AO21,E21&gt;=AO21),LOOKUP(IF(AM21="",E21,AM21),{0,1,10,25,50,100,250,500,1000,100000,110000},{0.0,0.037,0.035,0.032,0.03,0.028,0.026,0.024,0.022,0.019,0.019}),"MOQ="&amp;AO21),"")</f>
        <v>0.024</v>
      </c>
      <c r="AO21" s="17">
        <v>1</v>
      </c>
      <c r="AP21" s="19">
        <f>IFERROR(IF(AM21="",E21,AM21)*AN21,"")</f>
        <v>12.0</v>
      </c>
      <c r="AQ21" s="17" t="s">
        <v>108</v>
      </c>
      <c r="AX21" s="20" t="s">
        <v>93</v>
      </c>
      <c r="AY21" s="17"/>
      <c r="AZ21" s="18">
        <f>IFERROR(IF(OR(AY21&gt;=BA21,E21&gt;=BA21),USD_GBP*LOOKUP(IF(AY21="",E21,AY21),{0,1,100,1000,5000},{0.0,0.0182,0.0182,0.00959,0.00695}),"MOQ="&amp;BA21),"")</f>
        <v>0.021959922983669687</v>
      </c>
      <c r="BA21" s="17">
        <v>100</v>
      </c>
      <c r="BB21" s="19">
        <f>IFERROR(IF(AY21="",E21,AY21)*AZ21,"")</f>
        <v>10.98</v>
      </c>
      <c r="BC21" s="17" t="s">
        <v>50</v>
      </c>
    </row>
    <row r="22" spans="1:55">
      <c r="A22" s="17" t="s">
        <v>51</v>
      </c>
      <c r="B22" s="17" t="s">
        <v>52</v>
      </c>
      <c r="C22" s="17" t="s">
        <v>48</v>
      </c>
      <c r="D22" s="17" t="s">
        <v>53</v>
      </c>
      <c r="E22" s="17">
        <f>CEILING(BoardQty*4.0,1)</f>
        <v>400</v>
      </c>
      <c r="F22" s="18">
        <f>IF(MIN(J22,P22,V22,AB22,AH22,AN22,AT22,AZ22)&lt;&gt;0,MIN(J22,P22,V22,AB22,AH22,AN22,AT22,AZ22),"")</f>
        <v>0.026</v>
      </c>
      <c r="G22" s="19">
        <f>IF(AND(ISNUMBER(E22),ISNUMBER(F22)),E22*F22,"")</f>
        <v>10.4</v>
      </c>
      <c r="H22" s="17">
        <v>3344</v>
      </c>
      <c r="I22" s="17"/>
      <c r="J22" s="18">
        <f>IFERROR(IF(OR(I22&gt;=K22,E22&gt;=K22),LOOKUP(IF(I22="",E22,I22),{0,1,10,25,100,250,500,1000,3000},{0.0,0.0572,0.0564,0.0555,0.0546,0.0538,0.0529,0.0521,0.0512}),"MOQ="&amp;K22),"")</f>
        <v>0.0538</v>
      </c>
      <c r="K22" s="17">
        <v>1</v>
      </c>
      <c r="L22" s="19">
        <f>IFERROR(IF(I22="",E22,I22)*J22,"")</f>
        <v>21.52</v>
      </c>
      <c r="M22" s="17" t="s">
        <v>53</v>
      </c>
      <c r="N22" s="17">
        <v>44930</v>
      </c>
      <c r="O22" s="17"/>
      <c r="P22" s="18">
        <f>IFERROR(IF(OR(O22&gt;=Q22,E22&gt;=Q22),LOOKUP(IF(O22="",E22,O22),{0,1,10,25,50,100,250,500,1000,5000,10000,25000,50000,125000},{0.0,0.1,0.087,0.06,0.0466,0.0333,0.026,0.02066,0.01467,0.01133,0.01017,0.00933,0.00877,0.00857}),"MOQ="&amp;Q22),"")</f>
        <v>0.026</v>
      </c>
      <c r="Q22" s="17">
        <v>1</v>
      </c>
      <c r="R22" s="19">
        <f>IFERROR(IF(O22="",E22,O22)*P22,"")</f>
        <v>10.4</v>
      </c>
      <c r="S22" s="17" t="s">
        <v>83</v>
      </c>
      <c r="T22" s="17">
        <v>3095</v>
      </c>
      <c r="U22" s="17"/>
      <c r="V22" s="18">
        <f>IFERROR(IF(OR(U22&gt;=W22,E22&gt;=W22),USD_GBP*LOOKUP(IF(U22="",E22,U22),{0,1,10,100,500,1000,2500,5000,25000},{0.0,0.0817,0.0817,0.0677,0.0607,0.056,0.0523,0.0495,0.0476}),"MOQ="&amp;W22),"")</f>
        <v>0.08168608714255152</v>
      </c>
      <c r="W22" s="17">
        <v>10</v>
      </c>
      <c r="X22" s="19">
        <f>IFERROR(IF(U22="",E22,U22)*V22,"")</f>
        <v>32.6744</v>
      </c>
      <c r="Y22" s="17" t="s">
        <v>91</v>
      </c>
      <c r="AF22" s="17">
        <v>4900</v>
      </c>
      <c r="AG22" s="17"/>
      <c r="AH22" s="18">
        <f>IFERROR(IF(OR(AG22&gt;=AI22,E22&gt;=AI22),LOOKUP(IF(AG22="",E22,AG22),{0,1,10,50,100,1000,10000},{0.0,0.1,0.053,0.053,0.032,0.021,0.01}),"MOQ="&amp;AI22),"")</f>
        <v>0.032</v>
      </c>
      <c r="AI22" s="17">
        <v>1</v>
      </c>
      <c r="AJ22" s="19">
        <f>IFERROR(IF(AG22="",E22,AG22)*AH22,"")</f>
        <v>12.8</v>
      </c>
      <c r="AK22" s="17" t="s">
        <v>101</v>
      </c>
      <c r="AL22" s="17">
        <v>3095</v>
      </c>
      <c r="AM22" s="17"/>
      <c r="AN22" s="18">
        <f>IFERROR(IF(OR(AM22&gt;=AO22,E22&gt;=AO22),LOOKUP(IF(AM22="",E22,AM22),{0,1,10,25,50,100,250,500,10000,20000,30000},{0.0,0.011,0.1,0.053,0.043,0.032,0.028,0.023,0.01,0.01,0.009}),"MOQ="&amp;AO22),"")</f>
        <v>0.028</v>
      </c>
      <c r="AO22" s="17">
        <v>1</v>
      </c>
      <c r="AP22" s="19">
        <f>IFERROR(IF(AM22="",E22,AM22)*AN22,"")</f>
        <v>11.2</v>
      </c>
      <c r="AQ22" s="17" t="s">
        <v>109</v>
      </c>
    </row>
    <row r="23" spans="1:55">
      <c r="A23" s="17" t="s">
        <v>54</v>
      </c>
      <c r="B23" s="17" t="s">
        <v>55</v>
      </c>
      <c r="C23" s="17" t="s">
        <v>48</v>
      </c>
      <c r="E23" s="17">
        <f>CEILING(BoardQty*1,1)</f>
        <v>100</v>
      </c>
      <c r="F23" s="18">
        <f>IF(MIN(J23,P23,V23,AB23,AH23,AN23,AT23,AZ23)&lt;&gt;0,MIN(J23,P23,V23,AB23,AH23,AN23,AT23,AZ23),"")</f>
        <v/>
      </c>
      <c r="G23" s="19">
        <f>IF(AND(ISNUMBER(E23),ISNUMBER(F23)),E23*F23,"")</f>
        <v/>
      </c>
    </row>
    <row r="24" spans="1:55">
      <c r="A24" s="17" t="s">
        <v>56</v>
      </c>
      <c r="B24" s="17" t="s">
        <v>57</v>
      </c>
      <c r="C24" s="17" t="s">
        <v>58</v>
      </c>
      <c r="D24" s="17" t="s">
        <v>59</v>
      </c>
      <c r="E24" s="17">
        <f>CEILING(BoardQty*1.0,1)</f>
        <v>100</v>
      </c>
      <c r="F24" s="18">
        <f>IF(MIN(J24,P24,V24,AB24,AH24,AN24,AT24,AZ24)&lt;&gt;0,MIN(J24,P24,V24,AB24,AH24,AN24,AT24,AZ24),"")</f>
        <v>0.11028225058831918</v>
      </c>
      <c r="G24" s="19">
        <f>IF(AND(ISNUMBER(E24),ISNUMBER(F24)),E24*F24,"")</f>
        <v>11.0282</v>
      </c>
      <c r="T24" s="20" t="s">
        <v>93</v>
      </c>
      <c r="U24" s="17"/>
      <c r="V24" s="18">
        <f>IFERROR(IF(OR(U24&gt;=W24,E24&gt;=W24),USD_GBP*LOOKUP(IF(U24="",E24,U24),{0,1,5,10,100,500,1000,5000,10000},{0.0,0.293,0.293,0.236,0.145,0.121,0.0822,0.0727,0.0712}),"MOQ="&amp;W24),"")</f>
        <v>0.1749554303644013</v>
      </c>
      <c r="W24" s="17">
        <v>5</v>
      </c>
      <c r="X24" s="19">
        <f>IFERROR(IF(U24="",E24,U24)*V24,"")</f>
        <v>17.4955</v>
      </c>
      <c r="Y24" s="17" t="s">
        <v>92</v>
      </c>
      <c r="AF24" s="20" t="s">
        <v>93</v>
      </c>
      <c r="AG24" s="17"/>
      <c r="AH24" s="18">
        <f>IFERROR(IF(OR(AG24&gt;=AI24,E24&gt;=AI24),LOOKUP(IF(AG24="",E24,AG24),{0,1,10,50,100,1000,10000},{0.0,0.4,0.321,0.321,0.198,0.123,0.098}),"MOQ="&amp;AI24),"")</f>
        <v>0.198</v>
      </c>
      <c r="AI24" s="17">
        <v>1</v>
      </c>
      <c r="AJ24" s="19">
        <f>IFERROR(IF(AG24="",E24,AG24)*AH24,"")</f>
        <v>19.8</v>
      </c>
      <c r="AK24" s="17" t="s">
        <v>102</v>
      </c>
      <c r="AL24" s="20" t="s">
        <v>93</v>
      </c>
      <c r="AM24" s="17"/>
      <c r="AN24" s="18">
        <f>IFERROR(IF(OR(AM24&gt;=AO24,E24&gt;=AO24),LOOKUP(IF(AM24="",E24,AM24),{0,1,5,10,25,50,100,250,500,1000},{0.0,0.4,0.4,0.321,0.28,0.239,0.198,0.181,0.164,0.123}),"MOQ="&amp;AO24),"")</f>
        <v>0.198</v>
      </c>
      <c r="AO24" s="17">
        <v>1</v>
      </c>
      <c r="AP24" s="19">
        <f>IFERROR(IF(AM24="",E24,AM24)*AN24,"")</f>
        <v>19.8</v>
      </c>
      <c r="AQ24" s="17" t="s">
        <v>110</v>
      </c>
      <c r="AX24" s="20" t="s">
        <v>93</v>
      </c>
      <c r="AY24" s="17"/>
      <c r="AZ24" s="18">
        <f>IFERROR(IF(OR(AY24&gt;=BA24,E24&gt;=BA24),USD_GBP*LOOKUP(IF(AY24="",E24,AY24),{0,1,5,25,100,500,4000},{0.0,0.13,0.13,0.106,0.0914,0.08,0.0746}),"MOQ="&amp;BA24),"")</f>
        <v>0.11028225058831918</v>
      </c>
      <c r="BA24" s="17">
        <v>5</v>
      </c>
      <c r="BB24" s="19">
        <f>IFERROR(IF(AY24="",E24,AY24)*AZ24,"")</f>
        <v>11.0282</v>
      </c>
      <c r="BC24" s="17" t="s">
        <v>59</v>
      </c>
    </row>
    <row r="25" spans="1:55">
      <c r="A25" s="17" t="s">
        <v>60</v>
      </c>
      <c r="B25" s="17" t="s">
        <v>61</v>
      </c>
      <c r="C25" s="17" t="s">
        <v>62</v>
      </c>
      <c r="D25" s="17" t="s">
        <v>63</v>
      </c>
      <c r="E25" s="17">
        <f>CEILING(BoardQty*1.0,1)</f>
        <v>100</v>
      </c>
      <c r="F25" s="18">
        <f>IF(MIN(J25,P25,V25,AB25,AH25,AN25,AT25,AZ25)&lt;&gt;0,MIN(J25,P25,V25,AB25,AH25,AN25,AT25,AZ25),"")</f>
        <v>0.262</v>
      </c>
      <c r="G25" s="19">
        <f>IF(AND(ISNUMBER(E25),ISNUMBER(F25)),E25*F25,"")</f>
        <v>26.2</v>
      </c>
      <c r="N25" s="17">
        <v>42</v>
      </c>
      <c r="O25" s="17"/>
      <c r="P25" s="18">
        <f>IFERROR(IF(OR(O25&gt;=Q25,E25&gt;=Q25),LOOKUP(IF(O25="",E25,O25),{0,1,10,25,100,250,500,1000},{0.0,0.52,0.423,0.3876,0.2883,0.26128,0.21624,0.16218}),"MOQ="&amp;Q25),"")</f>
        <v>0.2883</v>
      </c>
      <c r="Q25" s="17">
        <v>1</v>
      </c>
      <c r="R25" s="19">
        <f>IFERROR(IF(O25="",E25,O25)*P25,"")</f>
        <v>28.83</v>
      </c>
      <c r="S25" s="17" t="s">
        <v>84</v>
      </c>
      <c r="AF25" s="17">
        <v>106</v>
      </c>
      <c r="AG25" s="17"/>
      <c r="AH25" s="18">
        <f>IFERROR(IF(OR(AG25&gt;=AI25,E25&gt;=AI25),LOOKUP(IF(AG25="",E25,AG25),{0,1,10,50,100,1000,10000},{0.0,0.52,0.424,0.424,0.262,0.163,0.148}),"MOQ="&amp;AI25),"")</f>
        <v>0.262</v>
      </c>
      <c r="AI25" s="17">
        <v>1</v>
      </c>
      <c r="AJ25" s="19">
        <f>IFERROR(IF(AG25="",E25,AG25)*AH25,"")</f>
        <v>26.2</v>
      </c>
      <c r="AK25" s="17" t="s">
        <v>103</v>
      </c>
    </row>
    <row r="26" spans="1:55" ht="45" customHeight="1">
      <c r="A26" s="17" t="s">
        <v>64</v>
      </c>
      <c r="B26" s="17" t="s">
        <v>65</v>
      </c>
      <c r="C26" s="17" t="s">
        <v>66</v>
      </c>
      <c r="D26" s="17" t="s">
        <v>65</v>
      </c>
      <c r="E26" s="17">
        <f>CEILING(BoardQty*1.0,1)</f>
        <v>100</v>
      </c>
      <c r="F26" s="18">
        <f>IF(MIN(J26,P26,V26,AB26,AH26,AN26,AT26,AZ26)&lt;&gt;0,MIN(J26,P26,V26,AB26,AH26,AN26,AT26,AZ26),"")</f>
        <v>3.1731</v>
      </c>
      <c r="G26" s="19">
        <f>IF(AND(ISNUMBER(E26),ISNUMBER(F26)),E26*F26,"")</f>
        <v>317.31</v>
      </c>
      <c r="N26" s="17">
        <v>1308</v>
      </c>
      <c r="O26" s="17"/>
      <c r="P26" s="18">
        <f>IFERROR(IF(OR(O26&gt;=Q26,E26&gt;=Q26),LOOKUP(IF(O26="",E26,O26),{0,1,10,25,100,250,500,1000,2000},{0.0,4.31,3.873,3.6612,3.1731,3.0104,2.70124,2.27815,2.16424}),"MOQ="&amp;Q26),"")</f>
        <v>3.1731</v>
      </c>
      <c r="Q26" s="17">
        <v>1</v>
      </c>
      <c r="R26" s="19">
        <f>IFERROR(IF(O26="",E26,O26)*P26,"")</f>
        <v>317.31</v>
      </c>
      <c r="S26" s="17" t="s">
        <v>85</v>
      </c>
    </row>
    <row r="27" spans="1:55">
      <c r="A27" s="17" t="s">
        <v>67</v>
      </c>
      <c r="B27" s="17" t="s">
        <v>68</v>
      </c>
      <c r="C27" s="17" t="s">
        <v>69</v>
      </c>
      <c r="D27" s="17" t="s">
        <v>70</v>
      </c>
      <c r="E27" s="17">
        <f>CEILING(BoardQty*4.0,1)</f>
        <v>400</v>
      </c>
      <c r="F27" s="18">
        <f>IF(MIN(J27,P27,V27,AB27,AH27,AN27,AT27,AZ27)&lt;&gt;0,MIN(J27,P27,V27,AB27,AH27,AN27,AT27,AZ27),"")</f>
        <v>0.79992</v>
      </c>
      <c r="G27" s="19">
        <f>IF(AND(ISNUMBER(E27),ISNUMBER(F27)),E27*F27,"")</f>
        <v>319.968</v>
      </c>
      <c r="N27" s="17">
        <v>5258</v>
      </c>
      <c r="O27" s="17"/>
      <c r="P27" s="18">
        <f>IFERROR(IF(OR(O27&gt;=Q27,E27&gt;=Q27),LOOKUP(IF(O27="",E27,O27),{0,1,10,25,100,250,500,1000},{0.0,1.23,1.098,1.0416,0.8557,0.79992,0.70692,0.61425}),"MOQ="&amp;Q27),"")</f>
        <v>0.79992</v>
      </c>
      <c r="Q27" s="17">
        <v>1</v>
      </c>
      <c r="R27" s="19">
        <f>IFERROR(IF(O27="",E27,O27)*P27,"")</f>
        <v>319.968</v>
      </c>
      <c r="S27" s="17" t="s">
        <v>86</v>
      </c>
      <c r="T27" s="20" t="s">
        <v>93</v>
      </c>
      <c r="U27" s="17"/>
      <c r="V27" s="18">
        <f>IFERROR(IF(OR(U27&gt;=W27,E27&gt;=W27),USD_GBP*LOOKUP(IF(U27="",E27,U27),{0,1,10,25,50,100},{0.0,1.07,0.97,0.964,0.957,0.951}),"MOQ="&amp;W27),"")</f>
        <v>1.1474663053554874</v>
      </c>
      <c r="W27" s="17">
        <v>1</v>
      </c>
      <c r="X27" s="19">
        <f>IFERROR(IF(U27="",E27,U27)*V27,"")</f>
        <v>458.9865</v>
      </c>
      <c r="Y27" s="17" t="s">
        <v>94</v>
      </c>
      <c r="AF27" s="17">
        <v>705</v>
      </c>
      <c r="AG27" s="17"/>
      <c r="AH27" s="18">
        <f>IFERROR(IF(OR(AG27&gt;=AI27,E27&gt;=AI27),LOOKUP(IF(AG27="",E27,AG27),{0,1,10,50,100,1000,10000},{0.0,1.23,1.1,1.05,0.83,0.665,0.621}),"MOQ="&amp;AI27),"")</f>
        <v>0.83</v>
      </c>
      <c r="AI27" s="17">
        <v>1</v>
      </c>
      <c r="AJ27" s="19">
        <f>IFERROR(IF(AG27="",E27,AG27)*AH27,"")</f>
        <v>332.0</v>
      </c>
      <c r="AK27" s="17" t="s">
        <v>104</v>
      </c>
      <c r="AL27" s="20" t="s">
        <v>93</v>
      </c>
      <c r="AM27" s="17"/>
      <c r="AN27" s="18">
        <f>IFERROR(IF(OR(AM27&gt;=AO27,E27&gt;=AO27),LOOKUP(IF(AM27="",E27,AM27),{0,1,10,100,500,1000,2500},{0.0,1.64,1.51,1.37,1.31,1.24,1.17}),"MOQ="&amp;AO27),"")</f>
        <v>1.37</v>
      </c>
      <c r="AO27" s="17">
        <v>1</v>
      </c>
      <c r="AP27" s="19">
        <f>IFERROR(IF(AM27="",E27,AM27)*AN27,"")</f>
        <v>548.0</v>
      </c>
      <c r="AQ27" s="17" t="s">
        <v>111</v>
      </c>
    </row>
    <row r="29" spans="1:55">
      <c r="B29" s="21" t="s">
        <v>117</v>
      </c>
      <c r="F29" s="1" t="s">
        <v>115</v>
      </c>
      <c r="G29" s="5">
        <f>SUM(L29,R29,X29,AD29,AJ29,AP29,AV29,BB29)</f>
        <v>0</v>
      </c>
      <c r="H29" s="22" t="s">
        <v>76</v>
      </c>
      <c r="I29" s="6">
        <f>IFERROR(IF(COUNTIF(I7:I27,"&gt;0")&gt;0,COUNTIF(I7:I27,"&gt;0")&amp;" of "&amp;(ROWS(K7:K27)-COUNTBLANK(K7:K27))&amp;" parts purchased",""),"")</f>
        <v/>
      </c>
      <c r="L29" s="5">
        <f>SUMIF(I7:I27,"&gt;0",L7:L27)</f>
        <v>0</v>
      </c>
      <c r="N29" s="22" t="s">
        <v>76</v>
      </c>
      <c r="O29" s="6">
        <f>IFERROR(IF(COUNTIF(O7:O27,"&gt;0")&gt;0,COUNTIF(O7:O27,"&gt;0")&amp;" of "&amp;(ROWS(Q7:Q27)-COUNTBLANK(Q7:Q27))&amp;" parts purchased",""),"")</f>
        <v/>
      </c>
      <c r="R29" s="5">
        <f>SUMIF(O7:O27,"&gt;0",R7:R27)</f>
        <v>0</v>
      </c>
      <c r="T29" s="22" t="s">
        <v>76</v>
      </c>
      <c r="U29" s="6">
        <f>IFERROR(IF(COUNTIF(U7:U27,"&gt;0")&gt;0,COUNTIF(U7:U27,"&gt;0")&amp;" of "&amp;(ROWS(W7:W27)-COUNTBLANK(W7:W27))&amp;" parts purchased",""),"")</f>
        <v/>
      </c>
      <c r="X29" s="5">
        <f>SUMIF(U7:U27,"&gt;0",X7:X27)</f>
        <v>0</v>
      </c>
      <c r="Z29" s="22" t="s">
        <v>76</v>
      </c>
      <c r="AA29" s="6">
        <f>IFERROR(IF(COUNTIF(AA7:AA27,"&gt;0")&gt;0,COUNTIF(AA7:AA27,"&gt;0")&amp;" of "&amp;(ROWS(AC7:AC27)-COUNTBLANK(AC7:AC27))&amp;" parts purchased",""),"")</f>
        <v/>
      </c>
      <c r="AD29" s="5">
        <f>SUMIF(AA7:AA27,"&gt;0",AD7:AD27)</f>
        <v>0</v>
      </c>
      <c r="AF29" s="22" t="s">
        <v>76</v>
      </c>
      <c r="AG29" s="6">
        <f>IFERROR(IF(COUNTIF(AG7:AG27,"&gt;0")&gt;0,COUNTIF(AG7:AG27,"&gt;0")&amp;" of "&amp;(ROWS(AI7:AI27)-COUNTBLANK(AI7:AI27))&amp;" parts purchased",""),"")</f>
        <v/>
      </c>
      <c r="AJ29" s="5">
        <f>SUMIF(AG7:AG27,"&gt;0",AJ7:AJ27)</f>
        <v>0</v>
      </c>
      <c r="AL29" s="22" t="s">
        <v>76</v>
      </c>
      <c r="AM29" s="6">
        <f>IFERROR(IF(COUNTIF(AM7:AM27,"&gt;0")&gt;0,COUNTIF(AM7:AM27,"&gt;0")&amp;" of "&amp;(ROWS(AO7:AO27)-COUNTBLANK(AO7:AO27))&amp;" parts purchased",""),"")</f>
        <v/>
      </c>
      <c r="AP29" s="5">
        <f>SUMIF(AM7:AM27,"&gt;0",AP7:AP27)</f>
        <v>0</v>
      </c>
      <c r="AR29" s="22" t="s">
        <v>76</v>
      </c>
      <c r="AS29" s="6">
        <f>IFERROR(IF(COUNTIF(AS7:AS27,"&gt;0")&gt;0,COUNTIF(AS7:AS27,"&gt;0")&amp;" of "&amp;(ROWS(AU7:AU27)-COUNTBLANK(AU7:AU27))&amp;" parts purchased",""),"")</f>
        <v/>
      </c>
      <c r="AV29" s="5">
        <f>SUMIF(AS7:AS27,"&gt;0",AV7:AV27)</f>
        <v>0</v>
      </c>
      <c r="AX29" s="22" t="s">
        <v>76</v>
      </c>
      <c r="AY29" s="6">
        <f>IFERROR(IF(COUNTIF(AY7:AY27,"&gt;0")&gt;0,COUNTIF(AY7:AY27,"&gt;0")&amp;" of "&amp;(ROWS(BA7:BA27)-COUNTBLANK(BA7:BA27))&amp;" parts purchased",""),"")</f>
        <v/>
      </c>
      <c r="BB29" s="5">
        <f>SUMIF(AY7:AY27,"&gt;0",BB7:BB27)</f>
        <v>0</v>
      </c>
    </row>
    <row r="30" spans="1:55">
      <c r="B30" s="21" t="s">
        <v>118</v>
      </c>
      <c r="C30">
        <v>1.206589174926906</v>
      </c>
      <c r="F30" s="21" t="s">
        <v>116</v>
      </c>
      <c r="I30" s="23">
        <f>CONCATENATE(I52,I53,I54,I55,I56,I57,I58,I59,I60,I61,I62,I63,I64,I65,I66,I67,I68,I69,I70,I71,I72)</f>
        <v/>
      </c>
      <c r="O30" s="23">
        <f>CONCATENATE(O52,O53,O54,O55,O56,O57,O58,O59,O60,O61,O62,O63,O64,O65,O66,O67,O68,O69,O70,O71,O72)</f>
        <v/>
      </c>
      <c r="U30" s="23">
        <f>CONCATENATE(U52,U53,U54,U55,U56,U57,U58,U59,U60,U61,U62,U63,U64,U65,U66,U67,U68,U69,U70,U71,U72)</f>
        <v/>
      </c>
      <c r="AA30" s="23" t="str">
        <f>CONCATENATE(AA73,AA52,AA53,AA54,AA55,AA56,AA57,AA58,AA59,AA60,AA61,AA62,AA63,AA64,AA65,AA66,AA67,AA68,AA69,AA70,AA71,AA72)</f>
        <v>Copy this header and order to a CSV
file and use it for JLCPCB 
manufacturer PCB house.
The multipart components that use
"#" symbol are not allowed by JLCPCB.</v>
      </c>
      <c r="AG30" s="23">
        <f>CONCATENATE(AG52,AG53,AG54,AG55,AG56,AG57,AG58,AG59,AG60,AG61,AG62,AG63,AG64,AG65,AG66,AG67,AG68,AG69,AG70,AG71,AG72)</f>
        <v/>
      </c>
      <c r="AM30" s="23">
        <f>CONCATENATE(AM52,AM53,AM54,AM55,AM56,AM57,AM58,AM59,AM60,AM61,AM62,AM63,AM64,AM65,AM66,AM67,AM68,AM69,AM70,AM71,AM72)</f>
        <v/>
      </c>
      <c r="AS30" s="23">
        <f>CONCATENATE(AS52,AS53,AS54,AS55,AS56,AS57,AS58,AS59,AS60,AS61,AS62,AS63,AS64,AS65,AS66,AS67,AS68,AS69,AS70,AS71,AS72)</f>
        <v/>
      </c>
      <c r="AY30" s="23">
        <f>CONCATENATE(AY52,AY53,AY54,AY55,AY56,AY57,AY58,AY59,AY60,AY61,AY62,AY63,AY64,AY65,AY66,AY67,AY68,AY69,AY70,AY71,AY72)</f>
        <v/>
      </c>
    </row>
    <row r="32" spans="1:55">
      <c r="A32" s="2" t="s">
        <v>129</v>
      </c>
    </row>
    <row r="52" spans="9:51" ht="30" hidden="1" customHeight="1">
      <c r="I52" t="str">
        <f t="array" ref="I52:I72">IF(ISNUMBER(I7:I27)*(I7:I27&gt;=K7:K27)*(M7:M27&lt;&gt;""),M7:M27&amp;","&amp;TEXT(ROUNDUP(I7:I27/IF(ISNUMBER(K7:K27),K7:K27,1),0)*K7:K27,"##0")&amp;","&amp;SUBSTITUTE(SUBSTITUTE(IF(PURCHASE_DESCRIPTION&lt;&gt;"",PURCHASE_DESCRIPTION&amp;":","")&amp;A7:A27,",",";"),"
"," ")&amp;CHAR(10),"")</f>
        <v/>
      </c>
      <c r="O52" t="str">
        <f t="array" ref="O52:O72">IF(ISNUMBER(O7:O27)*(O7:O27&gt;=Q7:Q27)*(S7:S27&lt;&gt;""),TEXT(ROUNDUP(O7:O27/IF(ISNUMBER(Q7:Q27),Q7:Q27,1),0)*Q7:Q27,"##0")&amp;","&amp;S7:S27&amp;","&amp;SUBSTITUTE(SUBSTITUTE(IF(PURCHASE_DESCRIPTION&lt;&gt;"",PURCHASE_DESCRIPTION&amp;":","")&amp;A7:A27,",",";"),"
"," ")&amp;CHAR(10),"")</f>
        <v/>
      </c>
      <c r="U52" t="str">
        <f t="array" ref="U52:U72">IF(ISNUMBER(U7:U27)*(U7:U27&gt;=W7:W27)*(Y7:Y27&lt;&gt;""),Y7:Y27&amp;","&amp;TEXT(ROUNDUP(U7:U27/IF(ISNUMBER(W7:W27),W7:W27,1),0)*W7:W27,"##0")&amp;","&amp;""&amp;","&amp;LEFT(SUBSTITUTE(SUBSTITUTE(IF(PURCHASE_DESCRIPTION&lt;&gt;"",PURCHASE_DESCRIPTION&amp;":","")&amp;A7:A27,",",";"),"
"," "),30)&amp;CHAR(10),"")</f>
        <v/>
      </c>
      <c r="AA52" t="str">
        <f t="array" ref="AA52:AA72">IF(ISNUMBER(AA7:AA27)*(AA7:AA27&gt;=AC7:AC27)*(AE7:AE27&lt;&gt;""),TEXT(ROUNDUP(AA7:AA27/IF(ISNUMBER(AC7:AC27),AC7:AC27,1),0)*AC7:AC27,"##0")&amp;","&amp;SUBSTITUTE(SUBSTITUTE(IF(PURCHASE_DESCRIPTION&lt;&gt;"",PURCHASE_DESCRIPTION&amp;":","")&amp;A7:A27,",",";"),"
"," ")&amp;","&amp;SUBSTITUTE(SUBSTITUTE(IF(PURCHASE_DESCRIPTION&lt;&gt;"",PURCHASE_DESCRIPTION&amp;":","")&amp;C7:C27,",",";"),"
"," ")&amp;","&amp;AE7:AE27&amp;CHAR(10),"")</f>
        <v/>
      </c>
      <c r="AG52" t="str">
        <f t="array" ref="AG52:AG72">IF(ISNUMBER(AG7:AG27)*(AG7:AG27&gt;=AI7:AI27)*(AK7:AK27&lt;&gt;""),AK7:AK27&amp;"|"&amp;TEXT(ROUNDUP(AG7:AG27/IF(ISNUMBER(AI7:AI27),AI7:AI27,1),0)*AI7:AI27,"##0")&amp;"|"&amp;SUBSTITUTE(SUBSTITUTE(SUBSTITUTE(IF(PURCHASE_DESCRIPTION&lt;&gt;"",PURCHASE_DESCRIPTION&amp;":","")&amp;A7:A27,"|",";")," ","_"),"
","_")&amp;CHAR(10),"")</f>
        <v/>
      </c>
      <c r="AM52" t="str">
        <f t="array" ref="AM52:AM72">IF(ISNUMBER(AM7:AM27)*(AM7:AM27&gt;=AO7:AO27)*(AQ7:AQ27&lt;&gt;""),AQ7:AQ27&amp;","&amp;TEXT(ROUNDUP(AM7:AM27/IF(ISNUMBER(AO7:AO27),AO7:AO27,1),0)*AO7:AO27,"##0")&amp;","&amp;SUBSTITUTE(SUBSTITUTE(IF(PURCHASE_DESCRIPTION&lt;&gt;"",PURCHASE_DESCRIPTION&amp;":","")&amp;A7:A27,",",";"),"
"," ")&amp;","&amp;""&amp;CHAR(10),"")</f>
        <v/>
      </c>
      <c r="AS52" t="str">
        <f t="array" ref="AS52:AS72">IF(ISNUMBER(AS7:AS27)*(AS7:AS27&gt;=AU7:AU27)*(AW7:AW27&lt;&gt;""),AW7:AW27&amp;","&amp;TEXT(ROUNDUP(AS7:AS27/IF(ISNUMBER(AU7:AU27),AU7:AU27,1),0)*AU7:AU27,"##0")&amp;","&amp;""&amp;","&amp;""&amp;","&amp;""&amp;","&amp;D7:D27&amp;","&amp;SUBSTITUTE(SUBSTITUTE(IF(PURCHASE_DESCRIPTION&lt;&gt;"",PURCHASE_DESCRIPTION&amp;":","")&amp;A7:A27,",",";"),"
"," ")&amp;CHAR(10),"")</f>
        <v/>
      </c>
      <c r="AY52" t="str">
        <f t="array" ref="AY52:AY72">IF(ISNUMBER(AY7:AY27)*(AY7:AY27&gt;=BA7:BA27)*(BC7:BC27&lt;&gt;""),BC7:BC27&amp;" "&amp;TEXT(ROUNDUP(AY7:AY27/IF(ISNUMBER(BA7:BA27),BA7:BA27,1),0)*BA7:BA27,"##0")&amp;" "&amp;SUBSTITUTE(SUBSTITUTE(IF(PURCHASE_DESCRIPTION&lt;&gt;"",PURCHASE_DESCRIPTION&amp;":","")&amp;A7:A27," ",";"),"
",";")&amp;CHAR(10),"")</f>
        <v/>
      </c>
    </row>
    <row r="53" spans="9:51" ht="30" hidden="1" customHeight="1">
      <c r="I53">
        <v>0</v>
      </c>
      <c r="O53">
        <v>0</v>
      </c>
      <c r="U53">
        <v>0</v>
      </c>
      <c r="AA53">
        <v>0</v>
      </c>
      <c r="AG53">
        <v>0</v>
      </c>
      <c r="AM53">
        <v>0</v>
      </c>
      <c r="AS53">
        <v>0</v>
      </c>
      <c r="AY53">
        <v>0</v>
      </c>
    </row>
    <row r="54" spans="9:51" ht="30" hidden="1" customHeight="1">
      <c r="I54">
        <v>0</v>
      </c>
      <c r="O54">
        <v>0</v>
      </c>
      <c r="U54">
        <v>0</v>
      </c>
      <c r="AA54">
        <v>0</v>
      </c>
      <c r="AG54">
        <v>0</v>
      </c>
      <c r="AM54">
        <v>0</v>
      </c>
      <c r="AS54">
        <v>0</v>
      </c>
      <c r="AY54">
        <v>0</v>
      </c>
    </row>
    <row r="55" spans="9:51" ht="30" hidden="1" customHeight="1">
      <c r="I55">
        <v>0</v>
      </c>
      <c r="O55">
        <v>0</v>
      </c>
      <c r="U55">
        <v>0</v>
      </c>
      <c r="AA55">
        <v>0</v>
      </c>
      <c r="AG55">
        <v>0</v>
      </c>
      <c r="AM55">
        <v>0</v>
      </c>
      <c r="AS55">
        <v>0</v>
      </c>
      <c r="AY55">
        <v>0</v>
      </c>
    </row>
    <row r="56" spans="9:51" ht="30" hidden="1" customHeight="1">
      <c r="I56">
        <v>0</v>
      </c>
      <c r="O56">
        <v>0</v>
      </c>
      <c r="U56">
        <v>0</v>
      </c>
      <c r="AA56">
        <v>0</v>
      </c>
      <c r="AG56">
        <v>0</v>
      </c>
      <c r="AM56">
        <v>0</v>
      </c>
      <c r="AS56">
        <v>0</v>
      </c>
      <c r="AY56">
        <v>0</v>
      </c>
    </row>
    <row r="57" spans="9:51" ht="30" hidden="1" customHeight="1">
      <c r="I57">
        <v>0</v>
      </c>
      <c r="O57">
        <v>0</v>
      </c>
      <c r="U57">
        <v>0</v>
      </c>
      <c r="AA57">
        <v>0</v>
      </c>
      <c r="AG57">
        <v>0</v>
      </c>
      <c r="AM57">
        <v>0</v>
      </c>
      <c r="AS57">
        <v>0</v>
      </c>
      <c r="AY57">
        <v>0</v>
      </c>
    </row>
    <row r="58" spans="9:51" ht="30" hidden="1" customHeight="1">
      <c r="I58">
        <v>0</v>
      </c>
      <c r="O58">
        <v>0</v>
      </c>
      <c r="U58">
        <v>0</v>
      </c>
      <c r="AA58">
        <v>0</v>
      </c>
      <c r="AG58">
        <v>0</v>
      </c>
      <c r="AM58">
        <v>0</v>
      </c>
      <c r="AS58">
        <v>0</v>
      </c>
      <c r="AY58">
        <v>0</v>
      </c>
    </row>
    <row r="59" spans="9:51" ht="30" hidden="1" customHeight="1">
      <c r="I59">
        <v>0</v>
      </c>
      <c r="O59">
        <v>0</v>
      </c>
      <c r="U59">
        <v>0</v>
      </c>
      <c r="AA59">
        <v>0</v>
      </c>
      <c r="AG59">
        <v>0</v>
      </c>
      <c r="AM59">
        <v>0</v>
      </c>
      <c r="AS59">
        <v>0</v>
      </c>
      <c r="AY59">
        <v>0</v>
      </c>
    </row>
    <row r="60" spans="9:51" ht="30" hidden="1" customHeight="1">
      <c r="I60">
        <v>0</v>
      </c>
      <c r="O60">
        <v>0</v>
      </c>
      <c r="U60">
        <v>0</v>
      </c>
      <c r="AA60">
        <v>0</v>
      </c>
      <c r="AG60">
        <v>0</v>
      </c>
      <c r="AM60">
        <v>0</v>
      </c>
      <c r="AS60">
        <v>0</v>
      </c>
      <c r="AY60">
        <v>0</v>
      </c>
    </row>
    <row r="61" spans="9:51" ht="30" hidden="1" customHeight="1">
      <c r="I61">
        <v>0</v>
      </c>
      <c r="O61">
        <v>0</v>
      </c>
      <c r="U61">
        <v>0</v>
      </c>
      <c r="AA61">
        <v>0</v>
      </c>
      <c r="AG61">
        <v>0</v>
      </c>
      <c r="AM61">
        <v>0</v>
      </c>
      <c r="AS61">
        <v>0</v>
      </c>
      <c r="AY61">
        <v>0</v>
      </c>
    </row>
    <row r="62" spans="9:51" ht="30" hidden="1" customHeight="1">
      <c r="I62">
        <v>0</v>
      </c>
      <c r="O62">
        <v>0</v>
      </c>
      <c r="U62">
        <v>0</v>
      </c>
      <c r="AA62">
        <v>0</v>
      </c>
      <c r="AG62">
        <v>0</v>
      </c>
      <c r="AM62">
        <v>0</v>
      </c>
      <c r="AS62">
        <v>0</v>
      </c>
      <c r="AY62">
        <v>0</v>
      </c>
    </row>
    <row r="63" spans="9:51" ht="30" hidden="1" customHeight="1">
      <c r="I63">
        <v>0</v>
      </c>
      <c r="O63">
        <v>0</v>
      </c>
      <c r="U63">
        <v>0</v>
      </c>
      <c r="AA63">
        <v>0</v>
      </c>
      <c r="AG63">
        <v>0</v>
      </c>
      <c r="AM63">
        <v>0</v>
      </c>
      <c r="AS63">
        <v>0</v>
      </c>
      <c r="AY63">
        <v>0</v>
      </c>
    </row>
    <row r="64" spans="9:51" ht="30" hidden="1" customHeight="1">
      <c r="I64">
        <v>0</v>
      </c>
      <c r="O64">
        <v>0</v>
      </c>
      <c r="U64">
        <v>0</v>
      </c>
      <c r="AA64">
        <v>0</v>
      </c>
      <c r="AG64">
        <v>0</v>
      </c>
      <c r="AM64">
        <v>0</v>
      </c>
      <c r="AS64">
        <v>0</v>
      </c>
      <c r="AY64">
        <v>0</v>
      </c>
    </row>
    <row r="65" spans="9:51" ht="30" hidden="1" customHeight="1">
      <c r="I65">
        <v>0</v>
      </c>
      <c r="O65">
        <v>0</v>
      </c>
      <c r="U65">
        <v>0</v>
      </c>
      <c r="AA65">
        <v>0</v>
      </c>
      <c r="AG65">
        <v>0</v>
      </c>
      <c r="AM65">
        <v>0</v>
      </c>
      <c r="AS65">
        <v>0</v>
      </c>
      <c r="AY65">
        <v>0</v>
      </c>
    </row>
    <row r="66" spans="9:51" ht="30" hidden="1" customHeight="1">
      <c r="I66">
        <v>0</v>
      </c>
      <c r="O66">
        <v>0</v>
      </c>
      <c r="U66">
        <v>0</v>
      </c>
      <c r="AA66">
        <v>0</v>
      </c>
      <c r="AG66">
        <v>0</v>
      </c>
      <c r="AM66">
        <v>0</v>
      </c>
      <c r="AS66">
        <v>0</v>
      </c>
      <c r="AY66">
        <v>0</v>
      </c>
    </row>
    <row r="67" spans="9:51" ht="30" hidden="1" customHeight="1">
      <c r="I67">
        <v>0</v>
      </c>
      <c r="O67">
        <v>0</v>
      </c>
      <c r="U67">
        <v>0</v>
      </c>
      <c r="AA67">
        <v>0</v>
      </c>
      <c r="AG67">
        <v>0</v>
      </c>
      <c r="AM67">
        <v>0</v>
      </c>
      <c r="AS67">
        <v>0</v>
      </c>
      <c r="AY67">
        <v>0</v>
      </c>
    </row>
    <row r="68" spans="9:51" ht="30" hidden="1" customHeight="1">
      <c r="I68">
        <v>0</v>
      </c>
      <c r="O68">
        <v>0</v>
      </c>
      <c r="U68">
        <v>0</v>
      </c>
      <c r="AA68">
        <v>0</v>
      </c>
      <c r="AG68">
        <v>0</v>
      </c>
      <c r="AM68">
        <v>0</v>
      </c>
      <c r="AS68">
        <v>0</v>
      </c>
      <c r="AY68">
        <v>0</v>
      </c>
    </row>
    <row r="69" spans="9:51" ht="30" hidden="1" customHeight="1">
      <c r="I69">
        <v>0</v>
      </c>
      <c r="O69">
        <v>0</v>
      </c>
      <c r="U69">
        <v>0</v>
      </c>
      <c r="AA69">
        <v>0</v>
      </c>
      <c r="AG69">
        <v>0</v>
      </c>
      <c r="AM69">
        <v>0</v>
      </c>
      <c r="AS69">
        <v>0</v>
      </c>
      <c r="AY69">
        <v>0</v>
      </c>
    </row>
    <row r="70" spans="9:51" ht="30" hidden="1" customHeight="1">
      <c r="I70">
        <v>0</v>
      </c>
      <c r="O70">
        <v>0</v>
      </c>
      <c r="U70">
        <v>0</v>
      </c>
      <c r="AA70">
        <v>0</v>
      </c>
      <c r="AG70">
        <v>0</v>
      </c>
      <c r="AM70">
        <v>0</v>
      </c>
      <c r="AS70">
        <v>0</v>
      </c>
      <c r="AY70">
        <v>0</v>
      </c>
    </row>
    <row r="71" spans="9:51" ht="30" hidden="1" customHeight="1">
      <c r="I71">
        <v>0</v>
      </c>
      <c r="O71">
        <v>0</v>
      </c>
      <c r="U71">
        <v>0</v>
      </c>
      <c r="AA71">
        <v>0</v>
      </c>
      <c r="AG71">
        <v>0</v>
      </c>
      <c r="AM71">
        <v>0</v>
      </c>
      <c r="AS71">
        <v>0</v>
      </c>
      <c r="AY71">
        <v>0</v>
      </c>
    </row>
    <row r="72" spans="9:51" ht="30" hidden="1" customHeight="1">
      <c r="I72">
        <v>0</v>
      </c>
      <c r="O72">
        <v>0</v>
      </c>
      <c r="U72">
        <v>0</v>
      </c>
      <c r="AA72">
        <v>0</v>
      </c>
      <c r="AG72">
        <v>0</v>
      </c>
      <c r="AM72">
        <v>0</v>
      </c>
      <c r="AS72">
        <v>0</v>
      </c>
      <c r="AY72">
        <v>0</v>
      </c>
    </row>
    <row r="73" spans="9:51" ht="30" hidden="1" customHeight="1">
      <c r="AA73">
        <f>IFERROR(IF(COUNTIFS(AA7:AA27,"&gt;0",AD7:AD27,"&lt;&gt;")&gt;0,"Quantity,Comment,Designator,Footprint,LCSC Part #(optional)"&amp;CHAR(10),""),"")</f>
        <v/>
      </c>
    </row>
  </sheetData>
  <mergeCells count="17">
    <mergeCell ref="A5:G5"/>
    <mergeCell ref="H5:M5"/>
    <mergeCell ref="I30:L51"/>
    <mergeCell ref="N5:S5"/>
    <mergeCell ref="O30:R51"/>
    <mergeCell ref="T5:Y5"/>
    <mergeCell ref="U30:X51"/>
    <mergeCell ref="Z5:AE5"/>
    <mergeCell ref="AA30:AD51"/>
    <mergeCell ref="AF5:AK5"/>
    <mergeCell ref="AG30:AJ51"/>
    <mergeCell ref="AL5:AQ5"/>
    <mergeCell ref="AM30:AP51"/>
    <mergeCell ref="AR5:AW5"/>
    <mergeCell ref="AS30:AV51"/>
    <mergeCell ref="AX5:BC5"/>
    <mergeCell ref="AY30:BB51"/>
  </mergeCells>
  <conditionalFormatting sqref="AA9">
    <cfRule type="expression" dxfId="2" priority="91">
      <formula>AND(NOT(ISBLANK(AA9)),OR(Z9="NonStk",AA9&gt;Z9))</formula>
    </cfRule>
  </conditionalFormatting>
  <conditionalFormatting sqref="AB9">
    <cfRule type="cellIs" dxfId="3" priority="93" operator="lessThanOrEqual">
      <formula>F9</formula>
    </cfRule>
  </conditionalFormatting>
  <conditionalFormatting sqref="AD9">
    <cfRule type="cellIs" dxfId="3" priority="92" operator="lessThanOrEqual">
      <formula>G9</formula>
    </cfRule>
  </conditionalFormatting>
  <conditionalFormatting sqref="AF21">
    <cfRule type="cellIs" dxfId="0" priority="102" operator="lessThan">
      <formula>E21</formula>
    </cfRule>
  </conditionalFormatting>
  <conditionalFormatting sqref="AF22">
    <cfRule type="cellIs" dxfId="0" priority="106" operator="lessThan">
      <formula>E22</formula>
    </cfRule>
  </conditionalFormatting>
  <conditionalFormatting sqref="AF24">
    <cfRule type="cellIs" dxfId="0" priority="110" operator="lessThan">
      <formula>E24</formula>
    </cfRule>
  </conditionalFormatting>
  <conditionalFormatting sqref="AF25">
    <cfRule type="cellIs" dxfId="0" priority="114" operator="lessThan">
      <formula>E25</formula>
    </cfRule>
  </conditionalFormatting>
  <conditionalFormatting sqref="AF27">
    <cfRule type="cellIs" dxfId="0" priority="118" operator="lessThan">
      <formula>E27</formula>
    </cfRule>
  </conditionalFormatting>
  <conditionalFormatting sqref="AF7">
    <cfRule type="cellIs" dxfId="0" priority="94" operator="lessThan">
      <formula>E7</formula>
    </cfRule>
  </conditionalFormatting>
  <conditionalFormatting sqref="AF9">
    <cfRule type="cellIs" dxfId="0" priority="98" operator="lessThan">
      <formula>E9</formula>
    </cfRule>
  </conditionalFormatting>
  <conditionalFormatting sqref="AG21">
    <cfRule type="expression" dxfId="2" priority="103">
      <formula>AND(NOT(ISBLANK(AG21)),OR(AF21="NonStk",AG21&gt;AF21))</formula>
    </cfRule>
  </conditionalFormatting>
  <conditionalFormatting sqref="AG22">
    <cfRule type="expression" dxfId="2" priority="107">
      <formula>AND(NOT(ISBLANK(AG22)),OR(AF22="NonStk",AG22&gt;AF22))</formula>
    </cfRule>
  </conditionalFormatting>
  <conditionalFormatting sqref="AG24">
    <cfRule type="expression" dxfId="2" priority="111">
      <formula>AND(NOT(ISBLANK(AG24)),OR(AF24="NonStk",AG24&gt;AF24))</formula>
    </cfRule>
  </conditionalFormatting>
  <conditionalFormatting sqref="AG25">
    <cfRule type="expression" dxfId="2" priority="115">
      <formula>AND(NOT(ISBLANK(AG25)),OR(AF25="NonStk",AG25&gt;AF25))</formula>
    </cfRule>
  </conditionalFormatting>
  <conditionalFormatting sqref="AG27">
    <cfRule type="expression" dxfId="2" priority="119">
      <formula>AND(NOT(ISBLANK(AG27)),OR(AF27="NonStk",AG27&gt;AF27))</formula>
    </cfRule>
  </conditionalFormatting>
  <conditionalFormatting sqref="AG7">
    <cfRule type="expression" dxfId="2" priority="95">
      <formula>AND(NOT(ISBLANK(AG7)),OR(AF7="NonStk",AG7&gt;AF7))</formula>
    </cfRule>
  </conditionalFormatting>
  <conditionalFormatting sqref="AG9">
    <cfRule type="expression" dxfId="2" priority="99">
      <formula>AND(NOT(ISBLANK(AG9)),OR(AF9="NonStk",AG9&gt;AF9))</formula>
    </cfRule>
  </conditionalFormatting>
  <conditionalFormatting sqref="AH21">
    <cfRule type="cellIs" dxfId="3" priority="105" operator="lessThanOrEqual">
      <formula>F21</formula>
    </cfRule>
  </conditionalFormatting>
  <conditionalFormatting sqref="AH22">
    <cfRule type="cellIs" dxfId="3" priority="109" operator="lessThanOrEqual">
      <formula>F22</formula>
    </cfRule>
  </conditionalFormatting>
  <conditionalFormatting sqref="AH24">
    <cfRule type="cellIs" dxfId="3" priority="113" operator="lessThanOrEqual">
      <formula>F24</formula>
    </cfRule>
  </conditionalFormatting>
  <conditionalFormatting sqref="AH25">
    <cfRule type="cellIs" dxfId="3" priority="117" operator="lessThanOrEqual">
      <formula>F25</formula>
    </cfRule>
  </conditionalFormatting>
  <conditionalFormatting sqref="AH27">
    <cfRule type="cellIs" dxfId="3" priority="121" operator="lessThanOrEqual">
      <formula>F27</formula>
    </cfRule>
  </conditionalFormatting>
  <conditionalFormatting sqref="AH7">
    <cfRule type="cellIs" dxfId="3" priority="97" operator="lessThanOrEqual">
      <formula>F7</formula>
    </cfRule>
  </conditionalFormatting>
  <conditionalFormatting sqref="AH9">
    <cfRule type="cellIs" dxfId="3" priority="101" operator="lessThanOrEqual">
      <formula>F9</formula>
    </cfRule>
  </conditionalFormatting>
  <conditionalFormatting sqref="AJ21">
    <cfRule type="cellIs" dxfId="3" priority="104" operator="lessThanOrEqual">
      <formula>G21</formula>
    </cfRule>
  </conditionalFormatting>
  <conditionalFormatting sqref="AJ22">
    <cfRule type="cellIs" dxfId="3" priority="108" operator="lessThanOrEqual">
      <formula>G22</formula>
    </cfRule>
  </conditionalFormatting>
  <conditionalFormatting sqref="AJ24">
    <cfRule type="cellIs" dxfId="3" priority="112" operator="lessThanOrEqual">
      <formula>G24</formula>
    </cfRule>
  </conditionalFormatting>
  <conditionalFormatting sqref="AJ25">
    <cfRule type="cellIs" dxfId="3" priority="116" operator="lessThanOrEqual">
      <formula>G25</formula>
    </cfRule>
  </conditionalFormatting>
  <conditionalFormatting sqref="AJ27">
    <cfRule type="cellIs" dxfId="3" priority="120" operator="lessThanOrEqual">
      <formula>G27</formula>
    </cfRule>
  </conditionalFormatting>
  <conditionalFormatting sqref="AJ7">
    <cfRule type="cellIs" dxfId="3" priority="96" operator="lessThanOrEqual">
      <formula>G7</formula>
    </cfRule>
  </conditionalFormatting>
  <conditionalFormatting sqref="AJ9">
    <cfRule type="cellIs" dxfId="3" priority="100" operator="lessThanOrEqual">
      <formula>G9</formula>
    </cfRule>
  </conditionalFormatting>
  <conditionalFormatting sqref="AL21">
    <cfRule type="cellIs" dxfId="0" priority="130" operator="lessThan">
      <formula>E21</formula>
    </cfRule>
  </conditionalFormatting>
  <conditionalFormatting sqref="AL22">
    <cfRule type="cellIs" dxfId="0" priority="134" operator="lessThan">
      <formula>E22</formula>
    </cfRule>
  </conditionalFormatting>
  <conditionalFormatting sqref="AL24">
    <cfRule type="cellIs" dxfId="0" priority="138" operator="lessThan">
      <formula>E24</formula>
    </cfRule>
  </conditionalFormatting>
  <conditionalFormatting sqref="AL27">
    <cfRule type="cellIs" dxfId="0" priority="142" operator="lessThan">
      <formula>E27</formula>
    </cfRule>
  </conditionalFormatting>
  <conditionalFormatting sqref="AL7">
    <cfRule type="cellIs" dxfId="0" priority="122" operator="lessThan">
      <formula>E7</formula>
    </cfRule>
  </conditionalFormatting>
  <conditionalFormatting sqref="AL9">
    <cfRule type="cellIs" dxfId="0" priority="126" operator="lessThan">
      <formula>E9</formula>
    </cfRule>
  </conditionalFormatting>
  <conditionalFormatting sqref="AM21">
    <cfRule type="expression" dxfId="2" priority="131">
      <formula>AND(NOT(ISBLANK(AM21)),OR(AL21="NonStk",AM21&gt;AL21))</formula>
    </cfRule>
  </conditionalFormatting>
  <conditionalFormatting sqref="AM22">
    <cfRule type="expression" dxfId="2" priority="135">
      <formula>AND(NOT(ISBLANK(AM22)),OR(AL22="NonStk",AM22&gt;AL22))</formula>
    </cfRule>
  </conditionalFormatting>
  <conditionalFormatting sqref="AM24">
    <cfRule type="expression" dxfId="2" priority="139">
      <formula>AND(NOT(ISBLANK(AM24)),OR(AL24="NonStk",AM24&gt;AL24))</formula>
    </cfRule>
  </conditionalFormatting>
  <conditionalFormatting sqref="AM27">
    <cfRule type="expression" dxfId="2" priority="143">
      <formula>AND(NOT(ISBLANK(AM27)),OR(AL27="NonStk",AM27&gt;AL27))</formula>
    </cfRule>
  </conditionalFormatting>
  <conditionalFormatting sqref="AM7">
    <cfRule type="expression" dxfId="2" priority="123">
      <formula>AND(NOT(ISBLANK(AM7)),OR(AL7="NonStk",AM7&gt;AL7))</formula>
    </cfRule>
  </conditionalFormatting>
  <conditionalFormatting sqref="AM9">
    <cfRule type="expression" dxfId="2" priority="127">
      <formula>AND(NOT(ISBLANK(AM9)),OR(AL9="NonStk",AM9&gt;AL9))</formula>
    </cfRule>
  </conditionalFormatting>
  <conditionalFormatting sqref="AN21">
    <cfRule type="cellIs" dxfId="3" priority="133" operator="lessThanOrEqual">
      <formula>F21</formula>
    </cfRule>
  </conditionalFormatting>
  <conditionalFormatting sqref="AN22">
    <cfRule type="cellIs" dxfId="3" priority="137" operator="lessThanOrEqual">
      <formula>F22</formula>
    </cfRule>
  </conditionalFormatting>
  <conditionalFormatting sqref="AN24">
    <cfRule type="cellIs" dxfId="3" priority="141" operator="lessThanOrEqual">
      <formula>F24</formula>
    </cfRule>
  </conditionalFormatting>
  <conditionalFormatting sqref="AN27">
    <cfRule type="cellIs" dxfId="3" priority="145" operator="lessThanOrEqual">
      <formula>F27</formula>
    </cfRule>
  </conditionalFormatting>
  <conditionalFormatting sqref="AN7">
    <cfRule type="cellIs" dxfId="3" priority="125" operator="lessThanOrEqual">
      <formula>F7</formula>
    </cfRule>
  </conditionalFormatting>
  <conditionalFormatting sqref="AN9">
    <cfRule type="cellIs" dxfId="3" priority="129" operator="lessThanOrEqual">
      <formula>F9</formula>
    </cfRule>
  </conditionalFormatting>
  <conditionalFormatting sqref="AP21">
    <cfRule type="cellIs" dxfId="3" priority="132" operator="lessThanOrEqual">
      <formula>G21</formula>
    </cfRule>
  </conditionalFormatting>
  <conditionalFormatting sqref="AP22">
    <cfRule type="cellIs" dxfId="3" priority="136" operator="lessThanOrEqual">
      <formula>G22</formula>
    </cfRule>
  </conditionalFormatting>
  <conditionalFormatting sqref="AP24">
    <cfRule type="cellIs" dxfId="3" priority="140" operator="lessThanOrEqual">
      <formula>G24</formula>
    </cfRule>
  </conditionalFormatting>
  <conditionalFormatting sqref="AP27">
    <cfRule type="cellIs" dxfId="3" priority="144" operator="lessThanOrEqual">
      <formula>G27</formula>
    </cfRule>
  </conditionalFormatting>
  <conditionalFormatting sqref="AP7">
    <cfRule type="cellIs" dxfId="3" priority="124" operator="lessThanOrEqual">
      <formula>G7</formula>
    </cfRule>
  </conditionalFormatting>
  <conditionalFormatting sqref="AP9">
    <cfRule type="cellIs" dxfId="3" priority="128" operator="lessThanOrEqual">
      <formula>G9</formula>
    </cfRule>
  </conditionalFormatting>
  <conditionalFormatting sqref="AR9">
    <cfRule type="cellIs" dxfId="0" priority="146" operator="lessThan">
      <formula>E9</formula>
    </cfRule>
  </conditionalFormatting>
  <conditionalFormatting sqref="AS9">
    <cfRule type="expression" dxfId="1" priority="147">
      <formula>AND(AS9&gt;0,MOD(AS9,AU9)&lt;&gt;0)</formula>
    </cfRule>
    <cfRule type="expression" dxfId="2" priority="148">
      <formula>AND(NOT(ISBLANK(AS9)),OR(AR9="NonStk",AS9&gt;AR9))</formula>
    </cfRule>
  </conditionalFormatting>
  <conditionalFormatting sqref="AT9">
    <cfRule type="cellIs" dxfId="3" priority="150" operator="lessThanOrEqual">
      <formula>F9</formula>
    </cfRule>
  </conditionalFormatting>
  <conditionalFormatting sqref="AV9">
    <cfRule type="cellIs" dxfId="3" priority="149" operator="lessThanOrEqual">
      <formula>G9</formula>
    </cfRule>
  </conditionalFormatting>
  <conditionalFormatting sqref="AX21">
    <cfRule type="cellIs" dxfId="0" priority="156" operator="lessThan">
      <formula>E21</formula>
    </cfRule>
  </conditionalFormatting>
  <conditionalFormatting sqref="AX24">
    <cfRule type="cellIs" dxfId="0" priority="161" operator="lessThan">
      <formula>E24</formula>
    </cfRule>
  </conditionalFormatting>
  <conditionalFormatting sqref="AX9">
    <cfRule type="cellIs" dxfId="0" priority="151" operator="lessThan">
      <formula>E9</formula>
    </cfRule>
  </conditionalFormatting>
  <conditionalFormatting sqref="AY21">
    <cfRule type="expression" dxfId="1" priority="157">
      <formula>AND(AY21&gt;0,MOD(AY21,BA21)&lt;&gt;0)</formula>
    </cfRule>
    <cfRule type="expression" dxfId="2" priority="158">
      <formula>AND(NOT(ISBLANK(AY21)),OR(AX21="NonStk",AY21&gt;AX21))</formula>
    </cfRule>
  </conditionalFormatting>
  <conditionalFormatting sqref="AY24">
    <cfRule type="expression" dxfId="1" priority="162">
      <formula>AND(AY24&gt;0,MOD(AY24,BA24)&lt;&gt;0)</formula>
    </cfRule>
    <cfRule type="expression" dxfId="2" priority="163">
      <formula>AND(NOT(ISBLANK(AY24)),OR(AX24="NonStk",AY24&gt;AX24))</formula>
    </cfRule>
  </conditionalFormatting>
  <conditionalFormatting sqref="AY9">
    <cfRule type="expression" dxfId="1" priority="152">
      <formula>AND(AY9&gt;0,MOD(AY9,BA9)&lt;&gt;0)</formula>
    </cfRule>
    <cfRule type="expression" dxfId="2" priority="153">
      <formula>AND(NOT(ISBLANK(AY9)),OR(AX9="NonStk",AY9&gt;AX9))</formula>
    </cfRule>
  </conditionalFormatting>
  <conditionalFormatting sqref="AZ21">
    <cfRule type="cellIs" dxfId="3" priority="160" operator="lessThanOrEqual">
      <formula>F21</formula>
    </cfRule>
  </conditionalFormatting>
  <conditionalFormatting sqref="AZ24">
    <cfRule type="cellIs" dxfId="3" priority="165" operator="lessThanOrEqual">
      <formula>F24</formula>
    </cfRule>
  </conditionalFormatting>
  <conditionalFormatting sqref="AZ9">
    <cfRule type="cellIs" dxfId="3" priority="155" operator="lessThanOrEqual">
      <formula>F9</formula>
    </cfRule>
  </conditionalFormatting>
  <conditionalFormatting sqref="BB21">
    <cfRule type="cellIs" dxfId="3" priority="159" operator="lessThanOrEqual">
      <formula>G21</formula>
    </cfRule>
  </conditionalFormatting>
  <conditionalFormatting sqref="BB24">
    <cfRule type="cellIs" dxfId="3" priority="164" operator="lessThanOrEqual">
      <formula>G24</formula>
    </cfRule>
  </conditionalFormatting>
  <conditionalFormatting sqref="BB9">
    <cfRule type="cellIs" dxfId="3" priority="154" operator="lessThanOrEqual">
      <formula>G9</formula>
    </cfRule>
  </conditionalFormatting>
  <conditionalFormatting sqref="E10">
    <cfRule type="expression" dxfId="4" priority="178">
      <formula>AND(ISBLANK(D10),ISBLANK(L10),ISBLANK(R10),ISBLANK(X10),ISBLANK(AD10),ISBLANK(AJ10),ISBLANK(AP10),ISBLANK(AV10),ISBLANK(BB10))</formula>
    </cfRule>
    <cfRule type="expression" dxfId="2" priority="179">
      <formula>IF(SUM(H10,N10,T10,Z10,AF10,AL10,AR10,AX10)=0,1,0)</formula>
    </cfRule>
    <cfRule type="cellIs" dxfId="0" priority="180" operator="greaterThan">
      <formula>SUM(H10,N10,T10,Z10,AF10,AL10,AR10,AX10)</formula>
    </cfRule>
    <cfRule type="cellIs" dxfId="1" priority="181" operator="greaterThan">
      <formula>SUM(IF(ISNUMBER(J10),I10,0),IF(ISNUMBER(P10),O10,0),IF(ISNUMBER(V10),U10,0),IF(ISNUMBER(AB10),AA10,0),IF(ISNUMBER(AH10),AG10,0),IF(ISNUMBER(AN10),AM10,0),IF(ISNUMBER(AT10),AS10,0),IF(ISNUMBER(AZ10),AY10,0))</formula>
    </cfRule>
  </conditionalFormatting>
  <conditionalFormatting sqref="E11">
    <cfRule type="expression" dxfId="4" priority="182">
      <formula>AND(ISBLANK(D11),ISBLANK(L11),ISBLANK(R11),ISBLANK(X11),ISBLANK(AD11),ISBLANK(AJ11),ISBLANK(AP11),ISBLANK(AV11),ISBLANK(BB11))</formula>
    </cfRule>
    <cfRule type="expression" dxfId="2" priority="183">
      <formula>IF(SUM(H11,N11,T11,Z11,AF11,AL11,AR11,AX11)=0,1,0)</formula>
    </cfRule>
    <cfRule type="cellIs" dxfId="0" priority="184" operator="greaterThan">
      <formula>SUM(H11,N11,T11,Z11,AF11,AL11,AR11,AX11)</formula>
    </cfRule>
    <cfRule type="cellIs" dxfId="1" priority="185" operator="greaterThan">
      <formula>SUM(IF(ISNUMBER(J11),I11,0),IF(ISNUMBER(P11),O11,0),IF(ISNUMBER(V11),U11,0),IF(ISNUMBER(AB11),AA11,0),IF(ISNUMBER(AH11),AG11,0),IF(ISNUMBER(AN11),AM11,0),IF(ISNUMBER(AT11),AS11,0),IF(ISNUMBER(AZ11),AY11,0))</formula>
    </cfRule>
  </conditionalFormatting>
  <conditionalFormatting sqref="E12">
    <cfRule type="expression" dxfId="4" priority="186">
      <formula>AND(ISBLANK(D12),ISBLANK(L12),ISBLANK(R12),ISBLANK(X12),ISBLANK(AD12),ISBLANK(AJ12),ISBLANK(AP12),ISBLANK(AV12),ISBLANK(BB12))</formula>
    </cfRule>
    <cfRule type="expression" dxfId="2" priority="187">
      <formula>IF(SUM(H12,N12,T12,Z12,AF12,AL12,AR12,AX12)=0,1,0)</formula>
    </cfRule>
    <cfRule type="cellIs" dxfId="0" priority="188" operator="greaterThan">
      <formula>SUM(H12,N12,T12,Z12,AF12,AL12,AR12,AX12)</formula>
    </cfRule>
    <cfRule type="cellIs" dxfId="1" priority="189" operator="greaterThan">
      <formula>SUM(IF(ISNUMBER(J12),I12,0),IF(ISNUMBER(P12),O12,0),IF(ISNUMBER(V12),U12,0),IF(ISNUMBER(AB12),AA12,0),IF(ISNUMBER(AH12),AG12,0),IF(ISNUMBER(AN12),AM12,0),IF(ISNUMBER(AT12),AS12,0),IF(ISNUMBER(AZ12),AY12,0))</formula>
    </cfRule>
  </conditionalFormatting>
  <conditionalFormatting sqref="E13">
    <cfRule type="expression" dxfId="4" priority="190">
      <formula>AND(ISBLANK(D13),ISBLANK(L13),ISBLANK(R13),ISBLANK(X13),ISBLANK(AD13),ISBLANK(AJ13),ISBLANK(AP13),ISBLANK(AV13),ISBLANK(BB13))</formula>
    </cfRule>
    <cfRule type="expression" dxfId="2" priority="191">
      <formula>IF(SUM(H13,N13,T13,Z13,AF13,AL13,AR13,AX13)=0,1,0)</formula>
    </cfRule>
    <cfRule type="cellIs" dxfId="0" priority="192" operator="greaterThan">
      <formula>SUM(H13,N13,T13,Z13,AF13,AL13,AR13,AX13)</formula>
    </cfRule>
    <cfRule type="cellIs" dxfId="1" priority="193" operator="greaterThan">
      <formula>SUM(IF(ISNUMBER(J13),I13,0),IF(ISNUMBER(P13),O13,0),IF(ISNUMBER(V13),U13,0),IF(ISNUMBER(AB13),AA13,0),IF(ISNUMBER(AH13),AG13,0),IF(ISNUMBER(AN13),AM13,0),IF(ISNUMBER(AT13),AS13,0),IF(ISNUMBER(AZ13),AY13,0))</formula>
    </cfRule>
  </conditionalFormatting>
  <conditionalFormatting sqref="E14">
    <cfRule type="expression" dxfId="4" priority="194">
      <formula>AND(ISBLANK(D14),ISBLANK(L14),ISBLANK(R14),ISBLANK(X14),ISBLANK(AD14),ISBLANK(AJ14),ISBLANK(AP14),ISBLANK(AV14),ISBLANK(BB14))</formula>
    </cfRule>
    <cfRule type="expression" dxfId="2" priority="195">
      <formula>IF(SUM(H14,N14,T14,Z14,AF14,AL14,AR14,AX14)=0,1,0)</formula>
    </cfRule>
    <cfRule type="cellIs" dxfId="0" priority="196" operator="greaterThan">
      <formula>SUM(H14,N14,T14,Z14,AF14,AL14,AR14,AX14)</formula>
    </cfRule>
    <cfRule type="cellIs" dxfId="1" priority="197" operator="greaterThan">
      <formula>SUM(IF(ISNUMBER(J14),I14,0),IF(ISNUMBER(P14),O14,0),IF(ISNUMBER(V14),U14,0),IF(ISNUMBER(AB14),AA14,0),IF(ISNUMBER(AH14),AG14,0),IF(ISNUMBER(AN14),AM14,0),IF(ISNUMBER(AT14),AS14,0),IF(ISNUMBER(AZ14),AY14,0))</formula>
    </cfRule>
  </conditionalFormatting>
  <conditionalFormatting sqref="E15">
    <cfRule type="expression" dxfId="4" priority="198">
      <formula>AND(ISBLANK(D15),ISBLANK(L15),ISBLANK(R15),ISBLANK(X15),ISBLANK(AD15),ISBLANK(AJ15),ISBLANK(AP15),ISBLANK(AV15),ISBLANK(BB15))</formula>
    </cfRule>
    <cfRule type="expression" dxfId="2" priority="199">
      <formula>IF(SUM(H15,N15,T15,Z15,AF15,AL15,AR15,AX15)=0,1,0)</formula>
    </cfRule>
    <cfRule type="cellIs" dxfId="0" priority="200" operator="greaterThan">
      <formula>SUM(H15,N15,T15,Z15,AF15,AL15,AR15,AX15)</formula>
    </cfRule>
    <cfRule type="cellIs" dxfId="1" priority="201" operator="greaterThan">
      <formula>SUM(IF(ISNUMBER(J15),I15,0),IF(ISNUMBER(P15),O15,0),IF(ISNUMBER(V15),U15,0),IF(ISNUMBER(AB15),AA15,0),IF(ISNUMBER(AH15),AG15,0),IF(ISNUMBER(AN15),AM15,0),IF(ISNUMBER(AT15),AS15,0),IF(ISNUMBER(AZ15),AY15,0))</formula>
    </cfRule>
  </conditionalFormatting>
  <conditionalFormatting sqref="E16">
    <cfRule type="expression" dxfId="4" priority="202">
      <formula>AND(ISBLANK(D16),ISBLANK(L16),ISBLANK(R16),ISBLANK(X16),ISBLANK(AD16),ISBLANK(AJ16),ISBLANK(AP16),ISBLANK(AV16),ISBLANK(BB16))</formula>
    </cfRule>
    <cfRule type="expression" dxfId="2" priority="203">
      <formula>IF(SUM(H16,N16,T16,Z16,AF16,AL16,AR16,AX16)=0,1,0)</formula>
    </cfRule>
    <cfRule type="cellIs" dxfId="0" priority="204" operator="greaterThan">
      <formula>SUM(H16,N16,T16,Z16,AF16,AL16,AR16,AX16)</formula>
    </cfRule>
    <cfRule type="cellIs" dxfId="1" priority="205" operator="greaterThan">
      <formula>SUM(IF(ISNUMBER(J16),I16,0),IF(ISNUMBER(P16),O16,0),IF(ISNUMBER(V16),U16,0),IF(ISNUMBER(AB16),AA16,0),IF(ISNUMBER(AH16),AG16,0),IF(ISNUMBER(AN16),AM16,0),IF(ISNUMBER(AT16),AS16,0),IF(ISNUMBER(AZ16),AY16,0))</formula>
    </cfRule>
  </conditionalFormatting>
  <conditionalFormatting sqref="E17">
    <cfRule type="expression" dxfId="4" priority="206">
      <formula>AND(ISBLANK(D17),ISBLANK(L17),ISBLANK(R17),ISBLANK(X17),ISBLANK(AD17),ISBLANK(AJ17),ISBLANK(AP17),ISBLANK(AV17),ISBLANK(BB17))</formula>
    </cfRule>
    <cfRule type="expression" dxfId="2" priority="207">
      <formula>IF(SUM(H17,N17,T17,Z17,AF17,AL17,AR17,AX17)=0,1,0)</formula>
    </cfRule>
    <cfRule type="cellIs" dxfId="0" priority="208" operator="greaterThan">
      <formula>SUM(H17,N17,T17,Z17,AF17,AL17,AR17,AX17)</formula>
    </cfRule>
    <cfRule type="cellIs" dxfId="1" priority="209" operator="greaterThan">
      <formula>SUM(IF(ISNUMBER(J17),I17,0),IF(ISNUMBER(P17),O17,0),IF(ISNUMBER(V17),U17,0),IF(ISNUMBER(AB17),AA17,0),IF(ISNUMBER(AH17),AG17,0),IF(ISNUMBER(AN17),AM17,0),IF(ISNUMBER(AT17),AS17,0),IF(ISNUMBER(AZ17),AY17,0))</formula>
    </cfRule>
  </conditionalFormatting>
  <conditionalFormatting sqref="E18">
    <cfRule type="expression" dxfId="4" priority="210">
      <formula>AND(ISBLANK(D18),ISBLANK(L18),ISBLANK(R18),ISBLANK(X18),ISBLANK(AD18),ISBLANK(AJ18),ISBLANK(AP18),ISBLANK(AV18),ISBLANK(BB18))</formula>
    </cfRule>
    <cfRule type="expression" dxfId="2" priority="211">
      <formula>IF(SUM(H18,N18,T18,Z18,AF18,AL18,AR18,AX18)=0,1,0)</formula>
    </cfRule>
    <cfRule type="cellIs" dxfId="0" priority="212" operator="greaterThan">
      <formula>SUM(H18,N18,T18,Z18,AF18,AL18,AR18,AX18)</formula>
    </cfRule>
    <cfRule type="cellIs" dxfId="1" priority="213" operator="greaterThan">
      <formula>SUM(IF(ISNUMBER(J18),I18,0),IF(ISNUMBER(P18),O18,0),IF(ISNUMBER(V18),U18,0),IF(ISNUMBER(AB18),AA18,0),IF(ISNUMBER(AH18),AG18,0),IF(ISNUMBER(AN18),AM18,0),IF(ISNUMBER(AT18),AS18,0),IF(ISNUMBER(AZ18),AY18,0))</formula>
    </cfRule>
  </conditionalFormatting>
  <conditionalFormatting sqref="E19">
    <cfRule type="expression" dxfId="4" priority="214">
      <formula>AND(ISBLANK(D19),ISBLANK(L19),ISBLANK(R19),ISBLANK(X19),ISBLANK(AD19),ISBLANK(AJ19),ISBLANK(AP19),ISBLANK(AV19),ISBLANK(BB19))</formula>
    </cfRule>
    <cfRule type="expression" dxfId="2" priority="215">
      <formula>IF(SUM(H19,N19,T19,Z19,AF19,AL19,AR19,AX19)=0,1,0)</formula>
    </cfRule>
    <cfRule type="cellIs" dxfId="0" priority="216" operator="greaterThan">
      <formula>SUM(H19,N19,T19,Z19,AF19,AL19,AR19,AX19)</formula>
    </cfRule>
    <cfRule type="cellIs" dxfId="1" priority="217" operator="greaterThan">
      <formula>SUM(IF(ISNUMBER(J19),I19,0),IF(ISNUMBER(P19),O19,0),IF(ISNUMBER(V19),U19,0),IF(ISNUMBER(AB19),AA19,0),IF(ISNUMBER(AH19),AG19,0),IF(ISNUMBER(AN19),AM19,0),IF(ISNUMBER(AT19),AS19,0),IF(ISNUMBER(AZ19),AY19,0))</formula>
    </cfRule>
  </conditionalFormatting>
  <conditionalFormatting sqref="E20">
    <cfRule type="expression" dxfId="4" priority="218">
      <formula>AND(ISBLANK(D20),ISBLANK(L20),ISBLANK(R20),ISBLANK(X20),ISBLANK(AD20),ISBLANK(AJ20),ISBLANK(AP20),ISBLANK(AV20),ISBLANK(BB20))</formula>
    </cfRule>
    <cfRule type="expression" dxfId="2" priority="219">
      <formula>IF(SUM(H20,N20,T20,Z20,AF20,AL20,AR20,AX20)=0,1,0)</formula>
    </cfRule>
    <cfRule type="cellIs" dxfId="0" priority="220" operator="greaterThan">
      <formula>SUM(H20,N20,T20,Z20,AF20,AL20,AR20,AX20)</formula>
    </cfRule>
    <cfRule type="cellIs" dxfId="1" priority="221" operator="greaterThan">
      <formula>SUM(IF(ISNUMBER(J20),I20,0),IF(ISNUMBER(P20),O20,0),IF(ISNUMBER(V20),U20,0),IF(ISNUMBER(AB20),AA20,0),IF(ISNUMBER(AH20),AG20,0),IF(ISNUMBER(AN20),AM20,0),IF(ISNUMBER(AT20),AS20,0),IF(ISNUMBER(AZ20),AY20,0))</formula>
    </cfRule>
  </conditionalFormatting>
  <conditionalFormatting sqref="E21">
    <cfRule type="expression" dxfId="4" priority="222">
      <formula>AND(ISBLANK(D21),ISBLANK(L21),ISBLANK(R21),ISBLANK(X21),ISBLANK(AD21),ISBLANK(AJ21),ISBLANK(AP21),ISBLANK(AV21),ISBLANK(BB21))</formula>
    </cfRule>
    <cfRule type="expression" dxfId="2" priority="223">
      <formula>IF(SUM(H21,N21,T21,Z21,AF21,AL21,AR21,AX21)=0,1,0)</formula>
    </cfRule>
    <cfRule type="cellIs" dxfId="0" priority="224" operator="greaterThan">
      <formula>SUM(H21,N21,T21,Z21,AF21,AL21,AR21,AX21)</formula>
    </cfRule>
    <cfRule type="cellIs" dxfId="1" priority="225" operator="greaterThan">
      <formula>SUM(IF(ISNUMBER(J21),I21,0),IF(ISNUMBER(P21),O21,0),IF(ISNUMBER(V21),U21,0),IF(ISNUMBER(AB21),AA21,0),IF(ISNUMBER(AH21),AG21,0),IF(ISNUMBER(AN21),AM21,0),IF(ISNUMBER(AT21),AS21,0),IF(ISNUMBER(AZ21),AY21,0))</formula>
    </cfRule>
  </conditionalFormatting>
  <conditionalFormatting sqref="E22">
    <cfRule type="expression" dxfId="4" priority="226">
      <formula>AND(ISBLANK(D22),ISBLANK(L22),ISBLANK(R22),ISBLANK(X22),ISBLANK(AD22),ISBLANK(AJ22),ISBLANK(AP22),ISBLANK(AV22),ISBLANK(BB22))</formula>
    </cfRule>
    <cfRule type="expression" dxfId="2" priority="227">
      <formula>IF(SUM(H22,N22,T22,Z22,AF22,AL22,AR22,AX22)=0,1,0)</formula>
    </cfRule>
    <cfRule type="cellIs" dxfId="0" priority="228" operator="greaterThan">
      <formula>SUM(H22,N22,T22,Z22,AF22,AL22,AR22,AX22)</formula>
    </cfRule>
    <cfRule type="cellIs" dxfId="1" priority="229" operator="greaterThan">
      <formula>SUM(IF(ISNUMBER(J22),I22,0),IF(ISNUMBER(P22),O22,0),IF(ISNUMBER(V22),U22,0),IF(ISNUMBER(AB22),AA22,0),IF(ISNUMBER(AH22),AG22,0),IF(ISNUMBER(AN22),AM22,0),IF(ISNUMBER(AT22),AS22,0),IF(ISNUMBER(AZ22),AY22,0))</formula>
    </cfRule>
  </conditionalFormatting>
  <conditionalFormatting sqref="E23">
    <cfRule type="expression" dxfId="4" priority="230">
      <formula>AND(ISBLANK(D23),ISBLANK(L23),ISBLANK(R23),ISBLANK(X23),ISBLANK(AD23),ISBLANK(AJ23),ISBLANK(AP23),ISBLANK(AV23),ISBLANK(BB23))</formula>
    </cfRule>
    <cfRule type="expression" dxfId="2" priority="231">
      <formula>IF(SUM(H23,N23,T23,Z23,AF23,AL23,AR23,AX23)=0,1,0)</formula>
    </cfRule>
    <cfRule type="cellIs" dxfId="0" priority="232" operator="greaterThan">
      <formula>SUM(H23,N23,T23,Z23,AF23,AL23,AR23,AX23)</formula>
    </cfRule>
    <cfRule type="cellIs" dxfId="1" priority="233" operator="greaterThan">
      <formula>SUM(IF(ISNUMBER(J23),I23,0),IF(ISNUMBER(P23),O23,0),IF(ISNUMBER(V23),U23,0),IF(ISNUMBER(AB23),AA23,0),IF(ISNUMBER(AH23),AG23,0),IF(ISNUMBER(AN23),AM23,0),IF(ISNUMBER(AT23),AS23,0),IF(ISNUMBER(AZ23),AY23,0))</formula>
    </cfRule>
  </conditionalFormatting>
  <conditionalFormatting sqref="E24">
    <cfRule type="expression" dxfId="4" priority="234">
      <formula>AND(ISBLANK(D24),ISBLANK(L24),ISBLANK(R24),ISBLANK(X24),ISBLANK(AD24),ISBLANK(AJ24),ISBLANK(AP24),ISBLANK(AV24),ISBLANK(BB24))</formula>
    </cfRule>
    <cfRule type="expression" dxfId="2" priority="235">
      <formula>IF(SUM(H24,N24,T24,Z24,AF24,AL24,AR24,AX24)=0,1,0)</formula>
    </cfRule>
    <cfRule type="cellIs" dxfId="0" priority="236" operator="greaterThan">
      <formula>SUM(H24,N24,T24,Z24,AF24,AL24,AR24,AX24)</formula>
    </cfRule>
    <cfRule type="cellIs" dxfId="1" priority="237" operator="greaterThan">
      <formula>SUM(IF(ISNUMBER(J24),I24,0),IF(ISNUMBER(P24),O24,0),IF(ISNUMBER(V24),U24,0),IF(ISNUMBER(AB24),AA24,0),IF(ISNUMBER(AH24),AG24,0),IF(ISNUMBER(AN24),AM24,0),IF(ISNUMBER(AT24),AS24,0),IF(ISNUMBER(AZ24),AY24,0))</formula>
    </cfRule>
  </conditionalFormatting>
  <conditionalFormatting sqref="E25">
    <cfRule type="expression" dxfId="4" priority="238">
      <formula>AND(ISBLANK(D25),ISBLANK(L25),ISBLANK(R25),ISBLANK(X25),ISBLANK(AD25),ISBLANK(AJ25),ISBLANK(AP25),ISBLANK(AV25),ISBLANK(BB25))</formula>
    </cfRule>
    <cfRule type="expression" dxfId="2" priority="239">
      <formula>IF(SUM(H25,N25,T25,Z25,AF25,AL25,AR25,AX25)=0,1,0)</formula>
    </cfRule>
    <cfRule type="cellIs" dxfId="0" priority="240" operator="greaterThan">
      <formula>SUM(H25,N25,T25,Z25,AF25,AL25,AR25,AX25)</formula>
    </cfRule>
    <cfRule type="cellIs" dxfId="1" priority="241" operator="greaterThan">
      <formula>SUM(IF(ISNUMBER(J25),I25,0),IF(ISNUMBER(P25),O25,0),IF(ISNUMBER(V25),U25,0),IF(ISNUMBER(AB25),AA25,0),IF(ISNUMBER(AH25),AG25,0),IF(ISNUMBER(AN25),AM25,0),IF(ISNUMBER(AT25),AS25,0),IF(ISNUMBER(AZ25),AY25,0))</formula>
    </cfRule>
  </conditionalFormatting>
  <conditionalFormatting sqref="E26">
    <cfRule type="expression" dxfId="4" priority="242">
      <formula>AND(ISBLANK(D26),ISBLANK(L26),ISBLANK(R26),ISBLANK(X26),ISBLANK(AD26),ISBLANK(AJ26),ISBLANK(AP26),ISBLANK(AV26),ISBLANK(BB26))</formula>
    </cfRule>
    <cfRule type="expression" dxfId="2" priority="243">
      <formula>IF(SUM(H26,N26,T26,Z26,AF26,AL26,AR26,AX26)=0,1,0)</formula>
    </cfRule>
    <cfRule type="cellIs" dxfId="0" priority="244" operator="greaterThan">
      <formula>SUM(H26,N26,T26,Z26,AF26,AL26,AR26,AX26)</formula>
    </cfRule>
    <cfRule type="cellIs" dxfId="1" priority="245" operator="greaterThan">
      <formula>SUM(IF(ISNUMBER(J26),I26,0),IF(ISNUMBER(P26),O26,0),IF(ISNUMBER(V26),U26,0),IF(ISNUMBER(AB26),AA26,0),IF(ISNUMBER(AH26),AG26,0),IF(ISNUMBER(AN26),AM26,0),IF(ISNUMBER(AT26),AS26,0),IF(ISNUMBER(AZ26),AY26,0))</formula>
    </cfRule>
  </conditionalFormatting>
  <conditionalFormatting sqref="E27">
    <cfRule type="expression" dxfId="4" priority="246">
      <formula>AND(ISBLANK(D27),ISBLANK(L27),ISBLANK(R27),ISBLANK(X27),ISBLANK(AD27),ISBLANK(AJ27),ISBLANK(AP27),ISBLANK(AV27),ISBLANK(BB27))</formula>
    </cfRule>
    <cfRule type="expression" dxfId="2" priority="247">
      <formula>IF(SUM(H27,N27,T27,Z27,AF27,AL27,AR27,AX27)=0,1,0)</formula>
    </cfRule>
    <cfRule type="cellIs" dxfId="0" priority="248" operator="greaterThan">
      <formula>SUM(H27,N27,T27,Z27,AF27,AL27,AR27,AX27)</formula>
    </cfRule>
    <cfRule type="cellIs" dxfId="1" priority="249" operator="greaterThan">
      <formula>SUM(IF(ISNUMBER(J27),I27,0),IF(ISNUMBER(P27),O27,0),IF(ISNUMBER(V27),U27,0),IF(ISNUMBER(AB27),AA27,0),IF(ISNUMBER(AH27),AG27,0),IF(ISNUMBER(AN27),AM27,0),IF(ISNUMBER(AT27),AS27,0),IF(ISNUMBER(AZ27),AY27,0))</formula>
    </cfRule>
  </conditionalFormatting>
  <conditionalFormatting sqref="E7">
    <cfRule type="expression" dxfId="4" priority="166">
      <formula>AND(ISBLANK(D7),ISBLANK(L7),ISBLANK(R7),ISBLANK(X7),ISBLANK(AD7),ISBLANK(AJ7),ISBLANK(AP7),ISBLANK(AV7),ISBLANK(BB7))</formula>
    </cfRule>
    <cfRule type="expression" dxfId="2" priority="167">
      <formula>IF(SUM(H7,N7,T7,Z7,AF7,AL7,AR7,AX7)=0,1,0)</formula>
    </cfRule>
    <cfRule type="cellIs" dxfId="0" priority="168" operator="greaterThan">
      <formula>SUM(H7,N7,T7,Z7,AF7,AL7,AR7,AX7)</formula>
    </cfRule>
    <cfRule type="cellIs" dxfId="1" priority="169" operator="greaterThan">
      <formula>SUM(IF(ISNUMBER(J7),I7,0),IF(ISNUMBER(P7),O7,0),IF(ISNUMBER(V7),U7,0),IF(ISNUMBER(AB7),AA7,0),IF(ISNUMBER(AH7),AG7,0),IF(ISNUMBER(AN7),AM7,0),IF(ISNUMBER(AT7),AS7,0),IF(ISNUMBER(AZ7),AY7,0))</formula>
    </cfRule>
  </conditionalFormatting>
  <conditionalFormatting sqref="E8">
    <cfRule type="expression" dxfId="4" priority="170">
      <formula>AND(ISBLANK(D8),ISBLANK(L8),ISBLANK(R8),ISBLANK(X8),ISBLANK(AD8),ISBLANK(AJ8),ISBLANK(AP8),ISBLANK(AV8),ISBLANK(BB8))</formula>
    </cfRule>
    <cfRule type="expression" dxfId="2" priority="171">
      <formula>IF(SUM(H8,N8,T8,Z8,AF8,AL8,AR8,AX8)=0,1,0)</formula>
    </cfRule>
    <cfRule type="cellIs" dxfId="0" priority="172" operator="greaterThan">
      <formula>SUM(H8,N8,T8,Z8,AF8,AL8,AR8,AX8)</formula>
    </cfRule>
    <cfRule type="cellIs" dxfId="1" priority="173" operator="greaterThan">
      <formula>SUM(IF(ISNUMBER(J8),I8,0),IF(ISNUMBER(P8),O8,0),IF(ISNUMBER(V8),U8,0),IF(ISNUMBER(AB8),AA8,0),IF(ISNUMBER(AH8),AG8,0),IF(ISNUMBER(AN8),AM8,0),IF(ISNUMBER(AT8),AS8,0),IF(ISNUMBER(AZ8),AY8,0))</formula>
    </cfRule>
  </conditionalFormatting>
  <conditionalFormatting sqref="E9">
    <cfRule type="expression" dxfId="4" priority="174">
      <formula>AND(ISBLANK(D9),ISBLANK(L9),ISBLANK(R9),ISBLANK(X9),ISBLANK(AD9),ISBLANK(AJ9),ISBLANK(AP9),ISBLANK(AV9),ISBLANK(BB9))</formula>
    </cfRule>
    <cfRule type="expression" dxfId="2" priority="175">
      <formula>IF(SUM(H9,N9,T9,Z9,AF9,AL9,AR9,AX9)=0,1,0)</formula>
    </cfRule>
    <cfRule type="cellIs" dxfId="0" priority="176" operator="greaterThan">
      <formula>SUM(H9,N9,T9,Z9,AF9,AL9,AR9,AX9)</formula>
    </cfRule>
    <cfRule type="cellIs" dxfId="1" priority="177" operator="greaterThan">
      <formula>SUM(IF(ISNUMBER(J9),I9,0),IF(ISNUMBER(P9),O9,0),IF(ISNUMBER(V9),U9,0),IF(ISNUMBER(AB9),AA9,0),IF(ISNUMBER(AH9),AG9,0),IF(ISNUMBER(AN9),AM9,0),IF(ISNUMBER(AT9),AS9,0),IF(ISNUMBER(AZ9),AY9,0))</formula>
    </cfRule>
  </conditionalFormatting>
  <conditionalFormatting sqref="H21">
    <cfRule type="cellIs" dxfId="0" priority="17" operator="lessThan">
      <formula>E21</formula>
    </cfRule>
  </conditionalFormatting>
  <conditionalFormatting sqref="H22">
    <cfRule type="cellIs" dxfId="0" priority="21" operator="lessThan">
      <formula>E22</formula>
    </cfRule>
  </conditionalFormatting>
  <conditionalFormatting sqref="H7">
    <cfRule type="cellIs" dxfId="0" priority="1" operator="lessThan">
      <formula>E7</formula>
    </cfRule>
  </conditionalFormatting>
  <conditionalFormatting sqref="H9">
    <cfRule type="cellIs" dxfId="0" priority="9" operator="lessThan">
      <formula>E9</formula>
    </cfRule>
  </conditionalFormatting>
  <conditionalFormatting sqref="I21">
    <cfRule type="expression" dxfId="2" priority="18">
      <formula>AND(NOT(ISBLANK(I21)),OR(H21="NonStk",I21&gt;H21))</formula>
    </cfRule>
  </conditionalFormatting>
  <conditionalFormatting sqref="I22">
    <cfRule type="expression" dxfId="2" priority="22">
      <formula>AND(NOT(ISBLANK(I22)),OR(H22="NonStk",I22&gt;H22))</formula>
    </cfRule>
  </conditionalFormatting>
  <conditionalFormatting sqref="I7">
    <cfRule type="expression" dxfId="1" priority="2">
      <formula>AND(I7&gt;0,MOD(I7,K7)&lt;&gt;0)</formula>
    </cfRule>
    <cfRule type="expression" dxfId="2" priority="3">
      <formula>AND(NOT(ISBLANK(I7)),OR(H7="NonStk",I7&gt;H7))</formula>
    </cfRule>
  </conditionalFormatting>
  <conditionalFormatting sqref="I9">
    <cfRule type="expression" dxfId="1" priority="10">
      <formula>AND(I9&gt;0,MOD(I9,K9)&lt;&gt;0)</formula>
    </cfRule>
    <cfRule type="expression" dxfId="2" priority="11">
      <formula>AND(NOT(ISBLANK(I9)),OR(H9="NonStk",I9&gt;H9))</formula>
    </cfRule>
  </conditionalFormatting>
  <conditionalFormatting sqref="J21">
    <cfRule type="cellIs" dxfId="3" priority="20" operator="lessThanOrEqual">
      <formula>F21</formula>
    </cfRule>
  </conditionalFormatting>
  <conditionalFormatting sqref="J22">
    <cfRule type="cellIs" dxfId="3" priority="24" operator="lessThanOrEqual">
      <formula>F22</formula>
    </cfRule>
  </conditionalFormatting>
  <conditionalFormatting sqref="J7">
    <cfRule type="cellIs" dxfId="3" priority="5" operator="lessThanOrEqual">
      <formula>F7</formula>
    </cfRule>
    <cfRule type="expression" dxfId="1" priority="6">
      <formula>AND(E7&lt;2000,I7&lt;2000)</formula>
    </cfRule>
  </conditionalFormatting>
  <conditionalFormatting sqref="J9">
    <cfRule type="cellIs" dxfId="3" priority="13" operator="lessThanOrEqual">
      <formula>F9</formula>
    </cfRule>
    <cfRule type="expression" dxfId="1" priority="14">
      <formula>AND(E9&lt;2000,I9&lt;2000)</formula>
    </cfRule>
  </conditionalFormatting>
  <conditionalFormatting sqref="K7">
    <cfRule type="expression" dxfId="1" priority="7">
      <formula>AND(E7&lt;2000,I7&lt;2000)</formula>
    </cfRule>
  </conditionalFormatting>
  <conditionalFormatting sqref="K9">
    <cfRule type="expression" dxfId="1" priority="15">
      <formula>AND(E9&lt;2000,I9&lt;2000)</formula>
    </cfRule>
  </conditionalFormatting>
  <conditionalFormatting sqref="L21">
    <cfRule type="cellIs" dxfId="3" priority="19" operator="lessThanOrEqual">
      <formula>G21</formula>
    </cfRule>
  </conditionalFormatting>
  <conditionalFormatting sqref="L22">
    <cfRule type="cellIs" dxfId="3" priority="23" operator="lessThanOrEqual">
      <formula>G22</formula>
    </cfRule>
  </conditionalFormatting>
  <conditionalFormatting sqref="L7">
    <cfRule type="cellIs" dxfId="3" priority="4" operator="lessThanOrEqual">
      <formula>G7</formula>
    </cfRule>
    <cfRule type="expression" dxfId="1" priority="8">
      <formula>AND(E7&lt;2000,I7&lt;2000)</formula>
    </cfRule>
  </conditionalFormatting>
  <conditionalFormatting sqref="L9">
    <cfRule type="cellIs" dxfId="3" priority="12" operator="lessThanOrEqual">
      <formula>G9</formula>
    </cfRule>
    <cfRule type="expression" dxfId="1" priority="16">
      <formula>AND(E9&lt;2000,I9&lt;2000)</formula>
    </cfRule>
  </conditionalFormatting>
  <conditionalFormatting sqref="N10">
    <cfRule type="cellIs" dxfId="0" priority="33" operator="lessThan">
      <formula>E10</formula>
    </cfRule>
  </conditionalFormatting>
  <conditionalFormatting sqref="N11">
    <cfRule type="cellIs" dxfId="0" priority="37" operator="lessThan">
      <formula>E11</formula>
    </cfRule>
  </conditionalFormatting>
  <conditionalFormatting sqref="N21">
    <cfRule type="cellIs" dxfId="0" priority="41" operator="lessThan">
      <formula>E21</formula>
    </cfRule>
  </conditionalFormatting>
  <conditionalFormatting sqref="N22">
    <cfRule type="cellIs" dxfId="0" priority="45" operator="lessThan">
      <formula>E22</formula>
    </cfRule>
  </conditionalFormatting>
  <conditionalFormatting sqref="N25">
    <cfRule type="cellIs" dxfId="0" priority="49" operator="lessThan">
      <formula>E25</formula>
    </cfRule>
  </conditionalFormatting>
  <conditionalFormatting sqref="N26">
    <cfRule type="cellIs" dxfId="0" priority="53" operator="lessThan">
      <formula>E26</formula>
    </cfRule>
  </conditionalFormatting>
  <conditionalFormatting sqref="N27">
    <cfRule type="cellIs" dxfId="0" priority="57" operator="lessThan">
      <formula>E27</formula>
    </cfRule>
  </conditionalFormatting>
  <conditionalFormatting sqref="N7">
    <cfRule type="cellIs" dxfId="0" priority="25" operator="lessThan">
      <formula>E7</formula>
    </cfRule>
  </conditionalFormatting>
  <conditionalFormatting sqref="N9">
    <cfRule type="cellIs" dxfId="0" priority="29" operator="lessThan">
      <formula>E9</formula>
    </cfRule>
  </conditionalFormatting>
  <conditionalFormatting sqref="O10">
    <cfRule type="expression" dxfId="2" priority="34">
      <formula>AND(NOT(ISBLANK(O10)),OR(N10="NonStk",O10&gt;N10))</formula>
    </cfRule>
  </conditionalFormatting>
  <conditionalFormatting sqref="O11">
    <cfRule type="expression" dxfId="2" priority="38">
      <formula>AND(NOT(ISBLANK(O11)),OR(N11="NonStk",O11&gt;N11))</formula>
    </cfRule>
  </conditionalFormatting>
  <conditionalFormatting sqref="O21">
    <cfRule type="expression" dxfId="2" priority="42">
      <formula>AND(NOT(ISBLANK(O21)),OR(N21="NonStk",O21&gt;N21))</formula>
    </cfRule>
  </conditionalFormatting>
  <conditionalFormatting sqref="O22">
    <cfRule type="expression" dxfId="2" priority="46">
      <formula>AND(NOT(ISBLANK(O22)),OR(N22="NonStk",O22&gt;N22))</formula>
    </cfRule>
  </conditionalFormatting>
  <conditionalFormatting sqref="O25">
    <cfRule type="expression" dxfId="2" priority="50">
      <formula>AND(NOT(ISBLANK(O25)),OR(N25="NonStk",O25&gt;N25))</formula>
    </cfRule>
  </conditionalFormatting>
  <conditionalFormatting sqref="O26">
    <cfRule type="expression" dxfId="2" priority="54">
      <formula>AND(NOT(ISBLANK(O26)),OR(N26="NonStk",O26&gt;N26))</formula>
    </cfRule>
  </conditionalFormatting>
  <conditionalFormatting sqref="O27">
    <cfRule type="expression" dxfId="2" priority="58">
      <formula>AND(NOT(ISBLANK(O27)),OR(N27="NonStk",O27&gt;N27))</formula>
    </cfRule>
  </conditionalFormatting>
  <conditionalFormatting sqref="O7">
    <cfRule type="expression" dxfId="2" priority="26">
      <formula>AND(NOT(ISBLANK(O7)),OR(N7="NonStk",O7&gt;N7))</formula>
    </cfRule>
  </conditionalFormatting>
  <conditionalFormatting sqref="O9">
    <cfRule type="expression" dxfId="2" priority="30">
      <formula>AND(NOT(ISBLANK(O9)),OR(N9="NonStk",O9&gt;N9))</formula>
    </cfRule>
  </conditionalFormatting>
  <conditionalFormatting sqref="P10">
    <cfRule type="cellIs" dxfId="3" priority="36" operator="lessThanOrEqual">
      <formula>F10</formula>
    </cfRule>
  </conditionalFormatting>
  <conditionalFormatting sqref="P11">
    <cfRule type="cellIs" dxfId="3" priority="40" operator="lessThanOrEqual">
      <formula>F11</formula>
    </cfRule>
  </conditionalFormatting>
  <conditionalFormatting sqref="P21">
    <cfRule type="cellIs" dxfId="3" priority="44" operator="lessThanOrEqual">
      <formula>F21</formula>
    </cfRule>
  </conditionalFormatting>
  <conditionalFormatting sqref="P22">
    <cfRule type="cellIs" dxfId="3" priority="48" operator="lessThanOrEqual">
      <formula>F22</formula>
    </cfRule>
  </conditionalFormatting>
  <conditionalFormatting sqref="P25">
    <cfRule type="cellIs" dxfId="3" priority="52" operator="lessThanOrEqual">
      <formula>F25</formula>
    </cfRule>
  </conditionalFormatting>
  <conditionalFormatting sqref="P26">
    <cfRule type="cellIs" dxfId="3" priority="56" operator="lessThanOrEqual">
      <formula>F26</formula>
    </cfRule>
  </conditionalFormatting>
  <conditionalFormatting sqref="P27">
    <cfRule type="cellIs" dxfId="3" priority="60" operator="lessThanOrEqual">
      <formula>F27</formula>
    </cfRule>
  </conditionalFormatting>
  <conditionalFormatting sqref="P7">
    <cfRule type="cellIs" dxfId="3" priority="28" operator="lessThanOrEqual">
      <formula>F7</formula>
    </cfRule>
  </conditionalFormatting>
  <conditionalFormatting sqref="P9">
    <cfRule type="cellIs" dxfId="3" priority="32" operator="lessThanOrEqual">
      <formula>F9</formula>
    </cfRule>
  </conditionalFormatting>
  <conditionalFormatting sqref="R10">
    <cfRule type="cellIs" dxfId="3" priority="35" operator="lessThanOrEqual">
      <formula>G10</formula>
    </cfRule>
  </conditionalFormatting>
  <conditionalFormatting sqref="R11">
    <cfRule type="cellIs" dxfId="3" priority="39" operator="lessThanOrEqual">
      <formula>G11</formula>
    </cfRule>
  </conditionalFormatting>
  <conditionalFormatting sqref="R21">
    <cfRule type="cellIs" dxfId="3" priority="43" operator="lessThanOrEqual">
      <formula>G21</formula>
    </cfRule>
  </conditionalFormatting>
  <conditionalFormatting sqref="R22">
    <cfRule type="cellIs" dxfId="3" priority="47" operator="lessThanOrEqual">
      <formula>G22</formula>
    </cfRule>
  </conditionalFormatting>
  <conditionalFormatting sqref="R25">
    <cfRule type="cellIs" dxfId="3" priority="51" operator="lessThanOrEqual">
      <formula>G25</formula>
    </cfRule>
  </conditionalFormatting>
  <conditionalFormatting sqref="R26">
    <cfRule type="cellIs" dxfId="3" priority="55" operator="lessThanOrEqual">
      <formula>G26</formula>
    </cfRule>
  </conditionalFormatting>
  <conditionalFormatting sqref="R27">
    <cfRule type="cellIs" dxfId="3" priority="59" operator="lessThanOrEqual">
      <formula>G27</formula>
    </cfRule>
  </conditionalFormatting>
  <conditionalFormatting sqref="R7">
    <cfRule type="cellIs" dxfId="3" priority="27" operator="lessThanOrEqual">
      <formula>G7</formula>
    </cfRule>
  </conditionalFormatting>
  <conditionalFormatting sqref="R9">
    <cfRule type="cellIs" dxfId="3" priority="31" operator="lessThanOrEqual">
      <formula>G9</formula>
    </cfRule>
  </conditionalFormatting>
  <conditionalFormatting sqref="T21">
    <cfRule type="cellIs" dxfId="0" priority="71" operator="lessThan">
      <formula>E21</formula>
    </cfRule>
  </conditionalFormatting>
  <conditionalFormatting sqref="T22">
    <cfRule type="cellIs" dxfId="0" priority="76" operator="lessThan">
      <formula>E22</formula>
    </cfRule>
  </conditionalFormatting>
  <conditionalFormatting sqref="T24">
    <cfRule type="cellIs" dxfId="0" priority="81" operator="lessThan">
      <formula>E24</formula>
    </cfRule>
  </conditionalFormatting>
  <conditionalFormatting sqref="T27">
    <cfRule type="cellIs" dxfId="0" priority="86" operator="lessThan">
      <formula>E27</formula>
    </cfRule>
  </conditionalFormatting>
  <conditionalFormatting sqref="T7">
    <cfRule type="cellIs" dxfId="0" priority="61" operator="lessThan">
      <formula>E7</formula>
    </cfRule>
  </conditionalFormatting>
  <conditionalFormatting sqref="T9">
    <cfRule type="cellIs" dxfId="0" priority="66" operator="lessThan">
      <formula>E9</formula>
    </cfRule>
  </conditionalFormatting>
  <conditionalFormatting sqref="U21">
    <cfRule type="expression" dxfId="1" priority="72">
      <formula>AND(U21&gt;0,MOD(U21,W21)&lt;&gt;0)</formula>
    </cfRule>
    <cfRule type="expression" dxfId="2" priority="73">
      <formula>AND(NOT(ISBLANK(U21)),OR(T21="NonStk",U21&gt;T21))</formula>
    </cfRule>
  </conditionalFormatting>
  <conditionalFormatting sqref="U22">
    <cfRule type="expression" dxfId="1" priority="77">
      <formula>AND(U22&gt;0,MOD(U22,W22)&lt;&gt;0)</formula>
    </cfRule>
    <cfRule type="expression" dxfId="2" priority="78">
      <formula>AND(NOT(ISBLANK(U22)),OR(T22="NonStk",U22&gt;T22))</formula>
    </cfRule>
  </conditionalFormatting>
  <conditionalFormatting sqref="U24">
    <cfRule type="expression" dxfId="1" priority="82">
      <formula>AND(U24&gt;0,MOD(U24,W24)&lt;&gt;0)</formula>
    </cfRule>
    <cfRule type="expression" dxfId="2" priority="83">
      <formula>AND(NOT(ISBLANK(U24)),OR(T24="NonStk",U24&gt;T24))</formula>
    </cfRule>
  </conditionalFormatting>
  <conditionalFormatting sqref="U27">
    <cfRule type="expression" dxfId="2" priority="87">
      <formula>AND(NOT(ISBLANK(U27)),OR(T27="NonStk",U27&gt;T27))</formula>
    </cfRule>
  </conditionalFormatting>
  <conditionalFormatting sqref="U7">
    <cfRule type="expression" dxfId="1" priority="62">
      <formula>AND(U7&gt;0,MOD(U7,W7)&lt;&gt;0)</formula>
    </cfRule>
    <cfRule type="expression" dxfId="2" priority="63">
      <formula>AND(NOT(ISBLANK(U7)),OR(T7="NonStk",U7&gt;T7))</formula>
    </cfRule>
  </conditionalFormatting>
  <conditionalFormatting sqref="U9">
    <cfRule type="expression" dxfId="1" priority="67">
      <formula>AND(U9&gt;0,MOD(U9,W9)&lt;&gt;0)</formula>
    </cfRule>
    <cfRule type="expression" dxfId="2" priority="68">
      <formula>AND(NOT(ISBLANK(U9)),OR(T9="NonStk",U9&gt;T9))</formula>
    </cfRule>
  </conditionalFormatting>
  <conditionalFormatting sqref="V21">
    <cfRule type="cellIs" dxfId="3" priority="75" operator="lessThanOrEqual">
      <formula>F21</formula>
    </cfRule>
  </conditionalFormatting>
  <conditionalFormatting sqref="V22">
    <cfRule type="cellIs" dxfId="3" priority="80" operator="lessThanOrEqual">
      <formula>F22</formula>
    </cfRule>
  </conditionalFormatting>
  <conditionalFormatting sqref="V24">
    <cfRule type="cellIs" dxfId="3" priority="85" operator="lessThanOrEqual">
      <formula>F24</formula>
    </cfRule>
  </conditionalFormatting>
  <conditionalFormatting sqref="V27">
    <cfRule type="cellIs" dxfId="3" priority="89" operator="lessThanOrEqual">
      <formula>F27</formula>
    </cfRule>
  </conditionalFormatting>
  <conditionalFormatting sqref="V7">
    <cfRule type="cellIs" dxfId="3" priority="65" operator="lessThanOrEqual">
      <formula>F7</formula>
    </cfRule>
  </conditionalFormatting>
  <conditionalFormatting sqref="V9">
    <cfRule type="cellIs" dxfId="3" priority="70" operator="lessThanOrEqual">
      <formula>F9</formula>
    </cfRule>
  </conditionalFormatting>
  <conditionalFormatting sqref="X21">
    <cfRule type="cellIs" dxfId="3" priority="74" operator="lessThanOrEqual">
      <formula>G21</formula>
    </cfRule>
  </conditionalFormatting>
  <conditionalFormatting sqref="X22">
    <cfRule type="cellIs" dxfId="3" priority="79" operator="lessThanOrEqual">
      <formula>G22</formula>
    </cfRule>
  </conditionalFormatting>
  <conditionalFormatting sqref="X24">
    <cfRule type="cellIs" dxfId="3" priority="84" operator="lessThanOrEqual">
      <formula>G24</formula>
    </cfRule>
  </conditionalFormatting>
  <conditionalFormatting sqref="X27">
    <cfRule type="cellIs" dxfId="3" priority="88" operator="lessThanOrEqual">
      <formula>G27</formula>
    </cfRule>
  </conditionalFormatting>
  <conditionalFormatting sqref="X7">
    <cfRule type="cellIs" dxfId="3" priority="64" operator="lessThanOrEqual">
      <formula>G7</formula>
    </cfRule>
  </conditionalFormatting>
  <conditionalFormatting sqref="X9">
    <cfRule type="cellIs" dxfId="3" priority="69" operator="lessThanOrEqual">
      <formula>G9</formula>
    </cfRule>
  </conditionalFormatting>
  <conditionalFormatting sqref="Z9">
    <cfRule type="cellIs" dxfId="0" priority="90" operator="lessThan">
      <formula>E9</formula>
    </cfRule>
  </conditionalFormatting>
  <hyperlinks>
    <hyperlink ref="M7" r:id="rId1"/>
    <hyperlink ref="S7" r:id="rId2"/>
    <hyperlink ref="Y7" r:id="rId3"/>
    <hyperlink ref="AK7" r:id="rId4"/>
    <hyperlink ref="AQ7" r:id="rId5"/>
    <hyperlink ref="M9" r:id="rId6"/>
    <hyperlink ref="S9" r:id="rId7"/>
    <hyperlink ref="Y9" r:id="rId8"/>
    <hyperlink ref="AE9" r:id="rId9"/>
    <hyperlink ref="AK9" r:id="rId10"/>
    <hyperlink ref="AQ9" r:id="rId11"/>
    <hyperlink ref="AW9" r:id="rId12"/>
    <hyperlink ref="BC9" r:id="rId13"/>
    <hyperlink ref="D10" r:id="rId14"/>
    <hyperlink ref="S10" r:id="rId15"/>
    <hyperlink ref="S11" r:id="rId16"/>
    <hyperlink ref="M21" r:id="rId17"/>
    <hyperlink ref="S21" r:id="rId18"/>
    <hyperlink ref="Y21" r:id="rId19"/>
    <hyperlink ref="AK21" r:id="rId20"/>
    <hyperlink ref="AQ21" r:id="rId21"/>
    <hyperlink ref="BC21" r:id="rId22"/>
    <hyperlink ref="M22" r:id="rId23"/>
    <hyperlink ref="S22" r:id="rId24"/>
    <hyperlink ref="Y22" r:id="rId25"/>
    <hyperlink ref="AK22" r:id="rId26"/>
    <hyperlink ref="AQ22" r:id="rId27"/>
    <hyperlink ref="D24" r:id="rId28"/>
    <hyperlink ref="Y24" r:id="rId29"/>
    <hyperlink ref="AK24" r:id="rId30"/>
    <hyperlink ref="AQ24" r:id="rId31"/>
    <hyperlink ref="BC24" r:id="rId32"/>
    <hyperlink ref="D25" r:id="rId33"/>
    <hyperlink ref="S25" r:id="rId34"/>
    <hyperlink ref="AK25" r:id="rId35"/>
    <hyperlink ref="D26" r:id="rId36"/>
    <hyperlink ref="S26" r:id="rId37"/>
    <hyperlink ref="D27" r:id="rId38"/>
    <hyperlink ref="S27" r:id="rId39"/>
    <hyperlink ref="Y27" r:id="rId40"/>
    <hyperlink ref="AK27" r:id="rId41"/>
    <hyperlink ref="AQ27" r:id="rId42"/>
    <hyperlink ref="H29" r:id="rId43"/>
    <hyperlink ref="N29" r:id="rId44"/>
    <hyperlink ref="T29" r:id="rId45"/>
    <hyperlink ref="Z29" r:id="rId46"/>
    <hyperlink ref="AF29" r:id="rId47"/>
    <hyperlink ref="AL29" r:id="rId48"/>
    <hyperlink ref="AR29" r:id="rId49"/>
    <hyperlink ref="AX29" r:id="rId50"/>
  </hyperlinks>
  <pageMargins left="0.7" right="0.7" top="0.75" bottom="0.75" header="0.3" footer="0.3"/>
  <legacyDrawing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eurorack-pmod-pcb</vt:lpstr>
      <vt:lpstr>'eurorack-pmod-pcb'!BoardQty</vt:lpstr>
      <vt:lpstr>'eurorack-pmod-pcb'!PURCHASE_DESCRIPTION</vt:lpstr>
      <vt:lpstr>'eurorack-pmod-pcb'!TotalCost</vt:lpstr>
      <vt:lpstr>'eurorack-pmod-pcb'!USD_GBP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2022-07-27T19:35:40Z</dcterms:created>
  <dcterms:modified xsi:type="dcterms:W3CDTF">2022-07-27T19:35:40Z</dcterms:modified>
</cp:coreProperties>
</file>