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orack-pmod-pcb" sheetId="1" r:id="rId1"/>
  </sheets>
  <definedNames>
    <definedName name="BoardQty" localSheetId="0">'eurorack-pmod-pcb'!$G$1</definedName>
    <definedName name="PURCHASE_DESCRIPTION" localSheetId="0">'eurorack-pmod-pcb'!$G$33</definedName>
    <definedName name="TotalCost" localSheetId="0">'eurorack-pmod-pcb'!$G$3</definedName>
    <definedName name="USD_GBP" localSheetId="0">'eurorack-pmod-pcb'!$C$33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$0.40      $3.99
    50   $0.30     $15.08
   100   $0.26     $26.27
   500   $0.19     $97.29</t>
        </r>
      </text>
    </comment>
    <comment ref="AF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H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10   $0.40      $3.99
    50   $0.30     $15.10
   100   $0.26     $26.30
  1000   $0.15    $154.00
 10000   $0.15  $1,540.00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2000   $0.16    $314.00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£0.31      £3.13
    50   £0.27     £13.30
   100   £0.23     £23.40
   250   £0.20     £51.00
  1000   £0.13    £133.00
  2000   £0.11    £226.00
  4000   £0.10    £400.00
  8000   £0.09    £696.00
 12000   £0.08    £960.00</t>
        </r>
      </text>
    </comment>
    <comment ref="AX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Z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£0.11    £107.97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$0.63      $0.63
    10   $0.44      $4.43
    25   $0.42     $10.55
   100   $0.30     $30.17
   250   $0.30     $74.68
   500   $0.22    $112.45
  1000   $0.19    $191.70</t>
        </r>
      </text>
    </comment>
    <comment ref="P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$0.47      $4.71
    50   $0.36     $17.82
   100   $0.31     $31.04
   500   $0.23    $114.95
  1000   $0.20    $195.42
  2000   $0.18    $367.84
  4000   $0.17    $689.72
 10000   $0.16  $1,609.30
 14000   $0.16  $2,212.84
 50000   $0.15  $7,472.00</t>
        </r>
      </text>
    </comment>
    <comment ref="V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£0.39      £1.97
    50   £0.26     £13.00
   100   £0.26     £26.00
   250   £0.25     £63.50
   500   £0.25    £124.50
  1000   £0.24    £244.00
  2000   £0.19    £378.00
 10000   £0.18  £1,850.00</t>
        </r>
      </text>
    </comment>
    <comment ref="AH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$0.49      $4.93
    50   $0.37     $18.65
   100   $0.33     $32.50
  1000   $0.32    $318.00
 10000   $0.19  $1,910.00</t>
        </r>
      </text>
    </comment>
    <comment ref="AN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$0.70      $3.50
    10   $0.49      $4.93
    25   $0.43     $10.82
    50   $0.37     $18.65
   100   $0.33     $32.50
  2000   $0.19    $384.00
  4000   $0.19    $764.00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$0.09    $174.60
 10000   $0.08    $802.00
 24000   $0.07  $1,797.60
 50000   $0.07  $3,475.00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$0.32      $3.18
    50   $0.24     $12.00
   100   $0.21     $20.91
   500   $0.15     $77.44
  1000   $0.13    $131.65
  2000   $0.12    $247.82
  4000   $0.12    $464.64
 10000   $0.11  $1,084.20
 14000   $0.11  $1,490.72
 50000   $0.10  $5,033.50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£1.46
    50   £0.17      £8.75
   100   £0.17     £17.50
   250   £0.15     £38.50
   500   £0.13     £66.00
  1000   £0.11    £112.00
  2000   £0.11    £222.00
 10000   £0.11  £1,090.00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$0.18      $1.83
    30   $0.17      $5.00
   100   $0.15     $14.63
   500   $0.14     $68.60
  1000   $0.13    $131.70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$0.32      $3.16
    50   $0.27     $13.25
   100   $0.24     $23.90
  1000   $0.24    $239.00
 10000   $0.12  $1,170.00</t>
        </r>
      </text>
    </comment>
    <comment ref="AN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 5   $0.52      $2.60
    10   $0.02      $0.23
    25   $0.02      $0.57
    50   $0.02      $1.15
   100   $0.02      $2.30
  2000   $0.13    $256.00
  4000   $0.12    $468.00</t>
        </r>
      </text>
    </comment>
    <comment ref="A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£0.26      £6.42
   400   £0.13     £51.60
  1000   £0.10     £96.00
  2000   £0.09    £182.00
  6000   £0.09    £522.00</t>
        </r>
      </text>
    </comment>
    <comment ref="AZ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£1.98
    50   £0.16      £7.83
   250   £0.11     £26.94
  1000   £0.09     £89.88
  2000   £0.08    £161.70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$0.13      $1.34
   100   $0.07      $7.31
   500   $0.05     $22.51
  1000   $0.03     $30.69
  3000   $0.03     $78.27
  6000   $0.02    $141.18
 15000   $0.02    $306.90
 30000   $0.02    $552.30
 75000   $0.02  $1,227.75</t>
        </r>
      </text>
    </comment>
    <comment ref="P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$0.33      $3.25
   100   $0.19     $18.72
  1000   $0.15    $146.47
  2000   $0.13    $268.52
  6000   $0.12    $732.36
 10000   $0.11  $1,139.20
 50000   $0.11  $5,289.00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50   $0.15      $7.45
   100   $0.14     $13.80
   500   $0.13     $65.50
  1000   $0.13    $126.00
  2000   $0.12    $238.00
  4000   $0.10    $404.00</t>
        </r>
      </text>
    </comment>
    <comment ref="V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£1.27
   100   £0.12     £11.70
   500   £0.11     £56.00
  1000   £0.11    £111.00
  2000   £0.11    £212.00
  4000   £0.08    £304.00
 20000   £0.07  £1,490.00</t>
        </r>
      </text>
    </comment>
    <comment ref="AH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$0.15      $1.52
    50   $0.15      $7.45
   100   $0.14     $13.80
  1000   $0.13    $131.00
 10000   $0.13  $1,310.00</t>
        </r>
      </text>
    </comment>
    <comment ref="AN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$0.08      $0.83
    25   $0.08      $2.08
    50   $0.08      $4.15
   100   $0.08      $8.30
  4000   $0.13    $524.00</t>
        </r>
      </text>
    </comment>
    <comment ref="AT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£0.14      £1.38
   100   £0.12     £12.10
   500   £0.10     £52.50
  1000   £0.09     £88.00
  4000   £0.07    £280.00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$0.09      $0.86
    25   $0.09      $2.12
   100   $0.05      $5.44
   250   $0.05     $13.45
   500   $0.04     $17.55
  1000   $0.03     $34.70</t>
        </r>
      </text>
    </comment>
    <comment ref="P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$0.12      $1.16
    25   $0.08      $2.00
    50   $0.06      $3.11
   100   $0.04      $4.44
   250   $0.03      $8.67
   500   $0.03     $13.78
  1000   $0.02     $19.55
  5000   $0.02     $75.55
 10000   $0.01    $135.50
 25000   $0.01    $311.00
 50000   $0.01    $584.50
125000   $0.01  $1,427.50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£0.17      £1.69
   100   £0.07      £6.60
   500   £0.04     £20.00
  1000   £0.03     £28.00
  2500   £0.03     £62.50
  5000   £0.02    £115.00
 25000   £0.02    £562.50</t>
        </r>
      </text>
    </comment>
    <comment ref="AH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$0.61
    50   $0.06      $3.05
   100   $0.04      $3.50
  1000   $0.02     $20.00
 10000   $0.01    $130.00</t>
        </r>
      </text>
    </comment>
    <comment ref="AN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10   $0.03      $0.29
    25   $0.03      $0.68
    50   $0.03      $1.25
   100   $0.02      $2.30
   250   $0.02      $5.25
   500   $0.02     $10.00
  1000   $0.02     $19.00
 10000   $0.03    $300.00</t>
        </r>
      </text>
    </comment>
    <comment ref="J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$0.19      $1.93
    25   $0.13      $3.20
   100   $0.08      $8.11
   250   $0.08     $20.07
   500   $0.07     $35.10</t>
        </r>
      </text>
    </comment>
    <comment ref="P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$0.12      $1.16
    25   $0.08      $2.00
    50   $0.06      $3.11
   100   $0.04      $4.45
   250   $0.03      $8.68
   500   $0.03     $13.79
  1000   $0.02     $19.58</t>
        </r>
      </text>
    </comment>
    <comment ref="AH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$0.12      $1.16
    50   $0.12      $5.80
   100   $0.09      $8.70
  1000   $0.08     $82.00
 10000   $0.08    $820.00</t>
        </r>
      </text>
    </comment>
    <comment ref="AN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$0.08    $410.00
 10000   $0.08    $820.00</t>
        </r>
      </text>
    </comment>
    <comment ref="J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$0.09      $0.09</t>
        </r>
      </text>
    </comment>
    <comment ref="P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$0.12      $1.22
    25   $0.09      $2.22
    50   $0.06      $3.22
   100   $0.05      $4.78
   250   $0.04      $9.17
   500   $0.03     $14.44
  1000   $0.02     $20.00</t>
        </r>
      </text>
    </comment>
    <comment ref="AH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 50   $0.07      $3.25
   100   $0.03      $2.70
  1000   $0.02     $20.00
 10000   $0.01    $150.00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$0.01    $150.00
 20000   $0.01    $300.00
 30000   $0.01    $420.00</t>
        </r>
      </text>
    </comment>
    <comment ref="P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$0.93      $0.93
    10   $0.83      $8.32
    25   $0.79     $19.74
   100   $0.65     $64.85
   250   $0.61    $151.55
   500   $0.54    $267.86
  1000   $0.43    $425.60</t>
        </r>
      </text>
    </comment>
    <comment ref="AX2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Z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£0.70      £0.70
     5   £0.51      £2.54
    25   £0.44     £10.99
   100   £0.38     £38.36</t>
        </r>
      </text>
    </comment>
    <comment ref="AH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$0.42      $4.24
    50   $0.42     $21.20
   100   $0.26     $26.20
  1000   $0.16    $163.00
 10000   $0.15  $1,480.00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$4.31      $4.31
    10   $3.87     $38.73
    25   $3.66     $91.53
   100   $3.17    $317.31
   250   $3.01    $752.60
   500   $2.70  $1,350.62
  1000   $2.28  $2,278.15
  2000   $2.16  $4,328.48</t>
        </r>
      </text>
    </comment>
    <comment ref="P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$1.23      $1.23
    10   $1.10     $10.98
    25   $1.04     $26.04
   100   $0.86     $85.57
   250   $0.80    $199.98
   500   $0.71    $353.46
  1000   $0.56    $561.60</t>
        </r>
      </text>
    </comment>
    <comment ref="T3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V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£1.07      £1.07
    10   £0.97      £9.70
    25   £0.96     £24.10
    50   £0.96     £47.85
   100   £0.95     £95.10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$1.23      $1.23
    10   $1.10     $11.00
    50   $1.05     $52.50
   100   $0.83     $83.00
  1000   $0.67    $665.00
 10000   $0.62  $6,210.00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N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$1.63      $1.63
    10   $1.51     $15.10
    25   $1.41     $35.25
    50   $1.35     $67.50
   100   $1.27    $127.00
   250   $1.21    $302.50
   500   $1.18    $590.00</t>
        </r>
      </text>
    </comment>
    <comment ref="F3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3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<sst xmlns="http://schemas.openxmlformats.org/spreadsheetml/2006/main" count="272" uniqueCount="150">
  <si>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</si>
  <si>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</si>
  <si>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</si>
  <si>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</si>
  <si>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</si>
  <si>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</si>
  <si>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</si>
  <si>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</si>
  <si>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C1,C2,C7</t>
  </si>
  <si>
    <t>47u</t>
  </si>
  <si>
    <t>CP_Elec_5x5.3</t>
  </si>
  <si>
    <t>UCM1V470MCL1GS</t>
  </si>
  <si>
    <t>C3,C5,C8,C12,C14,C16,C18</t>
  </si>
  <si>
    <t>10u</t>
  </si>
  <si>
    <t>CP_EIA-3216-10_Kemet-I</t>
  </si>
  <si>
    <t>T491A106K020AT</t>
  </si>
  <si>
    <t>C4,C6,C9,C13,C15,C17,C19</t>
  </si>
  <si>
    <t>100n</t>
  </si>
  <si>
    <t>C_0603_1608Metric</t>
  </si>
  <si>
    <t>C10,C11</t>
  </si>
  <si>
    <t>2u2</t>
  </si>
  <si>
    <t>T491A225K020AT</t>
  </si>
  <si>
    <t>C20-C27,C29,C31,C33,C35</t>
  </si>
  <si>
    <t>220p</t>
  </si>
  <si>
    <t>C28,C30,C32,C34</t>
  </si>
  <si>
    <t>56p</t>
  </si>
  <si>
    <t>D1,D2</t>
  </si>
  <si>
    <t>1N4007FL</t>
  </si>
  <si>
    <t>D_SOD-123F</t>
  </si>
  <si>
    <t>D3-D10</t>
  </si>
  <si>
    <t>LED_AN</t>
  </si>
  <si>
    <t>LED_1206_3216Metric</t>
  </si>
  <si>
    <t>XZMDKVG55W-4</t>
  </si>
  <si>
    <t>J1</t>
  </si>
  <si>
    <t>EURORACK_PWR</t>
  </si>
  <si>
    <t>PinHeader_2x05_P2.54mm_Vertical</t>
  </si>
  <si>
    <t>J2</t>
  </si>
  <si>
    <t>PMOD</t>
  </si>
  <si>
    <t>PinHeader_2x06_P2.54mm_Vertical</t>
  </si>
  <si>
    <t>J3-J10</t>
  </si>
  <si>
    <t>PJ398SM</t>
  </si>
  <si>
    <t>Jack_3.5mm_QingPu_WQP-PJ302M_Horizontal</t>
  </si>
  <si>
    <t>L1-L4</t>
  </si>
  <si>
    <t>Ferrite</t>
  </si>
  <si>
    <t>L_0603_1608Metric</t>
  </si>
  <si>
    <t>742792664</t>
  </si>
  <si>
    <t>R1</t>
  </si>
  <si>
    <t>330R</t>
  </si>
  <si>
    <t>R_0603_1608Metric</t>
  </si>
  <si>
    <t>R2,R5,R8,R11</t>
  </si>
  <si>
    <t>100K</t>
  </si>
  <si>
    <t>R3,R6,R9,R12,R14,R16,R18,R20</t>
  </si>
  <si>
    <t>1K</t>
  </si>
  <si>
    <t>R4,R7,R10,R13,R15,R17,R19,R21</t>
  </si>
  <si>
    <t>100R</t>
  </si>
  <si>
    <t>RN1,RN12</t>
  </si>
  <si>
    <t>4K7</t>
  </si>
  <si>
    <t>R_Cat16-4</t>
  </si>
  <si>
    <t>CAT16-472F4LF</t>
  </si>
  <si>
    <t>RN2,RN4,RN8,RN10,RN14</t>
  </si>
  <si>
    <t>CAT16-1003F4LF</t>
  </si>
  <si>
    <t>RN3,RN5-RN7,RN9,RN13</t>
  </si>
  <si>
    <t>15K</t>
  </si>
  <si>
    <t>CAT16-1502F4LF</t>
  </si>
  <si>
    <t>RN11</t>
  </si>
  <si>
    <t>56K</t>
  </si>
  <si>
    <t>CAT16-563J4LF</t>
  </si>
  <si>
    <t>U1</t>
  </si>
  <si>
    <t>LM4040DBZ-3</t>
  </si>
  <si>
    <t>SOT-23</t>
  </si>
  <si>
    <t>LM4040CEM3X-3.0/NOPB</t>
  </si>
  <si>
    <t>U2</t>
  </si>
  <si>
    <t>TL072</t>
  </si>
  <si>
    <t>TSSOP-8_4.4x3mm_P0.65mm</t>
  </si>
  <si>
    <t>TL072HIPWR</t>
  </si>
  <si>
    <t>U3</t>
  </si>
  <si>
    <t>AK4619VN</t>
  </si>
  <si>
    <t>QFN-32-1EP_5x5mm_P0.5mm_EP3.7x3.7mm_ThermalVias</t>
  </si>
  <si>
    <t>U4-U7</t>
  </si>
  <si>
    <t>TL074</t>
  </si>
  <si>
    <t>TSSOP-14_4.4x5mm_P0.65mm</t>
  </si>
  <si>
    <t>TL074CPW</t>
  </si>
  <si>
    <t>Arrow</t>
  </si>
  <si>
    <t>Avail</t>
  </si>
  <si>
    <t>Purch</t>
  </si>
  <si>
    <t>MOQ</t>
  </si>
  <si>
    <t>Cat#</t>
  </si>
  <si>
    <t>Buy here</t>
  </si>
  <si>
    <t>Digi-Key</t>
  </si>
  <si>
    <t>493-14540-1-ND</t>
  </si>
  <si>
    <t>399-18019-1-ND</t>
  </si>
  <si>
    <t>399-8276-1-ND</t>
  </si>
  <si>
    <t>1655-1N4007FLCT-ND</t>
  </si>
  <si>
    <t>1497-1314-1-ND</t>
  </si>
  <si>
    <t>732-1586-1-ND</t>
  </si>
  <si>
    <t>CAT16-1003F4LFCT-ND</t>
  </si>
  <si>
    <t>CAT16-1502F4LFCT-ND</t>
  </si>
  <si>
    <t>CAT16-563J4LFCT-ND</t>
  </si>
  <si>
    <t>296-LM4040CEM3X-3.0/NOPBCT-ND</t>
  </si>
  <si>
    <t>974-AK4619VNCT-ND</t>
  </si>
  <si>
    <t>296-26697-5-ND</t>
  </si>
  <si>
    <t>Farnell</t>
  </si>
  <si>
    <t>2762124</t>
  </si>
  <si>
    <t>1457419</t>
  </si>
  <si>
    <t>1800353</t>
  </si>
  <si>
    <t>2333516</t>
  </si>
  <si>
    <t>3117801</t>
  </si>
  <si>
    <t>NonStk</t>
  </si>
  <si>
    <t>LCSC</t>
  </si>
  <si>
    <t>C1953682</t>
  </si>
  <si>
    <t>Mouser</t>
  </si>
  <si>
    <t>647-UCM1V470MCL1GS</t>
  </si>
  <si>
    <t>80-T491A106K020AT</t>
  </si>
  <si>
    <t>80-T491A225K020</t>
  </si>
  <si>
    <t>710-742792664</t>
  </si>
  <si>
    <t>652-CAT16-1003F4LF</t>
  </si>
  <si>
    <t>652-CAT16-1502F4LF</t>
  </si>
  <si>
    <t>652-CAT16-563J4LF</t>
  </si>
  <si>
    <t>595-TL072HIPWR</t>
  </si>
  <si>
    <t>595-TL074CPW</t>
  </si>
  <si>
    <t>Newark</t>
  </si>
  <si>
    <t>44X4668</t>
  </si>
  <si>
    <t>18AC7874</t>
  </si>
  <si>
    <t>57K1664</t>
  </si>
  <si>
    <t>78R5662</t>
  </si>
  <si>
    <t>06X4892</t>
  </si>
  <si>
    <t>78AH9750</t>
  </si>
  <si>
    <t>32K0224</t>
  </si>
  <si>
    <t>33AH5103</t>
  </si>
  <si>
    <t>RS Components</t>
  </si>
  <si>
    <t>8432206</t>
  </si>
  <si>
    <t>8015482</t>
  </si>
  <si>
    <t>7880027</t>
  </si>
  <si>
    <t>TME</t>
  </si>
  <si>
    <t>LM4040CEM3X3.0NOPB</t>
  </si>
  <si>
    <t>Total Purchase:</t>
  </si>
  <si>
    <t>Purchase description:</t>
  </si>
  <si>
    <t>Used currency rates:</t>
  </si>
  <si>
    <t>USD($)/GBP(£):</t>
  </si>
  <si>
    <t>Prj:</t>
  </si>
  <si>
    <t>eurorack-pmod-pcb.xml</t>
  </si>
  <si>
    <t>Co.:</t>
  </si>
  <si>
    <t>Prj date:</t>
  </si>
  <si>
    <t>Sun 14 Aug 2022 16:21:13</t>
  </si>
  <si>
    <t>Board Qty:</t>
  </si>
  <si>
    <t>Total Cost:</t>
  </si>
  <si>
    <t>Unit Cost:</t>
  </si>
  <si>
    <t>$ date:</t>
  </si>
  <si>
    <t>2022-08-14 16:21:28</t>
  </si>
  <si>
    <t>KiCost® v1.1.10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</si>
</sst>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8798c8&amp;sid=459&amp;ppid=30382550&amp;vpid=242880875&amp;ct=offers" TargetMode="External"/><Relationship Id="rId2" Type="http://schemas.openxmlformats.org/officeDocument/2006/relationships/hyperlink" Target="https://octopart.com/click/track?c=1&amp;ai=8078&amp;sig=0779bd7&amp;sid=2401&amp;ppid=30382550&amp;vpid=87465682&amp;ct=offers" TargetMode="External"/><Relationship Id="rId3" Type="http://schemas.openxmlformats.org/officeDocument/2006/relationships/hyperlink" Target="https://octopart.com/click/track?c=1&amp;ai=8078&amp;sig=0b9fb02&amp;sid=2402&amp;ppid=30382550&amp;vpid=120921768&amp;ct=offers" TargetMode="External"/><Relationship Id="rId4" Type="http://schemas.openxmlformats.org/officeDocument/2006/relationships/hyperlink" Target="https://octopart.com/click/track?c=1&amp;ai=8078&amp;sig=08b3e44&amp;sid=10022&amp;ppid=30382550&amp;vpid=215018225&amp;ct=offers" TargetMode="External"/><Relationship Id="rId5" Type="http://schemas.openxmlformats.org/officeDocument/2006/relationships/hyperlink" Target="https://octopart.com/click/track?ai=8078&amp;sig=0659214&amp;sid=1532&amp;ppid=30382550&amp;vpid=709104772&amp;ct=offers" TargetMode="External"/><Relationship Id="rId6" Type="http://schemas.openxmlformats.org/officeDocument/2006/relationships/hyperlink" Target="https://octopart.com/click/track?ai=8078&amp;sig=039d08e&amp;sid=1106&amp;ppid=22092915&amp;vpid=824231795&amp;ct=offers" TargetMode="External"/><Relationship Id="rId7" Type="http://schemas.openxmlformats.org/officeDocument/2006/relationships/hyperlink" Target="https://octopart.com/click/track?ai=8078&amp;sig=0601ada&amp;sid=459&amp;ppid=22092915&amp;vpid=481598296&amp;ct=offers" TargetMode="External"/><Relationship Id="rId8" Type="http://schemas.openxmlformats.org/officeDocument/2006/relationships/hyperlink" Target="https://octopart.com/click/track?ai=8078&amp;sig=0279b1a&amp;sid=819&amp;ppid=22092915&amp;vpid=425164884&amp;ct=offers" TargetMode="External"/><Relationship Id="rId9" Type="http://schemas.openxmlformats.org/officeDocument/2006/relationships/hyperlink" Target="https://octopart.com/click/track?ai=8078&amp;sig=0b6e00a&amp;sid=2401&amp;ppid=22092915&amp;vpid=408799570&amp;ct=offers" TargetMode="External"/><Relationship Id="rId10" Type="http://schemas.openxmlformats.org/officeDocument/2006/relationships/hyperlink" Target="https://octopart.com/click/track?ai=8078&amp;sig=0802d81&amp;sid=2402&amp;ppid=22092915&amp;vpid=432890296&amp;ct=offers" TargetMode="External"/><Relationship Id="rId11" Type="http://schemas.openxmlformats.org/officeDocument/2006/relationships/hyperlink" Target="https://octopart.com/click/track?ai=8078&amp;sig=0f685f6&amp;sid=1106&amp;ppid=146755&amp;vpid=549065304&amp;ct=offers" TargetMode="External"/><Relationship Id="rId12" Type="http://schemas.openxmlformats.org/officeDocument/2006/relationships/hyperlink" Target="https://octopart.com/click/track?ai=8078&amp;sig=00079fa&amp;sid=459&amp;ppid=146755&amp;vpid=51928025&amp;ct=offers" TargetMode="External"/><Relationship Id="rId13" Type="http://schemas.openxmlformats.org/officeDocument/2006/relationships/hyperlink" Target="https://octopart.com/click/track?ai=8078&amp;sig=018d76d&amp;sid=11744&amp;ppid=146755&amp;vpid=132346739&amp;ct=offers" TargetMode="External"/><Relationship Id="rId14" Type="http://schemas.openxmlformats.org/officeDocument/2006/relationships/hyperlink" Target="https://octopart.com/click/track?ai=8078&amp;sig=0dffb02&amp;sid=27971&amp;ppid=146755&amp;vpid=762101014&amp;ct=offers" TargetMode="External"/><Relationship Id="rId15" Type="http://schemas.openxmlformats.org/officeDocument/2006/relationships/hyperlink" Target="https://octopart.com/click/track?ai=8078&amp;sig=0ad6d40&amp;sid=2401&amp;ppid=146755&amp;vpid=44737287&amp;ct=offers" TargetMode="External"/><Relationship Id="rId16" Type="http://schemas.openxmlformats.org/officeDocument/2006/relationships/hyperlink" Target="https://octopart.com/click/track?ai=8078&amp;sig=0f84435&amp;sid=2402&amp;ppid=146755&amp;vpid=2998366&amp;ct=offers" TargetMode="External"/><Relationship Id="rId17" Type="http://schemas.openxmlformats.org/officeDocument/2006/relationships/hyperlink" Target="https://octopart.com/click/track?ai=8078&amp;sig=05ca804&amp;sid=10022&amp;ppid=146755&amp;vpid=199041292&amp;ct=offers" TargetMode="External"/><Relationship Id="rId18" Type="http://schemas.openxmlformats.org/officeDocument/2006/relationships/hyperlink" Target="https://octopart.com/click/track?ai=8078&amp;sig=01f4a41&amp;sid=1532&amp;ppid=146755&amp;vpid=709043534&amp;ct=offers" TargetMode="External"/><Relationship Id="rId19" Type="http://schemas.openxmlformats.org/officeDocument/2006/relationships/hyperlink" Target="https://www.diodes.com/assets/Datasheets/ds16008.pdf" TargetMode="External"/><Relationship Id="rId20" Type="http://schemas.openxmlformats.org/officeDocument/2006/relationships/hyperlink" Target="https://octopart.com/click/track?ai=8078&amp;sig=0ad1dc2&amp;sid=459&amp;ppid=122641204&amp;vpid=803604596&amp;ct=offers" TargetMode="External"/><Relationship Id="rId21" Type="http://schemas.openxmlformats.org/officeDocument/2006/relationships/hyperlink" Target="https://octopart.com/click/track?ai=8078&amp;sig=0de0df1&amp;sid=459&amp;ppid=77935508&amp;vpid=410880727&amp;ct=offers" TargetMode="External"/><Relationship Id="rId22" Type="http://schemas.openxmlformats.org/officeDocument/2006/relationships/hyperlink" Target="https://octopart.com/click/track?ai=8078&amp;sig=0fc0189&amp;sid=459&amp;ppid=7864503&amp;vpid=33976938&amp;ct=offers" TargetMode="External"/><Relationship Id="rId23" Type="http://schemas.openxmlformats.org/officeDocument/2006/relationships/hyperlink" Target="https://octopart.com/click/track?c=1&amp;ai=8078&amp;sig=05679fc&amp;sid=11744&amp;ppid=7864503&amp;vpid=132756817&amp;ct=offers" TargetMode="External"/><Relationship Id="rId24" Type="http://schemas.openxmlformats.org/officeDocument/2006/relationships/hyperlink" Target="https://octopart.com/click/track?ai=8078&amp;sig=0f3c22d&amp;sid=2401&amp;ppid=7864503&amp;vpid=51535506&amp;ct=offers" TargetMode="External"/><Relationship Id="rId25" Type="http://schemas.openxmlformats.org/officeDocument/2006/relationships/hyperlink" Target="https://octopart.com/click/track?ai=8078&amp;sig=0d2768e&amp;sid=2402&amp;ppid=7864503&amp;vpid=29514338&amp;ct=offers" TargetMode="External"/><Relationship Id="rId26" Type="http://schemas.openxmlformats.org/officeDocument/2006/relationships/hyperlink" Target="https://octopart.com/click/track?ai=8078&amp;sig=0c2063c&amp;sid=10022&amp;ppid=7864503&amp;vpid=210844994&amp;ct=offers" TargetMode="External"/><Relationship Id="rId27" Type="http://schemas.openxmlformats.org/officeDocument/2006/relationships/hyperlink" Target="https://octopart.com/click/track?ai=8078&amp;sig=01918fa&amp;sid=1106&amp;ppid=1887204&amp;vpid=474335977&amp;ct=offers" TargetMode="External"/><Relationship Id="rId28" Type="http://schemas.openxmlformats.org/officeDocument/2006/relationships/hyperlink" Target="https://octopart.com/click/track?ai=8078&amp;sig=02fe722&amp;sid=459&amp;ppid=1887204&amp;vpid=54324803&amp;ct=offers" TargetMode="External"/><Relationship Id="rId29" Type="http://schemas.openxmlformats.org/officeDocument/2006/relationships/hyperlink" Target="https://octopart.com/click/track?ai=8078&amp;sig=0585aea&amp;sid=11744&amp;ppid=1887204&amp;vpid=132140736&amp;ct=offers" TargetMode="External"/><Relationship Id="rId30" Type="http://schemas.openxmlformats.org/officeDocument/2006/relationships/hyperlink" Target="https://octopart.com/click/track?ai=8078&amp;sig=0a286c8&amp;sid=2401&amp;ppid=1887204&amp;vpid=37850736&amp;ct=offers" TargetMode="External"/><Relationship Id="rId31" Type="http://schemas.openxmlformats.org/officeDocument/2006/relationships/hyperlink" Target="https://octopart.com/click/track?ai=8078&amp;sig=051cb11&amp;sid=2402&amp;ppid=1887204&amp;vpid=88210828&amp;ct=offers" TargetMode="External"/><Relationship Id="rId32" Type="http://schemas.openxmlformats.org/officeDocument/2006/relationships/hyperlink" Target="https://octopart.com/click/track?ai=8078&amp;sig=0ad24e1&amp;sid=1106&amp;ppid=1728402&amp;vpid=473158383&amp;ct=offers" TargetMode="External"/><Relationship Id="rId33" Type="http://schemas.openxmlformats.org/officeDocument/2006/relationships/hyperlink" Target="https://octopart.com/click/track?ai=8078&amp;sig=04e9025&amp;sid=459&amp;ppid=1728402&amp;vpid=535485819&amp;ct=offers" TargetMode="External"/><Relationship Id="rId34" Type="http://schemas.openxmlformats.org/officeDocument/2006/relationships/hyperlink" Target="https://octopart.com/click/track?ai=8078&amp;sig=05e32d8&amp;sid=2401&amp;ppid=1728402&amp;vpid=69868003&amp;ct=offers" TargetMode="External"/><Relationship Id="rId35" Type="http://schemas.openxmlformats.org/officeDocument/2006/relationships/hyperlink" Target="https://octopart.com/click/track?ai=8078&amp;sig=06de885&amp;sid=2402&amp;ppid=1728402&amp;vpid=635923986&amp;ct=offers" TargetMode="External"/><Relationship Id="rId36" Type="http://schemas.openxmlformats.org/officeDocument/2006/relationships/hyperlink" Target="https://octopart.com/click/track?ai=8078&amp;sig=0a10e82&amp;sid=1106&amp;ppid=1638281&amp;vpid=473158448&amp;ct=offers" TargetMode="External"/><Relationship Id="rId37" Type="http://schemas.openxmlformats.org/officeDocument/2006/relationships/hyperlink" Target="https://octopart.com/click/track?ai=8078&amp;sig=01fe22b&amp;sid=459&amp;ppid=1638281&amp;vpid=58963183&amp;ct=offers" TargetMode="External"/><Relationship Id="rId38" Type="http://schemas.openxmlformats.org/officeDocument/2006/relationships/hyperlink" Target="https://octopart.com/click/track?ai=8078&amp;sig=0fa97fb&amp;sid=2401&amp;ppid=1638281&amp;vpid=193858949&amp;ct=offers" TargetMode="External"/><Relationship Id="rId39" Type="http://schemas.openxmlformats.org/officeDocument/2006/relationships/hyperlink" Target="https://octopart.com/click/track?c=1&amp;ai=8078&amp;sig=09a565b&amp;sid=2402&amp;ppid=1638281&amp;vpid=432658868&amp;ct=offers" TargetMode="External"/><Relationship Id="rId40" Type="http://schemas.openxmlformats.org/officeDocument/2006/relationships/hyperlink" Target="http://www.ti.com/lit/ds/symlink/lm4040-n.pdf" TargetMode="External"/><Relationship Id="rId41" Type="http://schemas.openxmlformats.org/officeDocument/2006/relationships/hyperlink" Target="https://octopart.com/click/track?ai=8078&amp;sig=08c0292&amp;sid=459&amp;ppid=24846964&amp;vpid=625743343&amp;ct=offers" TargetMode="External"/><Relationship Id="rId42" Type="http://schemas.openxmlformats.org/officeDocument/2006/relationships/hyperlink" Target="https://octopart.com/click/track?ai=8078&amp;sig=058eb05&amp;sid=1532&amp;ppid=24846964&amp;vpid=775984677&amp;ct=offers" TargetMode="External"/><Relationship Id="rId43" Type="http://schemas.openxmlformats.org/officeDocument/2006/relationships/hyperlink" Target="http://www.ti.com/lit/ds/symlink/tl071.pdf" TargetMode="External"/><Relationship Id="rId44" Type="http://schemas.openxmlformats.org/officeDocument/2006/relationships/hyperlink" Target="https://octopart.com/click/track?ai=8078&amp;sig=030b161&amp;sid=2401&amp;ppid=120005007&amp;vpid=756156532&amp;ct=offers" TargetMode="External"/><Relationship Id="rId45" Type="http://schemas.openxmlformats.org/officeDocument/2006/relationships/hyperlink" Target="https://www.akm.com/content/dam/documents/products/audio/audio-codec/ak4619vn/ak4619vn-en-datasheet.pdf" TargetMode="External"/><Relationship Id="rId46" Type="http://schemas.openxmlformats.org/officeDocument/2006/relationships/hyperlink" Target="https://octopart.com/click/track?ai=8078&amp;sig=0d2974d&amp;sid=459&amp;ppid=120079895&amp;vpid=748714728&amp;ct=offers" TargetMode="External"/><Relationship Id="rId47" Type="http://schemas.openxmlformats.org/officeDocument/2006/relationships/hyperlink" Target="http://www.ti.com/lit/ds/symlink/tl071.pdf" TargetMode="External"/><Relationship Id="rId48" Type="http://schemas.openxmlformats.org/officeDocument/2006/relationships/hyperlink" Target="https://octopart.com/click/track?ai=8078&amp;sig=0ff01fb&amp;sid=459&amp;ppid=3750428&amp;vpid=33568266&amp;ct=offers" TargetMode="External"/><Relationship Id="rId49" Type="http://schemas.openxmlformats.org/officeDocument/2006/relationships/hyperlink" Target="https://octopart.com/click/track?c=1&amp;ai=8078&amp;sig=018c510&amp;sid=11744&amp;ppid=3750428&amp;vpid=584721266&amp;ct=offers" TargetMode="External"/><Relationship Id="rId50" Type="http://schemas.openxmlformats.org/officeDocument/2006/relationships/hyperlink" Target="https://octopart.com/click/track?ai=8078&amp;sig=08981b3&amp;sid=2401&amp;ppid=3750428&amp;vpid=37807858&amp;ct=offers" TargetMode="External"/><Relationship Id="rId51" Type="http://schemas.openxmlformats.org/officeDocument/2006/relationships/hyperlink" Target="https://octopart.com/click/track?c=1&amp;ai=8078&amp;sig=0f88287&amp;sid=2402&amp;ppid=3750428&amp;vpid=585373673&amp;ct=offers" TargetMode="External"/><Relationship Id="rId52" Type="http://schemas.openxmlformats.org/officeDocument/2006/relationships/hyperlink" Target="https://www.arrow.com/en/bom-tool/" TargetMode="External"/><Relationship Id="rId53" Type="http://schemas.openxmlformats.org/officeDocument/2006/relationships/hyperlink" Target="https://www.digikey.com/ordering/shoppingcart" TargetMode="External"/><Relationship Id="rId54" Type="http://schemas.openxmlformats.org/officeDocument/2006/relationships/hyperlink" Target="https://fr.farnell.com/en-FR/quick-order?isQuickPaste=true" TargetMode="External"/><Relationship Id="rId55" Type="http://schemas.openxmlformats.org/officeDocument/2006/relationships/hyperlink" Target="https://lcsc.com/bom.html" TargetMode="External"/><Relationship Id="rId56" Type="http://schemas.openxmlformats.org/officeDocument/2006/relationships/hyperlink" Target="https://mouser.com/bom/" TargetMode="External"/><Relationship Id="rId57" Type="http://schemas.openxmlformats.org/officeDocument/2006/relationships/hyperlink" Target="https://www.newark.com/quick-order?isQuickPaste=true" TargetMode="External"/><Relationship Id="rId58" Type="http://schemas.openxmlformats.org/officeDocument/2006/relationships/hyperlink" Target="https://uk.rs-online.com/web/mylists/manualQuotes.html?method=showEnquiryCreationPage&amp;mode=new" TargetMode="External"/><Relationship Id="rId59" Type="http://schemas.openxmlformats.org/officeDocument/2006/relationships/hyperlink" Target="https://www.tme.eu/en/Profile/QuickBuy/load.html" TargetMode="External"/><Relationship Id="rId60" Type="http://schemas.openxmlformats.org/officeDocument/2006/relationships/vmlDrawing" Target="../drawings/vmlDrawing1.vml"/><Relationship Id="rId6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2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3"/>
  <cols>
    <col min="1" max="1" width="30.7109375" customWidth="1"/>
    <col min="2" max="2" width="13.7109375" customWidth="1"/>
    <col min="3" max="3" width="33.7109375" customWidth="1" outlineLevel="2"/>
    <col min="4" max="4" width="21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30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9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9.7109375" customWidth="1" outlineLevel="2"/>
  </cols>
  <sheetData>
    <row r="1" spans="1:55">
      <c r="A1" s="1" t="s">
        <v>139</v>
      </c>
      <c r="B1" s="2" t="s">
        <v>140</v>
      </c>
      <c r="F1" s="3" t="s">
        <v>144</v>
      </c>
      <c r="G1" s="3">
        <v>100</v>
      </c>
    </row>
    <row r="2" spans="1:55">
      <c r="A2" s="1" t="s">
        <v>141</v>
      </c>
      <c r="B2" s="2"/>
      <c r="F2" s="1" t="s">
        <v>146</v>
      </c>
      <c r="G2" s="4">
        <f>TotalCost/BoardQty</f>
        <v>11.4601</v>
      </c>
    </row>
    <row r="3" spans="1:55">
      <c r="A3" s="1" t="s">
        <v>142</v>
      </c>
      <c r="B3" s="2" t="s">
        <v>143</v>
      </c>
      <c r="F3" s="1" t="s">
        <v>145</v>
      </c>
      <c r="G3" s="5">
        <f>SUM(G7:G30)</f>
        <v>1146.0078</v>
      </c>
      <c r="L3" s="5">
        <f>SUM(L7:L30)</f>
        <v>225.65</v>
      </c>
      <c r="M3" s="6" t="str">
        <f>(COUNTA(L7:L30)&amp;" of "&amp;ROWS(L7:L30)&amp;" parts found")</f>
        <v>5 of 24 parts found</v>
      </c>
      <c r="R3" s="5">
        <f>SUM(R7:R30)</f>
        <v>1238.376</v>
      </c>
      <c r="S3" s="6" t="str">
        <f>(COUNTA(R7:R30)&amp;" of "&amp;ROWS(R7:R30)&amp;" parts found")</f>
        <v>12 of 24 parts found</v>
      </c>
      <c r="X3" s="5">
        <f>SUM(X7:X30)</f>
        <v>797.0374</v>
      </c>
      <c r="Y3" s="6" t="str">
        <f>(COUNTA(X7:X30)&amp;" of "&amp;ROWS(X7:X30)&amp;" parts found")</f>
        <v>5 of 24 parts found</v>
      </c>
      <c r="AD3" s="5">
        <f>SUM(AD7:AD30)</f>
        <v>29.26</v>
      </c>
      <c r="AE3" s="6" t="str">
        <f>(COUNTA(AD7:AD30)&amp;" of "&amp;ROWS(AD7:AD30)&amp;" parts found")</f>
        <v>1 of 24 parts found</v>
      </c>
      <c r="AJ3" s="5">
        <f>SUM(AJ7:AJ30)</f>
        <v>840.0</v>
      </c>
      <c r="AK3" s="6" t="str">
        <f>(COUNTA(AJ7:AJ30)&amp;" of "&amp;ROWS(AJ7:AJ30)&amp;" parts found")</f>
        <v>9 of 24 parts found</v>
      </c>
      <c r="AP3" s="5">
        <f>SUM(AP7:AP30)</f>
        <v>806.4</v>
      </c>
      <c r="AQ3" s="6" t="str">
        <f>(COUNTA(AP7:AP30)&amp;" of "&amp;ROWS(AP7:AP30)&amp;" parts found")</f>
        <v>8 of 24 parts found</v>
      </c>
      <c r="AV3" s="5">
        <f>SUM(AV7:AV30)</f>
        <v>195.4654</v>
      </c>
      <c r="AW3" s="6" t="str">
        <f>(COUNTA(AV7:AV30)&amp;" of "&amp;ROWS(AV7:AV30)&amp;" parts found")</f>
        <v>3 of 24 parts found</v>
      </c>
      <c r="BB3" s="5">
        <f>SUM(BB7:BB30)</f>
        <v>84.5964</v>
      </c>
      <c r="BC3" s="6" t="str">
        <f>(COUNTA(BB7:BB30)&amp;" of "&amp;ROWS(BB7:BB30)&amp;" parts found")</f>
        <v>3 of 24 parts found</v>
      </c>
    </row>
    <row r="4" spans="1:55">
      <c r="A4" s="1" t="s">
        <v>147</v>
      </c>
      <c r="B4" s="2" t="s">
        <v>148</v>
      </c>
    </row>
    <row r="5" spans="1:55">
      <c r="A5" s="7" t="s">
        <v>0</v>
      </c>
      <c r="B5" s="7"/>
      <c r="C5" s="7"/>
      <c r="D5" s="7"/>
      <c r="E5" s="7"/>
      <c r="F5" s="7"/>
      <c r="G5" s="7"/>
      <c r="H5" s="8" t="s">
        <v>82</v>
      </c>
      <c r="I5" s="8"/>
      <c r="J5" s="8"/>
      <c r="K5" s="8"/>
      <c r="L5" s="8"/>
      <c r="M5" s="8"/>
      <c r="N5" s="9" t="s">
        <v>88</v>
      </c>
      <c r="O5" s="9"/>
      <c r="P5" s="9"/>
      <c r="Q5" s="9"/>
      <c r="R5" s="9"/>
      <c r="S5" s="9"/>
      <c r="T5" s="10" t="s">
        <v>101</v>
      </c>
      <c r="U5" s="10"/>
      <c r="V5" s="10"/>
      <c r="W5" s="10"/>
      <c r="X5" s="10"/>
      <c r="Y5" s="10"/>
      <c r="Z5" s="11" t="s">
        <v>108</v>
      </c>
      <c r="AA5" s="11"/>
      <c r="AB5" s="11"/>
      <c r="AC5" s="11"/>
      <c r="AD5" s="11"/>
      <c r="AE5" s="11"/>
      <c r="AF5" s="12" t="s">
        <v>110</v>
      </c>
      <c r="AG5" s="12"/>
      <c r="AH5" s="12"/>
      <c r="AI5" s="12"/>
      <c r="AJ5" s="12"/>
      <c r="AK5" s="12"/>
      <c r="AL5" s="13" t="s">
        <v>120</v>
      </c>
      <c r="AM5" s="13"/>
      <c r="AN5" s="13"/>
      <c r="AO5" s="13"/>
      <c r="AP5" s="13"/>
      <c r="AQ5" s="13"/>
      <c r="AR5" s="14" t="s">
        <v>129</v>
      </c>
      <c r="AS5" s="14"/>
      <c r="AT5" s="14"/>
      <c r="AU5" s="14"/>
      <c r="AV5" s="14"/>
      <c r="AW5" s="14"/>
      <c r="AX5" s="15" t="s">
        <v>133</v>
      </c>
      <c r="AY5" s="15"/>
      <c r="AZ5" s="15"/>
      <c r="BA5" s="15"/>
      <c r="BB5" s="15"/>
      <c r="BC5" s="15"/>
    </row>
    <row r="6" spans="1:55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83</v>
      </c>
      <c r="I6" s="16" t="s">
        <v>84</v>
      </c>
      <c r="J6" s="16" t="s">
        <v>6</v>
      </c>
      <c r="K6" s="16" t="s">
        <v>85</v>
      </c>
      <c r="L6" s="16" t="s">
        <v>7</v>
      </c>
      <c r="M6" s="16" t="s">
        <v>86</v>
      </c>
      <c r="N6" s="16" t="s">
        <v>83</v>
      </c>
      <c r="O6" s="16" t="s">
        <v>84</v>
      </c>
      <c r="P6" s="16" t="s">
        <v>6</v>
      </c>
      <c r="Q6" s="16" t="s">
        <v>85</v>
      </c>
      <c r="R6" s="16" t="s">
        <v>7</v>
      </c>
      <c r="S6" s="16" t="s">
        <v>86</v>
      </c>
      <c r="T6" s="16" t="s">
        <v>83</v>
      </c>
      <c r="U6" s="16" t="s">
        <v>84</v>
      </c>
      <c r="V6" s="16" t="s">
        <v>6</v>
      </c>
      <c r="W6" s="16" t="s">
        <v>85</v>
      </c>
      <c r="X6" s="16" t="s">
        <v>7</v>
      </c>
      <c r="Y6" s="16" t="s">
        <v>86</v>
      </c>
      <c r="Z6" s="16" t="s">
        <v>83</v>
      </c>
      <c r="AA6" s="16" t="s">
        <v>84</v>
      </c>
      <c r="AB6" s="16" t="s">
        <v>6</v>
      </c>
      <c r="AC6" s="16" t="s">
        <v>85</v>
      </c>
      <c r="AD6" s="16" t="s">
        <v>7</v>
      </c>
      <c r="AE6" s="16" t="s">
        <v>86</v>
      </c>
      <c r="AF6" s="16" t="s">
        <v>83</v>
      </c>
      <c r="AG6" s="16" t="s">
        <v>84</v>
      </c>
      <c r="AH6" s="16" t="s">
        <v>6</v>
      </c>
      <c r="AI6" s="16" t="s">
        <v>85</v>
      </c>
      <c r="AJ6" s="16" t="s">
        <v>7</v>
      </c>
      <c r="AK6" s="16" t="s">
        <v>86</v>
      </c>
      <c r="AL6" s="16" t="s">
        <v>83</v>
      </c>
      <c r="AM6" s="16" t="s">
        <v>84</v>
      </c>
      <c r="AN6" s="16" t="s">
        <v>6</v>
      </c>
      <c r="AO6" s="16" t="s">
        <v>85</v>
      </c>
      <c r="AP6" s="16" t="s">
        <v>7</v>
      </c>
      <c r="AQ6" s="16" t="s">
        <v>86</v>
      </c>
      <c r="AR6" s="16" t="s">
        <v>83</v>
      </c>
      <c r="AS6" s="16" t="s">
        <v>84</v>
      </c>
      <c r="AT6" s="16" t="s">
        <v>6</v>
      </c>
      <c r="AU6" s="16" t="s">
        <v>85</v>
      </c>
      <c r="AV6" s="16" t="s">
        <v>7</v>
      </c>
      <c r="AW6" s="16" t="s">
        <v>86</v>
      </c>
      <c r="AX6" s="16" t="s">
        <v>83</v>
      </c>
      <c r="AY6" s="16" t="s">
        <v>84</v>
      </c>
      <c r="AZ6" s="16" t="s">
        <v>6</v>
      </c>
      <c r="BA6" s="16" t="s">
        <v>85</v>
      </c>
      <c r="BB6" s="16" t="s">
        <v>7</v>
      </c>
      <c r="BC6" s="16" t="s">
        <v>86</v>
      </c>
    </row>
    <row r="7" spans="1:55">
      <c r="A7" s="17" t="s">
        <v>8</v>
      </c>
      <c r="B7" s="17" t="s">
        <v>9</v>
      </c>
      <c r="C7" s="17" t="s">
        <v>10</v>
      </c>
      <c r="D7" s="17" t="s">
        <v>11</v>
      </c>
      <c r="E7" s="17">
        <f>CEILING(BoardQty*3.0,1)</f>
        <v>300</v>
      </c>
      <c r="F7" s="18">
        <f>IF(MIN(J7,P7,V7,AB7,AH7,AN7,AT7,AZ7)&lt;&gt;0,MIN(J7,P7,V7,AB7,AH7,AN7,AT7,AZ7),"")</f>
        <v>0.157</v>
      </c>
      <c r="G7" s="19">
        <f>IF(AND(ISNUMBER(E7),ISNUMBER(F7)),E7*F7,"")</f>
        <v>47.1</v>
      </c>
      <c r="N7" s="17">
        <v>211</v>
      </c>
      <c r="O7" s="17"/>
      <c r="P7" s="18">
        <f>IFERROR(IF(OR(O7&gt;=Q7,E7&gt;=Q7),LOOKUP(IF(O7="",E7,O7),{0,1,10,50,100,500},{0.0,0.56,0.399,0.3016,0.2627,0.19458}),"MOQ="&amp;Q7),"")</f>
        <v>0.2627</v>
      </c>
      <c r="Q7" s="17">
        <v>1</v>
      </c>
      <c r="R7" s="19">
        <f>IFERROR(IF(O7="",E7,O7)*P7,"")</f>
        <v>78.81</v>
      </c>
      <c r="S7" s="17" t="s">
        <v>89</v>
      </c>
      <c r="AF7" s="20" t="s">
        <v>107</v>
      </c>
      <c r="AG7" s="17"/>
      <c r="AH7" s="18">
        <f>IFERROR(IF(OR(AG7&gt;=AI7,E7&gt;=AI7),LOOKUP(IF(AG7="",E7,AG7),{0,1,10,50,100,1000,10000},{0.0,0.57,0.399,0.302,0.263,0.154,0.154}),"MOQ="&amp;AI7),"")</f>
        <v>0.263</v>
      </c>
      <c r="AI7" s="17">
        <v>1</v>
      </c>
      <c r="AJ7" s="19">
        <f>IFERROR(IF(AG7="",E7,AG7)*AH7,"")</f>
        <v>78.9</v>
      </c>
      <c r="AK7" s="17" t="s">
        <v>111</v>
      </c>
      <c r="AL7" s="20" t="s">
        <v>107</v>
      </c>
      <c r="AM7" s="17"/>
      <c r="AN7" s="18">
        <f>IFERROR(IF(OR(AM7&gt;=AO7,E7&gt;=AO7),LOOKUP(IF(AM7="",E7,AM7),{0,1,2000},{0.0,0.157,0.157}),"MOQ="&amp;AO7),"")</f>
        <v>0.157</v>
      </c>
      <c r="AO7" s="17">
        <v>1</v>
      </c>
      <c r="AP7" s="19">
        <f>IFERROR(IF(AM7="",E7,AM7)*AN7,"")</f>
        <v>47.1</v>
      </c>
      <c r="AQ7" s="17" t="s">
        <v>121</v>
      </c>
      <c r="AR7" s="17">
        <v>160</v>
      </c>
      <c r="AS7" s="17"/>
      <c r="AT7" s="18">
        <f>IFERROR(IF(OR(AS7&gt;=AU7,E7&gt;=AU7),USD_GBP*LOOKUP(IF(AS7="",E7,AS7),{0,1,10,50,100,250,1000,2000,4000,8000,12000},{0.0,0.313,0.313,0.266,0.234,0.204,0.133,0.113,0.1,0.087,0.08}),"MOQ="&amp;AU7),"")</f>
        <v>0.24767042436404413</v>
      </c>
      <c r="AU7" s="17">
        <v>10</v>
      </c>
      <c r="AV7" s="19">
        <f>IFERROR(IF(AS7="",E7,AS7)*AT7,"")</f>
        <v>74.3011</v>
      </c>
      <c r="AW7" s="17" t="s">
        <v>130</v>
      </c>
      <c r="AX7" s="20" t="s">
        <v>107</v>
      </c>
      <c r="AY7" s="17"/>
      <c r="AZ7" s="18">
        <f>IFERROR(IF(OR(AY7&gt;=BA7,E7&gt;=BA7),USD_GBP*LOOKUP(IF(AY7="",E7,AY7),{0,1,1000},{0.0,0.10797,0.10797}),"MOQ="&amp;BA7),"")</f>
        <v/>
      </c>
      <c r="BA7" s="17">
        <v>1000</v>
      </c>
      <c r="BB7" s="19">
        <f>IFERROR(IF(AY7="",E7,AY7)*AZ7,"")</f>
        <v/>
      </c>
      <c r="BC7" s="17" t="s">
        <v>11</v>
      </c>
    </row>
    <row r="8" spans="1:55">
      <c r="A8" s="17" t="s">
        <v>12</v>
      </c>
      <c r="B8" s="17" t="s">
        <v>13</v>
      </c>
      <c r="C8" s="17" t="s">
        <v>14</v>
      </c>
      <c r="D8" s="17" t="s">
        <v>15</v>
      </c>
      <c r="E8" s="17">
        <f>CEILING(BoardQty*7.0,1)</f>
        <v>700</v>
      </c>
      <c r="F8" s="18">
        <f>IF(MIN(J8,P8,V8,AB8,AH8,AN8,AT8,AZ8)&lt;&gt;0,MIN(J8,P8,V8,AB8,AH8,AN8,AT8,AZ8),"")</f>
        <v>0.2249</v>
      </c>
      <c r="G8" s="19">
        <f>IF(AND(ISNUMBER(E8),ISNUMBER(F8)),E8*F8,"")</f>
        <v>157.43</v>
      </c>
      <c r="H8" s="17">
        <v>2000</v>
      </c>
      <c r="I8" s="17"/>
      <c r="J8" s="18">
        <f>IFERROR(IF(OR(I8&gt;=K8,E8&gt;=K8),LOOKUP(IF(I8="",E8,I8),{0,1,10,25,100,250,500,1000},{0.0,0.6331,0.4428,0.422,0.3017,0.2987,0.2249,0.1917}),"MOQ="&amp;K8),"")</f>
        <v>0.2249</v>
      </c>
      <c r="K8" s="17">
        <v>1</v>
      </c>
      <c r="L8" s="19">
        <f>IFERROR(IF(I8="",E8,I8)*J8,"")</f>
        <v>157.43</v>
      </c>
      <c r="M8" s="17" t="s">
        <v>15</v>
      </c>
      <c r="N8" s="17">
        <v>59095</v>
      </c>
      <c r="O8" s="17"/>
      <c r="P8" s="18">
        <f>IFERROR(IF(OR(O8&gt;=Q8,E8&gt;=Q8),LOOKUP(IF(O8="",E8,O8),{0,1,10,50,100,500,1000,2000,4000,10000,14000,50000},{0.0,0.67,0.471,0.3564,0.3104,0.2299,0.19542,0.18392,0.17243,0.16093,0.15806,0.14944}),"MOQ="&amp;Q8),"")</f>
        <v>0.2299</v>
      </c>
      <c r="Q8" s="17">
        <v>1</v>
      </c>
      <c r="R8" s="19">
        <f>IFERROR(IF(O8="",E8,O8)*P8,"")</f>
        <v>160.93</v>
      </c>
      <c r="S8" s="17" t="s">
        <v>90</v>
      </c>
      <c r="T8" s="17">
        <v>12000</v>
      </c>
      <c r="U8" s="17"/>
      <c r="V8" s="18">
        <f>IFERROR(IF(OR(U8&gt;=W8,E8&gt;=W8),USD_GBP*LOOKUP(IF(U8="",E8,U8),{0,1,5,50,100,250,500,1000,2000,10000},{0.0,0.393,0.393,0.26,0.26,0.254,0.249,0.244,0.189,0.185}),"MOQ="&amp;W8),"")</f>
        <v>0.3023036062090539</v>
      </c>
      <c r="W8" s="17">
        <v>5</v>
      </c>
      <c r="X8" s="19">
        <f>IFERROR(IF(U8="",E8,U8)*V8,"")</f>
        <v>211.6125</v>
      </c>
      <c r="Y8" s="17" t="s">
        <v>102</v>
      </c>
      <c r="AF8" s="17">
        <v>104062</v>
      </c>
      <c r="AG8" s="17"/>
      <c r="AH8" s="18">
        <f>IFERROR(IF(OR(AG8&gt;=AI8,E8&gt;=AI8),LOOKUP(IF(AG8="",E8,AG8),{0,1,10,50,100,1000,10000},{0.0,0.7,0.493,0.373,0.325,0.318,0.191}),"MOQ="&amp;AI8),"")</f>
        <v>0.325</v>
      </c>
      <c r="AI8" s="17">
        <v>1</v>
      </c>
      <c r="AJ8" s="19">
        <f>IFERROR(IF(AG8="",E8,AG8)*AH8,"")</f>
        <v>227.5</v>
      </c>
      <c r="AK8" s="17" t="s">
        <v>112</v>
      </c>
      <c r="AL8" s="17">
        <v>12000</v>
      </c>
      <c r="AM8" s="17"/>
      <c r="AN8" s="18">
        <f>IFERROR(IF(OR(AM8&gt;=AO8,E8&gt;=AO8),LOOKUP(IF(AM8="",E8,AM8),{0,1,5,10,25,50,100,2000,4000},{0.0,0.7,0.7,0.493,0.433,0.373,0.325,0.192,0.191}),"MOQ="&amp;AO8),"")</f>
        <v>0.325</v>
      </c>
      <c r="AO8" s="17">
        <v>5</v>
      </c>
      <c r="AP8" s="19">
        <f>IFERROR(IF(AM8="",E8,AM8)*AN8,"")</f>
        <v>227.5</v>
      </c>
      <c r="AQ8" s="17" t="s">
        <v>122</v>
      </c>
    </row>
    <row r="9" spans="1:55">
      <c r="A9" s="17" t="s">
        <v>16</v>
      </c>
      <c r="B9" s="17" t="s">
        <v>17</v>
      </c>
      <c r="C9" s="17" t="s">
        <v>18</v>
      </c>
      <c r="E9" s="17">
        <f>CEILING(BoardQty*7,1)</f>
        <v>700</v>
      </c>
      <c r="F9" s="18">
        <f>IF(MIN(J9,P9,V9,AB9,AH9,AN9,AT9,AZ9)&lt;&gt;0,MIN(J9,P9,V9,AB9,AH9,AN9,AT9,AZ9),"")</f>
        <v/>
      </c>
      <c r="G9" s="19">
        <f>IF(AND(ISNUMBER(E9),ISNUMBER(F9)),E9*F9,"")</f>
        <v/>
      </c>
    </row>
    <row r="10" spans="1:55">
      <c r="A10" s="17" t="s">
        <v>19</v>
      </c>
      <c r="B10" s="17" t="s">
        <v>20</v>
      </c>
      <c r="C10" s="17" t="s">
        <v>14</v>
      </c>
      <c r="D10" s="17" t="s">
        <v>21</v>
      </c>
      <c r="E10" s="17">
        <f>CEILING(BoardQty*2.0,1)</f>
        <v>200</v>
      </c>
      <c r="F10" s="18">
        <f>IF(MIN(J10,P10,V10,AB10,AH10,AN10,AT10,AZ10)&lt;&gt;0,MIN(J10,P10,V10,AB10,AH10,AN10,AT10,AZ10),"")</f>
        <v>0.023</v>
      </c>
      <c r="G10" s="19">
        <f>IF(AND(ISNUMBER(E10),ISNUMBER(F10)),E10*F10,"")</f>
        <v>4.6</v>
      </c>
      <c r="H10" s="17">
        <v>2000</v>
      </c>
      <c r="I10" s="17"/>
      <c r="J10" s="18">
        <f>IFERROR(IF(OR(I10&gt;=K10,E10&gt;=K10),LOOKUP(IF(I10="",E10,I10),{0,1,2000,10000,24000,50000},{0.0,0.0873,0.0873,0.0802,0.0749,0.0695}),"MOQ="&amp;K10),"")</f>
        <v/>
      </c>
      <c r="K10" s="17">
        <v>2000</v>
      </c>
      <c r="L10" s="19">
        <f>IFERROR(IF(I10="",E10,I10)*J10,"")</f>
        <v/>
      </c>
      <c r="M10" s="17" t="s">
        <v>21</v>
      </c>
      <c r="N10" s="17">
        <v>55839</v>
      </c>
      <c r="O10" s="17"/>
      <c r="P10" s="18">
        <f>IFERROR(IF(OR(O10&gt;=Q10,E10&gt;=Q10),LOOKUP(IF(O10="",E10,O10),{0,1,10,50,100,500,1000,2000,4000,10000,14000,50000},{0.0,0.45,0.318,0.24,0.2091,0.15488,0.13165,0.12391,0.11616,0.10842,0.10648,0.10067}),"MOQ="&amp;Q10),"")</f>
        <v>0.2091</v>
      </c>
      <c r="Q10" s="17">
        <v>1</v>
      </c>
      <c r="R10" s="19">
        <f>IFERROR(IF(O10="",E10,O10)*P10,"")</f>
        <v>41.82</v>
      </c>
      <c r="S10" s="17" t="s">
        <v>91</v>
      </c>
      <c r="T10" s="17">
        <v>4689</v>
      </c>
      <c r="U10" s="17"/>
      <c r="V10" s="18">
        <f>IFERROR(IF(OR(U10&gt;=W10,E10&gt;=W10),USD_GBP*LOOKUP(IF(U10="",E10,U10),{0,1,5,50,100,250,500,1000,2000,10000},{0.0,0.292,0.292,0.175,0.175,0.154,0.132,0.112,0.111,0.109}),"MOQ="&amp;W10),"")</f>
        <v>0.21246237384170452</v>
      </c>
      <c r="W10" s="17">
        <v>5</v>
      </c>
      <c r="X10" s="19">
        <f>IFERROR(IF(U10="",E10,U10)*V10,"")</f>
        <v>42.4925</v>
      </c>
      <c r="Y10" s="17" t="s">
        <v>103</v>
      </c>
      <c r="Z10" s="17">
        <v>1895</v>
      </c>
      <c r="AA10" s="17"/>
      <c r="AB10" s="18">
        <f>IFERROR(IF(OR(AA10&gt;=AC10,E10&gt;=AC10),LOOKUP(IF(AA10="",E10,AA10),{0,1,10,30,100,500,1000},{0.0,0.2215,0.1832,0.1668,0.1463,0.1372,0.1317}),"MOQ="&amp;AC10),"")</f>
        <v>0.1463</v>
      </c>
      <c r="AC10" s="17">
        <v>1</v>
      </c>
      <c r="AD10" s="19">
        <f>IFERROR(IF(AA10="",E10,AA10)*AB10,"")</f>
        <v>29.26</v>
      </c>
      <c r="AE10" s="17" t="s">
        <v>109</v>
      </c>
      <c r="AF10" s="17">
        <v>68615</v>
      </c>
      <c r="AG10" s="17"/>
      <c r="AH10" s="18">
        <f>IFERROR(IF(OR(AG10&gt;=AI10,E10&gt;=AI10),LOOKUP(IF(AG10="",E10,AG10),{0,1,10,50,100,1000,10000},{0.0,0.52,0.316,0.265,0.239,0.239,0.117}),"MOQ="&amp;AI10),"")</f>
        <v>0.239</v>
      </c>
      <c r="AI10" s="17">
        <v>1</v>
      </c>
      <c r="AJ10" s="19">
        <f>IFERROR(IF(AG10="",E10,AG10)*AH10,"")</f>
        <v>47.8</v>
      </c>
      <c r="AK10" s="17" t="s">
        <v>113</v>
      </c>
      <c r="AL10" s="17">
        <v>4689</v>
      </c>
      <c r="AM10" s="17"/>
      <c r="AN10" s="18">
        <f>IFERROR(IF(OR(AM10&gt;=AO10,E10&gt;=AO10),LOOKUP(IF(AM10="",E10,AM10),{0,1,5,10,25,50,100,2000,4000},{0.0,0.138,0.52,0.023,0.023,0.023,0.023,0.128,0.117}),"MOQ="&amp;AO10),"")</f>
        <v>0.023</v>
      </c>
      <c r="AO10" s="17">
        <v>1</v>
      </c>
      <c r="AP10" s="19">
        <f>IFERROR(IF(AM10="",E10,AM10)*AN10,"")</f>
        <v>4.6</v>
      </c>
      <c r="AQ10" s="17" t="s">
        <v>123</v>
      </c>
      <c r="AR10" s="17">
        <v>35550</v>
      </c>
      <c r="AS10" s="17"/>
      <c r="AT10" s="18">
        <f>IFERROR(IF(OR(AS10&gt;=AU10,E10&gt;=AU10),USD_GBP*LOOKUP(IF(AS10="",E10,AS10),{0,1,25,400,1000,2000,6000},{0.0,0.257,0.257,0.129,0.096,0.091,0.087}),"MOQ="&amp;AU10),"")</f>
        <v>0.31201617187038894</v>
      </c>
      <c r="AU10" s="17">
        <v>25</v>
      </c>
      <c r="AV10" s="19">
        <f>IFERROR(IF(AS10="",E10,AS10)*AT10,"")</f>
        <v>62.4032</v>
      </c>
      <c r="AW10" s="17" t="s">
        <v>131</v>
      </c>
      <c r="AX10" s="17">
        <v>5965</v>
      </c>
      <c r="AY10" s="17"/>
      <c r="AZ10" s="18">
        <f>IFERROR(IF(OR(AY10&gt;=BA10,E10&gt;=BA10),USD_GBP*LOOKUP(IF(AY10="",E10,AY10),{0,1,10,50,250,1000,2000},{0.0,0.198,0.198,0.1566,0.10776,0.08988,0.08085}),"MOQ="&amp;BA10),"")</f>
        <v>0.19012347282063388</v>
      </c>
      <c r="BA10" s="17">
        <v>10</v>
      </c>
      <c r="BB10" s="19">
        <f>IFERROR(IF(AY10="",E10,AY10)*AZ10,"")</f>
        <v>38.0247</v>
      </c>
      <c r="BC10" s="17" t="s">
        <v>21</v>
      </c>
    </row>
    <row r="11" spans="1:55">
      <c r="A11" s="17" t="s">
        <v>22</v>
      </c>
      <c r="B11" s="17" t="s">
        <v>23</v>
      </c>
      <c r="C11" s="17" t="s">
        <v>18</v>
      </c>
      <c r="E11" s="17">
        <f>CEILING(BoardQty*12,1)</f>
        <v>1200</v>
      </c>
      <c r="F11" s="18">
        <f>IF(MIN(J11,P11,V11,AB11,AH11,AN11,AT11,AZ11)&lt;&gt;0,MIN(J11,P11,V11,AB11,AH11,AN11,AT11,AZ11),"")</f>
        <v/>
      </c>
      <c r="G11" s="19">
        <f>IF(AND(ISNUMBER(E11),ISNUMBER(F11)),E11*F11,"")</f>
        <v/>
      </c>
    </row>
    <row r="12" spans="1:55">
      <c r="A12" s="17" t="s">
        <v>24</v>
      </c>
      <c r="B12" s="17" t="s">
        <v>25</v>
      </c>
      <c r="C12" s="17" t="s">
        <v>18</v>
      </c>
      <c r="E12" s="17">
        <f>CEILING(BoardQty*4,1)</f>
        <v>400</v>
      </c>
      <c r="F12" s="18">
        <f>IF(MIN(J12,P12,V12,AB12,AH12,AN12,AT12,AZ12)&lt;&gt;0,MIN(J12,P12,V12,AB12,AH12,AN12,AT12,AZ12),"")</f>
        <v/>
      </c>
      <c r="G12" s="19">
        <f>IF(AND(ISNUMBER(E12),ISNUMBER(F12)),E12*F12,"")</f>
        <v/>
      </c>
    </row>
    <row r="13" spans="1:55">
      <c r="A13" s="17" t="s">
        <v>26</v>
      </c>
      <c r="B13" s="17" t="s">
        <v>27</v>
      </c>
      <c r="C13" s="17" t="s">
        <v>28</v>
      </c>
      <c r="D13" s="17" t="s">
        <v>27</v>
      </c>
      <c r="E13" s="17">
        <f>CEILING(BoardQty*2.0,1)</f>
        <v>200</v>
      </c>
      <c r="F13" s="18">
        <f>IF(MIN(J13,P13,V13,AB13,AH13,AN13,AT13,AZ13)&lt;&gt;0,MIN(J13,P13,V13,AB13,AH13,AN13,AT13,AZ13),"")</f>
        <v>0.0731</v>
      </c>
      <c r="G13" s="19">
        <f>IF(AND(ISNUMBER(E13),ISNUMBER(F13)),E13*F13,"")</f>
        <v>14.62</v>
      </c>
      <c r="N13" s="17">
        <v>272861</v>
      </c>
      <c r="O13" s="17"/>
      <c r="P13" s="18">
        <f>IFERROR(IF(OR(O13&gt;=Q13,E13&gt;=Q13),LOOKUP(IF(O13="",E13,O13),{0,1,10,100,500,1000,3000,6000,15000,30000,75000},{0.0,0.15,0.134,0.0731,0.04502,0.03069,0.02609,0.02353,0.02046,0.01841,0.01637}),"MOQ="&amp;Q13),"")</f>
        <v>0.0731</v>
      </c>
      <c r="Q13" s="17">
        <v>1</v>
      </c>
      <c r="R13" s="19">
        <f>IFERROR(IF(O13="",E13,O13)*P13,"")</f>
        <v>14.62</v>
      </c>
      <c r="S13" s="17" t="s">
        <v>92</v>
      </c>
    </row>
    <row r="14" spans="1:55">
      <c r="A14" s="17" t="s">
        <v>29</v>
      </c>
      <c r="B14" s="17" t="s">
        <v>30</v>
      </c>
      <c r="C14" s="17" t="s">
        <v>31</v>
      </c>
      <c r="D14" s="17" t="s">
        <v>32</v>
      </c>
      <c r="E14" s="17">
        <f>CEILING(BoardQty*8.0,1)</f>
        <v>800</v>
      </c>
      <c r="F14" s="18">
        <f>IF(MIN(J14,P14,V14,AB14,AH14,AN14,AT14,AZ14)&lt;&gt;0,MIN(J14,P14,V14,AB14,AH14,AN14,AT14,AZ14),"")</f>
        <v>0.1872</v>
      </c>
      <c r="G14" s="19">
        <f>IF(AND(ISNUMBER(E14),ISNUMBER(F14)),E14*F14,"")</f>
        <v>149.76</v>
      </c>
      <c r="N14" s="17">
        <v>16842</v>
      </c>
      <c r="O14" s="17"/>
      <c r="P14" s="18">
        <f>IFERROR(IF(OR(O14&gt;=Q14,E14&gt;=Q14),LOOKUP(IF(O14="",E14,O14),{0,1,10,100,1000,2000,6000,10000,50000},{0.0,0.53,0.325,0.1872,0.14647,0.13426,0.12206,0.11392,0.10578}),"MOQ="&amp;Q14),"")</f>
        <v>0.1872</v>
      </c>
      <c r="Q14" s="17">
        <v>1</v>
      </c>
      <c r="R14" s="19">
        <f>IFERROR(IF(O14="",E14,O14)*P14,"")</f>
        <v>149.76</v>
      </c>
      <c r="S14" s="17" t="s">
        <v>93</v>
      </c>
    </row>
    <row r="15" spans="1:55">
      <c r="A15" s="17" t="s">
        <v>33</v>
      </c>
      <c r="B15" s="17" t="s">
        <v>34</v>
      </c>
      <c r="C15" s="17" t="s">
        <v>35</v>
      </c>
      <c r="E15" s="17">
        <f>CEILING(BoardQty*1,1)</f>
        <v>100</v>
      </c>
      <c r="F15" s="18">
        <f>IF(MIN(J15,P15,V15,AB15,AH15,AN15,AT15,AZ15)&lt;&gt;0,MIN(J15,P15,V15,AB15,AH15,AN15,AT15,AZ15),"")</f>
        <v/>
      </c>
      <c r="G15" s="19">
        <f>IF(AND(ISNUMBER(E15),ISNUMBER(F15)),E15*F15,"")</f>
        <v/>
      </c>
    </row>
    <row r="16" spans="1:55">
      <c r="A16" s="17" t="s">
        <v>36</v>
      </c>
      <c r="B16" s="17" t="s">
        <v>37</v>
      </c>
      <c r="C16" s="17" t="s">
        <v>38</v>
      </c>
      <c r="E16" s="17">
        <f>CEILING(BoardQty*1,1)</f>
        <v>100</v>
      </c>
      <c r="F16" s="18">
        <f>IF(MIN(J16,P16,V16,AB16,AH16,AN16,AT16,AZ16)&lt;&gt;0,MIN(J16,P16,V16,AB16,AH16,AN16,AT16,AZ16),"")</f>
        <v/>
      </c>
      <c r="G16" s="19">
        <f>IF(AND(ISNUMBER(E16),ISNUMBER(F16)),E16*F16,"")</f>
        <v/>
      </c>
    </row>
    <row r="17" spans="1:55" ht="30" customHeight="1">
      <c r="A17" s="17" t="s">
        <v>39</v>
      </c>
      <c r="B17" s="17" t="s">
        <v>40</v>
      </c>
      <c r="C17" s="17" t="s">
        <v>41</v>
      </c>
      <c r="E17" s="17">
        <f>CEILING(BoardQty*8,1)</f>
        <v>800</v>
      </c>
      <c r="F17" s="18">
        <f>IF(MIN(J17,P17,V17,AB17,AH17,AN17,AT17,AZ17)&lt;&gt;0,MIN(J17,P17,V17,AB17,AH17,AN17,AT17,AZ17),"")</f>
        <v/>
      </c>
      <c r="G17" s="19">
        <f>IF(AND(ISNUMBER(E17),ISNUMBER(F17)),E17*F17,"")</f>
        <v/>
      </c>
    </row>
    <row r="18" spans="1:55">
      <c r="A18" s="17" t="s">
        <v>42</v>
      </c>
      <c r="B18" s="17" t="s">
        <v>43</v>
      </c>
      <c r="C18" s="17" t="s">
        <v>44</v>
      </c>
      <c r="D18" s="17" t="s">
        <v>45</v>
      </c>
      <c r="E18" s="17">
        <f>CEILING(BoardQty*4.0,1)</f>
        <v>400</v>
      </c>
      <c r="F18" s="18">
        <f>IF(MIN(J18,P18,V18,AB18,AH18,AN18,AT18,AZ18)&lt;&gt;0,MIN(J18,P18,V18,AB18,AH18,AN18,AT18,AZ18),"")</f>
        <v>0.083</v>
      </c>
      <c r="G18" s="19">
        <f>IF(AND(ISNUMBER(E18),ISNUMBER(F18)),E18*F18,"")</f>
        <v>33.2</v>
      </c>
      <c r="N18" s="17">
        <v>84644</v>
      </c>
      <c r="O18" s="17"/>
      <c r="P18" s="18">
        <f>IFERROR(IF(OR(O18&gt;=Q18,E18&gt;=Q18),LOOKUP(IF(O18="",E18,O18),{0,1,50,100,500,1000,2000,4000},{0.0,0.15,0.149,0.138,0.131,0.126,0.119,0.101}),"MOQ="&amp;Q18),"")</f>
        <v>0.138</v>
      </c>
      <c r="Q18" s="17">
        <v>1</v>
      </c>
      <c r="R18" s="19">
        <f>IFERROR(IF(O18="",E18,O18)*P18,"")</f>
        <v>55.2</v>
      </c>
      <c r="S18" s="17" t="s">
        <v>94</v>
      </c>
      <c r="T18" s="17">
        <v>4000</v>
      </c>
      <c r="U18" s="17"/>
      <c r="V18" s="18">
        <f>IFERROR(IF(OR(U18&gt;=W18,E18&gt;=W18),USD_GBP*LOOKUP(IF(U18="",E18,U18),{0,1,10,100,500,1000,2000,4000,20000},{0.0,0.127,0.127,0.117,0.112,0.111,0.106,0.076,0.0745}),"MOQ="&amp;W18),"")</f>
        <v>0.14204627279702534</v>
      </c>
      <c r="W18" s="17">
        <v>10</v>
      </c>
      <c r="X18" s="19">
        <f>IFERROR(IF(U18="",E18,U18)*V18,"")</f>
        <v>56.8185</v>
      </c>
      <c r="Y18" s="17" t="s">
        <v>104</v>
      </c>
      <c r="AF18" s="17">
        <v>97287</v>
      </c>
      <c r="AG18" s="17"/>
      <c r="AH18" s="18">
        <f>IFERROR(IF(OR(AG18&gt;=AI18,E18&gt;=AI18),LOOKUP(IF(AG18="",E18,AG18),{0,1,10,50,100,1000,10000},{0.0,0.16,0.152,0.149,0.138,0.131,0.131}),"MOQ="&amp;AI18),"")</f>
        <v>0.138</v>
      </c>
      <c r="AI18" s="17">
        <v>1</v>
      </c>
      <c r="AJ18" s="19">
        <f>IFERROR(IF(AG18="",E18,AG18)*AH18,"")</f>
        <v>55.2</v>
      </c>
      <c r="AK18" s="17" t="s">
        <v>114</v>
      </c>
      <c r="AL18" s="17">
        <v>4000</v>
      </c>
      <c r="AM18" s="17"/>
      <c r="AN18" s="18">
        <f>IFERROR(IF(OR(AM18&gt;=AO18,E18&gt;=AO18),LOOKUP(IF(AM18="",E18,AM18),{0,1,10,25,50,100,4000},{0.0,0.083,0.083,0.083,0.083,0.083,0.131}),"MOQ="&amp;AO18),"")</f>
        <v>0.083</v>
      </c>
      <c r="AO18" s="17">
        <v>1</v>
      </c>
      <c r="AP18" s="19">
        <f>IFERROR(IF(AM18="",E18,AM18)*AN18,"")</f>
        <v>33.2</v>
      </c>
      <c r="AQ18" s="17" t="s">
        <v>124</v>
      </c>
      <c r="AR18" s="17">
        <v>1260</v>
      </c>
      <c r="AS18" s="17"/>
      <c r="AT18" s="18">
        <f>IFERROR(IF(OR(AS18&gt;=AU18,E18&gt;=AU18),USD_GBP*LOOKUP(IF(AS18="",E18,AS18),{0,1,10,100,500,1000,4000},{0.0,0.138,0.138,0.121,0.105,0.088,0.07}),"MOQ="&amp;AU18),"")</f>
        <v>0.14690255562769286</v>
      </c>
      <c r="AU18" s="17">
        <v>10</v>
      </c>
      <c r="AV18" s="19">
        <f>IFERROR(IF(AS18="",E18,AS18)*AT18,"")</f>
        <v>58.761</v>
      </c>
      <c r="AW18" s="17" t="s">
        <v>132</v>
      </c>
    </row>
    <row r="19" spans="1:55">
      <c r="A19" s="17" t="s">
        <v>46</v>
      </c>
      <c r="B19" s="17" t="s">
        <v>47</v>
      </c>
      <c r="C19" s="17" t="s">
        <v>48</v>
      </c>
      <c r="E19" s="17">
        <f>CEILING(BoardQty*1,1)</f>
        <v>100</v>
      </c>
      <c r="F19" s="18">
        <f>IF(MIN(J19,P19,V19,AB19,AH19,AN19,AT19,AZ19)&lt;&gt;0,MIN(J19,P19,V19,AB19,AH19,AN19,AT19,AZ19),"")</f>
        <v/>
      </c>
      <c r="G19" s="19">
        <f>IF(AND(ISNUMBER(E19),ISNUMBER(F19)),E19*F19,"")</f>
        <v/>
      </c>
    </row>
    <row r="20" spans="1:55">
      <c r="A20" s="17" t="s">
        <v>49</v>
      </c>
      <c r="B20" s="17" t="s">
        <v>50</v>
      </c>
      <c r="C20" s="17" t="s">
        <v>48</v>
      </c>
      <c r="E20" s="17">
        <f>CEILING(BoardQty*4,1)</f>
        <v>400</v>
      </c>
      <c r="F20" s="18">
        <f>IF(MIN(J20,P20,V20,AB20,AH20,AN20,AT20,AZ20)&lt;&gt;0,MIN(J20,P20,V20,AB20,AH20,AN20,AT20,AZ20),"")</f>
        <v/>
      </c>
      <c r="G20" s="19">
        <f>IF(AND(ISNUMBER(E20),ISNUMBER(F20)),E20*F20,"")</f>
        <v/>
      </c>
    </row>
    <row r="21" spans="1:55">
      <c r="A21" s="17" t="s">
        <v>51</v>
      </c>
      <c r="B21" s="17" t="s">
        <v>52</v>
      </c>
      <c r="C21" s="17" t="s">
        <v>48</v>
      </c>
      <c r="E21" s="17">
        <f>CEILING(BoardQty*8,1)</f>
        <v>800</v>
      </c>
      <c r="F21" s="18">
        <f>IF(MIN(J21,P21,V21,AB21,AH21,AN21,AT21,AZ21)&lt;&gt;0,MIN(J21,P21,V21,AB21,AH21,AN21,AT21,AZ21),"")</f>
        <v/>
      </c>
      <c r="G21" s="19">
        <f>IF(AND(ISNUMBER(E21),ISNUMBER(F21)),E21*F21,"")</f>
        <v/>
      </c>
    </row>
    <row r="22" spans="1:55">
      <c r="A22" s="17" t="s">
        <v>53</v>
      </c>
      <c r="B22" s="17" t="s">
        <v>54</v>
      </c>
      <c r="C22" s="17" t="s">
        <v>48</v>
      </c>
      <c r="E22" s="17">
        <f>CEILING(BoardQty*8,1)</f>
        <v>800</v>
      </c>
      <c r="F22" s="18">
        <f>IF(MIN(J22,P22,V22,AB22,AH22,AN22,AT22,AZ22)&lt;&gt;0,MIN(J22,P22,V22,AB22,AH22,AN22,AT22,AZ22),"")</f>
        <v/>
      </c>
      <c r="G22" s="19">
        <f>IF(AND(ISNUMBER(E22),ISNUMBER(F22)),E22*F22,"")</f>
        <v/>
      </c>
    </row>
    <row r="23" spans="1:55">
      <c r="A23" s="17" t="s">
        <v>55</v>
      </c>
      <c r="B23" s="17" t="s">
        <v>56</v>
      </c>
      <c r="C23" s="17" t="s">
        <v>57</v>
      </c>
      <c r="D23" s="17" t="s">
        <v>58</v>
      </c>
      <c r="E23" s="17">
        <f>CEILING(BoardQty*2.0,1)</f>
        <v>200</v>
      </c>
      <c r="F23" s="18">
        <f>IF(MIN(J23,P23,V23,AB23,AH23,AN23,AT23,AZ23)&lt;&gt;0,MIN(J23,P23,V23,AB23,AH23,AN23,AT23,AZ23),"")</f>
        <v/>
      </c>
      <c r="G23" s="19">
        <f>IF(AND(ISNUMBER(E23),ISNUMBER(F23)),E23*F23,"")</f>
        <v/>
      </c>
    </row>
    <row r="24" spans="1:55">
      <c r="A24" s="17" t="s">
        <v>59</v>
      </c>
      <c r="B24" s="17" t="s">
        <v>50</v>
      </c>
      <c r="C24" s="17" t="s">
        <v>57</v>
      </c>
      <c r="D24" s="17" t="s">
        <v>60</v>
      </c>
      <c r="E24" s="17">
        <f>CEILING(BoardQty*5.0,1)</f>
        <v>500</v>
      </c>
      <c r="F24" s="18">
        <f>IF(MIN(J24,P24,V24,AB24,AH24,AN24,AT24,AZ24)&lt;&gt;0,MIN(J24,P24,V24,AB24,AH24,AN24,AT24,AZ24),"")</f>
        <v>0.02</v>
      </c>
      <c r="G24" s="19">
        <f>IF(AND(ISNUMBER(E24),ISNUMBER(F24)),E24*F24,"")</f>
        <v>10.0</v>
      </c>
      <c r="H24" s="17">
        <v>1670</v>
      </c>
      <c r="I24" s="17"/>
      <c r="J24" s="18">
        <f>IFERROR(IF(OR(I24&gt;=K24,E24&gt;=K24),LOOKUP(IF(I24="",E24,I24),{0,1,10,25,100,250,500,1000},{0.0,0.1266,0.0859,0.085,0.0544,0.0538,0.0351,0.0347}),"MOQ="&amp;K24),"")</f>
        <v>0.0351</v>
      </c>
      <c r="K24" s="17">
        <v>1</v>
      </c>
      <c r="L24" s="19">
        <f>IFERROR(IF(I24="",E24,I24)*J24,"")</f>
        <v>17.55</v>
      </c>
      <c r="M24" s="17" t="s">
        <v>60</v>
      </c>
      <c r="N24" s="17">
        <v>83198</v>
      </c>
      <c r="O24" s="17"/>
      <c r="P24" s="18">
        <f>IFERROR(IF(OR(O24&gt;=Q24,E24&gt;=Q24),LOOKUP(IF(O24="",E24,O24),{0,1,10,25,50,100,250,500,1000,5000,10000,25000,50000,125000},{0.0,0.13,0.116,0.08,0.0622,0.0444,0.03468,0.02756,0.01955,0.01511,0.01355,0.01244,0.01169,0.01142}),"MOQ="&amp;Q24),"")</f>
        <v>0.02756</v>
      </c>
      <c r="Q24" s="17">
        <v>1</v>
      </c>
      <c r="R24" s="19">
        <f>IFERROR(IF(O24="",E24,O24)*P24,"")</f>
        <v>13.78</v>
      </c>
      <c r="S24" s="17" t="s">
        <v>95</v>
      </c>
      <c r="T24" s="17">
        <v>9590</v>
      </c>
      <c r="U24" s="17"/>
      <c r="V24" s="18">
        <f>IFERROR(IF(OR(U24&gt;=W24,E24&gt;=W24),USD_GBP*LOOKUP(IF(U24="",E24,U24),{0,1,10,100,500,1000,2500,5000,25000},{0.0,0.169,0.169,0.066,0.04,0.028,0.025,0.023,0.0225}),"MOQ="&amp;W24),"")</f>
        <v>0.048562828306675326</v>
      </c>
      <c r="W24" s="17">
        <v>10</v>
      </c>
      <c r="X24" s="19">
        <f>IFERROR(IF(U24="",E24,U24)*V24,"")</f>
        <v>24.2814</v>
      </c>
      <c r="Y24" s="17" t="s">
        <v>105</v>
      </c>
      <c r="AF24" s="17">
        <v>18972</v>
      </c>
      <c r="AG24" s="17"/>
      <c r="AH24" s="18">
        <f>IFERROR(IF(OR(AG24&gt;=AI24,E24&gt;=AI24),LOOKUP(IF(AG24="",E24,AG24),{0,1,10,50,100,1000,10000},{0.0,0.1,0.061,0.061,0.035,0.02,0.013}),"MOQ="&amp;AI24),"")</f>
        <v>0.035</v>
      </c>
      <c r="AI24" s="17">
        <v>1</v>
      </c>
      <c r="AJ24" s="19">
        <f>IFERROR(IF(AG24="",E24,AG24)*AH24,"")</f>
        <v>17.5</v>
      </c>
      <c r="AK24" s="17" t="s">
        <v>115</v>
      </c>
      <c r="AL24" s="17">
        <v>280</v>
      </c>
      <c r="AM24" s="17"/>
      <c r="AN24" s="18">
        <f>IFERROR(IF(OR(AM24&gt;=AO24,E24&gt;=AO24),LOOKUP(IF(AM24="",E24,AM24),{0,1,10,25,50,100,250,500,1000,10000},{0.0,0.03,0.029,0.027,0.025,0.023,0.021,0.02,0.019,0.03}),"MOQ="&amp;AO24),"")</f>
        <v>0.02</v>
      </c>
      <c r="AO24" s="17">
        <v>1</v>
      </c>
      <c r="AP24" s="19">
        <f>IFERROR(IF(AM24="",E24,AM24)*AN24,"")</f>
        <v>10.0</v>
      </c>
      <c r="AQ24" s="17" t="s">
        <v>125</v>
      </c>
    </row>
    <row r="25" spans="1:55">
      <c r="A25" s="17" t="s">
        <v>61</v>
      </c>
      <c r="B25" s="17" t="s">
        <v>62</v>
      </c>
      <c r="C25" s="17" t="s">
        <v>57</v>
      </c>
      <c r="D25" s="17" t="s">
        <v>63</v>
      </c>
      <c r="E25" s="17">
        <f>CEILING(BoardQty*6.0,1)</f>
        <v>600</v>
      </c>
      <c r="F25" s="18">
        <f>IF(MIN(J25,P25,V25,AB25,AH25,AN25,AT25,AZ25)&lt;&gt;0,MIN(J25,P25,V25,AB25,AH25,AN25,AT25,AZ25),"")</f>
        <v>0.02758</v>
      </c>
      <c r="G25" s="19">
        <f>IF(AND(ISNUMBER(E25),ISNUMBER(F25)),E25*F25,"")</f>
        <v>16.548</v>
      </c>
      <c r="H25" s="17">
        <v>926</v>
      </c>
      <c r="I25" s="17"/>
      <c r="J25" s="18">
        <f>IFERROR(IF(OR(I25&gt;=K25,E25&gt;=K25),LOOKUP(IF(I25="",E25,I25),{0,1,10,25,100,250,500},{0.0,0.2236,0.193,0.128,0.0811,0.0803,0.0702}),"MOQ="&amp;K25),"")</f>
        <v>0.0702</v>
      </c>
      <c r="K25" s="17">
        <v>1</v>
      </c>
      <c r="L25" s="19">
        <f>IFERROR(IF(I25="",E25,I25)*J25,"")</f>
        <v>42.12</v>
      </c>
      <c r="M25" s="17" t="s">
        <v>63</v>
      </c>
      <c r="N25" s="17">
        <v>5008</v>
      </c>
      <c r="O25" s="17"/>
      <c r="P25" s="18">
        <f>IFERROR(IF(OR(O25&gt;=Q25,E25&gt;=Q25),LOOKUP(IF(O25="",E25,O25),{0,1,10,25,50,100,250,500,1000},{0.0,0.13,0.116,0.08,0.0622,0.0445,0.03472,0.02758,0.01958}),"MOQ="&amp;Q25),"")</f>
        <v>0.02758</v>
      </c>
      <c r="Q25" s="17">
        <v>1</v>
      </c>
      <c r="R25" s="19">
        <f>IFERROR(IF(O25="",E25,O25)*P25,"")</f>
        <v>16.548</v>
      </c>
      <c r="S25" s="17" t="s">
        <v>96</v>
      </c>
      <c r="AF25" s="17">
        <v>2354</v>
      </c>
      <c r="AG25" s="17"/>
      <c r="AH25" s="18">
        <f>IFERROR(IF(OR(AG25&gt;=AI25,E25&gt;=AI25),LOOKUP(IF(AG25="",E25,AG25),{0,1,10,50,100,1000,10000},{0.0,0.26,0.116,0.116,0.087,0.082,0.082}),"MOQ="&amp;AI25),"")</f>
        <v>0.087</v>
      </c>
      <c r="AI25" s="17">
        <v>1</v>
      </c>
      <c r="AJ25" s="19">
        <f>IFERROR(IF(AG25="",E25,AG25)*AH25,"")</f>
        <v>52.2</v>
      </c>
      <c r="AK25" s="17" t="s">
        <v>116</v>
      </c>
      <c r="AL25" s="17">
        <v>10000</v>
      </c>
      <c r="AM25" s="17"/>
      <c r="AN25" s="18">
        <f>IFERROR(IF(OR(AM25&gt;=AO25,E25&gt;=AO25),LOOKUP(IF(AM25="",E25,AM25),{0,1,5000,10000},{0.0,0.082,0.082,0.082}),"MOQ="&amp;AO25),"")</f>
        <v/>
      </c>
      <c r="AO25" s="17">
        <v>5000</v>
      </c>
      <c r="AP25" s="19">
        <f>IFERROR(IF(AM25="",E25,AM25)*AN25,"")</f>
        <v/>
      </c>
      <c r="AQ25" s="17" t="s">
        <v>126</v>
      </c>
    </row>
    <row r="26" spans="1:55">
      <c r="A26" s="17" t="s">
        <v>64</v>
      </c>
      <c r="B26" s="17" t="s">
        <v>65</v>
      </c>
      <c r="C26" s="17" t="s">
        <v>57</v>
      </c>
      <c r="D26" s="17" t="s">
        <v>66</v>
      </c>
      <c r="E26" s="17">
        <f>CEILING(BoardQty*1.0,1)</f>
        <v>100</v>
      </c>
      <c r="F26" s="18">
        <f>IF(MIN(J26,P26,V26,AB26,AH26,AN26,AT26,AZ26)&lt;&gt;0,MIN(J26,P26,V26,AB26,AH26,AN26,AT26,AZ26),"")</f>
        <v>0.027</v>
      </c>
      <c r="G26" s="19">
        <f>IF(AND(ISNUMBER(E26),ISNUMBER(F26)),E26*F26,"")</f>
        <v>2.7</v>
      </c>
      <c r="H26" s="17">
        <v>9</v>
      </c>
      <c r="I26" s="17"/>
      <c r="J26" s="18">
        <f>IFERROR(IF(OR(I26&gt;=K26,E26&gt;=K26),LOOKUP(IF(I26="",E26,I26),{0,1},{0.0,0.0855}),"MOQ="&amp;K26),"")</f>
        <v>0.0855</v>
      </c>
      <c r="K26" s="17">
        <v>1</v>
      </c>
      <c r="L26" s="19">
        <f>IFERROR(IF(I26="",E26,I26)*J26,"")</f>
        <v>8.55</v>
      </c>
      <c r="M26" s="17" t="s">
        <v>66</v>
      </c>
      <c r="N26" s="17">
        <v>1950</v>
      </c>
      <c r="O26" s="17"/>
      <c r="P26" s="18">
        <f>IFERROR(IF(OR(O26&gt;=Q26,E26&gt;=Q26),LOOKUP(IF(O26="",E26,O26),{0,1,10,25,50,100,250,500,1000},{0.0,0.14,0.122,0.0888,0.0644,0.0478,0.03668,0.02888,0.02}),"MOQ="&amp;Q26),"")</f>
        <v>0.0478</v>
      </c>
      <c r="Q26" s="17">
        <v>1</v>
      </c>
      <c r="R26" s="19">
        <f>IFERROR(IF(O26="",E26,O26)*P26,"")</f>
        <v>4.78</v>
      </c>
      <c r="S26" s="17" t="s">
        <v>97</v>
      </c>
      <c r="AF26" s="17">
        <v>5460</v>
      </c>
      <c r="AG26" s="17"/>
      <c r="AH26" s="18">
        <f>IFERROR(IF(OR(AG26&gt;=AI26,E26&gt;=AI26),LOOKUP(IF(AG26="",E26,AG26),{0,1,10,50,100,1000,10000},{0.0,0.1,0.065,0.065,0.027,0.02,0.015}),"MOQ="&amp;AI26),"")</f>
        <v>0.027</v>
      </c>
      <c r="AI26" s="17">
        <v>1</v>
      </c>
      <c r="AJ26" s="19">
        <f>IFERROR(IF(AG26="",E26,AG26)*AH26,"")</f>
        <v>2.7</v>
      </c>
      <c r="AK26" s="17" t="s">
        <v>117</v>
      </c>
      <c r="AL26" s="20" t="s">
        <v>107</v>
      </c>
      <c r="AM26" s="17"/>
      <c r="AN26" s="18">
        <f>IFERROR(IF(OR(AM26&gt;=AO26,E26&gt;=AO26),LOOKUP(IF(AM26="",E26,AM26),{0,1,10000,20000,30000},{0.0,0.015,0.015,0.015,0.014}),"MOQ="&amp;AO26),"")</f>
        <v/>
      </c>
      <c r="AO26" s="17">
        <v>10000</v>
      </c>
      <c r="AP26" s="19">
        <f>IFERROR(IF(AM26="",E26,AM26)*AN26,"")</f>
        <v/>
      </c>
      <c r="AQ26" s="17" t="s">
        <v>127</v>
      </c>
    </row>
    <row r="27" spans="1:55">
      <c r="A27" s="17" t="s">
        <v>67</v>
      </c>
      <c r="B27" s="17" t="s">
        <v>68</v>
      </c>
      <c r="C27" s="17" t="s">
        <v>69</v>
      </c>
      <c r="D27" s="17" t="s">
        <v>70</v>
      </c>
      <c r="E27" s="17">
        <f>CEILING(BoardQty*1.0,1)</f>
        <v>100</v>
      </c>
      <c r="F27" s="18">
        <f>IF(MIN(J27,P27,V27,AB27,AH27,AN27,AT27,AZ27)&lt;&gt;0,MIN(J27,P27,V27,AB27,AH27,AN27,AT27,AZ27),"")</f>
        <v>0.46571752346101636</v>
      </c>
      <c r="G27" s="19">
        <f>IF(AND(ISNUMBER(E27),ISNUMBER(F27)),E27*F27,"")</f>
        <v>46.5718</v>
      </c>
      <c r="N27" s="17">
        <v>1490</v>
      </c>
      <c r="O27" s="17"/>
      <c r="P27" s="18">
        <f>IFERROR(IF(OR(O27&gt;=Q27,E27&gt;=Q27),LOOKUP(IF(O27="",E27,O27),{0,1,10,25,100,250,500,1000},{0.0,0.93,0.832,0.7896,0.6485,0.6062,0.53572,0.4256}),"MOQ="&amp;Q27),"")</f>
        <v>0.6485</v>
      </c>
      <c r="Q27" s="17">
        <v>1</v>
      </c>
      <c r="R27" s="19">
        <f>IFERROR(IF(O27="",E27,O27)*P27,"")</f>
        <v>64.85</v>
      </c>
      <c r="S27" s="17" t="s">
        <v>98</v>
      </c>
      <c r="AX27" s="20" t="s">
        <v>107</v>
      </c>
      <c r="AY27" s="17"/>
      <c r="AZ27" s="18">
        <f>IFERROR(IF(OR(AY27&gt;=BA27,E27&gt;=BA27),USD_GBP*LOOKUP(IF(AY27="",E27,AY27),{0,1,5,25,100},{0.0,0.7,0.508,0.4396,0.3836}),"MOQ="&amp;BA27),"")</f>
        <v>0.46571752346101636</v>
      </c>
      <c r="BA27" s="17">
        <v>1</v>
      </c>
      <c r="BB27" s="19">
        <f>IFERROR(IF(AY27="",E27,AY27)*AZ27,"")</f>
        <v>46.5718</v>
      </c>
      <c r="BC27" s="17" t="s">
        <v>134</v>
      </c>
    </row>
    <row r="28" spans="1:55">
      <c r="A28" s="17" t="s">
        <v>71</v>
      </c>
      <c r="B28" s="17" t="s">
        <v>72</v>
      </c>
      <c r="C28" s="17" t="s">
        <v>73</v>
      </c>
      <c r="D28" s="17" t="s">
        <v>74</v>
      </c>
      <c r="E28" s="17">
        <f>CEILING(BoardQty*1.0,1)</f>
        <v>100</v>
      </c>
      <c r="F28" s="18">
        <f>IF(MIN(J28,P28,V28,AB28,AH28,AN28,AT28,AZ28)&lt;&gt;0,MIN(J28,P28,V28,AB28,AH28,AN28,AT28,AZ28),"")</f>
        <v>0.262</v>
      </c>
      <c r="G28" s="19">
        <f>IF(AND(ISNUMBER(E28),ISNUMBER(F28)),E28*F28,"")</f>
        <v>26.2</v>
      </c>
      <c r="AF28" s="17">
        <v>5</v>
      </c>
      <c r="AG28" s="17"/>
      <c r="AH28" s="18">
        <f>IFERROR(IF(OR(AG28&gt;=AI28,E28&gt;=AI28),LOOKUP(IF(AG28="",E28,AG28),{0,1,10,50,100,1000,10000},{0.0,0.52,0.424,0.424,0.262,0.163,0.148}),"MOQ="&amp;AI28),"")</f>
        <v>0.262</v>
      </c>
      <c r="AI28" s="17">
        <v>1</v>
      </c>
      <c r="AJ28" s="19">
        <f>IFERROR(IF(AG28="",E28,AG28)*AH28,"")</f>
        <v>26.2</v>
      </c>
      <c r="AK28" s="17" t="s">
        <v>118</v>
      </c>
    </row>
    <row r="29" spans="1:55" ht="45" customHeight="1">
      <c r="A29" s="17" t="s">
        <v>75</v>
      </c>
      <c r="B29" s="17" t="s">
        <v>76</v>
      </c>
      <c r="C29" s="17" t="s">
        <v>77</v>
      </c>
      <c r="D29" s="17" t="s">
        <v>76</v>
      </c>
      <c r="E29" s="17">
        <f>CEILING(BoardQty*1.0,1)</f>
        <v>100</v>
      </c>
      <c r="F29" s="18">
        <f>IF(MIN(J29,P29,V29,AB29,AH29,AN29,AT29,AZ29)&lt;&gt;0,MIN(J29,P29,V29,AB29,AH29,AN29,AT29,AZ29),"")</f>
        <v>3.1731</v>
      </c>
      <c r="G29" s="19">
        <f>IF(AND(ISNUMBER(E29),ISNUMBER(F29)),E29*F29,"")</f>
        <v>317.31</v>
      </c>
      <c r="N29" s="17">
        <v>1263</v>
      </c>
      <c r="O29" s="17"/>
      <c r="P29" s="18">
        <f>IFERROR(IF(OR(O29&gt;=Q29,E29&gt;=Q29),LOOKUP(IF(O29="",E29,O29),{0,1,10,25,100,250,500,1000,2000},{0.0,4.31,3.873,3.6612,3.1731,3.0104,2.70124,2.27815,2.16424}),"MOQ="&amp;Q29),"")</f>
        <v>3.1731</v>
      </c>
      <c r="Q29" s="17">
        <v>1</v>
      </c>
      <c r="R29" s="19">
        <f>IFERROR(IF(O29="",E29,O29)*P29,"")</f>
        <v>317.31</v>
      </c>
      <c r="S29" s="17" t="s">
        <v>99</v>
      </c>
    </row>
    <row r="30" spans="1:55">
      <c r="A30" s="17" t="s">
        <v>78</v>
      </c>
      <c r="B30" s="17" t="s">
        <v>79</v>
      </c>
      <c r="C30" s="17" t="s">
        <v>80</v>
      </c>
      <c r="D30" s="17" t="s">
        <v>81</v>
      </c>
      <c r="E30" s="17">
        <f>CEILING(BoardQty*4.0,1)</f>
        <v>400</v>
      </c>
      <c r="F30" s="18">
        <f>IF(MIN(J30,P30,V30,AB30,AH30,AN30,AT30,AZ30)&lt;&gt;0,MIN(J30,P30,V30,AB30,AH30,AN30,AT30,AZ30),"")</f>
        <v>0.79992</v>
      </c>
      <c r="G30" s="19">
        <f>IF(AND(ISNUMBER(E30),ISNUMBER(F30)),E30*F30,"")</f>
        <v>319.968</v>
      </c>
      <c r="N30" s="17">
        <v>4549</v>
      </c>
      <c r="O30" s="17"/>
      <c r="P30" s="18">
        <f>IFERROR(IF(OR(O30&gt;=Q30,E30&gt;=Q30),LOOKUP(IF(O30="",E30,O30),{0,1,10,25,100,250,500,1000},{0.0,1.23,1.098,1.0416,0.8557,0.79992,0.70692,0.5616}),"MOQ="&amp;Q30),"")</f>
        <v>0.79992</v>
      </c>
      <c r="Q30" s="17">
        <v>1</v>
      </c>
      <c r="R30" s="19">
        <f>IFERROR(IF(O30="",E30,O30)*P30,"")</f>
        <v>319.968</v>
      </c>
      <c r="S30" s="17" t="s">
        <v>100</v>
      </c>
      <c r="T30" s="20" t="s">
        <v>107</v>
      </c>
      <c r="U30" s="17"/>
      <c r="V30" s="18">
        <f>IFERROR(IF(OR(U30&gt;=W30,E30&gt;=W30),USD_GBP*LOOKUP(IF(U30="",E30,U30),{0,1,10,25,50,100},{0.0,1.07,0.97,0.964,0.957,0.951}),"MOQ="&amp;W30),"")</f>
        <v>1.1545812429912057</v>
      </c>
      <c r="W30" s="17">
        <v>1</v>
      </c>
      <c r="X30" s="19">
        <f>IFERROR(IF(U30="",E30,U30)*V30,"")</f>
        <v>461.8325</v>
      </c>
      <c r="Y30" s="17" t="s">
        <v>106</v>
      </c>
      <c r="AF30" s="17">
        <v>570</v>
      </c>
      <c r="AG30" s="17"/>
      <c r="AH30" s="18">
        <f>IFERROR(IF(OR(AG30&gt;=AI30,E30&gt;=AI30),LOOKUP(IF(AG30="",E30,AG30),{0,1,10,50,100,1000,10000},{0.0,1.23,1.1,1.05,0.83,0.665,0.621}),"MOQ="&amp;AI30),"")</f>
        <v>0.83</v>
      </c>
      <c r="AI30" s="17">
        <v>1</v>
      </c>
      <c r="AJ30" s="19">
        <f>IFERROR(IF(AG30="",E30,AG30)*AH30,"")</f>
        <v>332.0</v>
      </c>
      <c r="AK30" s="17" t="s">
        <v>119</v>
      </c>
      <c r="AL30" s="20" t="s">
        <v>107</v>
      </c>
      <c r="AM30" s="17"/>
      <c r="AN30" s="18">
        <f>IFERROR(IF(OR(AM30&gt;=AO30,E30&gt;=AO30),LOOKUP(IF(AM30="",E30,AM30),{0,1,10,25,50,100,250,500},{0.0,1.63,1.51,1.41,1.35,1.27,1.21,1.18}),"MOQ="&amp;AO30),"")</f>
        <v>1.21</v>
      </c>
      <c r="AO30" s="17">
        <v>1</v>
      </c>
      <c r="AP30" s="19">
        <f>IFERROR(IF(AM30="",E30,AM30)*AN30,"")</f>
        <v>484.0</v>
      </c>
      <c r="AQ30" s="17" t="s">
        <v>128</v>
      </c>
    </row>
    <row r="32" spans="1:55">
      <c r="B32" s="21" t="s">
        <v>137</v>
      </c>
      <c r="F32" s="1" t="s">
        <v>135</v>
      </c>
      <c r="G32" s="5">
        <f>SUM(L32,R32,X32,AD32,AJ32,AP32,AV32,BB32)</f>
        <v>0</v>
      </c>
      <c r="H32" s="22" t="s">
        <v>87</v>
      </c>
      <c r="I32" s="6">
        <f>IFERROR(IF(COUNTIF(I7:I30,"&gt;0")&gt;0,COUNTIF(I7:I30,"&gt;0")&amp;" of "&amp;(ROWS(K7:K30)-COUNTBLANK(K7:K30))&amp;" parts purchased",""),"")</f>
        <v/>
      </c>
      <c r="L32" s="5">
        <f>SUMIF(I7:I30,"&gt;0",L7:L30)</f>
        <v>0</v>
      </c>
      <c r="N32" s="22" t="s">
        <v>87</v>
      </c>
      <c r="O32" s="6">
        <f>IFERROR(IF(COUNTIF(O7:O30,"&gt;0")&gt;0,COUNTIF(O7:O30,"&gt;0")&amp;" of "&amp;(ROWS(Q7:Q30)-COUNTBLANK(Q7:Q30))&amp;" parts purchased",""),"")</f>
        <v/>
      </c>
      <c r="R32" s="5">
        <f>SUMIF(O7:O30,"&gt;0",R7:R30)</f>
        <v>0</v>
      </c>
      <c r="T32" s="22" t="s">
        <v>87</v>
      </c>
      <c r="U32" s="6">
        <f>IFERROR(IF(COUNTIF(U7:U30,"&gt;0")&gt;0,COUNTIF(U7:U30,"&gt;0")&amp;" of "&amp;(ROWS(W7:W30)-COUNTBLANK(W7:W30))&amp;" parts purchased",""),"")</f>
        <v/>
      </c>
      <c r="X32" s="5">
        <f>SUMIF(U7:U30,"&gt;0",X7:X30)</f>
        <v>0</v>
      </c>
      <c r="Z32" s="22" t="s">
        <v>87</v>
      </c>
      <c r="AA32" s="6">
        <f>IFERROR(IF(COUNTIF(AA7:AA30,"&gt;0")&gt;0,COUNTIF(AA7:AA30,"&gt;0")&amp;" of "&amp;(ROWS(AC7:AC30)-COUNTBLANK(AC7:AC30))&amp;" parts purchased",""),"")</f>
        <v/>
      </c>
      <c r="AD32" s="5">
        <f>SUMIF(AA7:AA30,"&gt;0",AD7:AD30)</f>
        <v>0</v>
      </c>
      <c r="AF32" s="22" t="s">
        <v>87</v>
      </c>
      <c r="AG32" s="6">
        <f>IFERROR(IF(COUNTIF(AG7:AG30,"&gt;0")&gt;0,COUNTIF(AG7:AG30,"&gt;0")&amp;" of "&amp;(ROWS(AI7:AI30)-COUNTBLANK(AI7:AI30))&amp;" parts purchased",""),"")</f>
        <v/>
      </c>
      <c r="AJ32" s="5">
        <f>SUMIF(AG7:AG30,"&gt;0",AJ7:AJ30)</f>
        <v>0</v>
      </c>
      <c r="AL32" s="22" t="s">
        <v>87</v>
      </c>
      <c r="AM32" s="6">
        <f>IFERROR(IF(COUNTIF(AM7:AM30,"&gt;0")&gt;0,COUNTIF(AM7:AM30,"&gt;0")&amp;" of "&amp;(ROWS(AO7:AO30)-COUNTBLANK(AO7:AO30))&amp;" parts purchased",""),"")</f>
        <v/>
      </c>
      <c r="AP32" s="5">
        <f>SUMIF(AM7:AM30,"&gt;0",AP7:AP30)</f>
        <v>0</v>
      </c>
      <c r="AR32" s="22" t="s">
        <v>87</v>
      </c>
      <c r="AS32" s="6">
        <f>IFERROR(IF(COUNTIF(AS7:AS30,"&gt;0")&gt;0,COUNTIF(AS7:AS30,"&gt;0")&amp;" of "&amp;(ROWS(AU7:AU30)-COUNTBLANK(AU7:AU30))&amp;" parts purchased",""),"")</f>
        <v/>
      </c>
      <c r="AV32" s="5">
        <f>SUMIF(AS7:AS30,"&gt;0",AV7:AV30)</f>
        <v>0</v>
      </c>
      <c r="AX32" s="22" t="s">
        <v>87</v>
      </c>
      <c r="AY32" s="6">
        <f>IFERROR(IF(COUNTIF(AY7:AY30,"&gt;0")&gt;0,COUNTIF(AY7:AY30,"&gt;0")&amp;" of "&amp;(ROWS(BA7:BA30)-COUNTBLANK(BA7:BA30))&amp;" parts purchased",""),"")</f>
        <v/>
      </c>
      <c r="BB32" s="5">
        <f>SUMIF(AY7:AY30,"&gt;0",BB7:BB30)</f>
        <v>0</v>
      </c>
    </row>
    <row r="33" spans="1:51">
      <c r="B33" s="21" t="s">
        <v>138</v>
      </c>
      <c r="C33">
        <v>1.214070707666883</v>
      </c>
      <c r="F33" s="21" t="s">
        <v>136</v>
      </c>
      <c r="I33" s="23">
        <f>CONCATENATE(I58,I59,I60,I61,I62,I63,I64,I65,I66,I67,I68,I69,I70,I71,I72,I73,I74,I75,I76,I77,I78,I79,I80,I81)</f>
        <v/>
      </c>
      <c r="O33" s="23">
        <f>CONCATENATE(O58,O59,O60,O61,O62,O63,O64,O65,O66,O67,O68,O69,O70,O71,O72,O73,O74,O75,O76,O77,O78,O79,O80,O81)</f>
        <v/>
      </c>
      <c r="U33" s="23">
        <f>CONCATENATE(U58,U59,U60,U61,U62,U63,U64,U65,U66,U67,U68,U69,U70,U71,U72,U73,U74,U75,U76,U77,U78,U79,U80,U81)</f>
        <v/>
      </c>
      <c r="AA33" s="23" t="str">
        <f>CONCATENATE(AA82,AA58,AA59,AA60,AA61,AA62,AA63,AA64,AA65,AA66,AA67,AA68,AA69,AA70,AA71,AA72,AA73,AA74,AA75,AA76,AA77,AA78,AA79,AA80,AA81)</f>
        <v>Copy this header and order to a CSV
file and use it for JLCPCB 
manufacturer PCB house.
The multipart components that use
"#" symbol are not allowed by JLCPCB.</v>
      </c>
      <c r="AG33" s="23">
        <f>CONCATENATE(AG58,AG59,AG60,AG61,AG62,AG63,AG64,AG65,AG66,AG67,AG68,AG69,AG70,AG71,AG72,AG73,AG74,AG75,AG76,AG77,AG78,AG79,AG80,AG81)</f>
        <v/>
      </c>
      <c r="AM33" s="23">
        <f>CONCATENATE(AM58,AM59,AM60,AM61,AM62,AM63,AM64,AM65,AM66,AM67,AM68,AM69,AM70,AM71,AM72,AM73,AM74,AM75,AM76,AM77,AM78,AM79,AM80,AM81)</f>
        <v/>
      </c>
      <c r="AS33" s="23">
        <f>CONCATENATE(AS58,AS59,AS60,AS61,AS62,AS63,AS64,AS65,AS66,AS67,AS68,AS69,AS70,AS71,AS72,AS73,AS74,AS75,AS76,AS77,AS78,AS79,AS80,AS81)</f>
        <v/>
      </c>
      <c r="AY33" s="23">
        <f>CONCATENATE(AY58,AY59,AY60,AY61,AY62,AY63,AY64,AY65,AY66,AY67,AY68,AY69,AY70,AY71,AY72,AY73,AY74,AY75,AY76,AY77,AY78,AY79,AY80,AY81)</f>
        <v/>
      </c>
    </row>
    <row r="35" spans="1:51">
      <c r="A35" s="2" t="s">
        <v>149</v>
      </c>
    </row>
    <row r="58" spans="9:51" ht="30" hidden="1" customHeight="1">
      <c r="I58" t="str">
        <f t="array" ref="I58:I81">IF(ISNUMBER(I7:I30)*(I7:I30&gt;=K7:K30)*(M7:M30&lt;&gt;""),M7:M30&amp;","&amp;TEXT(ROUNDUP(I7:I30/IF(ISNUMBER(K7:K30),K7:K30,1),0)*K7:K30,"##0")&amp;","&amp;SUBSTITUTE(SUBSTITUTE(IF(PURCHASE_DESCRIPTION&lt;&gt;"",PURCHASE_DESCRIPTION&amp;":","")&amp;A7:A30,",",";"),"
"," ")&amp;CHAR(10),"")</f>
        <v/>
      </c>
      <c r="O58" t="str">
        <f t="array" ref="O58:O81">IF(ISNUMBER(O7:O30)*(O7:O30&gt;=Q7:Q30)*(S7:S30&lt;&gt;""),TEXT(ROUNDUP(O7:O30/IF(ISNUMBER(Q7:Q30),Q7:Q30,1),0)*Q7:Q30,"##0")&amp;","&amp;S7:S30&amp;","&amp;SUBSTITUTE(SUBSTITUTE(IF(PURCHASE_DESCRIPTION&lt;&gt;"",PURCHASE_DESCRIPTION&amp;":","")&amp;A7:A30,",",";"),"
"," ")&amp;CHAR(10),"")</f>
        <v/>
      </c>
      <c r="U58" t="str">
        <f t="array" ref="U58:U81">IF(ISNUMBER(U7:U30)*(U7:U30&gt;=W7:W30)*(Y7:Y30&lt;&gt;""),Y7:Y30&amp;","&amp;TEXT(ROUNDUP(U7:U30/IF(ISNUMBER(W7:W30),W7:W30,1),0)*W7:W30,"##0")&amp;","&amp;""&amp;","&amp;LEFT(SUBSTITUTE(SUBSTITUTE(IF(PURCHASE_DESCRIPTION&lt;&gt;"",PURCHASE_DESCRIPTION&amp;":","")&amp;A7:A30,",",";"),"
"," "),30)&amp;CHAR(10),"")</f>
        <v/>
      </c>
      <c r="AA58" t="str">
        <f t="array" ref="AA58:AA81">IF(ISNUMBER(AA7:AA30)*(AA7:AA30&gt;=AC7:AC30)*(AE7:AE30&lt;&gt;""),TEXT(ROUNDUP(AA7:AA30/IF(ISNUMBER(AC7:AC30),AC7:AC30,1),0)*AC7:AC30,"##0")&amp;","&amp;SUBSTITUTE(SUBSTITUTE(IF(PURCHASE_DESCRIPTION&lt;&gt;"",PURCHASE_DESCRIPTION&amp;":","")&amp;A7:A30,",",";"),"
"," ")&amp;","&amp;SUBSTITUTE(SUBSTITUTE(IF(PURCHASE_DESCRIPTION&lt;&gt;"",PURCHASE_DESCRIPTION&amp;":","")&amp;C7:C30,",",";"),"
"," ")&amp;","&amp;AE7:AE30&amp;CHAR(10),"")</f>
        <v/>
      </c>
      <c r="AG58" t="str">
        <f t="array" ref="AG58:AG81">IF(ISNUMBER(AG7:AG30)*(AG7:AG30&gt;=AI7:AI30)*(AK7:AK30&lt;&gt;""),AK7:AK30&amp;"|"&amp;TEXT(ROUNDUP(AG7:AG30/IF(ISNUMBER(AI7:AI30),AI7:AI30,1),0)*AI7:AI30,"##0")&amp;"|"&amp;SUBSTITUTE(SUBSTITUTE(SUBSTITUTE(IF(PURCHASE_DESCRIPTION&lt;&gt;"",PURCHASE_DESCRIPTION&amp;":","")&amp;A7:A30,"|",";")," ","_"),"
","_")&amp;CHAR(10),"")</f>
        <v/>
      </c>
      <c r="AM58" t="str">
        <f t="array" ref="AM58:AM81">IF(ISNUMBER(AM7:AM30)*(AM7:AM30&gt;=AO7:AO30)*(AQ7:AQ30&lt;&gt;""),AQ7:AQ30&amp;","&amp;TEXT(ROUNDUP(AM7:AM30/IF(ISNUMBER(AO7:AO30),AO7:AO30,1),0)*AO7:AO30,"##0")&amp;","&amp;SUBSTITUTE(SUBSTITUTE(IF(PURCHASE_DESCRIPTION&lt;&gt;"",PURCHASE_DESCRIPTION&amp;":","")&amp;A7:A30,",",";"),"
"," ")&amp;","&amp;""&amp;CHAR(10),"")</f>
        <v/>
      </c>
      <c r="AS58" t="str">
        <f t="array" ref="AS58:AS81">IF(ISNUMBER(AS7:AS30)*(AS7:AS30&gt;=AU7:AU30)*(AW7:AW30&lt;&gt;""),AW7:AW30&amp;","&amp;TEXT(ROUNDUP(AS7:AS30/IF(ISNUMBER(AU7:AU30),AU7:AU30,1),0)*AU7:AU30,"##0")&amp;","&amp;""&amp;","&amp;""&amp;","&amp;""&amp;","&amp;D7:D30&amp;","&amp;SUBSTITUTE(SUBSTITUTE(IF(PURCHASE_DESCRIPTION&lt;&gt;"",PURCHASE_DESCRIPTION&amp;":","")&amp;A7:A30,",",";"),"
"," ")&amp;CHAR(10),"")</f>
        <v/>
      </c>
      <c r="AY58" t="str">
        <f t="array" ref="AY58:AY81">IF(ISNUMBER(AY7:AY30)*(AY7:AY30&gt;=BA7:BA30)*(BC7:BC30&lt;&gt;""),BC7:BC30&amp;" "&amp;TEXT(ROUNDUP(AY7:AY30/IF(ISNUMBER(BA7:BA30),BA7:BA30,1),0)*BA7:BA30,"##0")&amp;" "&amp;SUBSTITUTE(SUBSTITUTE(IF(PURCHASE_DESCRIPTION&lt;&gt;"",PURCHASE_DESCRIPTION&amp;":","")&amp;A7:A30," ",";"),"
",";")&amp;CHAR(10),"")</f>
        <v/>
      </c>
    </row>
    <row r="59" spans="9:51" ht="30" hidden="1" customHeight="1">
      <c r="I59">
        <v>0</v>
      </c>
      <c r="O59">
        <v>0</v>
      </c>
      <c r="U59">
        <v>0</v>
      </c>
      <c r="AA59">
        <v>0</v>
      </c>
      <c r="AG59">
        <v>0</v>
      </c>
      <c r="AM59">
        <v>0</v>
      </c>
      <c r="AS59">
        <v>0</v>
      </c>
      <c r="AY59">
        <v>0</v>
      </c>
    </row>
    <row r="60" spans="9:51" ht="30" hidden="1" customHeight="1">
      <c r="I60">
        <v>0</v>
      </c>
      <c r="O60">
        <v>0</v>
      </c>
      <c r="U60">
        <v>0</v>
      </c>
      <c r="AA60">
        <v>0</v>
      </c>
      <c r="AG60">
        <v>0</v>
      </c>
      <c r="AM60">
        <v>0</v>
      </c>
      <c r="AS60">
        <v>0</v>
      </c>
      <c r="AY60">
        <v>0</v>
      </c>
    </row>
    <row r="61" spans="9:51" ht="30" hidden="1" customHeight="1">
      <c r="I61">
        <v>0</v>
      </c>
      <c r="O61">
        <v>0</v>
      </c>
      <c r="U61">
        <v>0</v>
      </c>
      <c r="AA61">
        <v>0</v>
      </c>
      <c r="AG61">
        <v>0</v>
      </c>
      <c r="AM61">
        <v>0</v>
      </c>
      <c r="AS61">
        <v>0</v>
      </c>
      <c r="AY61">
        <v>0</v>
      </c>
    </row>
    <row r="62" spans="9:51" ht="30" hidden="1" customHeight="1">
      <c r="I62">
        <v>0</v>
      </c>
      <c r="O62">
        <v>0</v>
      </c>
      <c r="U62">
        <v>0</v>
      </c>
      <c r="AA62">
        <v>0</v>
      </c>
      <c r="AG62">
        <v>0</v>
      </c>
      <c r="AM62">
        <v>0</v>
      </c>
      <c r="AS62">
        <v>0</v>
      </c>
      <c r="AY62">
        <v>0</v>
      </c>
    </row>
    <row r="63" spans="9:51" ht="30" hidden="1" customHeight="1">
      <c r="I63">
        <v>0</v>
      </c>
      <c r="O63">
        <v>0</v>
      </c>
      <c r="U63">
        <v>0</v>
      </c>
      <c r="AA63">
        <v>0</v>
      </c>
      <c r="AG63">
        <v>0</v>
      </c>
      <c r="AM63">
        <v>0</v>
      </c>
      <c r="AS63">
        <v>0</v>
      </c>
      <c r="AY63">
        <v>0</v>
      </c>
    </row>
    <row r="64" spans="9:51" ht="30" hidden="1" customHeight="1">
      <c r="I64">
        <v>0</v>
      </c>
      <c r="O64">
        <v>0</v>
      </c>
      <c r="U64">
        <v>0</v>
      </c>
      <c r="AA64">
        <v>0</v>
      </c>
      <c r="AG64">
        <v>0</v>
      </c>
      <c r="AM64">
        <v>0</v>
      </c>
      <c r="AS64">
        <v>0</v>
      </c>
      <c r="AY64">
        <v>0</v>
      </c>
    </row>
    <row r="65" spans="9:51" ht="30" hidden="1" customHeight="1">
      <c r="I65">
        <v>0</v>
      </c>
      <c r="O65">
        <v>0</v>
      </c>
      <c r="U65">
        <v>0</v>
      </c>
      <c r="AA65">
        <v>0</v>
      </c>
      <c r="AG65">
        <v>0</v>
      </c>
      <c r="AM65">
        <v>0</v>
      </c>
      <c r="AS65">
        <v>0</v>
      </c>
      <c r="AY65">
        <v>0</v>
      </c>
    </row>
    <row r="66" spans="9:51" ht="30" hidden="1" customHeight="1">
      <c r="I66">
        <v>0</v>
      </c>
      <c r="O66">
        <v>0</v>
      </c>
      <c r="U66">
        <v>0</v>
      </c>
      <c r="AA66">
        <v>0</v>
      </c>
      <c r="AG66">
        <v>0</v>
      </c>
      <c r="AM66">
        <v>0</v>
      </c>
      <c r="AS66">
        <v>0</v>
      </c>
      <c r="AY66">
        <v>0</v>
      </c>
    </row>
    <row r="67" spans="9:51" ht="30" hidden="1" customHeight="1">
      <c r="I67">
        <v>0</v>
      </c>
      <c r="O67">
        <v>0</v>
      </c>
      <c r="U67">
        <v>0</v>
      </c>
      <c r="AA67">
        <v>0</v>
      </c>
      <c r="AG67">
        <v>0</v>
      </c>
      <c r="AM67">
        <v>0</v>
      </c>
      <c r="AS67">
        <v>0</v>
      </c>
      <c r="AY67">
        <v>0</v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AA82">
        <f>IFERROR(IF(COUNTIFS(AA7:AA30,"&gt;0",AD7:AD30,"&lt;&gt;")&gt;0,"Quantity,Comment,Designator,Footprint,LCSC Part #(optional)"&amp;CHAR(10),""),"")</f>
        <v/>
      </c>
    </row>
  </sheetData>
  <mergeCells count="17">
    <mergeCell ref="A5:G5"/>
    <mergeCell ref="H5:M5"/>
    <mergeCell ref="I33:L57"/>
    <mergeCell ref="N5:S5"/>
    <mergeCell ref="O33:R57"/>
    <mergeCell ref="T5:Y5"/>
    <mergeCell ref="U33:X57"/>
    <mergeCell ref="Z5:AE5"/>
    <mergeCell ref="AA33:AD57"/>
    <mergeCell ref="AF5:AK5"/>
    <mergeCell ref="AG33:AJ57"/>
    <mergeCell ref="AL5:AQ5"/>
    <mergeCell ref="AM33:AP57"/>
    <mergeCell ref="AR5:AW5"/>
    <mergeCell ref="AS33:AV57"/>
    <mergeCell ref="AX5:BC5"/>
    <mergeCell ref="AY33:BB57"/>
  </mergeCells>
  <conditionalFormatting sqref="AA10">
    <cfRule type="expression" dxfId="1" priority="98">
      <formula>AND(NOT(ISBLANK(AA10)),OR(Z10="NonStk",AA10&gt;Z10))</formula>
    </cfRule>
  </conditionalFormatting>
  <conditionalFormatting sqref="AB10">
    <cfRule type="cellIs" dxfId="2" priority="100" operator="lessThanOrEqual">
      <formula>F10</formula>
    </cfRule>
  </conditionalFormatting>
  <conditionalFormatting sqref="AD10">
    <cfRule type="cellIs" dxfId="2" priority="99" operator="lessThanOrEqual">
      <formula>G10</formula>
    </cfRule>
  </conditionalFormatting>
  <conditionalFormatting sqref="AF10">
    <cfRule type="cellIs" dxfId="0" priority="109" operator="lessThan">
      <formula>E10</formula>
    </cfRule>
  </conditionalFormatting>
  <conditionalFormatting sqref="AF18">
    <cfRule type="cellIs" dxfId="0" priority="113" operator="lessThan">
      <formula>E18</formula>
    </cfRule>
  </conditionalFormatting>
  <conditionalFormatting sqref="AF24">
    <cfRule type="cellIs" dxfId="0" priority="117" operator="lessThan">
      <formula>E24</formula>
    </cfRule>
  </conditionalFormatting>
  <conditionalFormatting sqref="AF25">
    <cfRule type="cellIs" dxfId="0" priority="121" operator="lessThan">
      <formula>E25</formula>
    </cfRule>
  </conditionalFormatting>
  <conditionalFormatting sqref="AF26">
    <cfRule type="cellIs" dxfId="0" priority="125" operator="lessThan">
      <formula>E26</formula>
    </cfRule>
  </conditionalFormatting>
  <conditionalFormatting sqref="AF28">
    <cfRule type="cellIs" dxfId="0" priority="129" operator="lessThan">
      <formula>E28</formula>
    </cfRule>
  </conditionalFormatting>
  <conditionalFormatting sqref="AF30">
    <cfRule type="cellIs" dxfId="0" priority="133" operator="lessThan">
      <formula>E30</formula>
    </cfRule>
  </conditionalFormatting>
  <conditionalFormatting sqref="AF7">
    <cfRule type="cellIs" dxfId="0" priority="101" operator="lessThan">
      <formula>E7</formula>
    </cfRule>
  </conditionalFormatting>
  <conditionalFormatting sqref="AF8">
    <cfRule type="cellIs" dxfId="0" priority="105" operator="lessThan">
      <formula>E8</formula>
    </cfRule>
  </conditionalFormatting>
  <conditionalFormatting sqref="AG10">
    <cfRule type="expression" dxfId="1" priority="110">
      <formula>AND(NOT(ISBLANK(AG10)),OR(AF10="NonStk",AG10&gt;AF10))</formula>
    </cfRule>
  </conditionalFormatting>
  <conditionalFormatting sqref="AG18">
    <cfRule type="expression" dxfId="1" priority="114">
      <formula>AND(NOT(ISBLANK(AG18)),OR(AF18="NonStk",AG18&gt;AF18))</formula>
    </cfRule>
  </conditionalFormatting>
  <conditionalFormatting sqref="AG24">
    <cfRule type="expression" dxfId="1" priority="118">
      <formula>AND(NOT(ISBLANK(AG24)),OR(AF24="NonStk",AG24&gt;AF24))</formula>
    </cfRule>
  </conditionalFormatting>
  <conditionalFormatting sqref="AG25">
    <cfRule type="expression" dxfId="1" priority="122">
      <formula>AND(NOT(ISBLANK(AG25)),OR(AF25="NonStk",AG25&gt;AF25))</formula>
    </cfRule>
  </conditionalFormatting>
  <conditionalFormatting sqref="AG26">
    <cfRule type="expression" dxfId="1" priority="126">
      <formula>AND(NOT(ISBLANK(AG26)),OR(AF26="NonStk",AG26&gt;AF26))</formula>
    </cfRule>
  </conditionalFormatting>
  <conditionalFormatting sqref="AG28">
    <cfRule type="expression" dxfId="1" priority="130">
      <formula>AND(NOT(ISBLANK(AG28)),OR(AF28="NonStk",AG28&gt;AF28))</formula>
    </cfRule>
  </conditionalFormatting>
  <conditionalFormatting sqref="AG30">
    <cfRule type="expression" dxfId="1" priority="134">
      <formula>AND(NOT(ISBLANK(AG30)),OR(AF30="NonStk",AG30&gt;AF30))</formula>
    </cfRule>
  </conditionalFormatting>
  <conditionalFormatting sqref="AG7">
    <cfRule type="expression" dxfId="1" priority="102">
      <formula>AND(NOT(ISBLANK(AG7)),OR(AF7="NonStk",AG7&gt;AF7))</formula>
    </cfRule>
  </conditionalFormatting>
  <conditionalFormatting sqref="AG8">
    <cfRule type="expression" dxfId="1" priority="106">
      <formula>AND(NOT(ISBLANK(AG8)),OR(AF8="NonStk",AG8&gt;AF8))</formula>
    </cfRule>
  </conditionalFormatting>
  <conditionalFormatting sqref="AH10">
    <cfRule type="cellIs" dxfId="2" priority="112" operator="lessThanOrEqual">
      <formula>F10</formula>
    </cfRule>
  </conditionalFormatting>
  <conditionalFormatting sqref="AH18">
    <cfRule type="cellIs" dxfId="2" priority="116" operator="lessThanOrEqual">
      <formula>F18</formula>
    </cfRule>
  </conditionalFormatting>
  <conditionalFormatting sqref="AH24">
    <cfRule type="cellIs" dxfId="2" priority="120" operator="lessThanOrEqual">
      <formula>F24</formula>
    </cfRule>
  </conditionalFormatting>
  <conditionalFormatting sqref="AH25">
    <cfRule type="cellIs" dxfId="2" priority="124" operator="lessThanOrEqual">
      <formula>F25</formula>
    </cfRule>
  </conditionalFormatting>
  <conditionalFormatting sqref="AH26">
    <cfRule type="cellIs" dxfId="2" priority="128" operator="lessThanOrEqual">
      <formula>F26</formula>
    </cfRule>
  </conditionalFormatting>
  <conditionalFormatting sqref="AH28">
    <cfRule type="cellIs" dxfId="2" priority="132" operator="lessThanOrEqual">
      <formula>F28</formula>
    </cfRule>
  </conditionalFormatting>
  <conditionalFormatting sqref="AH30">
    <cfRule type="cellIs" dxfId="2" priority="136" operator="lessThanOrEqual">
      <formula>F30</formula>
    </cfRule>
  </conditionalFormatting>
  <conditionalFormatting sqref="AH7">
    <cfRule type="cellIs" dxfId="2" priority="104" operator="lessThanOrEqual">
      <formula>F7</formula>
    </cfRule>
  </conditionalFormatting>
  <conditionalFormatting sqref="AH8">
    <cfRule type="cellIs" dxfId="2" priority="108" operator="lessThanOrEqual">
      <formula>F8</formula>
    </cfRule>
  </conditionalFormatting>
  <conditionalFormatting sqref="AJ10">
    <cfRule type="cellIs" dxfId="2" priority="111" operator="lessThanOrEqual">
      <formula>G10</formula>
    </cfRule>
  </conditionalFormatting>
  <conditionalFormatting sqref="AJ18">
    <cfRule type="cellIs" dxfId="2" priority="115" operator="lessThanOrEqual">
      <formula>G18</formula>
    </cfRule>
  </conditionalFormatting>
  <conditionalFormatting sqref="AJ24">
    <cfRule type="cellIs" dxfId="2" priority="119" operator="lessThanOrEqual">
      <formula>G24</formula>
    </cfRule>
  </conditionalFormatting>
  <conditionalFormatting sqref="AJ25">
    <cfRule type="cellIs" dxfId="2" priority="123" operator="lessThanOrEqual">
      <formula>G25</formula>
    </cfRule>
  </conditionalFormatting>
  <conditionalFormatting sqref="AJ26">
    <cfRule type="cellIs" dxfId="2" priority="127" operator="lessThanOrEqual">
      <formula>G26</formula>
    </cfRule>
  </conditionalFormatting>
  <conditionalFormatting sqref="AJ28">
    <cfRule type="cellIs" dxfId="2" priority="131" operator="lessThanOrEqual">
      <formula>G28</formula>
    </cfRule>
  </conditionalFormatting>
  <conditionalFormatting sqref="AJ30">
    <cfRule type="cellIs" dxfId="2" priority="135" operator="lessThanOrEqual">
      <formula>G30</formula>
    </cfRule>
  </conditionalFormatting>
  <conditionalFormatting sqref="AJ7">
    <cfRule type="cellIs" dxfId="2" priority="103" operator="lessThanOrEqual">
      <formula>G7</formula>
    </cfRule>
  </conditionalFormatting>
  <conditionalFormatting sqref="AJ8">
    <cfRule type="cellIs" dxfId="2" priority="107" operator="lessThanOrEqual">
      <formula>G8</formula>
    </cfRule>
  </conditionalFormatting>
  <conditionalFormatting sqref="AL10">
    <cfRule type="cellIs" dxfId="0" priority="146" operator="lessThan">
      <formula>E10</formula>
    </cfRule>
  </conditionalFormatting>
  <conditionalFormatting sqref="AL18">
    <cfRule type="cellIs" dxfId="0" priority="150" operator="lessThan">
      <formula>E18</formula>
    </cfRule>
  </conditionalFormatting>
  <conditionalFormatting sqref="AL24">
    <cfRule type="cellIs" dxfId="0" priority="154" operator="lessThan">
      <formula>E24</formula>
    </cfRule>
  </conditionalFormatting>
  <conditionalFormatting sqref="AL25">
    <cfRule type="cellIs" dxfId="0" priority="158" operator="lessThan">
      <formula>E25</formula>
    </cfRule>
  </conditionalFormatting>
  <conditionalFormatting sqref="AL26">
    <cfRule type="cellIs" dxfId="0" priority="166" operator="lessThan">
      <formula>E26</formula>
    </cfRule>
  </conditionalFormatting>
  <conditionalFormatting sqref="AL30">
    <cfRule type="cellIs" dxfId="0" priority="174" operator="lessThan">
      <formula>E30</formula>
    </cfRule>
  </conditionalFormatting>
  <conditionalFormatting sqref="AL7">
    <cfRule type="cellIs" dxfId="0" priority="137" operator="lessThan">
      <formula>E7</formula>
    </cfRule>
  </conditionalFormatting>
  <conditionalFormatting sqref="AL8">
    <cfRule type="cellIs" dxfId="0" priority="141" operator="lessThan">
      <formula>E8</formula>
    </cfRule>
  </conditionalFormatting>
  <conditionalFormatting sqref="AM10">
    <cfRule type="expression" dxfId="1" priority="147">
      <formula>AND(NOT(ISBLANK(AM10)),OR(AL10="NonStk",AM10&gt;AL10))</formula>
    </cfRule>
  </conditionalFormatting>
  <conditionalFormatting sqref="AM18">
    <cfRule type="expression" dxfId="1" priority="151">
      <formula>AND(NOT(ISBLANK(AM18)),OR(AL18="NonStk",AM18&gt;AL18))</formula>
    </cfRule>
  </conditionalFormatting>
  <conditionalFormatting sqref="AM24">
    <cfRule type="expression" dxfId="1" priority="155">
      <formula>AND(NOT(ISBLANK(AM24)),OR(AL24="NonStk",AM24&gt;AL24))</formula>
    </cfRule>
  </conditionalFormatting>
  <conditionalFormatting sqref="AM25">
    <cfRule type="expression" dxfId="3" priority="159">
      <formula>AND(AM25&gt;0,MOD(AM25,AO25)&lt;&gt;0)</formula>
    </cfRule>
    <cfRule type="expression" dxfId="1" priority="160">
      <formula>AND(NOT(ISBLANK(AM25)),OR(AL25="NonStk",AM25&gt;AL25))</formula>
    </cfRule>
  </conditionalFormatting>
  <conditionalFormatting sqref="AM26">
    <cfRule type="expression" dxfId="3" priority="167">
      <formula>AND(AM26&gt;0,MOD(AM26,AO26)&lt;&gt;0)</formula>
    </cfRule>
    <cfRule type="expression" dxfId="1" priority="168">
      <formula>AND(NOT(ISBLANK(AM26)),OR(AL26="NonStk",AM26&gt;AL26))</formula>
    </cfRule>
  </conditionalFormatting>
  <conditionalFormatting sqref="AM30">
    <cfRule type="expression" dxfId="1" priority="175">
      <formula>AND(NOT(ISBLANK(AM30)),OR(AL30="NonStk",AM30&gt;AL30))</formula>
    </cfRule>
  </conditionalFormatting>
  <conditionalFormatting sqref="AM7">
    <cfRule type="expression" dxfId="1" priority="138">
      <formula>AND(NOT(ISBLANK(AM7)),OR(AL7="NonStk",AM7&gt;AL7))</formula>
    </cfRule>
  </conditionalFormatting>
  <conditionalFormatting sqref="AM8">
    <cfRule type="expression" dxfId="3" priority="142">
      <formula>AND(AM8&gt;0,MOD(AM8,AO8)&lt;&gt;0)</formula>
    </cfRule>
    <cfRule type="expression" dxfId="1" priority="143">
      <formula>AND(NOT(ISBLANK(AM8)),OR(AL8="NonStk",AM8&gt;AL8))</formula>
    </cfRule>
  </conditionalFormatting>
  <conditionalFormatting sqref="AN10">
    <cfRule type="cellIs" dxfId="2" priority="149" operator="lessThanOrEqual">
      <formula>F10</formula>
    </cfRule>
  </conditionalFormatting>
  <conditionalFormatting sqref="AN18">
    <cfRule type="cellIs" dxfId="2" priority="153" operator="lessThanOrEqual">
      <formula>F18</formula>
    </cfRule>
  </conditionalFormatting>
  <conditionalFormatting sqref="AN24">
    <cfRule type="cellIs" dxfId="2" priority="157" operator="lessThanOrEqual">
      <formula>F24</formula>
    </cfRule>
  </conditionalFormatting>
  <conditionalFormatting sqref="AN25">
    <cfRule type="cellIs" dxfId="2" priority="162" operator="lessThanOrEqual">
      <formula>F25</formula>
    </cfRule>
    <cfRule type="expression" dxfId="3" priority="163">
      <formula>AND(E25&lt;5000,AM25&lt;5000)</formula>
    </cfRule>
  </conditionalFormatting>
  <conditionalFormatting sqref="AN26">
    <cfRule type="cellIs" dxfId="2" priority="170" operator="lessThanOrEqual">
      <formula>F26</formula>
    </cfRule>
    <cfRule type="expression" dxfId="3" priority="171">
      <formula>AND(E26&lt;10000,AM26&lt;10000)</formula>
    </cfRule>
  </conditionalFormatting>
  <conditionalFormatting sqref="AN30">
    <cfRule type="cellIs" dxfId="2" priority="177" operator="lessThanOrEqual">
      <formula>F30</formula>
    </cfRule>
  </conditionalFormatting>
  <conditionalFormatting sqref="AN7">
    <cfRule type="cellIs" dxfId="2" priority="140" operator="lessThanOrEqual">
      <formula>F7</formula>
    </cfRule>
  </conditionalFormatting>
  <conditionalFormatting sqref="AN8">
    <cfRule type="cellIs" dxfId="2" priority="145" operator="lessThanOrEqual">
      <formula>F8</formula>
    </cfRule>
  </conditionalFormatting>
  <conditionalFormatting sqref="AO25">
    <cfRule type="expression" dxfId="3" priority="164">
      <formula>AND(E25&lt;5000,AM25&lt;5000)</formula>
    </cfRule>
  </conditionalFormatting>
  <conditionalFormatting sqref="AO26">
    <cfRule type="expression" dxfId="3" priority="172">
      <formula>AND(E26&lt;10000,AM26&lt;10000)</formula>
    </cfRule>
  </conditionalFormatting>
  <conditionalFormatting sqref="AP10">
    <cfRule type="cellIs" dxfId="2" priority="148" operator="lessThanOrEqual">
      <formula>G10</formula>
    </cfRule>
  </conditionalFormatting>
  <conditionalFormatting sqref="AP18">
    <cfRule type="cellIs" dxfId="2" priority="152" operator="lessThanOrEqual">
      <formula>G18</formula>
    </cfRule>
  </conditionalFormatting>
  <conditionalFormatting sqref="AP24">
    <cfRule type="cellIs" dxfId="2" priority="156" operator="lessThanOrEqual">
      <formula>G24</formula>
    </cfRule>
  </conditionalFormatting>
  <conditionalFormatting sqref="AP25">
    <cfRule type="cellIs" dxfId="2" priority="161" operator="lessThanOrEqual">
      <formula>G25</formula>
    </cfRule>
    <cfRule type="expression" dxfId="3" priority="165">
      <formula>AND(E25&lt;5000,AM25&lt;5000)</formula>
    </cfRule>
  </conditionalFormatting>
  <conditionalFormatting sqref="AP26">
    <cfRule type="cellIs" dxfId="2" priority="169" operator="lessThanOrEqual">
      <formula>G26</formula>
    </cfRule>
    <cfRule type="expression" dxfId="3" priority="173">
      <formula>AND(E26&lt;10000,AM26&lt;10000)</formula>
    </cfRule>
  </conditionalFormatting>
  <conditionalFormatting sqref="AP30">
    <cfRule type="cellIs" dxfId="2" priority="176" operator="lessThanOrEqual">
      <formula>G30</formula>
    </cfRule>
  </conditionalFormatting>
  <conditionalFormatting sqref="AP7">
    <cfRule type="cellIs" dxfId="2" priority="139" operator="lessThanOrEqual">
      <formula>G7</formula>
    </cfRule>
  </conditionalFormatting>
  <conditionalFormatting sqref="AP8">
    <cfRule type="cellIs" dxfId="2" priority="144" operator="lessThanOrEqual">
      <formula>G8</formula>
    </cfRule>
  </conditionalFormatting>
  <conditionalFormatting sqref="AR10">
    <cfRule type="cellIs" dxfId="0" priority="183" operator="lessThan">
      <formula>E10</formula>
    </cfRule>
  </conditionalFormatting>
  <conditionalFormatting sqref="AR18">
    <cfRule type="cellIs" dxfId="0" priority="188" operator="lessThan">
      <formula>E18</formula>
    </cfRule>
  </conditionalFormatting>
  <conditionalFormatting sqref="AR7">
    <cfRule type="cellIs" dxfId="0" priority="178" operator="lessThan">
      <formula>E7</formula>
    </cfRule>
  </conditionalFormatting>
  <conditionalFormatting sqref="AS10">
    <cfRule type="expression" dxfId="3" priority="184">
      <formula>AND(AS10&gt;0,MOD(AS10,AU10)&lt;&gt;0)</formula>
    </cfRule>
    <cfRule type="expression" dxfId="1" priority="185">
      <formula>AND(NOT(ISBLANK(AS10)),OR(AR10="NonStk",AS10&gt;AR10))</formula>
    </cfRule>
  </conditionalFormatting>
  <conditionalFormatting sqref="AS18">
    <cfRule type="expression" dxfId="3" priority="189">
      <formula>AND(AS18&gt;0,MOD(AS18,AU18)&lt;&gt;0)</formula>
    </cfRule>
    <cfRule type="expression" dxfId="1" priority="190">
      <formula>AND(NOT(ISBLANK(AS18)),OR(AR18="NonStk",AS18&gt;AR18))</formula>
    </cfRule>
  </conditionalFormatting>
  <conditionalFormatting sqref="AS7">
    <cfRule type="expression" dxfId="3" priority="179">
      <formula>AND(AS7&gt;0,MOD(AS7,AU7)&lt;&gt;0)</formula>
    </cfRule>
    <cfRule type="expression" dxfId="1" priority="180">
      <formula>AND(NOT(ISBLANK(AS7)),OR(AR7="NonStk",AS7&gt;AR7))</formula>
    </cfRule>
  </conditionalFormatting>
  <conditionalFormatting sqref="AT10">
    <cfRule type="cellIs" dxfId="2" priority="187" operator="lessThanOrEqual">
      <formula>F10</formula>
    </cfRule>
  </conditionalFormatting>
  <conditionalFormatting sqref="AT18">
    <cfRule type="cellIs" dxfId="2" priority="192" operator="lessThanOrEqual">
      <formula>F18</formula>
    </cfRule>
  </conditionalFormatting>
  <conditionalFormatting sqref="AT7">
    <cfRule type="cellIs" dxfId="2" priority="182" operator="lessThanOrEqual">
      <formula>F7</formula>
    </cfRule>
  </conditionalFormatting>
  <conditionalFormatting sqref="AV10">
    <cfRule type="cellIs" dxfId="2" priority="186" operator="lessThanOrEqual">
      <formula>G10</formula>
    </cfRule>
  </conditionalFormatting>
  <conditionalFormatting sqref="AV18">
    <cfRule type="cellIs" dxfId="2" priority="191" operator="lessThanOrEqual">
      <formula>G18</formula>
    </cfRule>
  </conditionalFormatting>
  <conditionalFormatting sqref="AV7">
    <cfRule type="cellIs" dxfId="2" priority="181" operator="lessThanOrEqual">
      <formula>G7</formula>
    </cfRule>
  </conditionalFormatting>
  <conditionalFormatting sqref="AX10">
    <cfRule type="cellIs" dxfId="0" priority="201" operator="lessThan">
      <formula>E10</formula>
    </cfRule>
  </conditionalFormatting>
  <conditionalFormatting sqref="AX27">
    <cfRule type="cellIs" dxfId="0" priority="206" operator="lessThan">
      <formula>E27</formula>
    </cfRule>
  </conditionalFormatting>
  <conditionalFormatting sqref="AX7">
    <cfRule type="cellIs" dxfId="0" priority="193" operator="lessThan">
      <formula>E7</formula>
    </cfRule>
  </conditionalFormatting>
  <conditionalFormatting sqref="AY10">
    <cfRule type="expression" dxfId="3" priority="202">
      <formula>AND(AY10&gt;0,MOD(AY10,BA10)&lt;&gt;0)</formula>
    </cfRule>
    <cfRule type="expression" dxfId="1" priority="203">
      <formula>AND(NOT(ISBLANK(AY10)),OR(AX10="NonStk",AY10&gt;AX10))</formula>
    </cfRule>
  </conditionalFormatting>
  <conditionalFormatting sqref="AY27">
    <cfRule type="expression" dxfId="1" priority="207">
      <formula>AND(NOT(ISBLANK(AY27)),OR(AX27="NonStk",AY27&gt;AX27))</formula>
    </cfRule>
  </conditionalFormatting>
  <conditionalFormatting sqref="AY7">
    <cfRule type="expression" dxfId="3" priority="194">
      <formula>AND(AY7&gt;0,MOD(AY7,BA7)&lt;&gt;0)</formula>
    </cfRule>
    <cfRule type="expression" dxfId="1" priority="195">
      <formula>AND(NOT(ISBLANK(AY7)),OR(AX7="NonStk",AY7&gt;AX7))</formula>
    </cfRule>
  </conditionalFormatting>
  <conditionalFormatting sqref="AZ10">
    <cfRule type="cellIs" dxfId="2" priority="205" operator="lessThanOrEqual">
      <formula>F10</formula>
    </cfRule>
  </conditionalFormatting>
  <conditionalFormatting sqref="AZ27">
    <cfRule type="cellIs" dxfId="2" priority="209" operator="lessThanOrEqual">
      <formula>F27</formula>
    </cfRule>
  </conditionalFormatting>
  <conditionalFormatting sqref="AZ7">
    <cfRule type="cellIs" dxfId="2" priority="197" operator="lessThanOrEqual">
      <formula>F7</formula>
    </cfRule>
    <cfRule type="expression" dxfId="3" priority="198">
      <formula>AND(E7&lt;1000,AY7&lt;1000)</formula>
    </cfRule>
  </conditionalFormatting>
  <conditionalFormatting sqref="BA7">
    <cfRule type="expression" dxfId="3" priority="199">
      <formula>AND(E7&lt;1000,AY7&lt;1000)</formula>
    </cfRule>
  </conditionalFormatting>
  <conditionalFormatting sqref="BB10">
    <cfRule type="cellIs" dxfId="2" priority="204" operator="lessThanOrEqual">
      <formula>G10</formula>
    </cfRule>
  </conditionalFormatting>
  <conditionalFormatting sqref="BB27">
    <cfRule type="cellIs" dxfId="2" priority="208" operator="lessThanOrEqual">
      <formula>G27</formula>
    </cfRule>
  </conditionalFormatting>
  <conditionalFormatting sqref="BB7">
    <cfRule type="cellIs" dxfId="2" priority="196" operator="lessThanOrEqual">
      <formula>G7</formula>
    </cfRule>
    <cfRule type="expression" dxfId="3" priority="200">
      <formula>AND(E7&lt;1000,AY7&lt;1000)</formula>
    </cfRule>
  </conditionalFormatting>
  <conditionalFormatting sqref="E10">
    <cfRule type="expression" dxfId="4" priority="222">
      <formula>AND(ISBLANK(D10),ISBLANK(L10),ISBLANK(R10),ISBLANK(X10),ISBLANK(AD10),ISBLANK(AJ10),ISBLANK(AP10),ISBLANK(AV10),ISBLANK(BB10))</formula>
    </cfRule>
    <cfRule type="expression" dxfId="1" priority="223">
      <formula>IF(SUM(H10,N10,T10,Z10,AF10,AL10,AR10,AX10)=0,1,0)</formula>
    </cfRule>
    <cfRule type="cellIs" dxfId="0" priority="224" operator="greaterThan">
      <formula>SUM(H10,N10,T10,Z10,AF10,AL10,AR10,AX10)</formula>
    </cfRule>
    <cfRule type="cellIs" dxfId="3" priority="225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4" priority="226">
      <formula>AND(ISBLANK(D11),ISBLANK(L11),ISBLANK(R11),ISBLANK(X11),ISBLANK(AD11),ISBLANK(AJ11),ISBLANK(AP11),ISBLANK(AV11),ISBLANK(BB11))</formula>
    </cfRule>
    <cfRule type="expression" dxfId="1" priority="227">
      <formula>IF(SUM(H11,N11,T11,Z11,AF11,AL11,AR11,AX11)=0,1,0)</formula>
    </cfRule>
    <cfRule type="cellIs" dxfId="0" priority="228" operator="greaterThan">
      <formula>SUM(H11,N11,T11,Z11,AF11,AL11,AR11,AX11)</formula>
    </cfRule>
    <cfRule type="cellIs" dxfId="3" priority="229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4" priority="230">
      <formula>AND(ISBLANK(D12),ISBLANK(L12),ISBLANK(R12),ISBLANK(X12),ISBLANK(AD12),ISBLANK(AJ12),ISBLANK(AP12),ISBLANK(AV12),ISBLANK(BB12))</formula>
    </cfRule>
    <cfRule type="expression" dxfId="1" priority="231">
      <formula>IF(SUM(H12,N12,T12,Z12,AF12,AL12,AR12,AX12)=0,1,0)</formula>
    </cfRule>
    <cfRule type="cellIs" dxfId="0" priority="232" operator="greaterThan">
      <formula>SUM(H12,N12,T12,Z12,AF12,AL12,AR12,AX12)</formula>
    </cfRule>
    <cfRule type="cellIs" dxfId="3" priority="233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4" priority="234">
      <formula>AND(ISBLANK(D13),ISBLANK(L13),ISBLANK(R13),ISBLANK(X13),ISBLANK(AD13),ISBLANK(AJ13),ISBLANK(AP13),ISBLANK(AV13),ISBLANK(BB13))</formula>
    </cfRule>
    <cfRule type="expression" dxfId="1" priority="235">
      <formula>IF(SUM(H13,N13,T13,Z13,AF13,AL13,AR13,AX13)=0,1,0)</formula>
    </cfRule>
    <cfRule type="cellIs" dxfId="0" priority="236" operator="greaterThan">
      <formula>SUM(H13,N13,T13,Z13,AF13,AL13,AR13,AX13)</formula>
    </cfRule>
    <cfRule type="cellIs" dxfId="3" priority="237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4" priority="238">
      <formula>AND(ISBLANK(D14),ISBLANK(L14),ISBLANK(R14),ISBLANK(X14),ISBLANK(AD14),ISBLANK(AJ14),ISBLANK(AP14),ISBLANK(AV14),ISBLANK(BB14))</formula>
    </cfRule>
    <cfRule type="expression" dxfId="1" priority="239">
      <formula>IF(SUM(H14,N14,T14,Z14,AF14,AL14,AR14,AX14)=0,1,0)</formula>
    </cfRule>
    <cfRule type="cellIs" dxfId="0" priority="240" operator="greaterThan">
      <formula>SUM(H14,N14,T14,Z14,AF14,AL14,AR14,AX14)</formula>
    </cfRule>
    <cfRule type="cellIs" dxfId="3" priority="241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4" priority="242">
      <formula>AND(ISBLANK(D15),ISBLANK(L15),ISBLANK(R15),ISBLANK(X15),ISBLANK(AD15),ISBLANK(AJ15),ISBLANK(AP15),ISBLANK(AV15),ISBLANK(BB15))</formula>
    </cfRule>
    <cfRule type="expression" dxfId="1" priority="243">
      <formula>IF(SUM(H15,N15,T15,Z15,AF15,AL15,AR15,AX15)=0,1,0)</formula>
    </cfRule>
    <cfRule type="cellIs" dxfId="0" priority="244" operator="greaterThan">
      <formula>SUM(H15,N15,T15,Z15,AF15,AL15,AR15,AX15)</formula>
    </cfRule>
    <cfRule type="cellIs" dxfId="3" priority="245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4" priority="246">
      <formula>AND(ISBLANK(D16),ISBLANK(L16),ISBLANK(R16),ISBLANK(X16),ISBLANK(AD16),ISBLANK(AJ16),ISBLANK(AP16),ISBLANK(AV16),ISBLANK(BB16))</formula>
    </cfRule>
    <cfRule type="expression" dxfId="1" priority="247">
      <formula>IF(SUM(H16,N16,T16,Z16,AF16,AL16,AR16,AX16)=0,1,0)</formula>
    </cfRule>
    <cfRule type="cellIs" dxfId="0" priority="248" operator="greaterThan">
      <formula>SUM(H16,N16,T16,Z16,AF16,AL16,AR16,AX16)</formula>
    </cfRule>
    <cfRule type="cellIs" dxfId="3" priority="249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4" priority="250">
      <formula>AND(ISBLANK(D17),ISBLANK(L17),ISBLANK(R17),ISBLANK(X17),ISBLANK(AD17),ISBLANK(AJ17),ISBLANK(AP17),ISBLANK(AV17),ISBLANK(BB17))</formula>
    </cfRule>
    <cfRule type="expression" dxfId="1" priority="251">
      <formula>IF(SUM(H17,N17,T17,Z17,AF17,AL17,AR17,AX17)=0,1,0)</formula>
    </cfRule>
    <cfRule type="cellIs" dxfId="0" priority="252" operator="greaterThan">
      <formula>SUM(H17,N17,T17,Z17,AF17,AL17,AR17,AX17)</formula>
    </cfRule>
    <cfRule type="cellIs" dxfId="3" priority="253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4" priority="254">
      <formula>AND(ISBLANK(D18),ISBLANK(L18),ISBLANK(R18),ISBLANK(X18),ISBLANK(AD18),ISBLANK(AJ18),ISBLANK(AP18),ISBLANK(AV18),ISBLANK(BB18))</formula>
    </cfRule>
    <cfRule type="expression" dxfId="1" priority="255">
      <formula>IF(SUM(H18,N18,T18,Z18,AF18,AL18,AR18,AX18)=0,1,0)</formula>
    </cfRule>
    <cfRule type="cellIs" dxfId="0" priority="256" operator="greaterThan">
      <formula>SUM(H18,N18,T18,Z18,AF18,AL18,AR18,AX18)</formula>
    </cfRule>
    <cfRule type="cellIs" dxfId="3" priority="257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4" priority="258">
      <formula>AND(ISBLANK(D19),ISBLANK(L19),ISBLANK(R19),ISBLANK(X19),ISBLANK(AD19),ISBLANK(AJ19),ISBLANK(AP19),ISBLANK(AV19),ISBLANK(BB19))</formula>
    </cfRule>
    <cfRule type="expression" dxfId="1" priority="259">
      <formula>IF(SUM(H19,N19,T19,Z19,AF19,AL19,AR19,AX19)=0,1,0)</formula>
    </cfRule>
    <cfRule type="cellIs" dxfId="0" priority="260" operator="greaterThan">
      <formula>SUM(H19,N19,T19,Z19,AF19,AL19,AR19,AX19)</formula>
    </cfRule>
    <cfRule type="cellIs" dxfId="3" priority="261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4" priority="262">
      <formula>AND(ISBLANK(D20),ISBLANK(L20),ISBLANK(R20),ISBLANK(X20),ISBLANK(AD20),ISBLANK(AJ20),ISBLANK(AP20),ISBLANK(AV20),ISBLANK(BB20))</formula>
    </cfRule>
    <cfRule type="expression" dxfId="1" priority="263">
      <formula>IF(SUM(H20,N20,T20,Z20,AF20,AL20,AR20,AX20)=0,1,0)</formula>
    </cfRule>
    <cfRule type="cellIs" dxfId="0" priority="264" operator="greaterThan">
      <formula>SUM(H20,N20,T20,Z20,AF20,AL20,AR20,AX20)</formula>
    </cfRule>
    <cfRule type="cellIs" dxfId="3" priority="265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4" priority="266">
      <formula>AND(ISBLANK(D21),ISBLANK(L21),ISBLANK(R21),ISBLANK(X21),ISBLANK(AD21),ISBLANK(AJ21),ISBLANK(AP21),ISBLANK(AV21),ISBLANK(BB21))</formula>
    </cfRule>
    <cfRule type="expression" dxfId="1" priority="267">
      <formula>IF(SUM(H21,N21,T21,Z21,AF21,AL21,AR21,AX21)=0,1,0)</formula>
    </cfRule>
    <cfRule type="cellIs" dxfId="0" priority="268" operator="greaterThan">
      <formula>SUM(H21,N21,T21,Z21,AF21,AL21,AR21,AX21)</formula>
    </cfRule>
    <cfRule type="cellIs" dxfId="3" priority="269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4" priority="270">
      <formula>AND(ISBLANK(D22),ISBLANK(L22),ISBLANK(R22),ISBLANK(X22),ISBLANK(AD22),ISBLANK(AJ22),ISBLANK(AP22),ISBLANK(AV22),ISBLANK(BB22))</formula>
    </cfRule>
    <cfRule type="expression" dxfId="1" priority="271">
      <formula>IF(SUM(H22,N22,T22,Z22,AF22,AL22,AR22,AX22)=0,1,0)</formula>
    </cfRule>
    <cfRule type="cellIs" dxfId="0" priority="272" operator="greaterThan">
      <formula>SUM(H22,N22,T22,Z22,AF22,AL22,AR22,AX22)</formula>
    </cfRule>
    <cfRule type="cellIs" dxfId="3" priority="273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4" priority="274">
      <formula>AND(ISBLANK(D23),ISBLANK(L23),ISBLANK(R23),ISBLANK(X23),ISBLANK(AD23),ISBLANK(AJ23),ISBLANK(AP23),ISBLANK(AV23),ISBLANK(BB23))</formula>
    </cfRule>
    <cfRule type="expression" dxfId="1" priority="275">
      <formula>IF(SUM(H23,N23,T23,Z23,AF23,AL23,AR23,AX23)=0,1,0)</formula>
    </cfRule>
    <cfRule type="cellIs" dxfId="0" priority="276" operator="greaterThan">
      <formula>SUM(H23,N23,T23,Z23,AF23,AL23,AR23,AX23)</formula>
    </cfRule>
    <cfRule type="cellIs" dxfId="3" priority="277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4" priority="278">
      <formula>AND(ISBLANK(D24),ISBLANK(L24),ISBLANK(R24),ISBLANK(X24),ISBLANK(AD24),ISBLANK(AJ24),ISBLANK(AP24),ISBLANK(AV24),ISBLANK(BB24))</formula>
    </cfRule>
    <cfRule type="expression" dxfId="1" priority="279">
      <formula>IF(SUM(H24,N24,T24,Z24,AF24,AL24,AR24,AX24)=0,1,0)</formula>
    </cfRule>
    <cfRule type="cellIs" dxfId="0" priority="280" operator="greaterThan">
      <formula>SUM(H24,N24,T24,Z24,AF24,AL24,AR24,AX24)</formula>
    </cfRule>
    <cfRule type="cellIs" dxfId="3" priority="281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4" priority="282">
      <formula>AND(ISBLANK(D25),ISBLANK(L25),ISBLANK(R25),ISBLANK(X25),ISBLANK(AD25),ISBLANK(AJ25),ISBLANK(AP25),ISBLANK(AV25),ISBLANK(BB25))</formula>
    </cfRule>
    <cfRule type="expression" dxfId="1" priority="283">
      <formula>IF(SUM(H25,N25,T25,Z25,AF25,AL25,AR25,AX25)=0,1,0)</formula>
    </cfRule>
    <cfRule type="cellIs" dxfId="0" priority="284" operator="greaterThan">
      <formula>SUM(H25,N25,T25,Z25,AF25,AL25,AR25,AX25)</formula>
    </cfRule>
    <cfRule type="cellIs" dxfId="3" priority="285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4" priority="286">
      <formula>AND(ISBLANK(D26),ISBLANK(L26),ISBLANK(R26),ISBLANK(X26),ISBLANK(AD26),ISBLANK(AJ26),ISBLANK(AP26),ISBLANK(AV26),ISBLANK(BB26))</formula>
    </cfRule>
    <cfRule type="expression" dxfId="1" priority="287">
      <formula>IF(SUM(H26,N26,T26,Z26,AF26,AL26,AR26,AX26)=0,1,0)</formula>
    </cfRule>
    <cfRule type="cellIs" dxfId="0" priority="288" operator="greaterThan">
      <formula>SUM(H26,N26,T26,Z26,AF26,AL26,AR26,AX26)</formula>
    </cfRule>
    <cfRule type="cellIs" dxfId="3" priority="289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4" priority="290">
      <formula>AND(ISBLANK(D27),ISBLANK(L27),ISBLANK(R27),ISBLANK(X27),ISBLANK(AD27),ISBLANK(AJ27),ISBLANK(AP27),ISBLANK(AV27),ISBLANK(BB27))</formula>
    </cfRule>
    <cfRule type="expression" dxfId="1" priority="291">
      <formula>IF(SUM(H27,N27,T27,Z27,AF27,AL27,AR27,AX27)=0,1,0)</formula>
    </cfRule>
    <cfRule type="cellIs" dxfId="0" priority="292" operator="greaterThan">
      <formula>SUM(H27,N27,T27,Z27,AF27,AL27,AR27,AX27)</formula>
    </cfRule>
    <cfRule type="cellIs" dxfId="3" priority="293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4" priority="294">
      <formula>AND(ISBLANK(D28),ISBLANK(L28),ISBLANK(R28),ISBLANK(X28),ISBLANK(AD28),ISBLANK(AJ28),ISBLANK(AP28),ISBLANK(AV28),ISBLANK(BB28))</formula>
    </cfRule>
    <cfRule type="expression" dxfId="1" priority="295">
      <formula>IF(SUM(H28,N28,T28,Z28,AF28,AL28,AR28,AX28)=0,1,0)</formula>
    </cfRule>
    <cfRule type="cellIs" dxfId="0" priority="296" operator="greaterThan">
      <formula>SUM(H28,N28,T28,Z28,AF28,AL28,AR28,AX28)</formula>
    </cfRule>
    <cfRule type="cellIs" dxfId="3" priority="297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4" priority="298">
      <formula>AND(ISBLANK(D29),ISBLANK(L29),ISBLANK(R29),ISBLANK(X29),ISBLANK(AD29),ISBLANK(AJ29),ISBLANK(AP29),ISBLANK(AV29),ISBLANK(BB29))</formula>
    </cfRule>
    <cfRule type="expression" dxfId="1" priority="299">
      <formula>IF(SUM(H29,N29,T29,Z29,AF29,AL29,AR29,AX29)=0,1,0)</formula>
    </cfRule>
    <cfRule type="cellIs" dxfId="0" priority="300" operator="greaterThan">
      <formula>SUM(H29,N29,T29,Z29,AF29,AL29,AR29,AX29)</formula>
    </cfRule>
    <cfRule type="cellIs" dxfId="3" priority="301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4" priority="302">
      <formula>AND(ISBLANK(D30),ISBLANK(L30),ISBLANK(R30),ISBLANK(X30),ISBLANK(AD30),ISBLANK(AJ30),ISBLANK(AP30),ISBLANK(AV30),ISBLANK(BB30))</formula>
    </cfRule>
    <cfRule type="expression" dxfId="1" priority="303">
      <formula>IF(SUM(H30,N30,T30,Z30,AF30,AL30,AR30,AX30)=0,1,0)</formula>
    </cfRule>
    <cfRule type="cellIs" dxfId="0" priority="304" operator="greaterThan">
      <formula>SUM(H30,N30,T30,Z30,AF30,AL30,AR30,AX30)</formula>
    </cfRule>
    <cfRule type="cellIs" dxfId="3" priority="305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7">
    <cfRule type="expression" dxfId="4" priority="210">
      <formula>AND(ISBLANK(D7),ISBLANK(L7),ISBLANK(R7),ISBLANK(X7),ISBLANK(AD7),ISBLANK(AJ7),ISBLANK(AP7),ISBLANK(AV7),ISBLANK(BB7))</formula>
    </cfRule>
    <cfRule type="expression" dxfId="1" priority="211">
      <formula>IF(SUM(H7,N7,T7,Z7,AF7,AL7,AR7,AX7)=0,1,0)</formula>
    </cfRule>
    <cfRule type="cellIs" dxfId="0" priority="212" operator="greaterThan">
      <formula>SUM(H7,N7,T7,Z7,AF7,AL7,AR7,AX7)</formula>
    </cfRule>
    <cfRule type="cellIs" dxfId="3" priority="213" operator="greaterThan">
      <formula>SUM(IF(ISNUMBER(J7),I7,0),IF(ISNUMBER(P7),O7,0),IF(ISNUMBER(V7),U7,0),IF(ISNUMBER(AB7),AA7,0),IF(ISNUMBER(AH7),AG7,0),IF(ISNUMBER(AN7),AM7,0),IF(ISNUMBER(AT7),AS7,0),IF(ISNUMBER(AZ7),AY7,0))</formula>
    </cfRule>
  </conditionalFormatting>
  <conditionalFormatting sqref="E8">
    <cfRule type="expression" dxfId="4" priority="214">
      <formula>AND(ISBLANK(D8),ISBLANK(L8),ISBLANK(R8),ISBLANK(X8),ISBLANK(AD8),ISBLANK(AJ8),ISBLANK(AP8),ISBLANK(AV8),ISBLANK(BB8))</formula>
    </cfRule>
    <cfRule type="expression" dxfId="1" priority="215">
      <formula>IF(SUM(H8,N8,T8,Z8,AF8,AL8,AR8,AX8)=0,1,0)</formula>
    </cfRule>
    <cfRule type="cellIs" dxfId="0" priority="216" operator="greaterThan">
      <formula>SUM(H8,N8,T8,Z8,AF8,AL8,AR8,AX8)</formula>
    </cfRule>
    <cfRule type="cellIs" dxfId="3" priority="217" operator="greaterThan">
      <formula>SUM(IF(ISNUMBER(J8),I8,0),IF(ISNUMBER(P8),O8,0),IF(ISNUMBER(V8),U8,0),IF(ISNUMBER(AB8),AA8,0),IF(ISNUMBER(AH8),AG8,0),IF(ISNUMBER(AN8),AM8,0),IF(ISNUMBER(AT8),AS8,0),IF(ISNUMBER(AZ8),AY8,0))</formula>
    </cfRule>
  </conditionalFormatting>
  <conditionalFormatting sqref="E9">
    <cfRule type="expression" dxfId="4" priority="218">
      <formula>AND(ISBLANK(D9),ISBLANK(L9),ISBLANK(R9),ISBLANK(X9),ISBLANK(AD9),ISBLANK(AJ9),ISBLANK(AP9),ISBLANK(AV9),ISBLANK(BB9))</formula>
    </cfRule>
    <cfRule type="expression" dxfId="1" priority="219">
      <formula>IF(SUM(H9,N9,T9,Z9,AF9,AL9,AR9,AX9)=0,1,0)</formula>
    </cfRule>
    <cfRule type="cellIs" dxfId="0" priority="220" operator="greaterThan">
      <formula>SUM(H9,N9,T9,Z9,AF9,AL9,AR9,AX9)</formula>
    </cfRule>
    <cfRule type="cellIs" dxfId="3" priority="221" operator="greaterThan">
      <formula>SUM(IF(ISNUMBER(J9),I9,0),IF(ISNUMBER(P9),O9,0),IF(ISNUMBER(V9),U9,0),IF(ISNUMBER(AB9),AA9,0),IF(ISNUMBER(AH9),AG9,0),IF(ISNUMBER(AN9),AM9,0),IF(ISNUMBER(AT9),AS9,0),IF(ISNUMBER(AZ9),AY9,0))</formula>
    </cfRule>
  </conditionalFormatting>
  <conditionalFormatting sqref="H10">
    <cfRule type="cellIs" dxfId="0" priority="5" operator="lessThan">
      <formula>E10</formula>
    </cfRule>
  </conditionalFormatting>
  <conditionalFormatting sqref="H24">
    <cfRule type="cellIs" dxfId="0" priority="13" operator="lessThan">
      <formula>E24</formula>
    </cfRule>
  </conditionalFormatting>
  <conditionalFormatting sqref="H25">
    <cfRule type="cellIs" dxfId="0" priority="17" operator="lessThan">
      <formula>E25</formula>
    </cfRule>
  </conditionalFormatting>
  <conditionalFormatting sqref="H26">
    <cfRule type="cellIs" dxfId="0" priority="21" operator="lessThan">
      <formula>E26</formula>
    </cfRule>
  </conditionalFormatting>
  <conditionalFormatting sqref="H8">
    <cfRule type="cellIs" dxfId="0" priority="1" operator="lessThan">
      <formula>E8</formula>
    </cfRule>
  </conditionalFormatting>
  <conditionalFormatting sqref="I10">
    <cfRule type="expression" dxfId="3" priority="6">
      <formula>AND(I10&gt;0,MOD(I10,K10)&lt;&gt;0)</formula>
    </cfRule>
    <cfRule type="expression" dxfId="1" priority="7">
      <formula>AND(NOT(ISBLANK(I10)),OR(H10="NonStk",I10&gt;H10))</formula>
    </cfRule>
  </conditionalFormatting>
  <conditionalFormatting sqref="I24">
    <cfRule type="expression" dxfId="1" priority="14">
      <formula>AND(NOT(ISBLANK(I24)),OR(H24="NonStk",I24&gt;H24))</formula>
    </cfRule>
  </conditionalFormatting>
  <conditionalFormatting sqref="I25">
    <cfRule type="expression" dxfId="1" priority="18">
      <formula>AND(NOT(ISBLANK(I25)),OR(H25="NonStk",I25&gt;H25))</formula>
    </cfRule>
  </conditionalFormatting>
  <conditionalFormatting sqref="I26">
    <cfRule type="expression" dxfId="1" priority="22">
      <formula>AND(NOT(ISBLANK(I26)),OR(H26="NonStk",I26&gt;H26))</formula>
    </cfRule>
  </conditionalFormatting>
  <conditionalFormatting sqref="I8">
    <cfRule type="expression" dxfId="1" priority="2">
      <formula>AND(NOT(ISBLANK(I8)),OR(H8="NonStk",I8&gt;H8))</formula>
    </cfRule>
  </conditionalFormatting>
  <conditionalFormatting sqref="J10">
    <cfRule type="cellIs" dxfId="2" priority="9" operator="lessThanOrEqual">
      <formula>F10</formula>
    </cfRule>
    <cfRule type="expression" dxfId="3" priority="10">
      <formula>AND(E10&lt;2000,I10&lt;2000)</formula>
    </cfRule>
  </conditionalFormatting>
  <conditionalFormatting sqref="J24">
    <cfRule type="cellIs" dxfId="2" priority="16" operator="lessThanOrEqual">
      <formula>F24</formula>
    </cfRule>
  </conditionalFormatting>
  <conditionalFormatting sqref="J25">
    <cfRule type="cellIs" dxfId="2" priority="20" operator="lessThanOrEqual">
      <formula>F25</formula>
    </cfRule>
  </conditionalFormatting>
  <conditionalFormatting sqref="J26">
    <cfRule type="cellIs" dxfId="2" priority="24" operator="lessThanOrEqual">
      <formula>F26</formula>
    </cfRule>
  </conditionalFormatting>
  <conditionalFormatting sqref="J8">
    <cfRule type="cellIs" dxfId="2" priority="4" operator="lessThanOrEqual">
      <formula>F8</formula>
    </cfRule>
  </conditionalFormatting>
  <conditionalFormatting sqref="K10">
    <cfRule type="expression" dxfId="3" priority="11">
      <formula>AND(E10&lt;2000,I10&lt;2000)</formula>
    </cfRule>
  </conditionalFormatting>
  <conditionalFormatting sqref="L10">
    <cfRule type="cellIs" dxfId="2" priority="8" operator="lessThanOrEqual">
      <formula>G10</formula>
    </cfRule>
    <cfRule type="expression" dxfId="3" priority="12">
      <formula>AND(E10&lt;2000,I10&lt;2000)</formula>
    </cfRule>
  </conditionalFormatting>
  <conditionalFormatting sqref="L24">
    <cfRule type="cellIs" dxfId="2" priority="15" operator="lessThanOrEqual">
      <formula>G24</formula>
    </cfRule>
  </conditionalFormatting>
  <conditionalFormatting sqref="L25">
    <cfRule type="cellIs" dxfId="2" priority="19" operator="lessThanOrEqual">
      <formula>G25</formula>
    </cfRule>
  </conditionalFormatting>
  <conditionalFormatting sqref="L26">
    <cfRule type="cellIs" dxfId="2" priority="23" operator="lessThanOrEqual">
      <formula>G26</formula>
    </cfRule>
  </conditionalFormatting>
  <conditionalFormatting sqref="L8">
    <cfRule type="cellIs" dxfId="2" priority="3" operator="lessThanOrEqual">
      <formula>G8</formula>
    </cfRule>
  </conditionalFormatting>
  <conditionalFormatting sqref="N10">
    <cfRule type="cellIs" dxfId="0" priority="33" operator="lessThan">
      <formula>E10</formula>
    </cfRule>
  </conditionalFormatting>
  <conditionalFormatting sqref="N13">
    <cfRule type="cellIs" dxfId="0" priority="37" operator="lessThan">
      <formula>E13</formula>
    </cfRule>
  </conditionalFormatting>
  <conditionalFormatting sqref="N14">
    <cfRule type="cellIs" dxfId="0" priority="41" operator="lessThan">
      <formula>E14</formula>
    </cfRule>
  </conditionalFormatting>
  <conditionalFormatting sqref="N18">
    <cfRule type="cellIs" dxfId="0" priority="45" operator="lessThan">
      <formula>E18</formula>
    </cfRule>
  </conditionalFormatting>
  <conditionalFormatting sqref="N24">
    <cfRule type="cellIs" dxfId="0" priority="49" operator="lessThan">
      <formula>E24</formula>
    </cfRule>
  </conditionalFormatting>
  <conditionalFormatting sqref="N25">
    <cfRule type="cellIs" dxfId="0" priority="53" operator="lessThan">
      <formula>E25</formula>
    </cfRule>
  </conditionalFormatting>
  <conditionalFormatting sqref="N26">
    <cfRule type="cellIs" dxfId="0" priority="57" operator="lessThan">
      <formula>E26</formula>
    </cfRule>
  </conditionalFormatting>
  <conditionalFormatting sqref="N27">
    <cfRule type="cellIs" dxfId="0" priority="61" operator="lessThan">
      <formula>E27</formula>
    </cfRule>
  </conditionalFormatting>
  <conditionalFormatting sqref="N29">
    <cfRule type="cellIs" dxfId="0" priority="65" operator="lessThan">
      <formula>E29</formula>
    </cfRule>
  </conditionalFormatting>
  <conditionalFormatting sqref="N30">
    <cfRule type="cellIs" dxfId="0" priority="69" operator="lessThan">
      <formula>E30</formula>
    </cfRule>
  </conditionalFormatting>
  <conditionalFormatting sqref="N7">
    <cfRule type="cellIs" dxfId="0" priority="25" operator="lessThan">
      <formula>E7</formula>
    </cfRule>
  </conditionalFormatting>
  <conditionalFormatting sqref="N8">
    <cfRule type="cellIs" dxfId="0" priority="29" operator="lessThan">
      <formula>E8</formula>
    </cfRule>
  </conditionalFormatting>
  <conditionalFormatting sqref="O10">
    <cfRule type="expression" dxfId="1" priority="34">
      <formula>AND(NOT(ISBLANK(O10)),OR(N10="NonStk",O10&gt;N10))</formula>
    </cfRule>
  </conditionalFormatting>
  <conditionalFormatting sqref="O13">
    <cfRule type="expression" dxfId="1" priority="38">
      <formula>AND(NOT(ISBLANK(O13)),OR(N13="NonStk",O13&gt;N13))</formula>
    </cfRule>
  </conditionalFormatting>
  <conditionalFormatting sqref="O14">
    <cfRule type="expression" dxfId="1" priority="42">
      <formula>AND(NOT(ISBLANK(O14)),OR(N14="NonStk",O14&gt;N14))</formula>
    </cfRule>
  </conditionalFormatting>
  <conditionalFormatting sqref="O18">
    <cfRule type="expression" dxfId="1" priority="46">
      <formula>AND(NOT(ISBLANK(O18)),OR(N18="NonStk",O18&gt;N18))</formula>
    </cfRule>
  </conditionalFormatting>
  <conditionalFormatting sqref="O24">
    <cfRule type="expression" dxfId="1" priority="50">
      <formula>AND(NOT(ISBLANK(O24)),OR(N24="NonStk",O24&gt;N24))</formula>
    </cfRule>
  </conditionalFormatting>
  <conditionalFormatting sqref="O25">
    <cfRule type="expression" dxfId="1" priority="54">
      <formula>AND(NOT(ISBLANK(O25)),OR(N25="NonStk",O25&gt;N25))</formula>
    </cfRule>
  </conditionalFormatting>
  <conditionalFormatting sqref="O26">
    <cfRule type="expression" dxfId="1" priority="58">
      <formula>AND(NOT(ISBLANK(O26)),OR(N26="NonStk",O26&gt;N26))</formula>
    </cfRule>
  </conditionalFormatting>
  <conditionalFormatting sqref="O27">
    <cfRule type="expression" dxfId="1" priority="62">
      <formula>AND(NOT(ISBLANK(O27)),OR(N27="NonStk",O27&gt;N27))</formula>
    </cfRule>
  </conditionalFormatting>
  <conditionalFormatting sqref="O29">
    <cfRule type="expression" dxfId="1" priority="66">
      <formula>AND(NOT(ISBLANK(O29)),OR(N29="NonStk",O29&gt;N29))</formula>
    </cfRule>
  </conditionalFormatting>
  <conditionalFormatting sqref="O30">
    <cfRule type="expression" dxfId="1" priority="70">
      <formula>AND(NOT(ISBLANK(O30)),OR(N30="NonStk",O30&gt;N30))</formula>
    </cfRule>
  </conditionalFormatting>
  <conditionalFormatting sqref="O7">
    <cfRule type="expression" dxfId="1" priority="26">
      <formula>AND(NOT(ISBLANK(O7)),OR(N7="NonStk",O7&gt;N7))</formula>
    </cfRule>
  </conditionalFormatting>
  <conditionalFormatting sqref="O8">
    <cfRule type="expression" dxfId="1" priority="30">
      <formula>AND(NOT(ISBLANK(O8)),OR(N8="NonStk",O8&gt;N8))</formula>
    </cfRule>
  </conditionalFormatting>
  <conditionalFormatting sqref="P10">
    <cfRule type="cellIs" dxfId="2" priority="36" operator="lessThanOrEqual">
      <formula>F10</formula>
    </cfRule>
  </conditionalFormatting>
  <conditionalFormatting sqref="P13">
    <cfRule type="cellIs" dxfId="2" priority="40" operator="lessThanOrEqual">
      <formula>F13</formula>
    </cfRule>
  </conditionalFormatting>
  <conditionalFormatting sqref="P14">
    <cfRule type="cellIs" dxfId="2" priority="44" operator="lessThanOrEqual">
      <formula>F14</formula>
    </cfRule>
  </conditionalFormatting>
  <conditionalFormatting sqref="P18">
    <cfRule type="cellIs" dxfId="2" priority="48" operator="lessThanOrEqual">
      <formula>F18</formula>
    </cfRule>
  </conditionalFormatting>
  <conditionalFormatting sqref="P24">
    <cfRule type="cellIs" dxfId="2" priority="52" operator="lessThanOrEqual">
      <formula>F24</formula>
    </cfRule>
  </conditionalFormatting>
  <conditionalFormatting sqref="P25">
    <cfRule type="cellIs" dxfId="2" priority="56" operator="lessThanOrEqual">
      <formula>F25</formula>
    </cfRule>
  </conditionalFormatting>
  <conditionalFormatting sqref="P26">
    <cfRule type="cellIs" dxfId="2" priority="60" operator="lessThanOrEqual">
      <formula>F26</formula>
    </cfRule>
  </conditionalFormatting>
  <conditionalFormatting sqref="P27">
    <cfRule type="cellIs" dxfId="2" priority="64" operator="lessThanOrEqual">
      <formula>F27</formula>
    </cfRule>
  </conditionalFormatting>
  <conditionalFormatting sqref="P29">
    <cfRule type="cellIs" dxfId="2" priority="68" operator="lessThanOrEqual">
      <formula>F29</formula>
    </cfRule>
  </conditionalFormatting>
  <conditionalFormatting sqref="P30">
    <cfRule type="cellIs" dxfId="2" priority="72" operator="lessThanOrEqual">
      <formula>F30</formula>
    </cfRule>
  </conditionalFormatting>
  <conditionalFormatting sqref="P7">
    <cfRule type="cellIs" dxfId="2" priority="28" operator="lessThanOrEqual">
      <formula>F7</formula>
    </cfRule>
  </conditionalFormatting>
  <conditionalFormatting sqref="P8">
    <cfRule type="cellIs" dxfId="2" priority="32" operator="lessThanOrEqual">
      <formula>F8</formula>
    </cfRule>
  </conditionalFormatting>
  <conditionalFormatting sqref="R10">
    <cfRule type="cellIs" dxfId="2" priority="35" operator="lessThanOrEqual">
      <formula>G10</formula>
    </cfRule>
  </conditionalFormatting>
  <conditionalFormatting sqref="R13">
    <cfRule type="cellIs" dxfId="2" priority="39" operator="lessThanOrEqual">
      <formula>G13</formula>
    </cfRule>
  </conditionalFormatting>
  <conditionalFormatting sqref="R14">
    <cfRule type="cellIs" dxfId="2" priority="43" operator="lessThanOrEqual">
      <formula>G14</formula>
    </cfRule>
  </conditionalFormatting>
  <conditionalFormatting sqref="R18">
    <cfRule type="cellIs" dxfId="2" priority="47" operator="lessThanOrEqual">
      <formula>G18</formula>
    </cfRule>
  </conditionalFormatting>
  <conditionalFormatting sqref="R24">
    <cfRule type="cellIs" dxfId="2" priority="51" operator="lessThanOrEqual">
      <formula>G24</formula>
    </cfRule>
  </conditionalFormatting>
  <conditionalFormatting sqref="R25">
    <cfRule type="cellIs" dxfId="2" priority="55" operator="lessThanOrEqual">
      <formula>G25</formula>
    </cfRule>
  </conditionalFormatting>
  <conditionalFormatting sqref="R26">
    <cfRule type="cellIs" dxfId="2" priority="59" operator="lessThanOrEqual">
      <formula>G26</formula>
    </cfRule>
  </conditionalFormatting>
  <conditionalFormatting sqref="R27">
    <cfRule type="cellIs" dxfId="2" priority="63" operator="lessThanOrEqual">
      <formula>G27</formula>
    </cfRule>
  </conditionalFormatting>
  <conditionalFormatting sqref="R29">
    <cfRule type="cellIs" dxfId="2" priority="67" operator="lessThanOrEqual">
      <formula>G29</formula>
    </cfRule>
  </conditionalFormatting>
  <conditionalFormatting sqref="R30">
    <cfRule type="cellIs" dxfId="2" priority="71" operator="lessThanOrEqual">
      <formula>G30</formula>
    </cfRule>
  </conditionalFormatting>
  <conditionalFormatting sqref="R7">
    <cfRule type="cellIs" dxfId="2" priority="27" operator="lessThanOrEqual">
      <formula>G7</formula>
    </cfRule>
  </conditionalFormatting>
  <conditionalFormatting sqref="R8">
    <cfRule type="cellIs" dxfId="2" priority="31" operator="lessThanOrEqual">
      <formula>G8</formula>
    </cfRule>
  </conditionalFormatting>
  <conditionalFormatting sqref="T10">
    <cfRule type="cellIs" dxfId="0" priority="78" operator="lessThan">
      <formula>E10</formula>
    </cfRule>
  </conditionalFormatting>
  <conditionalFormatting sqref="T18">
    <cfRule type="cellIs" dxfId="0" priority="83" operator="lessThan">
      <formula>E18</formula>
    </cfRule>
  </conditionalFormatting>
  <conditionalFormatting sqref="T24">
    <cfRule type="cellIs" dxfId="0" priority="88" operator="lessThan">
      <formula>E24</formula>
    </cfRule>
  </conditionalFormatting>
  <conditionalFormatting sqref="T30">
    <cfRule type="cellIs" dxfId="0" priority="93" operator="lessThan">
      <formula>E30</formula>
    </cfRule>
  </conditionalFormatting>
  <conditionalFormatting sqref="T8">
    <cfRule type="cellIs" dxfId="0" priority="73" operator="lessThan">
      <formula>E8</formula>
    </cfRule>
  </conditionalFormatting>
  <conditionalFormatting sqref="U10">
    <cfRule type="expression" dxfId="3" priority="79">
      <formula>AND(U10&gt;0,MOD(U10,W10)&lt;&gt;0)</formula>
    </cfRule>
    <cfRule type="expression" dxfId="1" priority="80">
      <formula>AND(NOT(ISBLANK(U10)),OR(T10="NonStk",U10&gt;T10))</formula>
    </cfRule>
  </conditionalFormatting>
  <conditionalFormatting sqref="U18">
    <cfRule type="expression" dxfId="3" priority="84">
      <formula>AND(U18&gt;0,MOD(U18,W18)&lt;&gt;0)</formula>
    </cfRule>
    <cfRule type="expression" dxfId="1" priority="85">
      <formula>AND(NOT(ISBLANK(U18)),OR(T18="NonStk",U18&gt;T18))</formula>
    </cfRule>
  </conditionalFormatting>
  <conditionalFormatting sqref="U24">
    <cfRule type="expression" dxfId="3" priority="89">
      <formula>AND(U24&gt;0,MOD(U24,W24)&lt;&gt;0)</formula>
    </cfRule>
    <cfRule type="expression" dxfId="1" priority="90">
      <formula>AND(NOT(ISBLANK(U24)),OR(T24="NonStk",U24&gt;T24))</formula>
    </cfRule>
  </conditionalFormatting>
  <conditionalFormatting sqref="U30">
    <cfRule type="expression" dxfId="1" priority="94">
      <formula>AND(NOT(ISBLANK(U30)),OR(T30="NonStk",U30&gt;T30))</formula>
    </cfRule>
  </conditionalFormatting>
  <conditionalFormatting sqref="U8">
    <cfRule type="expression" dxfId="3" priority="74">
      <formula>AND(U8&gt;0,MOD(U8,W8)&lt;&gt;0)</formula>
    </cfRule>
    <cfRule type="expression" dxfId="1" priority="75">
      <formula>AND(NOT(ISBLANK(U8)),OR(T8="NonStk",U8&gt;T8))</formula>
    </cfRule>
  </conditionalFormatting>
  <conditionalFormatting sqref="V10">
    <cfRule type="cellIs" dxfId="2" priority="82" operator="lessThanOrEqual">
      <formula>F10</formula>
    </cfRule>
  </conditionalFormatting>
  <conditionalFormatting sqref="V18">
    <cfRule type="cellIs" dxfId="2" priority="87" operator="lessThanOrEqual">
      <formula>F18</formula>
    </cfRule>
  </conditionalFormatting>
  <conditionalFormatting sqref="V24">
    <cfRule type="cellIs" dxfId="2" priority="92" operator="lessThanOrEqual">
      <formula>F24</formula>
    </cfRule>
  </conditionalFormatting>
  <conditionalFormatting sqref="V30">
    <cfRule type="cellIs" dxfId="2" priority="96" operator="lessThanOrEqual">
      <formula>F30</formula>
    </cfRule>
  </conditionalFormatting>
  <conditionalFormatting sqref="V8">
    <cfRule type="cellIs" dxfId="2" priority="77" operator="lessThanOrEqual">
      <formula>F8</formula>
    </cfRule>
  </conditionalFormatting>
  <conditionalFormatting sqref="X10">
    <cfRule type="cellIs" dxfId="2" priority="81" operator="lessThanOrEqual">
      <formula>G10</formula>
    </cfRule>
  </conditionalFormatting>
  <conditionalFormatting sqref="X18">
    <cfRule type="cellIs" dxfId="2" priority="86" operator="lessThanOrEqual">
      <formula>G18</formula>
    </cfRule>
  </conditionalFormatting>
  <conditionalFormatting sqref="X24">
    <cfRule type="cellIs" dxfId="2" priority="91" operator="lessThanOrEqual">
      <formula>G24</formula>
    </cfRule>
  </conditionalFormatting>
  <conditionalFormatting sqref="X30">
    <cfRule type="cellIs" dxfId="2" priority="95" operator="lessThanOrEqual">
      <formula>G30</formula>
    </cfRule>
  </conditionalFormatting>
  <conditionalFormatting sqref="X8">
    <cfRule type="cellIs" dxfId="2" priority="76" operator="lessThanOrEqual">
      <formula>G8</formula>
    </cfRule>
  </conditionalFormatting>
  <conditionalFormatting sqref="Z10">
    <cfRule type="cellIs" dxfId="0" priority="97" operator="lessThan">
      <formula>E10</formula>
    </cfRule>
  </conditionalFormatting>
  <hyperlinks>
    <hyperlink ref="S7" r:id="rId1"/>
    <hyperlink ref="AK7" r:id="rId2"/>
    <hyperlink ref="AQ7" r:id="rId3"/>
    <hyperlink ref="AW7" r:id="rId4"/>
    <hyperlink ref="BC7" r:id="rId5"/>
    <hyperlink ref="M8" r:id="rId6"/>
    <hyperlink ref="S8" r:id="rId7"/>
    <hyperlink ref="Y8" r:id="rId8"/>
    <hyperlink ref="AK8" r:id="rId9"/>
    <hyperlink ref="AQ8" r:id="rId10"/>
    <hyperlink ref="M10" r:id="rId11"/>
    <hyperlink ref="S10" r:id="rId12"/>
    <hyperlink ref="Y10" r:id="rId13"/>
    <hyperlink ref="AE10" r:id="rId14"/>
    <hyperlink ref="AK10" r:id="rId15"/>
    <hyperlink ref="AQ10" r:id="rId16"/>
    <hyperlink ref="AW10" r:id="rId17"/>
    <hyperlink ref="BC10" r:id="rId18"/>
    <hyperlink ref="D13" r:id="rId19"/>
    <hyperlink ref="S13" r:id="rId20"/>
    <hyperlink ref="S14" r:id="rId21"/>
    <hyperlink ref="S18" r:id="rId22"/>
    <hyperlink ref="Y18" r:id="rId23"/>
    <hyperlink ref="AK18" r:id="rId24"/>
    <hyperlink ref="AQ18" r:id="rId25"/>
    <hyperlink ref="AW18" r:id="rId26"/>
    <hyperlink ref="M24" r:id="rId27"/>
    <hyperlink ref="S24" r:id="rId28"/>
    <hyperlink ref="Y24" r:id="rId29"/>
    <hyperlink ref="AK24" r:id="rId30"/>
    <hyperlink ref="AQ24" r:id="rId31"/>
    <hyperlink ref="M25" r:id="rId32"/>
    <hyperlink ref="S25" r:id="rId33"/>
    <hyperlink ref="AK25" r:id="rId34"/>
    <hyperlink ref="AQ25" r:id="rId35"/>
    <hyperlink ref="M26" r:id="rId36"/>
    <hyperlink ref="S26" r:id="rId37"/>
    <hyperlink ref="AK26" r:id="rId38"/>
    <hyperlink ref="AQ26" r:id="rId39"/>
    <hyperlink ref="D27" r:id="rId40"/>
    <hyperlink ref="S27" r:id="rId41"/>
    <hyperlink ref="BC27" r:id="rId42"/>
    <hyperlink ref="D28" r:id="rId43"/>
    <hyperlink ref="AK28" r:id="rId44"/>
    <hyperlink ref="D29" r:id="rId45"/>
    <hyperlink ref="S29" r:id="rId46"/>
    <hyperlink ref="D30" r:id="rId47"/>
    <hyperlink ref="S30" r:id="rId48"/>
    <hyperlink ref="Y30" r:id="rId49"/>
    <hyperlink ref="AK30" r:id="rId50"/>
    <hyperlink ref="AQ30" r:id="rId51"/>
    <hyperlink ref="H32" r:id="rId52"/>
    <hyperlink ref="N32" r:id="rId53"/>
    <hyperlink ref="T32" r:id="rId54"/>
    <hyperlink ref="Z32" r:id="rId55"/>
    <hyperlink ref="AF32" r:id="rId56"/>
    <hyperlink ref="AL32" r:id="rId57"/>
    <hyperlink ref="AR32" r:id="rId58"/>
    <hyperlink ref="AX32" r:id="rId59"/>
  </hyperlinks>
  <pageMargins left="0.7" right="0.7" top="0.75" bottom="0.75" header="0.3" footer="0.3"/>
  <legacyDrawing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eurorack-pmod-pcb</vt:lpstr>
      <vt:lpstr>'eurorack-pmod-pcb'!BoardQty</vt:lpstr>
      <vt:lpstr>'eurorack-pmod-pcb'!PURCHASE_DESCRIPTION</vt:lpstr>
      <vt:lpstr>'eurorack-pmod-pcb'!TotalCost</vt:lpstr>
      <vt:lpstr>'eurorack-pmod-pcb'!USD_GBP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2022-08-14T14:21:28Z</dcterms:created>
  <dcterms:modified xsi:type="dcterms:W3CDTF">2022-08-14T14:21:28Z</dcterms:modified>
</cp:coreProperties>
</file>