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k/Projects/Governance/calcs/"/>
    </mc:Choice>
  </mc:AlternateContent>
  <xr:revisionPtr revIDLastSave="0" documentId="13_ncr:1_{76E4B77C-423B-5A4A-A39C-587EDFDF12BE}" xr6:coauthVersionLast="36" xr6:coauthVersionMax="36" xr10:uidLastSave="{00000000-0000-0000-0000-000000000000}"/>
  <bookViews>
    <workbookView xWindow="740" yWindow="960" windowWidth="27300" windowHeight="16540" activeTab="1" xr2:uid="{7B98E81D-F3CD-D249-8383-AB3D672FCBF1}"/>
  </bookViews>
  <sheets>
    <sheet name="futureValue" sheetId="2" r:id="rId1"/>
    <sheet name="VotesAndRewards" sheetId="1" r:id="rId2"/>
  </sheets>
  <definedNames>
    <definedName name="NOW" localSheetId="0">futureValue!#REF!</definedName>
    <definedName name="NOW">VotesAndRewards!$B$2</definedName>
    <definedName name="SECONDS_PER_DAY" localSheetId="0">futureValue!$B$1</definedName>
    <definedName name="SECONDS_PER_DAY">VotesAndRewards!$B$3</definedName>
    <definedName name="SECONDS_PER_YEAR" localSheetId="0">futureValue!$B$2</definedName>
    <definedName name="SECONDS_PER_YEAR">VotesAndRewards!$B$4</definedName>
    <definedName name="TOTALSUPPLY" localSheetId="0">futureValue!#REF!</definedName>
    <definedName name="TOTALSUPPLY">VotesAndRewards!$B$10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B2" i="2"/>
  <c r="F7" i="2" s="1"/>
  <c r="G7" i="2" s="1"/>
  <c r="C39" i="2"/>
  <c r="C38" i="2"/>
  <c r="C35" i="2"/>
  <c r="C29" i="2"/>
  <c r="C26" i="2"/>
  <c r="C25" i="2"/>
  <c r="C22" i="2"/>
  <c r="C21" i="2"/>
  <c r="C18" i="2"/>
  <c r="C17" i="2"/>
  <c r="F15" i="2"/>
  <c r="G15" i="2" s="1"/>
  <c r="C15" i="2"/>
  <c r="C12" i="2"/>
  <c r="C11" i="2"/>
  <c r="F9" i="2"/>
  <c r="G9" i="2" s="1"/>
  <c r="C13" i="2" l="1"/>
  <c r="C16" i="2"/>
  <c r="C19" i="2"/>
  <c r="C23" i="2"/>
  <c r="C27" i="2"/>
  <c r="C36" i="2"/>
  <c r="C40" i="2"/>
  <c r="F10" i="2"/>
  <c r="G10" i="2" s="1"/>
  <c r="C14" i="2"/>
  <c r="F16" i="2"/>
  <c r="G16" i="2" s="1"/>
  <c r="C20" i="2"/>
  <c r="C24" i="2"/>
  <c r="C28" i="2"/>
  <c r="C37" i="2"/>
  <c r="H15" i="2"/>
  <c r="F8" i="2"/>
  <c r="G8" i="2" s="1"/>
  <c r="F14" i="2"/>
  <c r="G14" i="2" s="1"/>
  <c r="F13" i="2"/>
  <c r="G13" i="2" s="1"/>
  <c r="F12" i="2"/>
  <c r="G12" i="2" s="1"/>
  <c r="F11" i="2"/>
  <c r="G11" i="2" s="1"/>
  <c r="F6" i="2"/>
  <c r="G6" i="2" s="1"/>
  <c r="H7" i="2"/>
  <c r="F5" i="2"/>
  <c r="F20" i="2"/>
  <c r="G20" i="2" s="1"/>
  <c r="F19" i="2"/>
  <c r="G19" i="2" s="1"/>
  <c r="F18" i="2"/>
  <c r="G18" i="2" s="1"/>
  <c r="F17" i="2"/>
  <c r="G17" i="2" s="1"/>
  <c r="C63" i="2"/>
  <c r="C61" i="2"/>
  <c r="C59" i="2"/>
  <c r="C57" i="2"/>
  <c r="C55" i="2"/>
  <c r="C53" i="2"/>
  <c r="C51" i="2"/>
  <c r="C49" i="2"/>
  <c r="C47" i="2"/>
  <c r="C45" i="2"/>
  <c r="C43" i="2"/>
  <c r="C41" i="2"/>
  <c r="C33" i="2"/>
  <c r="C31" i="2"/>
  <c r="F62" i="2"/>
  <c r="G62" i="2" s="1"/>
  <c r="F61" i="2"/>
  <c r="G61" i="2" s="1"/>
  <c r="F60" i="2"/>
  <c r="G60" i="2" s="1"/>
  <c r="F59" i="2"/>
  <c r="G59" i="2" s="1"/>
  <c r="F56" i="2"/>
  <c r="G56" i="2" s="1"/>
  <c r="F55" i="2"/>
  <c r="G55" i="2" s="1"/>
  <c r="F54" i="2"/>
  <c r="G54" i="2" s="1"/>
  <c r="F53" i="2"/>
  <c r="G53" i="2" s="1"/>
  <c r="F50" i="2"/>
  <c r="G50" i="2" s="1"/>
  <c r="F49" i="2"/>
  <c r="G49" i="2" s="1"/>
  <c r="F48" i="2"/>
  <c r="G48" i="2" s="1"/>
  <c r="F47" i="2"/>
  <c r="G47" i="2" s="1"/>
  <c r="F44" i="2"/>
  <c r="G44" i="2" s="1"/>
  <c r="F43" i="2"/>
  <c r="G43" i="2" s="1"/>
  <c r="F42" i="2"/>
  <c r="G42" i="2" s="1"/>
  <c r="F41" i="2"/>
  <c r="G41" i="2" s="1"/>
  <c r="F38" i="2"/>
  <c r="G38" i="2" s="1"/>
  <c r="F37" i="2"/>
  <c r="G37" i="2" s="1"/>
  <c r="F36" i="2"/>
  <c r="G36" i="2" s="1"/>
  <c r="F35" i="2"/>
  <c r="G35" i="2" s="1"/>
  <c r="F32" i="2"/>
  <c r="G32" i="2" s="1"/>
  <c r="F31" i="2"/>
  <c r="G31" i="2" s="1"/>
  <c r="F30" i="2"/>
  <c r="G30" i="2" s="1"/>
  <c r="F29" i="2"/>
  <c r="G29" i="2" s="1"/>
  <c r="F26" i="2"/>
  <c r="G26" i="2" s="1"/>
  <c r="F25" i="2"/>
  <c r="G25" i="2" s="1"/>
  <c r="F24" i="2"/>
  <c r="G24" i="2" s="1"/>
  <c r="F23" i="2"/>
  <c r="G23" i="2" s="1"/>
  <c r="C64" i="2"/>
  <c r="C62" i="2"/>
  <c r="C60" i="2"/>
  <c r="C58" i="2"/>
  <c r="C56" i="2"/>
  <c r="C54" i="2"/>
  <c r="C52" i="2"/>
  <c r="C50" i="2"/>
  <c r="C48" i="2"/>
  <c r="C46" i="2"/>
  <c r="C44" i="2"/>
  <c r="C42" i="2"/>
  <c r="C34" i="2"/>
  <c r="C32" i="2"/>
  <c r="C30" i="2"/>
  <c r="H9" i="2"/>
  <c r="F22" i="2"/>
  <c r="G22" i="2" s="1"/>
  <c r="F27" i="2"/>
  <c r="G27" i="2" s="1"/>
  <c r="F28" i="2"/>
  <c r="G28" i="2" s="1"/>
  <c r="F33" i="2"/>
  <c r="G33" i="2" s="1"/>
  <c r="F34" i="2"/>
  <c r="G34" i="2" s="1"/>
  <c r="F39" i="2"/>
  <c r="G39" i="2" s="1"/>
  <c r="F40" i="2"/>
  <c r="G40" i="2" s="1"/>
  <c r="F45" i="2"/>
  <c r="G45" i="2" s="1"/>
  <c r="F46" i="2"/>
  <c r="G46" i="2" s="1"/>
  <c r="F51" i="2"/>
  <c r="G51" i="2" s="1"/>
  <c r="F52" i="2"/>
  <c r="G52" i="2" s="1"/>
  <c r="F57" i="2"/>
  <c r="G57" i="2" s="1"/>
  <c r="F58" i="2"/>
  <c r="G58" i="2" s="1"/>
  <c r="F63" i="2"/>
  <c r="G63" i="2" s="1"/>
  <c r="F64" i="2"/>
  <c r="G64" i="2" s="1"/>
  <c r="F21" i="2"/>
  <c r="G21" i="2" s="1"/>
  <c r="F80" i="1"/>
  <c r="F81" i="1"/>
  <c r="G81" i="1" s="1"/>
  <c r="F74" i="1"/>
  <c r="G74" i="1"/>
  <c r="F68" i="1"/>
  <c r="G68" i="1" s="1"/>
  <c r="F62" i="1"/>
  <c r="G62" i="1" s="1"/>
  <c r="F56" i="1"/>
  <c r="G56" i="1" s="1"/>
  <c r="C56" i="1"/>
  <c r="F50" i="1"/>
  <c r="G50" i="1" s="1"/>
  <c r="F44" i="1"/>
  <c r="G44" i="1" s="1"/>
  <c r="C44" i="1"/>
  <c r="F38" i="1"/>
  <c r="G38" i="1" s="1"/>
  <c r="C38" i="1"/>
  <c r="F32" i="1"/>
  <c r="C32" i="1"/>
  <c r="F75" i="1"/>
  <c r="F69" i="1"/>
  <c r="F63" i="1"/>
  <c r="F57" i="1"/>
  <c r="F51" i="1"/>
  <c r="F45" i="1"/>
  <c r="F39" i="1"/>
  <c r="F33" i="1"/>
  <c r="F26" i="1"/>
  <c r="F27" i="1"/>
  <c r="H16" i="2" l="1"/>
  <c r="H23" i="2"/>
  <c r="H10" i="2"/>
  <c r="H59" i="2"/>
  <c r="H44" i="2"/>
  <c r="H24" i="2"/>
  <c r="H48" i="2"/>
  <c r="H47" i="2"/>
  <c r="H8" i="2"/>
  <c r="H12" i="2"/>
  <c r="H19" i="2"/>
  <c r="H35" i="2"/>
  <c r="H56" i="2"/>
  <c r="H32" i="2"/>
  <c r="H6" i="2"/>
  <c r="H13" i="2"/>
  <c r="H20" i="2"/>
  <c r="H36" i="2"/>
  <c r="H60" i="2"/>
  <c r="H28" i="2"/>
  <c r="H52" i="2"/>
  <c r="H64" i="2"/>
  <c r="H17" i="2"/>
  <c r="H21" i="2"/>
  <c r="H25" i="2"/>
  <c r="H29" i="2"/>
  <c r="H33" i="2"/>
  <c r="H37" i="2"/>
  <c r="H41" i="2"/>
  <c r="H45" i="2"/>
  <c r="H49" i="2"/>
  <c r="H53" i="2"/>
  <c r="H57" i="2"/>
  <c r="H61" i="2"/>
  <c r="G5" i="2"/>
  <c r="H5" i="2"/>
  <c r="H40" i="2"/>
  <c r="H14" i="2"/>
  <c r="H18" i="2"/>
  <c r="H22" i="2"/>
  <c r="H26" i="2"/>
  <c r="H30" i="2"/>
  <c r="H34" i="2"/>
  <c r="H38" i="2"/>
  <c r="H42" i="2"/>
  <c r="H46" i="2"/>
  <c r="H50" i="2"/>
  <c r="H54" i="2"/>
  <c r="H58" i="2"/>
  <c r="H62" i="2"/>
  <c r="H11" i="2"/>
  <c r="H27" i="2"/>
  <c r="H31" i="2"/>
  <c r="H39" i="2"/>
  <c r="H43" i="2"/>
  <c r="H51" i="2"/>
  <c r="H55" i="2"/>
  <c r="H63" i="2"/>
  <c r="G32" i="1"/>
  <c r="B3" i="1"/>
  <c r="B1" i="1"/>
  <c r="B2" i="1" s="1"/>
  <c r="B10" i="1"/>
  <c r="C41" i="1" l="1"/>
  <c r="C29" i="1"/>
  <c r="C28" i="1"/>
  <c r="C39" i="1"/>
  <c r="C34" i="1"/>
  <c r="C36" i="1"/>
  <c r="C37" i="1"/>
  <c r="C30" i="1"/>
  <c r="C35" i="1"/>
  <c r="C31" i="1"/>
  <c r="C33" i="1"/>
  <c r="D8" i="1"/>
  <c r="G8" i="1" s="1"/>
  <c r="D9" i="1"/>
  <c r="C9" i="1" s="1"/>
  <c r="C43" i="1"/>
  <c r="C42" i="1"/>
  <c r="C53" i="1"/>
  <c r="C52" i="1"/>
  <c r="C55" i="1"/>
  <c r="C57" i="1"/>
  <c r="C54" i="1"/>
  <c r="C40" i="1"/>
  <c r="D7" i="1"/>
  <c r="C45" i="1"/>
  <c r="C8" i="1"/>
  <c r="B4" i="1"/>
  <c r="C81" i="1" l="1"/>
  <c r="H81" i="1"/>
  <c r="C74" i="1"/>
  <c r="H74" i="1" s="1"/>
  <c r="H68" i="1"/>
  <c r="C68" i="1"/>
  <c r="H56" i="1"/>
  <c r="C62" i="1"/>
  <c r="H62" i="1" s="1"/>
  <c r="H44" i="1"/>
  <c r="C50" i="1"/>
  <c r="H50" i="1" s="1"/>
  <c r="H38" i="1"/>
  <c r="H32" i="1"/>
  <c r="C78" i="1"/>
  <c r="G80" i="1"/>
  <c r="F76" i="1"/>
  <c r="G76" i="1" s="1"/>
  <c r="C75" i="1"/>
  <c r="F72" i="1"/>
  <c r="C66" i="1"/>
  <c r="F64" i="1"/>
  <c r="C79" i="1"/>
  <c r="F79" i="1"/>
  <c r="G79" i="1" s="1"/>
  <c r="C71" i="1"/>
  <c r="C70" i="1"/>
  <c r="F71" i="1"/>
  <c r="C67" i="1"/>
  <c r="F67" i="1"/>
  <c r="C80" i="1"/>
  <c r="F78" i="1"/>
  <c r="C72" i="1"/>
  <c r="F70" i="1"/>
  <c r="F66" i="1"/>
  <c r="C77" i="1"/>
  <c r="C76" i="1"/>
  <c r="F77" i="1"/>
  <c r="C73" i="1"/>
  <c r="C65" i="1"/>
  <c r="F65" i="1"/>
  <c r="G26" i="1"/>
  <c r="C69" i="1"/>
  <c r="F73" i="1"/>
  <c r="C64" i="1"/>
  <c r="G9" i="1"/>
  <c r="H9" i="1" s="1"/>
  <c r="D10" i="1"/>
  <c r="G33" i="1"/>
  <c r="F31" i="1"/>
  <c r="G31" i="1" s="1"/>
  <c r="F30" i="1"/>
  <c r="G30" i="1" s="1"/>
  <c r="F29" i="1"/>
  <c r="G29" i="1" s="1"/>
  <c r="F28" i="1"/>
  <c r="G28" i="1" s="1"/>
  <c r="F60" i="1"/>
  <c r="F58" i="1"/>
  <c r="C63" i="1"/>
  <c r="C60" i="1"/>
  <c r="C58" i="1"/>
  <c r="G39" i="1"/>
  <c r="F37" i="1"/>
  <c r="G37" i="1" s="1"/>
  <c r="F36" i="1"/>
  <c r="G36" i="1" s="1"/>
  <c r="F35" i="1"/>
  <c r="G35" i="1" s="1"/>
  <c r="F34" i="1"/>
  <c r="G34" i="1" s="1"/>
  <c r="F61" i="1"/>
  <c r="F59" i="1"/>
  <c r="C61" i="1"/>
  <c r="C59" i="1"/>
  <c r="F53" i="1"/>
  <c r="G57" i="1"/>
  <c r="F52" i="1"/>
  <c r="F55" i="1"/>
  <c r="F54" i="1"/>
  <c r="H57" i="1"/>
  <c r="F42" i="1"/>
  <c r="C47" i="1"/>
  <c r="C46" i="1"/>
  <c r="F48" i="1"/>
  <c r="G48" i="1" s="1"/>
  <c r="F22" i="1"/>
  <c r="G22" i="1" s="1"/>
  <c r="F41" i="1"/>
  <c r="C48" i="1"/>
  <c r="G51" i="1"/>
  <c r="F47" i="1"/>
  <c r="G47" i="1" s="1"/>
  <c r="F25" i="1"/>
  <c r="G25" i="1" s="1"/>
  <c r="F40" i="1"/>
  <c r="G40" i="1" s="1"/>
  <c r="C49" i="1"/>
  <c r="F46" i="1"/>
  <c r="F24" i="1"/>
  <c r="G24" i="1" s="1"/>
  <c r="F43" i="1"/>
  <c r="C51" i="1"/>
  <c r="F49" i="1"/>
  <c r="F23" i="1"/>
  <c r="G23" i="1" s="1"/>
  <c r="C7" i="1"/>
  <c r="G7" i="1"/>
  <c r="H7" i="1" s="1"/>
  <c r="E7" i="1"/>
  <c r="E8" i="1"/>
  <c r="E9" i="1"/>
  <c r="I8" i="1"/>
  <c r="H8" i="1"/>
  <c r="H79" i="1" l="1"/>
  <c r="H30" i="1"/>
  <c r="H76" i="1"/>
  <c r="I9" i="1"/>
  <c r="H73" i="1"/>
  <c r="G73" i="1"/>
  <c r="H65" i="1"/>
  <c r="G65" i="1"/>
  <c r="H75" i="1"/>
  <c r="G75" i="1"/>
  <c r="H67" i="1"/>
  <c r="G67" i="1"/>
  <c r="H69" i="1"/>
  <c r="G69" i="1"/>
  <c r="H66" i="1"/>
  <c r="G66" i="1"/>
  <c r="H78" i="1"/>
  <c r="G78" i="1"/>
  <c r="H71" i="1"/>
  <c r="G71" i="1"/>
  <c r="H72" i="1"/>
  <c r="G72" i="1"/>
  <c r="H80" i="1"/>
  <c r="H77" i="1"/>
  <c r="G77" i="1"/>
  <c r="H70" i="1"/>
  <c r="G70" i="1"/>
  <c r="H64" i="1"/>
  <c r="G64" i="1"/>
  <c r="H26" i="1"/>
  <c r="H39" i="1"/>
  <c r="H36" i="1"/>
  <c r="H29" i="1"/>
  <c r="H31" i="1"/>
  <c r="H34" i="1"/>
  <c r="H28" i="1"/>
  <c r="H33" i="1"/>
  <c r="H61" i="1"/>
  <c r="G61" i="1"/>
  <c r="H58" i="1"/>
  <c r="G58" i="1"/>
  <c r="H35" i="1"/>
  <c r="H60" i="1"/>
  <c r="G60" i="1"/>
  <c r="H24" i="1"/>
  <c r="H59" i="1"/>
  <c r="G59" i="1"/>
  <c r="H63" i="1"/>
  <c r="G63" i="1"/>
  <c r="H37" i="1"/>
  <c r="H23" i="1"/>
  <c r="H48" i="1"/>
  <c r="H25" i="1"/>
  <c r="H27" i="1"/>
  <c r="G27" i="1"/>
  <c r="H52" i="1"/>
  <c r="G52" i="1"/>
  <c r="H45" i="1"/>
  <c r="G45" i="1"/>
  <c r="H43" i="1"/>
  <c r="G43" i="1"/>
  <c r="H55" i="1"/>
  <c r="G55" i="1"/>
  <c r="H49" i="1"/>
  <c r="G49" i="1"/>
  <c r="H41" i="1"/>
  <c r="G41" i="1"/>
  <c r="H42" i="1"/>
  <c r="G42" i="1"/>
  <c r="H22" i="1"/>
  <c r="H40" i="1"/>
  <c r="H46" i="1"/>
  <c r="G46" i="1"/>
  <c r="H54" i="1"/>
  <c r="G54" i="1"/>
  <c r="H53" i="1"/>
  <c r="G53" i="1"/>
  <c r="H51" i="1"/>
  <c r="H47" i="1"/>
  <c r="E10" i="1"/>
  <c r="F10" i="1" s="1"/>
  <c r="I7" i="1"/>
  <c r="I10" i="1" l="1"/>
  <c r="I12" i="1" s="1"/>
  <c r="F7" i="1"/>
  <c r="F9" i="1"/>
  <c r="F8" i="1"/>
  <c r="I13" i="1" l="1"/>
  <c r="I14" i="1"/>
</calcChain>
</file>

<file path=xl/sharedStrings.xml><?xml version="1.0" encoding="utf-8"?>
<sst xmlns="http://schemas.openxmlformats.org/spreadsheetml/2006/main" count="156" uniqueCount="37">
  <si>
    <t>User1</t>
  </si>
  <si>
    <t>User2</t>
  </si>
  <si>
    <t>User3</t>
  </si>
  <si>
    <t>Current date</t>
  </si>
  <si>
    <t>Total/Average</t>
  </si>
  <si>
    <t>OptinoGov Proposal
Vote Weighting</t>
  </si>
  <si>
    <t>.votes</t>
  </si>
  <si>
    <t>.balance</t>
  </si>
  <si>
    <t>.end</t>
  </si>
  <si>
    <t>.end Date</t>
  </si>
  <si>
    <t>block.timestamp</t>
  </si>
  <si>
    <t>SECONDS_PER_DAY</t>
  </si>
  <si>
    <t>SECONDS_PER_YEAR</t>
  </si>
  <si>
    <t>Account</t>
  </si>
  <si>
    <t>weightedEnd</t>
  </si>
  <si>
    <t>weightedDuration</t>
  </si>
  <si>
    <t>weightedEndDate</t>
  </si>
  <si>
    <t>StakingFactory
.weightedEndNumerator</t>
  </si>
  <si>
    <t>.duration</t>
  </si>
  <si>
    <t>Duration in days</t>
  </si>
  <si>
    <t>rate%</t>
  </si>
  <si>
    <t>amount</t>
  </si>
  <si>
    <t>secondsPerPeriod</t>
  </si>
  <si>
    <t>Componding</t>
  </si>
  <si>
    <t>Period in days</t>
  </si>
  <si>
    <t>Term</t>
  </si>
  <si>
    <t>Term in seconds</t>
  </si>
  <si>
    <t>1 year</t>
  </si>
  <si>
    <t>29 days</t>
  </si>
  <si>
    <t>360 days</t>
  </si>
  <si>
    <t>1 day</t>
  </si>
  <si>
    <t>0 day</t>
  </si>
  <si>
    <t>1/2 day</t>
  </si>
  <si>
    <t>10 years</t>
  </si>
  <si>
    <t>100 years</t>
  </si>
  <si>
    <t>1000 years</t>
  </si>
  <si>
    <t>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</si>
</sst>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hh:mm:ss\ dd/mm/yyyy"/>
    <numFmt numFmtId="166" formatCode="0_);\(0\)"/>
    <numFmt numFmtId="167" formatCode="0.00000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0" fontId="0" fillId="0" borderId="0" xfId="2" applyNumberFormat="1" applyFont="1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1" applyNumberFormat="1" applyFont="1"/>
    <xf numFmtId="0" fontId="2" fillId="0" borderId="0" xfId="0" applyFont="1" applyAlignment="1">
      <alignment horizontal="right"/>
    </xf>
    <xf numFmtId="0" fontId="0" fillId="0" borderId="2" xfId="0" applyBorder="1"/>
    <xf numFmtId="10" fontId="0" fillId="0" borderId="2" xfId="2" applyNumberFormat="1" applyFont="1" applyBorder="1"/>
    <xf numFmtId="166" fontId="0" fillId="0" borderId="2" xfId="1" applyNumberFormat="1" applyFont="1" applyBorder="1"/>
    <xf numFmtId="164" fontId="0" fillId="0" borderId="0" xfId="1" applyNumberFormat="1" applyFont="1" applyFill="1"/>
    <xf numFmtId="0" fontId="0" fillId="0" borderId="0" xfId="0" applyFill="1"/>
    <xf numFmtId="43" fontId="0" fillId="0" borderId="0" xfId="1" applyNumberFormat="1" applyFont="1" applyFill="1"/>
    <xf numFmtId="164" fontId="0" fillId="0" borderId="2" xfId="1" applyNumberFormat="1" applyFont="1" applyFill="1" applyBorder="1"/>
    <xf numFmtId="0" fontId="0" fillId="0" borderId="2" xfId="0" applyFill="1" applyBorder="1"/>
    <xf numFmtId="0" fontId="2" fillId="2" borderId="1" xfId="0" applyFont="1" applyFill="1" applyBorder="1" applyAlignment="1">
      <alignment horizontal="right" wrapText="1"/>
    </xf>
    <xf numFmtId="0" fontId="0" fillId="0" borderId="0" xfId="0" applyFont="1"/>
    <xf numFmtId="43" fontId="0" fillId="0" borderId="2" xfId="1" applyNumberFormat="1" applyFont="1" applyFill="1" applyBorder="1"/>
    <xf numFmtId="0" fontId="4" fillId="0" borderId="0" xfId="0" applyFont="1" applyFill="1"/>
    <xf numFmtId="0" fontId="4" fillId="0" borderId="2" xfId="0" applyFont="1" applyFill="1" applyBorder="1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right" wrapText="1"/>
    </xf>
    <xf numFmtId="9" fontId="0" fillId="0" borderId="0" xfId="0" applyNumberFormat="1"/>
    <xf numFmtId="167" fontId="0" fillId="0" borderId="0" xfId="0" applyNumberFormat="1"/>
    <xf numFmtId="0" fontId="0" fillId="2" borderId="1" xfId="0" applyFill="1" applyBorder="1" applyAlignment="1">
      <alignment horizontal="right"/>
    </xf>
    <xf numFmtId="0" fontId="0" fillId="2" borderId="1" xfId="0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A1808-BC89-0140-899A-DE7A93EF4E86}">
  <dimension ref="A1:H64"/>
  <sheetViews>
    <sheetView showGridLines="0" zoomScale="125" workbookViewId="0">
      <selection activeCell="C5" sqref="C5"/>
    </sheetView>
  </sheetViews>
  <sheetFormatPr baseColWidth="10" defaultRowHeight="16" x14ac:dyDescent="0.2"/>
  <cols>
    <col min="1" max="1" width="20.5" bestFit="1" customWidth="1"/>
    <col min="2" max="2" width="19.1640625" bestFit="1" customWidth="1"/>
    <col min="3" max="3" width="14.1640625" bestFit="1" customWidth="1"/>
    <col min="4" max="4" width="12.33203125" customWidth="1"/>
    <col min="5" max="5" width="13" customWidth="1"/>
    <col min="6" max="6" width="17.5" bestFit="1" customWidth="1"/>
    <col min="7" max="7" width="19" customWidth="1"/>
    <col min="8" max="8" width="19.1640625" bestFit="1" customWidth="1"/>
    <col min="9" max="9" width="23.6640625" customWidth="1"/>
  </cols>
  <sheetData>
    <row r="1" spans="1:8" x14ac:dyDescent="0.2">
      <c r="A1" t="s">
        <v>11</v>
      </c>
      <c r="B1" s="4">
        <f>60*60*24</f>
        <v>86400</v>
      </c>
    </row>
    <row r="2" spans="1:8" x14ac:dyDescent="0.2">
      <c r="A2" t="s">
        <v>12</v>
      </c>
      <c r="B2" s="4">
        <f>SECONDS_PER_DAY*365</f>
        <v>31536000</v>
      </c>
    </row>
    <row r="4" spans="1:8" x14ac:dyDescent="0.2">
      <c r="B4" s="23" t="s">
        <v>25</v>
      </c>
      <c r="C4" s="23" t="s">
        <v>26</v>
      </c>
      <c r="D4" s="24" t="s">
        <v>20</v>
      </c>
      <c r="E4" s="24" t="s">
        <v>21</v>
      </c>
      <c r="F4" s="24" t="s">
        <v>22</v>
      </c>
      <c r="G4" s="23" t="s">
        <v>24</v>
      </c>
      <c r="H4" s="23" t="s">
        <v>23</v>
      </c>
    </row>
    <row r="5" spans="1:8" x14ac:dyDescent="0.2">
      <c r="B5" s="2" t="s">
        <v>31</v>
      </c>
      <c r="C5">
        <v>0</v>
      </c>
      <c r="D5" s="21">
        <v>0.1</v>
      </c>
      <c r="E5">
        <v>100</v>
      </c>
      <c r="F5">
        <f>SECONDS_PER_YEAR</f>
        <v>31536000</v>
      </c>
      <c r="G5">
        <f t="shared" ref="G5:G40" si="0">F5/SECONDS_PER_DAY</f>
        <v>365</v>
      </c>
      <c r="H5" s="22">
        <f t="shared" ref="H5:H28" si="1">E5*(1+D5/(SECONDS_PER_YEAR/F5))^(C5/F5)</f>
        <v>100</v>
      </c>
    </row>
    <row r="6" spans="1:8" x14ac:dyDescent="0.2">
      <c r="B6" s="2" t="s">
        <v>31</v>
      </c>
      <c r="C6">
        <v>0</v>
      </c>
      <c r="D6" s="21">
        <v>0.1</v>
      </c>
      <c r="E6">
        <v>100</v>
      </c>
      <c r="F6">
        <f>SECONDS_PER_YEAR/2</f>
        <v>15768000</v>
      </c>
      <c r="G6">
        <f t="shared" si="0"/>
        <v>182.5</v>
      </c>
      <c r="H6" s="22">
        <f t="shared" si="1"/>
        <v>100</v>
      </c>
    </row>
    <row r="7" spans="1:8" x14ac:dyDescent="0.2">
      <c r="B7" s="2" t="s">
        <v>31</v>
      </c>
      <c r="C7">
        <v>0</v>
      </c>
      <c r="D7" s="21">
        <v>0.1</v>
      </c>
      <c r="E7">
        <v>100</v>
      </c>
      <c r="F7">
        <f>SECONDS_PER_YEAR/4</f>
        <v>7884000</v>
      </c>
      <c r="G7">
        <f t="shared" si="0"/>
        <v>91.25</v>
      </c>
      <c r="H7" s="22">
        <f t="shared" si="1"/>
        <v>100</v>
      </c>
    </row>
    <row r="8" spans="1:8" x14ac:dyDescent="0.2">
      <c r="B8" s="2" t="s">
        <v>31</v>
      </c>
      <c r="C8">
        <v>0</v>
      </c>
      <c r="D8" s="21">
        <v>0.1</v>
      </c>
      <c r="E8">
        <v>100</v>
      </c>
      <c r="F8">
        <f>SECONDS_PER_YEAR/12</f>
        <v>2628000</v>
      </c>
      <c r="G8">
        <f t="shared" si="0"/>
        <v>30.416666666666668</v>
      </c>
      <c r="H8" s="22">
        <f t="shared" si="1"/>
        <v>100</v>
      </c>
    </row>
    <row r="9" spans="1:8" x14ac:dyDescent="0.2">
      <c r="B9" s="2" t="s">
        <v>31</v>
      </c>
      <c r="C9">
        <v>0</v>
      </c>
      <c r="D9" s="21">
        <v>0.1</v>
      </c>
      <c r="E9">
        <v>100</v>
      </c>
      <c r="F9">
        <f>SECONDS_PER_DAY*7</f>
        <v>604800</v>
      </c>
      <c r="G9">
        <f t="shared" si="0"/>
        <v>7</v>
      </c>
      <c r="H9" s="22">
        <f t="shared" ref="H9" si="2">E9*(1+D9/(SECONDS_PER_YEAR/F9))^(C9/F9)</f>
        <v>100</v>
      </c>
    </row>
    <row r="10" spans="1:8" x14ac:dyDescent="0.2">
      <c r="B10" s="2" t="s">
        <v>31</v>
      </c>
      <c r="C10">
        <v>0</v>
      </c>
      <c r="D10" s="21">
        <v>0.1</v>
      </c>
      <c r="E10">
        <v>100</v>
      </c>
      <c r="F10">
        <f>SECONDS_PER_DAY</f>
        <v>86400</v>
      </c>
      <c r="G10">
        <f t="shared" si="0"/>
        <v>1</v>
      </c>
      <c r="H10" s="22">
        <f t="shared" si="1"/>
        <v>100</v>
      </c>
    </row>
    <row r="11" spans="1:8" x14ac:dyDescent="0.2">
      <c r="B11" s="2" t="s">
        <v>32</v>
      </c>
      <c r="C11">
        <f t="shared" ref="C11:C16" si="3">SECONDS_PER_DAY/2</f>
        <v>43200</v>
      </c>
      <c r="D11" s="21">
        <v>0.1</v>
      </c>
      <c r="E11">
        <v>100</v>
      </c>
      <c r="F11">
        <f>SECONDS_PER_YEAR</f>
        <v>31536000</v>
      </c>
      <c r="G11">
        <f t="shared" si="0"/>
        <v>365</v>
      </c>
      <c r="H11" s="22">
        <f t="shared" si="1"/>
        <v>100.01305704137174</v>
      </c>
    </row>
    <row r="12" spans="1:8" x14ac:dyDescent="0.2">
      <c r="B12" s="2" t="s">
        <v>32</v>
      </c>
      <c r="C12">
        <f t="shared" si="3"/>
        <v>43200</v>
      </c>
      <c r="D12" s="21">
        <v>0.1</v>
      </c>
      <c r="E12">
        <v>100</v>
      </c>
      <c r="F12">
        <f>SECONDS_PER_YEAR/2</f>
        <v>15768000</v>
      </c>
      <c r="G12">
        <f t="shared" si="0"/>
        <v>182.5</v>
      </c>
      <c r="H12" s="22">
        <f t="shared" si="1"/>
        <v>100.01336806171135</v>
      </c>
    </row>
    <row r="13" spans="1:8" x14ac:dyDescent="0.2">
      <c r="B13" s="2" t="s">
        <v>32</v>
      </c>
      <c r="C13">
        <f t="shared" si="3"/>
        <v>43200</v>
      </c>
      <c r="D13" s="21">
        <v>0.1</v>
      </c>
      <c r="E13">
        <v>100</v>
      </c>
      <c r="F13">
        <f>SECONDS_PER_YEAR/4</f>
        <v>7884000</v>
      </c>
      <c r="G13">
        <f t="shared" si="0"/>
        <v>91.25</v>
      </c>
      <c r="H13" s="22">
        <f t="shared" si="1"/>
        <v>100.01353111405231</v>
      </c>
    </row>
    <row r="14" spans="1:8" x14ac:dyDescent="0.2">
      <c r="B14" s="2" t="s">
        <v>32</v>
      </c>
      <c r="C14">
        <f t="shared" si="3"/>
        <v>43200</v>
      </c>
      <c r="D14" s="21">
        <v>0.1</v>
      </c>
      <c r="E14">
        <v>100</v>
      </c>
      <c r="F14">
        <f>SECONDS_PER_YEAR/12</f>
        <v>2628000</v>
      </c>
      <c r="G14">
        <f t="shared" si="0"/>
        <v>30.416666666666668</v>
      </c>
      <c r="H14" s="22">
        <f t="shared" si="1"/>
        <v>100.01364279818567</v>
      </c>
    </row>
    <row r="15" spans="1:8" x14ac:dyDescent="0.2">
      <c r="B15" s="2" t="s">
        <v>32</v>
      </c>
      <c r="C15">
        <f t="shared" si="3"/>
        <v>43200</v>
      </c>
      <c r="D15" s="21">
        <v>0.1</v>
      </c>
      <c r="E15">
        <v>100</v>
      </c>
      <c r="F15">
        <f>SECONDS_PER_DAY*7</f>
        <v>604800</v>
      </c>
      <c r="G15">
        <f t="shared" si="0"/>
        <v>7</v>
      </c>
      <c r="H15" s="22">
        <f t="shared" ref="H15" si="4">E15*(1+D15/(SECONDS_PER_YEAR/F15))^(C15/F15)</f>
        <v>100.0136864477434</v>
      </c>
    </row>
    <row r="16" spans="1:8" x14ac:dyDescent="0.2">
      <c r="B16" s="2" t="s">
        <v>32</v>
      </c>
      <c r="C16">
        <f t="shared" si="3"/>
        <v>43200</v>
      </c>
      <c r="D16" s="21">
        <v>0.1</v>
      </c>
      <c r="E16">
        <v>100</v>
      </c>
      <c r="F16">
        <f>SECONDS_PER_DAY</f>
        <v>86400</v>
      </c>
      <c r="G16">
        <f t="shared" si="0"/>
        <v>1</v>
      </c>
      <c r="H16" s="22">
        <f t="shared" si="1"/>
        <v>100.01369769200315</v>
      </c>
    </row>
    <row r="17" spans="2:8" x14ac:dyDescent="0.2">
      <c r="B17" s="2" t="s">
        <v>30</v>
      </c>
      <c r="C17">
        <f t="shared" ref="C17:C22" si="5">SECONDS_PER_DAY</f>
        <v>86400</v>
      </c>
      <c r="D17" s="21">
        <v>0.1</v>
      </c>
      <c r="E17">
        <v>100</v>
      </c>
      <c r="F17">
        <f>SECONDS_PER_YEAR</f>
        <v>31536000</v>
      </c>
      <c r="G17">
        <f t="shared" si="0"/>
        <v>365</v>
      </c>
      <c r="H17" s="22">
        <f t="shared" ref="H17:H22" si="6">E17*(1+D17/(SECONDS_PER_YEAR/F17))^(C17/F17)</f>
        <v>100.02611578760678</v>
      </c>
    </row>
    <row r="18" spans="2:8" x14ac:dyDescent="0.2">
      <c r="B18" s="2" t="s">
        <v>30</v>
      </c>
      <c r="C18">
        <f t="shared" si="5"/>
        <v>86400</v>
      </c>
      <c r="D18" s="21">
        <v>0.1</v>
      </c>
      <c r="E18">
        <v>100</v>
      </c>
      <c r="F18">
        <f>SECONDS_PER_YEAR/2</f>
        <v>15768000</v>
      </c>
      <c r="G18">
        <f t="shared" si="0"/>
        <v>182.5</v>
      </c>
      <c r="H18" s="22">
        <f t="shared" si="6"/>
        <v>100.02673791047343</v>
      </c>
    </row>
    <row r="19" spans="2:8" x14ac:dyDescent="0.2">
      <c r="B19" s="2" t="s">
        <v>30</v>
      </c>
      <c r="C19">
        <f t="shared" si="5"/>
        <v>86400</v>
      </c>
      <c r="D19" s="21">
        <v>0.1</v>
      </c>
      <c r="E19">
        <v>100</v>
      </c>
      <c r="F19">
        <f>SECONDS_PER_YEAR/4</f>
        <v>7884000</v>
      </c>
      <c r="G19">
        <f t="shared" si="0"/>
        <v>91.25</v>
      </c>
      <c r="H19" s="22">
        <f t="shared" si="6"/>
        <v>100.02706405901512</v>
      </c>
    </row>
    <row r="20" spans="2:8" x14ac:dyDescent="0.2">
      <c r="B20" s="2" t="s">
        <v>30</v>
      </c>
      <c r="C20">
        <f t="shared" si="5"/>
        <v>86400</v>
      </c>
      <c r="D20" s="21">
        <v>0.1</v>
      </c>
      <c r="E20">
        <v>100</v>
      </c>
      <c r="F20">
        <f>SECONDS_PER_YEAR/12</f>
        <v>2628000</v>
      </c>
      <c r="G20">
        <f t="shared" si="0"/>
        <v>30.416666666666668</v>
      </c>
      <c r="H20" s="22">
        <f t="shared" si="6"/>
        <v>100.02728745763076</v>
      </c>
    </row>
    <row r="21" spans="2:8" x14ac:dyDescent="0.2">
      <c r="B21" s="2" t="s">
        <v>30</v>
      </c>
      <c r="C21">
        <f t="shared" si="5"/>
        <v>86400</v>
      </c>
      <c r="D21" s="21">
        <v>0.1</v>
      </c>
      <c r="E21">
        <v>100</v>
      </c>
      <c r="F21">
        <f>SECONDS_PER_DAY*7</f>
        <v>604800</v>
      </c>
      <c r="G21">
        <f t="shared" si="0"/>
        <v>7</v>
      </c>
      <c r="H21" s="22">
        <f t="shared" ref="H21" si="7">E21*(1+D21/(SECONDS_PER_YEAR/F21))^(C21/F21)</f>
        <v>100.02737476867534</v>
      </c>
    </row>
    <row r="22" spans="2:8" x14ac:dyDescent="0.2">
      <c r="B22" s="2" t="s">
        <v>30</v>
      </c>
      <c r="C22">
        <f t="shared" si="5"/>
        <v>86400</v>
      </c>
      <c r="D22" s="21">
        <v>0.1</v>
      </c>
      <c r="E22">
        <v>100</v>
      </c>
      <c r="F22">
        <f>SECONDS_PER_DAY</f>
        <v>86400</v>
      </c>
      <c r="G22">
        <f t="shared" si="0"/>
        <v>1</v>
      </c>
      <c r="H22" s="22">
        <f t="shared" si="6"/>
        <v>100.02739726027397</v>
      </c>
    </row>
    <row r="23" spans="2:8" x14ac:dyDescent="0.2">
      <c r="B23" s="2" t="s">
        <v>28</v>
      </c>
      <c r="C23">
        <f t="shared" ref="C23:C28" si="8">SECONDS_PER_DAY*29</f>
        <v>2505600</v>
      </c>
      <c r="D23" s="21">
        <v>0.1</v>
      </c>
      <c r="E23">
        <v>100</v>
      </c>
      <c r="F23">
        <f>SECONDS_PER_YEAR</f>
        <v>31536000</v>
      </c>
      <c r="G23">
        <f t="shared" si="0"/>
        <v>365</v>
      </c>
      <c r="H23" s="22">
        <f t="shared" si="1"/>
        <v>100.7601334196257</v>
      </c>
    </row>
    <row r="24" spans="2:8" x14ac:dyDescent="0.2">
      <c r="B24" s="2" t="s">
        <v>28</v>
      </c>
      <c r="C24">
        <f t="shared" si="8"/>
        <v>2505600</v>
      </c>
      <c r="D24" s="21">
        <v>0.1</v>
      </c>
      <c r="E24">
        <v>100</v>
      </c>
      <c r="F24">
        <f>SECONDS_PER_YEAR/2</f>
        <v>15768000</v>
      </c>
      <c r="G24">
        <f t="shared" si="0"/>
        <v>182.5</v>
      </c>
      <c r="H24" s="22">
        <f t="shared" si="1"/>
        <v>100.77830895901336</v>
      </c>
    </row>
    <row r="25" spans="2:8" x14ac:dyDescent="0.2">
      <c r="B25" s="2" t="s">
        <v>28</v>
      </c>
      <c r="C25">
        <f t="shared" si="8"/>
        <v>2505600</v>
      </c>
      <c r="D25" s="21">
        <v>0.1</v>
      </c>
      <c r="E25">
        <v>100</v>
      </c>
      <c r="F25">
        <f>SECONDS_PER_YEAR/4</f>
        <v>7884000</v>
      </c>
      <c r="G25">
        <f t="shared" si="0"/>
        <v>91.25</v>
      </c>
      <c r="H25" s="22">
        <f t="shared" si="1"/>
        <v>100.78783876863824</v>
      </c>
    </row>
    <row r="26" spans="2:8" x14ac:dyDescent="0.2">
      <c r="B26" s="2" t="s">
        <v>28</v>
      </c>
      <c r="C26">
        <f t="shared" si="8"/>
        <v>2505600</v>
      </c>
      <c r="D26" s="21">
        <v>0.1</v>
      </c>
      <c r="E26">
        <v>100</v>
      </c>
      <c r="F26">
        <f>SECONDS_PER_YEAR/12</f>
        <v>2628000</v>
      </c>
      <c r="G26">
        <f t="shared" si="0"/>
        <v>30.416666666666668</v>
      </c>
      <c r="H26" s="22">
        <f t="shared" si="1"/>
        <v>100.79436680651366</v>
      </c>
    </row>
    <row r="27" spans="2:8" x14ac:dyDescent="0.2">
      <c r="B27" s="2" t="s">
        <v>28</v>
      </c>
      <c r="C27">
        <f t="shared" si="8"/>
        <v>2505600</v>
      </c>
      <c r="D27" s="21">
        <v>0.1</v>
      </c>
      <c r="E27">
        <v>100</v>
      </c>
      <c r="F27">
        <f>SECONDS_PER_DAY*7</f>
        <v>604800</v>
      </c>
      <c r="G27">
        <f t="shared" si="0"/>
        <v>7</v>
      </c>
      <c r="H27" s="22">
        <f t="shared" ref="H27" si="9">E27*(1+D27/(SECONDS_PER_YEAR/F27))^(C27/F27)</f>
        <v>100.79691827529183</v>
      </c>
    </row>
    <row r="28" spans="2:8" x14ac:dyDescent="0.2">
      <c r="B28" s="2" t="s">
        <v>28</v>
      </c>
      <c r="C28">
        <f t="shared" si="8"/>
        <v>2505600</v>
      </c>
      <c r="D28" s="21">
        <v>0.1</v>
      </c>
      <c r="E28">
        <v>100</v>
      </c>
      <c r="F28">
        <f>SECONDS_PER_DAY</f>
        <v>86400</v>
      </c>
      <c r="G28">
        <f t="shared" si="0"/>
        <v>1</v>
      </c>
      <c r="H28" s="22">
        <f t="shared" si="1"/>
        <v>100.79757555174385</v>
      </c>
    </row>
    <row r="29" spans="2:8" x14ac:dyDescent="0.2">
      <c r="B29" s="2" t="s">
        <v>36</v>
      </c>
      <c r="C29">
        <f t="shared" ref="C29:C34" si="10">SECONDS_PER_YEAR/2</f>
        <v>15768000</v>
      </c>
      <c r="D29" s="21">
        <v>0.1</v>
      </c>
      <c r="E29">
        <v>100</v>
      </c>
      <c r="F29">
        <f>SECONDS_PER_YEAR</f>
        <v>31536000</v>
      </c>
      <c r="G29">
        <f t="shared" ref="G29:G34" si="11">F29/SECONDS_PER_DAY</f>
        <v>365</v>
      </c>
      <c r="H29" s="22">
        <f t="shared" ref="H29:H34" si="12">E29*(1+D29/(SECONDS_PER_YEAR/F29))^(C29/F29)</f>
        <v>104.88088481701516</v>
      </c>
    </row>
    <row r="30" spans="2:8" x14ac:dyDescent="0.2">
      <c r="B30" s="2" t="s">
        <v>36</v>
      </c>
      <c r="C30">
        <f t="shared" si="10"/>
        <v>15768000</v>
      </c>
      <c r="D30" s="21">
        <v>0.1</v>
      </c>
      <c r="E30">
        <v>100</v>
      </c>
      <c r="F30">
        <f>SECONDS_PER_YEAR/2</f>
        <v>15768000</v>
      </c>
      <c r="G30">
        <f t="shared" si="11"/>
        <v>182.5</v>
      </c>
      <c r="H30" s="22">
        <f t="shared" si="12"/>
        <v>105</v>
      </c>
    </row>
    <row r="31" spans="2:8" x14ac:dyDescent="0.2">
      <c r="B31" s="2" t="s">
        <v>36</v>
      </c>
      <c r="C31">
        <f t="shared" si="10"/>
        <v>15768000</v>
      </c>
      <c r="D31" s="21">
        <v>0.1</v>
      </c>
      <c r="E31">
        <v>100</v>
      </c>
      <c r="F31">
        <f>SECONDS_PER_YEAR/4</f>
        <v>7884000</v>
      </c>
      <c r="G31">
        <f t="shared" si="11"/>
        <v>91.25</v>
      </c>
      <c r="H31" s="22">
        <f t="shared" si="12"/>
        <v>105.06249999999999</v>
      </c>
    </row>
    <row r="32" spans="2:8" x14ac:dyDescent="0.2">
      <c r="B32" s="2" t="s">
        <v>36</v>
      </c>
      <c r="C32">
        <f t="shared" si="10"/>
        <v>15768000</v>
      </c>
      <c r="D32" s="21">
        <v>0.1</v>
      </c>
      <c r="E32">
        <v>100</v>
      </c>
      <c r="F32">
        <f>SECONDS_PER_YEAR/12</f>
        <v>2628000</v>
      </c>
      <c r="G32">
        <f t="shared" si="11"/>
        <v>30.416666666666668</v>
      </c>
      <c r="H32" s="22">
        <f t="shared" si="12"/>
        <v>105.10533133201649</v>
      </c>
    </row>
    <row r="33" spans="2:8" x14ac:dyDescent="0.2">
      <c r="B33" s="2" t="s">
        <v>36</v>
      </c>
      <c r="C33">
        <f t="shared" si="10"/>
        <v>15768000</v>
      </c>
      <c r="D33" s="21">
        <v>0.1</v>
      </c>
      <c r="E33">
        <v>100</v>
      </c>
      <c r="F33">
        <f>SECONDS_PER_DAY*7</f>
        <v>604800</v>
      </c>
      <c r="G33">
        <f t="shared" si="11"/>
        <v>7</v>
      </c>
      <c r="H33" s="22">
        <f t="shared" si="12"/>
        <v>105.12207585226538</v>
      </c>
    </row>
    <row r="34" spans="2:8" x14ac:dyDescent="0.2">
      <c r="B34" s="2" t="s">
        <v>36</v>
      </c>
      <c r="C34">
        <f t="shared" si="10"/>
        <v>15768000</v>
      </c>
      <c r="D34" s="21">
        <v>0.1</v>
      </c>
      <c r="E34">
        <v>100</v>
      </c>
      <c r="F34">
        <f>SECONDS_PER_DAY</f>
        <v>86400</v>
      </c>
      <c r="G34">
        <f t="shared" si="11"/>
        <v>1</v>
      </c>
      <c r="H34" s="22">
        <f t="shared" si="12"/>
        <v>105.12638972285848</v>
      </c>
    </row>
    <row r="35" spans="2:8" x14ac:dyDescent="0.2">
      <c r="B35" s="2" t="s">
        <v>29</v>
      </c>
      <c r="C35">
        <f t="shared" ref="C35:C40" si="13">SECONDS_PER_DAY*360</f>
        <v>31104000</v>
      </c>
      <c r="D35" s="21">
        <v>0.1</v>
      </c>
      <c r="E35">
        <v>100</v>
      </c>
      <c r="F35">
        <f>SECONDS_PER_YEAR</f>
        <v>31536000</v>
      </c>
      <c r="G35">
        <f t="shared" si="0"/>
        <v>365</v>
      </c>
      <c r="H35" s="22">
        <f t="shared" ref="H35:H40" si="14">E35*(1+D35/(SECONDS_PER_YEAR/F35))^(C35/F35)</f>
        <v>109.85647563529261</v>
      </c>
    </row>
    <row r="36" spans="2:8" x14ac:dyDescent="0.2">
      <c r="B36" s="2" t="s">
        <v>29</v>
      </c>
      <c r="C36">
        <f t="shared" si="13"/>
        <v>31104000</v>
      </c>
      <c r="D36" s="21">
        <v>0.1</v>
      </c>
      <c r="E36">
        <v>100</v>
      </c>
      <c r="F36">
        <f>SECONDS_PER_YEAR/2</f>
        <v>15768000</v>
      </c>
      <c r="G36">
        <f t="shared" si="0"/>
        <v>182.5</v>
      </c>
      <c r="H36" s="22">
        <f t="shared" si="14"/>
        <v>110.10272542400305</v>
      </c>
    </row>
    <row r="37" spans="2:8" x14ac:dyDescent="0.2">
      <c r="B37" s="2" t="s">
        <v>29</v>
      </c>
      <c r="C37">
        <f t="shared" si="13"/>
        <v>31104000</v>
      </c>
      <c r="D37" s="21">
        <v>0.1</v>
      </c>
      <c r="E37">
        <v>100</v>
      </c>
      <c r="F37">
        <f>SECONDS_PER_YEAR/4</f>
        <v>7884000</v>
      </c>
      <c r="G37">
        <f t="shared" si="0"/>
        <v>91.25</v>
      </c>
      <c r="H37" s="22">
        <f t="shared" si="14"/>
        <v>110.23204197525232</v>
      </c>
    </row>
    <row r="38" spans="2:8" x14ac:dyDescent="0.2">
      <c r="B38" s="2" t="s">
        <v>29</v>
      </c>
      <c r="C38">
        <f t="shared" si="13"/>
        <v>31104000</v>
      </c>
      <c r="D38" s="21">
        <v>0.1</v>
      </c>
      <c r="E38">
        <v>100</v>
      </c>
      <c r="F38">
        <f>SECONDS_PER_YEAR/12</f>
        <v>2628000</v>
      </c>
      <c r="G38">
        <f t="shared" si="0"/>
        <v>30.416666666666668</v>
      </c>
      <c r="H38" s="22">
        <f t="shared" si="14"/>
        <v>110.3207059967898</v>
      </c>
    </row>
    <row r="39" spans="2:8" x14ac:dyDescent="0.2">
      <c r="B39" s="2" t="s">
        <v>29</v>
      </c>
      <c r="C39">
        <f t="shared" si="13"/>
        <v>31104000</v>
      </c>
      <c r="D39" s="21">
        <v>0.1</v>
      </c>
      <c r="E39">
        <v>100</v>
      </c>
      <c r="F39">
        <f>SECONDS_PER_DAY*7</f>
        <v>604800</v>
      </c>
      <c r="G39">
        <f t="shared" si="0"/>
        <v>7</v>
      </c>
      <c r="H39" s="22">
        <f t="shared" ref="H39" si="15">E39*(1+D39/(SECONDS_PER_YEAR/F39))^(C39/F39)</f>
        <v>110.35537794719572</v>
      </c>
    </row>
    <row r="40" spans="2:8" x14ac:dyDescent="0.2">
      <c r="B40" s="2" t="s">
        <v>29</v>
      </c>
      <c r="C40">
        <f t="shared" si="13"/>
        <v>31104000</v>
      </c>
      <c r="D40" s="21">
        <v>0.1</v>
      </c>
      <c r="E40">
        <v>100</v>
      </c>
      <c r="F40">
        <f>SECONDS_PER_DAY</f>
        <v>86400</v>
      </c>
      <c r="G40">
        <f t="shared" si="0"/>
        <v>1</v>
      </c>
      <c r="H40" s="22">
        <f t="shared" si="14"/>
        <v>110.3643113102859</v>
      </c>
    </row>
    <row r="41" spans="2:8" x14ac:dyDescent="0.2">
      <c r="B41" s="2" t="s">
        <v>27</v>
      </c>
      <c r="C41">
        <f t="shared" ref="C41:C46" si="16">SECONDS_PER_YEAR</f>
        <v>31536000</v>
      </c>
      <c r="D41" s="21">
        <v>0.1</v>
      </c>
      <c r="E41">
        <v>100</v>
      </c>
      <c r="F41">
        <f>SECONDS_PER_YEAR</f>
        <v>31536000</v>
      </c>
      <c r="G41">
        <f t="shared" ref="G41:G64" si="17">F41/SECONDS_PER_DAY</f>
        <v>365</v>
      </c>
      <c r="H41" s="22">
        <f t="shared" ref="H41:H46" si="18">E41*(1+D41/(SECONDS_PER_YEAR/F41))^(C41/F41)</f>
        <v>110.00000000000001</v>
      </c>
    </row>
    <row r="42" spans="2:8" x14ac:dyDescent="0.2">
      <c r="B42" s="2" t="s">
        <v>27</v>
      </c>
      <c r="C42">
        <f t="shared" si="16"/>
        <v>31536000</v>
      </c>
      <c r="D42" s="21">
        <v>0.1</v>
      </c>
      <c r="E42">
        <v>100</v>
      </c>
      <c r="F42">
        <f>SECONDS_PER_YEAR/2</f>
        <v>15768000</v>
      </c>
      <c r="G42">
        <f t="shared" si="17"/>
        <v>182.5</v>
      </c>
      <c r="H42" s="22">
        <f t="shared" si="18"/>
        <v>110.25</v>
      </c>
    </row>
    <row r="43" spans="2:8" x14ac:dyDescent="0.2">
      <c r="B43" s="2" t="s">
        <v>27</v>
      </c>
      <c r="C43">
        <f t="shared" si="16"/>
        <v>31536000</v>
      </c>
      <c r="D43" s="21">
        <v>0.1</v>
      </c>
      <c r="E43">
        <v>100</v>
      </c>
      <c r="F43">
        <f>SECONDS_PER_YEAR/4</f>
        <v>7884000</v>
      </c>
      <c r="G43">
        <f t="shared" si="17"/>
        <v>91.25</v>
      </c>
      <c r="H43" s="22">
        <f t="shared" si="18"/>
        <v>110.38128906249997</v>
      </c>
    </row>
    <row r="44" spans="2:8" x14ac:dyDescent="0.2">
      <c r="B44" s="2" t="s">
        <v>27</v>
      </c>
      <c r="C44">
        <f t="shared" si="16"/>
        <v>31536000</v>
      </c>
      <c r="D44" s="21">
        <v>0.1</v>
      </c>
      <c r="E44">
        <v>100</v>
      </c>
      <c r="F44">
        <f>SECONDS_PER_YEAR/12</f>
        <v>2628000</v>
      </c>
      <c r="G44">
        <f t="shared" si="17"/>
        <v>30.416666666666668</v>
      </c>
      <c r="H44" s="22">
        <f t="shared" si="18"/>
        <v>110.47130674412968</v>
      </c>
    </row>
    <row r="45" spans="2:8" x14ac:dyDescent="0.2">
      <c r="B45" s="2" t="s">
        <v>27</v>
      </c>
      <c r="C45">
        <f t="shared" si="16"/>
        <v>31536000</v>
      </c>
      <c r="D45" s="21">
        <v>0.1</v>
      </c>
      <c r="E45">
        <v>100</v>
      </c>
      <c r="F45">
        <f>SECONDS_PER_DAY*7</f>
        <v>604800</v>
      </c>
      <c r="G45">
        <f t="shared" si="17"/>
        <v>7</v>
      </c>
      <c r="H45" s="22">
        <f t="shared" ref="H45" si="19">E45*(1+D45/(SECONDS_PER_YEAR/F45))^(C45/F45)</f>
        <v>110.50650831489438</v>
      </c>
    </row>
    <row r="46" spans="2:8" x14ac:dyDescent="0.2">
      <c r="B46" s="2" t="s">
        <v>27</v>
      </c>
      <c r="C46">
        <f t="shared" si="16"/>
        <v>31536000</v>
      </c>
      <c r="D46" s="21">
        <v>0.1</v>
      </c>
      <c r="E46">
        <v>100</v>
      </c>
      <c r="F46">
        <f>SECONDS_PER_DAY</f>
        <v>86400</v>
      </c>
      <c r="G46">
        <f t="shared" si="17"/>
        <v>1</v>
      </c>
      <c r="H46" s="22">
        <f t="shared" si="18"/>
        <v>110.51557816162271</v>
      </c>
    </row>
    <row r="47" spans="2:8" x14ac:dyDescent="0.2">
      <c r="B47" s="2" t="s">
        <v>33</v>
      </c>
      <c r="C47">
        <f t="shared" ref="C47:C52" si="20">SECONDS_PER_YEAR*10</f>
        <v>315360000</v>
      </c>
      <c r="D47" s="21">
        <v>0.1</v>
      </c>
      <c r="E47">
        <v>100</v>
      </c>
      <c r="F47">
        <f>SECONDS_PER_YEAR</f>
        <v>31536000</v>
      </c>
      <c r="G47">
        <f t="shared" si="17"/>
        <v>365</v>
      </c>
      <c r="H47" s="22">
        <f t="shared" ref="H47:H52" si="21">E47*(1+D47/(SECONDS_PER_YEAR/F47))^(C47/F47)</f>
        <v>259.37424601000021</v>
      </c>
    </row>
    <row r="48" spans="2:8" x14ac:dyDescent="0.2">
      <c r="B48" s="2" t="s">
        <v>33</v>
      </c>
      <c r="C48">
        <f t="shared" si="20"/>
        <v>315360000</v>
      </c>
      <c r="D48" s="21">
        <v>0.1</v>
      </c>
      <c r="E48">
        <v>100</v>
      </c>
      <c r="F48">
        <f>SECONDS_PER_YEAR/2</f>
        <v>15768000</v>
      </c>
      <c r="G48">
        <f t="shared" si="17"/>
        <v>182.5</v>
      </c>
      <c r="H48" s="22">
        <f t="shared" si="21"/>
        <v>265.32977051444209</v>
      </c>
    </row>
    <row r="49" spans="2:8" x14ac:dyDescent="0.2">
      <c r="B49" s="2" t="s">
        <v>33</v>
      </c>
      <c r="C49">
        <f t="shared" si="20"/>
        <v>315360000</v>
      </c>
      <c r="D49" s="21">
        <v>0.1</v>
      </c>
      <c r="E49">
        <v>100</v>
      </c>
      <c r="F49">
        <f>SECONDS_PER_YEAR/4</f>
        <v>7884000</v>
      </c>
      <c r="G49">
        <f t="shared" si="17"/>
        <v>91.25</v>
      </c>
      <c r="H49" s="22">
        <f t="shared" si="21"/>
        <v>268.50638383899673</v>
      </c>
    </row>
    <row r="50" spans="2:8" x14ac:dyDescent="0.2">
      <c r="B50" s="2" t="s">
        <v>33</v>
      </c>
      <c r="C50">
        <f t="shared" si="20"/>
        <v>315360000</v>
      </c>
      <c r="D50" s="21">
        <v>0.1</v>
      </c>
      <c r="E50">
        <v>100</v>
      </c>
      <c r="F50">
        <f>SECONDS_PER_YEAR/12</f>
        <v>2628000</v>
      </c>
      <c r="G50">
        <f t="shared" si="17"/>
        <v>30.416666666666668</v>
      </c>
      <c r="H50" s="22">
        <f t="shared" si="21"/>
        <v>270.70414908622411</v>
      </c>
    </row>
    <row r="51" spans="2:8" x14ac:dyDescent="0.2">
      <c r="B51" s="2" t="s">
        <v>33</v>
      </c>
      <c r="C51">
        <f t="shared" si="20"/>
        <v>315360000</v>
      </c>
      <c r="D51" s="21">
        <v>0.1</v>
      </c>
      <c r="E51">
        <v>100</v>
      </c>
      <c r="F51">
        <f>SECONDS_PER_DAY*7</f>
        <v>604800</v>
      </c>
      <c r="G51">
        <f t="shared" si="17"/>
        <v>7</v>
      </c>
      <c r="H51" s="22">
        <f t="shared" ref="H51" si="22">E51*(1+D51/(SECONDS_PER_YEAR/F51))^(C51/F51)</f>
        <v>271.56798307986793</v>
      </c>
    </row>
    <row r="52" spans="2:8" x14ac:dyDescent="0.2">
      <c r="B52" s="2" t="s">
        <v>33</v>
      </c>
      <c r="C52">
        <f t="shared" si="20"/>
        <v>315360000</v>
      </c>
      <c r="D52" s="21">
        <v>0.1</v>
      </c>
      <c r="E52">
        <v>100</v>
      </c>
      <c r="F52">
        <f>SECONDS_PER_DAY</f>
        <v>86400</v>
      </c>
      <c r="G52">
        <f t="shared" si="17"/>
        <v>1</v>
      </c>
      <c r="H52" s="22">
        <f t="shared" si="21"/>
        <v>271.79095545768331</v>
      </c>
    </row>
    <row r="53" spans="2:8" x14ac:dyDescent="0.2">
      <c r="B53" s="2" t="s">
        <v>34</v>
      </c>
      <c r="C53">
        <f t="shared" ref="C53:C58" si="23">SECONDS_PER_YEAR*100</f>
        <v>3153600000</v>
      </c>
      <c r="D53" s="21">
        <v>0.1</v>
      </c>
      <c r="E53">
        <v>100</v>
      </c>
      <c r="F53">
        <f>SECONDS_PER_YEAR</f>
        <v>31536000</v>
      </c>
      <c r="G53">
        <f t="shared" si="17"/>
        <v>365</v>
      </c>
      <c r="H53" s="22">
        <f t="shared" ref="H53:H58" si="24">E53*(1+D53/(SECONDS_PER_YEAR/F53))^(C53/F53)</f>
        <v>1378061.2339822364</v>
      </c>
    </row>
    <row r="54" spans="2:8" x14ac:dyDescent="0.2">
      <c r="B54" s="2" t="s">
        <v>34</v>
      </c>
      <c r="C54">
        <f t="shared" si="23"/>
        <v>3153600000</v>
      </c>
      <c r="D54" s="21">
        <v>0.1</v>
      </c>
      <c r="E54">
        <v>100</v>
      </c>
      <c r="F54">
        <f>SECONDS_PER_YEAR/2</f>
        <v>15768000</v>
      </c>
      <c r="G54">
        <f t="shared" si="17"/>
        <v>182.5</v>
      </c>
      <c r="H54" s="22">
        <f t="shared" si="24"/>
        <v>1729258.0815160037</v>
      </c>
    </row>
    <row r="55" spans="2:8" x14ac:dyDescent="0.2">
      <c r="B55" s="2" t="s">
        <v>34</v>
      </c>
      <c r="C55">
        <f t="shared" si="23"/>
        <v>3153600000</v>
      </c>
      <c r="D55" s="21">
        <v>0.1</v>
      </c>
      <c r="E55">
        <v>100</v>
      </c>
      <c r="F55">
        <f>SECONDS_PER_YEAR/4</f>
        <v>7884000</v>
      </c>
      <c r="G55">
        <f t="shared" si="17"/>
        <v>91.25</v>
      </c>
      <c r="H55" s="22">
        <f t="shared" si="24"/>
        <v>1947808.0514961616</v>
      </c>
    </row>
    <row r="56" spans="2:8" x14ac:dyDescent="0.2">
      <c r="B56" s="2" t="s">
        <v>34</v>
      </c>
      <c r="C56">
        <f t="shared" si="23"/>
        <v>3153600000</v>
      </c>
      <c r="D56" s="21">
        <v>0.1</v>
      </c>
      <c r="E56">
        <v>100</v>
      </c>
      <c r="F56">
        <f>SECONDS_PER_YEAR/12</f>
        <v>2628000</v>
      </c>
      <c r="G56">
        <f t="shared" si="17"/>
        <v>30.416666666666668</v>
      </c>
      <c r="H56" s="22">
        <f t="shared" si="24"/>
        <v>2113241.4600168322</v>
      </c>
    </row>
    <row r="57" spans="2:8" x14ac:dyDescent="0.2">
      <c r="B57" s="2" t="s">
        <v>34</v>
      </c>
      <c r="C57">
        <f t="shared" si="23"/>
        <v>3153600000</v>
      </c>
      <c r="D57" s="21">
        <v>0.1</v>
      </c>
      <c r="E57">
        <v>100</v>
      </c>
      <c r="F57">
        <f>SECONDS_PER_DAY*7</f>
        <v>604800</v>
      </c>
      <c r="G57">
        <f t="shared" si="17"/>
        <v>7</v>
      </c>
      <c r="H57" s="22">
        <f t="shared" ref="H57" si="25">E57*(1+D57/(SECONDS_PER_YEAR/F57))^(C57/F57)</f>
        <v>2181652.9627617672</v>
      </c>
    </row>
    <row r="58" spans="2:8" x14ac:dyDescent="0.2">
      <c r="B58" s="2" t="s">
        <v>34</v>
      </c>
      <c r="C58">
        <f t="shared" si="23"/>
        <v>3153600000</v>
      </c>
      <c r="D58" s="21">
        <v>0.1</v>
      </c>
      <c r="E58">
        <v>100</v>
      </c>
      <c r="F58">
        <f>SECONDS_PER_DAY</f>
        <v>86400</v>
      </c>
      <c r="G58">
        <f t="shared" si="17"/>
        <v>1</v>
      </c>
      <c r="H58" s="22">
        <f t="shared" si="24"/>
        <v>2199631.8713507117</v>
      </c>
    </row>
    <row r="59" spans="2:8" x14ac:dyDescent="0.2">
      <c r="B59" s="2" t="s">
        <v>35</v>
      </c>
      <c r="C59">
        <f t="shared" ref="C59:C64" si="26">SECONDS_PER_YEAR*1000</f>
        <v>31536000000</v>
      </c>
      <c r="D59" s="21">
        <v>0.01</v>
      </c>
      <c r="E59">
        <v>100</v>
      </c>
      <c r="F59">
        <f>SECONDS_PER_YEAR</f>
        <v>31536000</v>
      </c>
      <c r="G59">
        <f t="shared" si="17"/>
        <v>365</v>
      </c>
      <c r="H59" s="22">
        <f t="shared" ref="H59:H63" si="27">E59*(1+D59/(SECONDS_PER_YEAR/F59))^(C59/F59)</f>
        <v>2095915.5637813902</v>
      </c>
    </row>
    <row r="60" spans="2:8" x14ac:dyDescent="0.2">
      <c r="B60" s="2" t="s">
        <v>35</v>
      </c>
      <c r="C60">
        <f t="shared" si="26"/>
        <v>31536000000</v>
      </c>
      <c r="D60" s="21">
        <v>0.01</v>
      </c>
      <c r="E60">
        <v>100</v>
      </c>
      <c r="F60">
        <f>SECONDS_PER_YEAR/2</f>
        <v>15768000</v>
      </c>
      <c r="G60">
        <f t="shared" si="17"/>
        <v>182.5</v>
      </c>
      <c r="H60" s="22">
        <f t="shared" si="27"/>
        <v>2148441.4023281098</v>
      </c>
    </row>
    <row r="61" spans="2:8" x14ac:dyDescent="0.2">
      <c r="B61" s="2" t="s">
        <v>35</v>
      </c>
      <c r="C61">
        <f t="shared" si="26"/>
        <v>31536000000</v>
      </c>
      <c r="D61" s="21">
        <v>0.01</v>
      </c>
      <c r="E61">
        <v>100</v>
      </c>
      <c r="F61">
        <f>SECONDS_PER_YEAR/4</f>
        <v>7884000</v>
      </c>
      <c r="G61">
        <f t="shared" si="17"/>
        <v>91.25</v>
      </c>
      <c r="H61" s="22">
        <f t="shared" si="27"/>
        <v>2175330.0983310048</v>
      </c>
    </row>
    <row r="62" spans="2:8" x14ac:dyDescent="0.2">
      <c r="B62" s="2" t="s">
        <v>35</v>
      </c>
      <c r="C62">
        <f t="shared" si="26"/>
        <v>31536000000</v>
      </c>
      <c r="D62" s="21">
        <v>0.01</v>
      </c>
      <c r="E62">
        <v>100</v>
      </c>
      <c r="F62">
        <f>SECONDS_PER_YEAR/12</f>
        <v>2628000</v>
      </c>
      <c r="G62">
        <f t="shared" si="17"/>
        <v>30.416666666666668</v>
      </c>
      <c r="H62" s="22">
        <f t="shared" si="27"/>
        <v>2193493.0534173725</v>
      </c>
    </row>
    <row r="63" spans="2:8" x14ac:dyDescent="0.2">
      <c r="B63" s="2" t="s">
        <v>35</v>
      </c>
      <c r="C63">
        <f t="shared" si="26"/>
        <v>31536000000</v>
      </c>
      <c r="D63" s="21">
        <v>0.01</v>
      </c>
      <c r="E63">
        <v>100</v>
      </c>
      <c r="F63">
        <f>SECONDS_PER_DAY*7</f>
        <v>604800</v>
      </c>
      <c r="G63">
        <f t="shared" si="17"/>
        <v>7</v>
      </c>
      <c r="H63" s="22">
        <f t="shared" si="27"/>
        <v>2200535.734713464</v>
      </c>
    </row>
    <row r="64" spans="2:8" x14ac:dyDescent="0.2">
      <c r="B64" s="2" t="s">
        <v>35</v>
      </c>
      <c r="C64">
        <f t="shared" si="26"/>
        <v>31536000000</v>
      </c>
      <c r="D64" s="21">
        <v>0.01</v>
      </c>
      <c r="E64">
        <v>100</v>
      </c>
      <c r="F64">
        <f>SECONDS_PER_DAY</f>
        <v>86400</v>
      </c>
      <c r="G64">
        <f t="shared" si="17"/>
        <v>1</v>
      </c>
      <c r="H64" s="22">
        <f t="shared" ref="H64" si="28">E64*(1+D64/(SECONDS_PER_YEAR/F64))^(C64/F64)</f>
        <v>2202344.8732570675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30253-9537-F644-AA53-33F854E839F9}">
  <dimension ref="A1:I81"/>
  <sheetViews>
    <sheetView showGridLines="0" tabSelected="1" zoomScale="125" workbookViewId="0">
      <selection activeCell="F67" sqref="F67"/>
    </sheetView>
  </sheetViews>
  <sheetFormatPr baseColWidth="10" defaultRowHeight="16" x14ac:dyDescent="0.2"/>
  <cols>
    <col min="1" max="1" width="20.5" bestFit="1" customWidth="1"/>
    <col min="2" max="2" width="19.1640625" bestFit="1" customWidth="1"/>
    <col min="3" max="3" width="14.1640625" bestFit="1" customWidth="1"/>
    <col min="4" max="4" width="12.33203125" customWidth="1"/>
    <col min="5" max="5" width="13" customWidth="1"/>
    <col min="6" max="6" width="17.5" bestFit="1" customWidth="1"/>
    <col min="7" max="7" width="19" customWidth="1"/>
    <col min="8" max="8" width="19.1640625" bestFit="1" customWidth="1"/>
    <col min="9" max="9" width="23.6640625" customWidth="1"/>
  </cols>
  <sheetData>
    <row r="1" spans="1:9" x14ac:dyDescent="0.2">
      <c r="A1" t="s">
        <v>3</v>
      </c>
      <c r="B1" s="3">
        <f ca="1">NOW()</f>
        <v>44137.80309976852</v>
      </c>
    </row>
    <row r="2" spans="1:9" x14ac:dyDescent="0.2">
      <c r="A2" s="15" t="s">
        <v>10</v>
      </c>
      <c r="B2" s="4">
        <f ca="1">ROUND((B1-DATE(1970,1,1))*86400,0)</f>
        <v>1604344588</v>
      </c>
    </row>
    <row r="3" spans="1:9" x14ac:dyDescent="0.2">
      <c r="A3" t="s">
        <v>11</v>
      </c>
      <c r="B3" s="4">
        <f>60*60*24</f>
        <v>86400</v>
      </c>
    </row>
    <row r="4" spans="1:9" x14ac:dyDescent="0.2">
      <c r="A4" t="s">
        <v>12</v>
      </c>
      <c r="B4" s="4">
        <f>SECONDS_PER_DAY*365</f>
        <v>31536000</v>
      </c>
    </row>
    <row r="6" spans="1:9" ht="51" x14ac:dyDescent="0.2">
      <c r="A6" s="19" t="s">
        <v>13</v>
      </c>
      <c r="B6" s="14" t="s">
        <v>7</v>
      </c>
      <c r="C6" s="20" t="s">
        <v>19</v>
      </c>
      <c r="D6" s="14" t="s">
        <v>18</v>
      </c>
      <c r="E6" s="14" t="s">
        <v>6</v>
      </c>
      <c r="F6" s="14" t="s">
        <v>5</v>
      </c>
      <c r="G6" s="14" t="s">
        <v>8</v>
      </c>
      <c r="H6" s="14" t="s">
        <v>9</v>
      </c>
      <c r="I6" s="14" t="s">
        <v>17</v>
      </c>
    </row>
    <row r="7" spans="1:9" x14ac:dyDescent="0.2">
      <c r="A7" t="s">
        <v>0</v>
      </c>
      <c r="B7" s="9">
        <v>1000</v>
      </c>
      <c r="C7" s="17">
        <f>D7/SECONDS_PER_DAY</f>
        <v>1</v>
      </c>
      <c r="D7" s="10">
        <f>SECONDS_PER_DAY*1</f>
        <v>86400</v>
      </c>
      <c r="E7" s="11">
        <f>D7*B7/SECONDS_PER_YEAR</f>
        <v>2.7397260273972601</v>
      </c>
      <c r="F7" s="1">
        <f>E7/E$10</f>
        <v>7.1428571428571425E-2</v>
      </c>
      <c r="G7" s="4">
        <f ca="1">NOW+D7</f>
        <v>1604430988</v>
      </c>
      <c r="H7" s="3">
        <f ca="1">G7/86400+DATE(1970,1,1)</f>
        <v>44138.803101851852</v>
      </c>
      <c r="I7" s="4">
        <f ca="1">G7*B7</f>
        <v>1604430988000</v>
      </c>
    </row>
    <row r="8" spans="1:9" x14ac:dyDescent="0.2">
      <c r="A8" t="s">
        <v>1</v>
      </c>
      <c r="B8" s="9">
        <v>2000</v>
      </c>
      <c r="C8" s="17">
        <f>D8/SECONDS_PER_DAY</f>
        <v>2</v>
      </c>
      <c r="D8" s="10">
        <f>SECONDS_PER_DAY*2</f>
        <v>172800</v>
      </c>
      <c r="E8" s="11">
        <f>D8*B8/SECONDS_PER_YEAR</f>
        <v>10.95890410958904</v>
      </c>
      <c r="F8" s="1">
        <f t="shared" ref="F8:F10" si="0">E8/E$10</f>
        <v>0.2857142857142857</v>
      </c>
      <c r="G8" s="4">
        <f ca="1">NOW+D8</f>
        <v>1604517388</v>
      </c>
      <c r="H8" s="3">
        <f t="shared" ref="H8:H9" ca="1" si="1">G8/86400+DATE(1970,1,1)</f>
        <v>44139.803101851852</v>
      </c>
      <c r="I8" s="4">
        <f ca="1">G8*B8</f>
        <v>3209034776000</v>
      </c>
    </row>
    <row r="9" spans="1:9" x14ac:dyDescent="0.2">
      <c r="A9" t="s">
        <v>2</v>
      </c>
      <c r="B9" s="9">
        <v>3000</v>
      </c>
      <c r="C9" s="17">
        <f>D9/SECONDS_PER_DAY</f>
        <v>3</v>
      </c>
      <c r="D9" s="10">
        <f>SECONDS_PER_DAY*3</f>
        <v>259200</v>
      </c>
      <c r="E9" s="11">
        <f>D9*B9/SECONDS_PER_YEAR</f>
        <v>24.657534246575342</v>
      </c>
      <c r="F9" s="1">
        <f t="shared" si="0"/>
        <v>0.6428571428571429</v>
      </c>
      <c r="G9" s="4">
        <f ca="1">NOW+D9</f>
        <v>1604603788</v>
      </c>
      <c r="H9" s="3">
        <f t="shared" ca="1" si="1"/>
        <v>44140.803101851852</v>
      </c>
      <c r="I9" s="4">
        <f ca="1">G9*B9</f>
        <v>4813811364000</v>
      </c>
    </row>
    <row r="10" spans="1:9" x14ac:dyDescent="0.2">
      <c r="A10" s="6" t="s">
        <v>4</v>
      </c>
      <c r="B10" s="12">
        <f>SUM(B7:B9)</f>
        <v>6000</v>
      </c>
      <c r="C10" s="18"/>
      <c r="D10" s="13">
        <f>AVERAGE(D7:D9)</f>
        <v>172800</v>
      </c>
      <c r="E10" s="16">
        <f>SUM(E7:E9)</f>
        <v>38.356164383561641</v>
      </c>
      <c r="F10" s="7">
        <f t="shared" si="0"/>
        <v>1</v>
      </c>
      <c r="G10" s="6"/>
      <c r="H10" s="6"/>
      <c r="I10" s="8">
        <f ca="1">SUM(I7:I9)</f>
        <v>9627277128000</v>
      </c>
    </row>
    <row r="12" spans="1:9" x14ac:dyDescent="0.2">
      <c r="H12" s="5" t="s">
        <v>14</v>
      </c>
      <c r="I12">
        <f ca="1">I10/TOTALSUPPLY</f>
        <v>1604546188</v>
      </c>
    </row>
    <row r="13" spans="1:9" x14ac:dyDescent="0.2">
      <c r="H13" s="5" t="s">
        <v>15</v>
      </c>
      <c r="I13">
        <f ca="1">I12-NOW</f>
        <v>201600</v>
      </c>
    </row>
    <row r="14" spans="1:9" x14ac:dyDescent="0.2">
      <c r="H14" s="5" t="s">
        <v>16</v>
      </c>
      <c r="I14" s="3">
        <f ca="1">I12/86400+DATE(1970,1,1)</f>
        <v>44140.136435185181</v>
      </c>
    </row>
    <row r="21" spans="2:8" x14ac:dyDescent="0.2">
      <c r="B21" s="23" t="s">
        <v>25</v>
      </c>
      <c r="C21" s="23" t="s">
        <v>26</v>
      </c>
      <c r="D21" s="24" t="s">
        <v>20</v>
      </c>
      <c r="E21" s="24" t="s">
        <v>21</v>
      </c>
      <c r="F21" s="24" t="s">
        <v>22</v>
      </c>
      <c r="G21" s="23" t="s">
        <v>24</v>
      </c>
      <c r="H21" s="23" t="s">
        <v>23</v>
      </c>
    </row>
    <row r="22" spans="2:8" x14ac:dyDescent="0.2">
      <c r="B22" s="2" t="s">
        <v>31</v>
      </c>
      <c r="C22">
        <v>0</v>
      </c>
      <c r="D22" s="21">
        <v>0.1</v>
      </c>
      <c r="E22">
        <v>100</v>
      </c>
      <c r="F22">
        <f>SECONDS_PER_YEAR</f>
        <v>31536000</v>
      </c>
      <c r="G22">
        <f t="shared" ref="G22:G57" si="2">F22/SECONDS_PER_DAY</f>
        <v>365</v>
      </c>
      <c r="H22" s="22">
        <f t="shared" ref="H22:H45" si="3">E22*(1+D22/(SECONDS_PER_YEAR/F22))^(C22/F22)</f>
        <v>100</v>
      </c>
    </row>
    <row r="23" spans="2:8" x14ac:dyDescent="0.2">
      <c r="B23" s="2" t="s">
        <v>31</v>
      </c>
      <c r="C23">
        <v>0</v>
      </c>
      <c r="D23" s="21">
        <v>0.1</v>
      </c>
      <c r="E23">
        <v>100</v>
      </c>
      <c r="F23">
        <f>SECONDS_PER_YEAR/2</f>
        <v>15768000</v>
      </c>
      <c r="G23">
        <f t="shared" si="2"/>
        <v>182.5</v>
      </c>
      <c r="H23" s="22">
        <f t="shared" si="3"/>
        <v>100</v>
      </c>
    </row>
    <row r="24" spans="2:8" x14ac:dyDescent="0.2">
      <c r="B24" s="2" t="s">
        <v>31</v>
      </c>
      <c r="C24">
        <v>0</v>
      </c>
      <c r="D24" s="21">
        <v>0.1</v>
      </c>
      <c r="E24">
        <v>100</v>
      </c>
      <c r="F24">
        <f>SECONDS_PER_YEAR/4</f>
        <v>7884000</v>
      </c>
      <c r="G24">
        <f t="shared" si="2"/>
        <v>91.25</v>
      </c>
      <c r="H24" s="22">
        <f t="shared" si="3"/>
        <v>100</v>
      </c>
    </row>
    <row r="25" spans="2:8" x14ac:dyDescent="0.2">
      <c r="B25" s="2" t="s">
        <v>31</v>
      </c>
      <c r="C25">
        <v>0</v>
      </c>
      <c r="D25" s="21">
        <v>0.1</v>
      </c>
      <c r="E25">
        <v>100</v>
      </c>
      <c r="F25">
        <f>SECONDS_PER_YEAR/12</f>
        <v>2628000</v>
      </c>
      <c r="G25">
        <f t="shared" si="2"/>
        <v>30.416666666666668</v>
      </c>
      <c r="H25" s="22">
        <f t="shared" si="3"/>
        <v>100</v>
      </c>
    </row>
    <row r="26" spans="2:8" x14ac:dyDescent="0.2">
      <c r="B26" s="2" t="s">
        <v>31</v>
      </c>
      <c r="C26">
        <v>0</v>
      </c>
      <c r="D26" s="21">
        <v>0.1</v>
      </c>
      <c r="E26">
        <v>100</v>
      </c>
      <c r="F26">
        <f>SECONDS_PER_DAY*7</f>
        <v>604800</v>
      </c>
      <c r="G26">
        <f t="shared" si="2"/>
        <v>7</v>
      </c>
      <c r="H26" s="22">
        <f t="shared" ref="H26" si="4">E26*(1+D26/(SECONDS_PER_YEAR/F26))^(C26/F26)</f>
        <v>100</v>
      </c>
    </row>
    <row r="27" spans="2:8" x14ac:dyDescent="0.2">
      <c r="B27" s="2" t="s">
        <v>31</v>
      </c>
      <c r="C27">
        <v>0</v>
      </c>
      <c r="D27" s="21">
        <v>0.1</v>
      </c>
      <c r="E27">
        <v>100</v>
      </c>
      <c r="F27">
        <f>SECONDS_PER_DAY</f>
        <v>86400</v>
      </c>
      <c r="G27">
        <f t="shared" si="2"/>
        <v>1</v>
      </c>
      <c r="H27" s="22">
        <f t="shared" si="3"/>
        <v>100</v>
      </c>
    </row>
    <row r="28" spans="2:8" x14ac:dyDescent="0.2">
      <c r="B28" s="2" t="s">
        <v>32</v>
      </c>
      <c r="C28">
        <f t="shared" ref="C28:C33" si="5">SECONDS_PER_DAY/2</f>
        <v>43200</v>
      </c>
      <c r="D28" s="21">
        <v>0.1</v>
      </c>
      <c r="E28">
        <v>100</v>
      </c>
      <c r="F28">
        <f>SECONDS_PER_YEAR</f>
        <v>31536000</v>
      </c>
      <c r="G28">
        <f t="shared" si="2"/>
        <v>365</v>
      </c>
      <c r="H28" s="22">
        <f t="shared" si="3"/>
        <v>100.01305704137174</v>
      </c>
    </row>
    <row r="29" spans="2:8" x14ac:dyDescent="0.2">
      <c r="B29" s="2" t="s">
        <v>32</v>
      </c>
      <c r="C29">
        <f t="shared" si="5"/>
        <v>43200</v>
      </c>
      <c r="D29" s="21">
        <v>0.1</v>
      </c>
      <c r="E29">
        <v>100</v>
      </c>
      <c r="F29">
        <f>SECONDS_PER_YEAR/2</f>
        <v>15768000</v>
      </c>
      <c r="G29">
        <f t="shared" si="2"/>
        <v>182.5</v>
      </c>
      <c r="H29" s="22">
        <f t="shared" si="3"/>
        <v>100.01336806171135</v>
      </c>
    </row>
    <row r="30" spans="2:8" x14ac:dyDescent="0.2">
      <c r="B30" s="2" t="s">
        <v>32</v>
      </c>
      <c r="C30">
        <f t="shared" si="5"/>
        <v>43200</v>
      </c>
      <c r="D30" s="21">
        <v>0.1</v>
      </c>
      <c r="E30">
        <v>100</v>
      </c>
      <c r="F30">
        <f>SECONDS_PER_YEAR/4</f>
        <v>7884000</v>
      </c>
      <c r="G30">
        <f t="shared" si="2"/>
        <v>91.25</v>
      </c>
      <c r="H30" s="22">
        <f t="shared" si="3"/>
        <v>100.01353111405231</v>
      </c>
    </row>
    <row r="31" spans="2:8" x14ac:dyDescent="0.2">
      <c r="B31" s="2" t="s">
        <v>32</v>
      </c>
      <c r="C31">
        <f t="shared" si="5"/>
        <v>43200</v>
      </c>
      <c r="D31" s="21">
        <v>0.1</v>
      </c>
      <c r="E31">
        <v>100</v>
      </c>
      <c r="F31">
        <f>SECONDS_PER_YEAR/12</f>
        <v>2628000</v>
      </c>
      <c r="G31">
        <f t="shared" si="2"/>
        <v>30.416666666666668</v>
      </c>
      <c r="H31" s="22">
        <f t="shared" si="3"/>
        <v>100.01364279818567</v>
      </c>
    </row>
    <row r="32" spans="2:8" x14ac:dyDescent="0.2">
      <c r="B32" s="2" t="s">
        <v>32</v>
      </c>
      <c r="C32">
        <f t="shared" si="5"/>
        <v>43200</v>
      </c>
      <c r="D32" s="21">
        <v>0.1</v>
      </c>
      <c r="E32">
        <v>100</v>
      </c>
      <c r="F32">
        <f>SECONDS_PER_DAY*7</f>
        <v>604800</v>
      </c>
      <c r="G32">
        <f t="shared" si="2"/>
        <v>7</v>
      </c>
      <c r="H32" s="22">
        <f t="shared" ref="H32" si="6">E32*(1+D32/(SECONDS_PER_YEAR/F32))^(C32/F32)</f>
        <v>100.0136864477434</v>
      </c>
    </row>
    <row r="33" spans="2:8" x14ac:dyDescent="0.2">
      <c r="B33" s="2" t="s">
        <v>32</v>
      </c>
      <c r="C33">
        <f t="shared" si="5"/>
        <v>43200</v>
      </c>
      <c r="D33" s="21">
        <v>0.1</v>
      </c>
      <c r="E33">
        <v>100</v>
      </c>
      <c r="F33">
        <f>SECONDS_PER_DAY</f>
        <v>86400</v>
      </c>
      <c r="G33">
        <f t="shared" si="2"/>
        <v>1</v>
      </c>
      <c r="H33" s="22">
        <f t="shared" si="3"/>
        <v>100.01369769200315</v>
      </c>
    </row>
    <row r="34" spans="2:8" x14ac:dyDescent="0.2">
      <c r="B34" s="2" t="s">
        <v>30</v>
      </c>
      <c r="C34">
        <f t="shared" ref="C34:C39" si="7">SECONDS_PER_DAY</f>
        <v>86400</v>
      </c>
      <c r="D34" s="21">
        <v>0.1</v>
      </c>
      <c r="E34">
        <v>100</v>
      </c>
      <c r="F34">
        <f>SECONDS_PER_YEAR</f>
        <v>31536000</v>
      </c>
      <c r="G34">
        <f t="shared" si="2"/>
        <v>365</v>
      </c>
      <c r="H34" s="22">
        <f t="shared" ref="H34:H39" si="8">E34*(1+D34/(SECONDS_PER_YEAR/F34))^(C34/F34)</f>
        <v>100.02611578760678</v>
      </c>
    </row>
    <row r="35" spans="2:8" x14ac:dyDescent="0.2">
      <c r="B35" s="2" t="s">
        <v>30</v>
      </c>
      <c r="C35">
        <f t="shared" si="7"/>
        <v>86400</v>
      </c>
      <c r="D35" s="21">
        <v>0.1</v>
      </c>
      <c r="E35">
        <v>100</v>
      </c>
      <c r="F35">
        <f>SECONDS_PER_YEAR/2</f>
        <v>15768000</v>
      </c>
      <c r="G35">
        <f t="shared" si="2"/>
        <v>182.5</v>
      </c>
      <c r="H35" s="22">
        <f t="shared" si="8"/>
        <v>100.02673791047343</v>
      </c>
    </row>
    <row r="36" spans="2:8" x14ac:dyDescent="0.2">
      <c r="B36" s="2" t="s">
        <v>30</v>
      </c>
      <c r="C36">
        <f t="shared" si="7"/>
        <v>86400</v>
      </c>
      <c r="D36" s="21">
        <v>0.1</v>
      </c>
      <c r="E36">
        <v>100</v>
      </c>
      <c r="F36">
        <f>SECONDS_PER_YEAR/4</f>
        <v>7884000</v>
      </c>
      <c r="G36">
        <f t="shared" si="2"/>
        <v>91.25</v>
      </c>
      <c r="H36" s="22">
        <f t="shared" si="8"/>
        <v>100.02706405901512</v>
      </c>
    </row>
    <row r="37" spans="2:8" x14ac:dyDescent="0.2">
      <c r="B37" s="2" t="s">
        <v>30</v>
      </c>
      <c r="C37">
        <f t="shared" si="7"/>
        <v>86400</v>
      </c>
      <c r="D37" s="21">
        <v>0.1</v>
      </c>
      <c r="E37">
        <v>100</v>
      </c>
      <c r="F37">
        <f>SECONDS_PER_YEAR/12</f>
        <v>2628000</v>
      </c>
      <c r="G37">
        <f t="shared" si="2"/>
        <v>30.416666666666668</v>
      </c>
      <c r="H37" s="22">
        <f t="shared" si="8"/>
        <v>100.02728745763076</v>
      </c>
    </row>
    <row r="38" spans="2:8" x14ac:dyDescent="0.2">
      <c r="B38" s="2" t="s">
        <v>30</v>
      </c>
      <c r="C38">
        <f t="shared" si="7"/>
        <v>86400</v>
      </c>
      <c r="D38" s="21">
        <v>0.1</v>
      </c>
      <c r="E38">
        <v>100</v>
      </c>
      <c r="F38">
        <f>SECONDS_PER_DAY*7</f>
        <v>604800</v>
      </c>
      <c r="G38">
        <f t="shared" si="2"/>
        <v>7</v>
      </c>
      <c r="H38" s="22">
        <f t="shared" ref="H38" si="9">E38*(1+D38/(SECONDS_PER_YEAR/F38))^(C38/F38)</f>
        <v>100.02737476867534</v>
      </c>
    </row>
    <row r="39" spans="2:8" x14ac:dyDescent="0.2">
      <c r="B39" s="2" t="s">
        <v>30</v>
      </c>
      <c r="C39">
        <f t="shared" si="7"/>
        <v>86400</v>
      </c>
      <c r="D39" s="21">
        <v>0.1</v>
      </c>
      <c r="E39">
        <v>100</v>
      </c>
      <c r="F39">
        <f>SECONDS_PER_DAY</f>
        <v>86400</v>
      </c>
      <c r="G39">
        <f t="shared" si="2"/>
        <v>1</v>
      </c>
      <c r="H39" s="22">
        <f t="shared" si="8"/>
        <v>100.02739726027397</v>
      </c>
    </row>
    <row r="40" spans="2:8" x14ac:dyDescent="0.2">
      <c r="B40" s="2" t="s">
        <v>28</v>
      </c>
      <c r="C40">
        <f t="shared" ref="C40:C45" si="10">SECONDS_PER_DAY*29</f>
        <v>2505600</v>
      </c>
      <c r="D40" s="21">
        <v>0.1</v>
      </c>
      <c r="E40">
        <v>100</v>
      </c>
      <c r="F40">
        <f>SECONDS_PER_YEAR</f>
        <v>31536000</v>
      </c>
      <c r="G40">
        <f t="shared" si="2"/>
        <v>365</v>
      </c>
      <c r="H40" s="22">
        <f t="shared" si="3"/>
        <v>100.7601334196257</v>
      </c>
    </row>
    <row r="41" spans="2:8" x14ac:dyDescent="0.2">
      <c r="B41" s="2" t="s">
        <v>28</v>
      </c>
      <c r="C41">
        <f t="shared" si="10"/>
        <v>2505600</v>
      </c>
      <c r="D41" s="21">
        <v>0.1</v>
      </c>
      <c r="E41">
        <v>100</v>
      </c>
      <c r="F41">
        <f>SECONDS_PER_YEAR/2</f>
        <v>15768000</v>
      </c>
      <c r="G41">
        <f t="shared" si="2"/>
        <v>182.5</v>
      </c>
      <c r="H41" s="22">
        <f t="shared" si="3"/>
        <v>100.77830895901336</v>
      </c>
    </row>
    <row r="42" spans="2:8" x14ac:dyDescent="0.2">
      <c r="B42" s="2" t="s">
        <v>28</v>
      </c>
      <c r="C42">
        <f t="shared" si="10"/>
        <v>2505600</v>
      </c>
      <c r="D42" s="21">
        <v>0.1</v>
      </c>
      <c r="E42">
        <v>100</v>
      </c>
      <c r="F42">
        <f>SECONDS_PER_YEAR/4</f>
        <v>7884000</v>
      </c>
      <c r="G42">
        <f t="shared" si="2"/>
        <v>91.25</v>
      </c>
      <c r="H42" s="22">
        <f t="shared" si="3"/>
        <v>100.78783876863824</v>
      </c>
    </row>
    <row r="43" spans="2:8" x14ac:dyDescent="0.2">
      <c r="B43" s="2" t="s">
        <v>28</v>
      </c>
      <c r="C43">
        <f t="shared" si="10"/>
        <v>2505600</v>
      </c>
      <c r="D43" s="21">
        <v>0.1</v>
      </c>
      <c r="E43">
        <v>100</v>
      </c>
      <c r="F43">
        <f>SECONDS_PER_YEAR/12</f>
        <v>2628000</v>
      </c>
      <c r="G43">
        <f t="shared" si="2"/>
        <v>30.416666666666668</v>
      </c>
      <c r="H43" s="22">
        <f t="shared" si="3"/>
        <v>100.79436680651366</v>
      </c>
    </row>
    <row r="44" spans="2:8" x14ac:dyDescent="0.2">
      <c r="B44" s="2" t="s">
        <v>28</v>
      </c>
      <c r="C44">
        <f t="shared" si="10"/>
        <v>2505600</v>
      </c>
      <c r="D44" s="21">
        <v>0.1</v>
      </c>
      <c r="E44">
        <v>100</v>
      </c>
      <c r="F44">
        <f>SECONDS_PER_DAY*7</f>
        <v>604800</v>
      </c>
      <c r="G44">
        <f t="shared" si="2"/>
        <v>7</v>
      </c>
      <c r="H44" s="22">
        <f t="shared" ref="H44" si="11">E44*(1+D44/(SECONDS_PER_YEAR/F44))^(C44/F44)</f>
        <v>100.79691827529183</v>
      </c>
    </row>
    <row r="45" spans="2:8" x14ac:dyDescent="0.2">
      <c r="B45" s="2" t="s">
        <v>28</v>
      </c>
      <c r="C45">
        <f t="shared" si="10"/>
        <v>2505600</v>
      </c>
      <c r="D45" s="21">
        <v>0.1</v>
      </c>
      <c r="E45">
        <v>100</v>
      </c>
      <c r="F45">
        <f>SECONDS_PER_DAY</f>
        <v>86400</v>
      </c>
      <c r="G45">
        <f t="shared" si="2"/>
        <v>1</v>
      </c>
      <c r="H45" s="22">
        <f t="shared" si="3"/>
        <v>100.79757555174385</v>
      </c>
    </row>
    <row r="46" spans="2:8" x14ac:dyDescent="0.2">
      <c r="B46" s="2" t="s">
        <v>36</v>
      </c>
      <c r="C46">
        <f t="shared" ref="C46:C51" si="12">SECONDS_PER_YEAR/2</f>
        <v>15768000</v>
      </c>
      <c r="D46" s="21">
        <v>0.1</v>
      </c>
      <c r="E46">
        <v>100</v>
      </c>
      <c r="F46">
        <f>SECONDS_PER_YEAR</f>
        <v>31536000</v>
      </c>
      <c r="G46">
        <f t="shared" ref="G46:G51" si="13">F46/SECONDS_PER_DAY</f>
        <v>365</v>
      </c>
      <c r="H46" s="22">
        <f t="shared" ref="H46:H51" si="14">E46*(1+D46/(SECONDS_PER_YEAR/F46))^(C46/F46)</f>
        <v>104.88088481701516</v>
      </c>
    </row>
    <row r="47" spans="2:8" x14ac:dyDescent="0.2">
      <c r="B47" s="2" t="s">
        <v>36</v>
      </c>
      <c r="C47">
        <f t="shared" si="12"/>
        <v>15768000</v>
      </c>
      <c r="D47" s="21">
        <v>0.1</v>
      </c>
      <c r="E47">
        <v>100</v>
      </c>
      <c r="F47">
        <f>SECONDS_PER_YEAR/2</f>
        <v>15768000</v>
      </c>
      <c r="G47">
        <f t="shared" si="13"/>
        <v>182.5</v>
      </c>
      <c r="H47" s="22">
        <f t="shared" si="14"/>
        <v>105</v>
      </c>
    </row>
    <row r="48" spans="2:8" x14ac:dyDescent="0.2">
      <c r="B48" s="2" t="s">
        <v>36</v>
      </c>
      <c r="C48">
        <f t="shared" si="12"/>
        <v>15768000</v>
      </c>
      <c r="D48" s="21">
        <v>0.1</v>
      </c>
      <c r="E48">
        <v>100</v>
      </c>
      <c r="F48">
        <f>SECONDS_PER_YEAR/4</f>
        <v>7884000</v>
      </c>
      <c r="G48">
        <f t="shared" si="13"/>
        <v>91.25</v>
      </c>
      <c r="H48" s="22">
        <f t="shared" si="14"/>
        <v>105.06249999999999</v>
      </c>
    </row>
    <row r="49" spans="2:8" x14ac:dyDescent="0.2">
      <c r="B49" s="2" t="s">
        <v>36</v>
      </c>
      <c r="C49">
        <f t="shared" si="12"/>
        <v>15768000</v>
      </c>
      <c r="D49" s="21">
        <v>0.1</v>
      </c>
      <c r="E49">
        <v>100</v>
      </c>
      <c r="F49">
        <f>SECONDS_PER_YEAR/12</f>
        <v>2628000</v>
      </c>
      <c r="G49">
        <f t="shared" si="13"/>
        <v>30.416666666666668</v>
      </c>
      <c r="H49" s="22">
        <f t="shared" si="14"/>
        <v>105.10533133201649</v>
      </c>
    </row>
    <row r="50" spans="2:8" x14ac:dyDescent="0.2">
      <c r="B50" s="2" t="s">
        <v>36</v>
      </c>
      <c r="C50">
        <f t="shared" si="12"/>
        <v>15768000</v>
      </c>
      <c r="D50" s="21">
        <v>0.1</v>
      </c>
      <c r="E50">
        <v>100</v>
      </c>
      <c r="F50">
        <f>SECONDS_PER_DAY*7</f>
        <v>604800</v>
      </c>
      <c r="G50">
        <f t="shared" si="13"/>
        <v>7</v>
      </c>
      <c r="H50" s="22">
        <f t="shared" si="14"/>
        <v>105.12207585226538</v>
      </c>
    </row>
    <row r="51" spans="2:8" x14ac:dyDescent="0.2">
      <c r="B51" s="2" t="s">
        <v>36</v>
      </c>
      <c r="C51">
        <f t="shared" si="12"/>
        <v>15768000</v>
      </c>
      <c r="D51" s="21">
        <v>0.1</v>
      </c>
      <c r="E51">
        <v>100</v>
      </c>
      <c r="F51">
        <f>SECONDS_PER_DAY</f>
        <v>86400</v>
      </c>
      <c r="G51">
        <f t="shared" si="13"/>
        <v>1</v>
      </c>
      <c r="H51" s="22">
        <f t="shared" si="14"/>
        <v>105.12638972285848</v>
      </c>
    </row>
    <row r="52" spans="2:8" x14ac:dyDescent="0.2">
      <c r="B52" s="2" t="s">
        <v>29</v>
      </c>
      <c r="C52">
        <f t="shared" ref="C52:C57" si="15">SECONDS_PER_DAY*360</f>
        <v>31104000</v>
      </c>
      <c r="D52" s="21">
        <v>0.1</v>
      </c>
      <c r="E52">
        <v>100</v>
      </c>
      <c r="F52">
        <f>SECONDS_PER_YEAR</f>
        <v>31536000</v>
      </c>
      <c r="G52">
        <f t="shared" si="2"/>
        <v>365</v>
      </c>
      <c r="H52" s="22">
        <f t="shared" ref="H52:H57" si="16">E52*(1+D52/(SECONDS_PER_YEAR/F52))^(C52/F52)</f>
        <v>109.85647563529261</v>
      </c>
    </row>
    <row r="53" spans="2:8" x14ac:dyDescent="0.2">
      <c r="B53" s="2" t="s">
        <v>29</v>
      </c>
      <c r="C53">
        <f t="shared" si="15"/>
        <v>31104000</v>
      </c>
      <c r="D53" s="21">
        <v>0.1</v>
      </c>
      <c r="E53">
        <v>100</v>
      </c>
      <c r="F53">
        <f>SECONDS_PER_YEAR/2</f>
        <v>15768000</v>
      </c>
      <c r="G53">
        <f t="shared" si="2"/>
        <v>182.5</v>
      </c>
      <c r="H53" s="22">
        <f t="shared" si="16"/>
        <v>110.10272542400305</v>
      </c>
    </row>
    <row r="54" spans="2:8" x14ac:dyDescent="0.2">
      <c r="B54" s="2" t="s">
        <v>29</v>
      </c>
      <c r="C54">
        <f t="shared" si="15"/>
        <v>31104000</v>
      </c>
      <c r="D54" s="21">
        <v>0.1</v>
      </c>
      <c r="E54">
        <v>100</v>
      </c>
      <c r="F54">
        <f>SECONDS_PER_YEAR/4</f>
        <v>7884000</v>
      </c>
      <c r="G54">
        <f t="shared" si="2"/>
        <v>91.25</v>
      </c>
      <c r="H54" s="22">
        <f t="shared" si="16"/>
        <v>110.23204197525232</v>
      </c>
    </row>
    <row r="55" spans="2:8" x14ac:dyDescent="0.2">
      <c r="B55" s="2" t="s">
        <v>29</v>
      </c>
      <c r="C55">
        <f t="shared" si="15"/>
        <v>31104000</v>
      </c>
      <c r="D55" s="21">
        <v>0.1</v>
      </c>
      <c r="E55">
        <v>100</v>
      </c>
      <c r="F55">
        <f>SECONDS_PER_YEAR/12</f>
        <v>2628000</v>
      </c>
      <c r="G55">
        <f t="shared" si="2"/>
        <v>30.416666666666668</v>
      </c>
      <c r="H55" s="22">
        <f t="shared" si="16"/>
        <v>110.3207059967898</v>
      </c>
    </row>
    <row r="56" spans="2:8" x14ac:dyDescent="0.2">
      <c r="B56" s="2" t="s">
        <v>29</v>
      </c>
      <c r="C56">
        <f t="shared" si="15"/>
        <v>31104000</v>
      </c>
      <c r="D56" s="21">
        <v>0.1</v>
      </c>
      <c r="E56">
        <v>100</v>
      </c>
      <c r="F56">
        <f>SECONDS_PER_DAY*7</f>
        <v>604800</v>
      </c>
      <c r="G56">
        <f t="shared" si="2"/>
        <v>7</v>
      </c>
      <c r="H56" s="22">
        <f t="shared" ref="H56" si="17">E56*(1+D56/(SECONDS_PER_YEAR/F56))^(C56/F56)</f>
        <v>110.35537794719572</v>
      </c>
    </row>
    <row r="57" spans="2:8" x14ac:dyDescent="0.2">
      <c r="B57" s="2" t="s">
        <v>29</v>
      </c>
      <c r="C57">
        <f t="shared" si="15"/>
        <v>31104000</v>
      </c>
      <c r="D57" s="21">
        <v>0.1</v>
      </c>
      <c r="E57">
        <v>100</v>
      </c>
      <c r="F57">
        <f>SECONDS_PER_DAY</f>
        <v>86400</v>
      </c>
      <c r="G57">
        <f t="shared" si="2"/>
        <v>1</v>
      </c>
      <c r="H57" s="22">
        <f t="shared" si="16"/>
        <v>110.3643113102859</v>
      </c>
    </row>
    <row r="58" spans="2:8" x14ac:dyDescent="0.2">
      <c r="B58" s="2" t="s">
        <v>27</v>
      </c>
      <c r="C58">
        <f t="shared" ref="C58:C63" si="18">SECONDS_PER_YEAR</f>
        <v>31536000</v>
      </c>
      <c r="D58" s="21">
        <v>0.1</v>
      </c>
      <c r="E58">
        <v>100</v>
      </c>
      <c r="F58">
        <f>SECONDS_PER_YEAR</f>
        <v>31536000</v>
      </c>
      <c r="G58">
        <f t="shared" ref="G58:G81" si="19">F58/SECONDS_PER_DAY</f>
        <v>365</v>
      </c>
      <c r="H58" s="22">
        <f t="shared" ref="H58:H63" si="20">E58*(1+D58/(SECONDS_PER_YEAR/F58))^(C58/F58)</f>
        <v>110.00000000000001</v>
      </c>
    </row>
    <row r="59" spans="2:8" x14ac:dyDescent="0.2">
      <c r="B59" s="2" t="s">
        <v>27</v>
      </c>
      <c r="C59">
        <f t="shared" si="18"/>
        <v>31536000</v>
      </c>
      <c r="D59" s="21">
        <v>0.1</v>
      </c>
      <c r="E59">
        <v>100</v>
      </c>
      <c r="F59">
        <f>SECONDS_PER_YEAR/2</f>
        <v>15768000</v>
      </c>
      <c r="G59">
        <f t="shared" si="19"/>
        <v>182.5</v>
      </c>
      <c r="H59" s="22">
        <f t="shared" si="20"/>
        <v>110.25</v>
      </c>
    </row>
    <row r="60" spans="2:8" x14ac:dyDescent="0.2">
      <c r="B60" s="2" t="s">
        <v>27</v>
      </c>
      <c r="C60">
        <f t="shared" si="18"/>
        <v>31536000</v>
      </c>
      <c r="D60" s="21">
        <v>0.1</v>
      </c>
      <c r="E60">
        <v>100</v>
      </c>
      <c r="F60">
        <f>SECONDS_PER_YEAR/4</f>
        <v>7884000</v>
      </c>
      <c r="G60">
        <f t="shared" si="19"/>
        <v>91.25</v>
      </c>
      <c r="H60" s="22">
        <f t="shared" si="20"/>
        <v>110.38128906249997</v>
      </c>
    </row>
    <row r="61" spans="2:8" x14ac:dyDescent="0.2">
      <c r="B61" s="2" t="s">
        <v>27</v>
      </c>
      <c r="C61">
        <f t="shared" si="18"/>
        <v>31536000</v>
      </c>
      <c r="D61" s="21">
        <v>0.1</v>
      </c>
      <c r="E61">
        <v>100</v>
      </c>
      <c r="F61">
        <f>SECONDS_PER_YEAR/12</f>
        <v>2628000</v>
      </c>
      <c r="G61">
        <f t="shared" si="19"/>
        <v>30.416666666666668</v>
      </c>
      <c r="H61" s="22">
        <f t="shared" si="20"/>
        <v>110.47130674412968</v>
      </c>
    </row>
    <row r="62" spans="2:8" x14ac:dyDescent="0.2">
      <c r="B62" s="2" t="s">
        <v>27</v>
      </c>
      <c r="C62">
        <f t="shared" si="18"/>
        <v>31536000</v>
      </c>
      <c r="D62" s="21">
        <v>0.1</v>
      </c>
      <c r="E62">
        <v>100</v>
      </c>
      <c r="F62">
        <f>SECONDS_PER_DAY*7</f>
        <v>604800</v>
      </c>
      <c r="G62">
        <f t="shared" si="19"/>
        <v>7</v>
      </c>
      <c r="H62" s="22">
        <f t="shared" ref="H62" si="21">E62*(1+D62/(SECONDS_PER_YEAR/F62))^(C62/F62)</f>
        <v>110.50650831489438</v>
      </c>
    </row>
    <row r="63" spans="2:8" x14ac:dyDescent="0.2">
      <c r="B63" s="2" t="s">
        <v>27</v>
      </c>
      <c r="C63">
        <f t="shared" si="18"/>
        <v>31536000</v>
      </c>
      <c r="D63" s="21">
        <v>0.1</v>
      </c>
      <c r="E63">
        <v>100</v>
      </c>
      <c r="F63">
        <f>SECONDS_PER_DAY</f>
        <v>86400</v>
      </c>
      <c r="G63">
        <f t="shared" si="19"/>
        <v>1</v>
      </c>
      <c r="H63" s="22">
        <f t="shared" si="20"/>
        <v>110.51557816162271</v>
      </c>
    </row>
    <row r="64" spans="2:8" x14ac:dyDescent="0.2">
      <c r="B64" s="2" t="s">
        <v>33</v>
      </c>
      <c r="C64">
        <f t="shared" ref="C64:C69" si="22">SECONDS_PER_YEAR*10</f>
        <v>315360000</v>
      </c>
      <c r="D64" s="21">
        <v>0.1</v>
      </c>
      <c r="E64">
        <v>100</v>
      </c>
      <c r="F64">
        <f>SECONDS_PER_YEAR</f>
        <v>31536000</v>
      </c>
      <c r="G64">
        <f t="shared" si="19"/>
        <v>365</v>
      </c>
      <c r="H64" s="22">
        <f t="shared" ref="H64:H69" si="23">E64*(1+D64/(SECONDS_PER_YEAR/F64))^(C64/F64)</f>
        <v>259.37424601000021</v>
      </c>
    </row>
    <row r="65" spans="2:8" x14ac:dyDescent="0.2">
      <c r="B65" s="2" t="s">
        <v>33</v>
      </c>
      <c r="C65">
        <f t="shared" si="22"/>
        <v>315360000</v>
      </c>
      <c r="D65" s="21">
        <v>0.1</v>
      </c>
      <c r="E65">
        <v>100</v>
      </c>
      <c r="F65">
        <f>SECONDS_PER_YEAR/2</f>
        <v>15768000</v>
      </c>
      <c r="G65">
        <f t="shared" si="19"/>
        <v>182.5</v>
      </c>
      <c r="H65" s="22">
        <f t="shared" si="23"/>
        <v>265.32977051444209</v>
      </c>
    </row>
    <row r="66" spans="2:8" x14ac:dyDescent="0.2">
      <c r="B66" s="2" t="s">
        <v>33</v>
      </c>
      <c r="C66">
        <f t="shared" si="22"/>
        <v>315360000</v>
      </c>
      <c r="D66" s="21">
        <v>0.1</v>
      </c>
      <c r="E66">
        <v>100</v>
      </c>
      <c r="F66">
        <f>SECONDS_PER_YEAR/4</f>
        <v>7884000</v>
      </c>
      <c r="G66">
        <f t="shared" si="19"/>
        <v>91.25</v>
      </c>
      <c r="H66" s="22">
        <f t="shared" si="23"/>
        <v>268.50638383899673</v>
      </c>
    </row>
    <row r="67" spans="2:8" x14ac:dyDescent="0.2">
      <c r="B67" s="2" t="s">
        <v>33</v>
      </c>
      <c r="C67">
        <f t="shared" si="22"/>
        <v>315360000</v>
      </c>
      <c r="D67" s="21">
        <v>0.1</v>
      </c>
      <c r="E67">
        <v>100</v>
      </c>
      <c r="F67">
        <f>SECONDS_PER_YEAR/12</f>
        <v>2628000</v>
      </c>
      <c r="G67">
        <f t="shared" si="19"/>
        <v>30.416666666666668</v>
      </c>
      <c r="H67" s="22">
        <f t="shared" si="23"/>
        <v>270.70414908622411</v>
      </c>
    </row>
    <row r="68" spans="2:8" x14ac:dyDescent="0.2">
      <c r="B68" s="2" t="s">
        <v>33</v>
      </c>
      <c r="C68">
        <f t="shared" si="22"/>
        <v>315360000</v>
      </c>
      <c r="D68" s="21">
        <v>0.1</v>
      </c>
      <c r="E68">
        <v>100</v>
      </c>
      <c r="F68">
        <f>SECONDS_PER_DAY*7</f>
        <v>604800</v>
      </c>
      <c r="G68">
        <f t="shared" si="19"/>
        <v>7</v>
      </c>
      <c r="H68" s="22">
        <f t="shared" ref="H68" si="24">E68*(1+D68/(SECONDS_PER_YEAR/F68))^(C68/F68)</f>
        <v>271.56798307986793</v>
      </c>
    </row>
    <row r="69" spans="2:8" x14ac:dyDescent="0.2">
      <c r="B69" s="2" t="s">
        <v>33</v>
      </c>
      <c r="C69">
        <f t="shared" si="22"/>
        <v>315360000</v>
      </c>
      <c r="D69" s="21">
        <v>0.1</v>
      </c>
      <c r="E69">
        <v>100</v>
      </c>
      <c r="F69">
        <f>SECONDS_PER_DAY</f>
        <v>86400</v>
      </c>
      <c r="G69">
        <f t="shared" si="19"/>
        <v>1</v>
      </c>
      <c r="H69" s="22">
        <f t="shared" si="23"/>
        <v>271.79095545768331</v>
      </c>
    </row>
    <row r="70" spans="2:8" x14ac:dyDescent="0.2">
      <c r="B70" s="2" t="s">
        <v>34</v>
      </c>
      <c r="C70">
        <f t="shared" ref="C70:C75" si="25">SECONDS_PER_YEAR*100</f>
        <v>3153600000</v>
      </c>
      <c r="D70" s="21">
        <v>0.1</v>
      </c>
      <c r="E70">
        <v>100</v>
      </c>
      <c r="F70">
        <f>SECONDS_PER_YEAR</f>
        <v>31536000</v>
      </c>
      <c r="G70">
        <f t="shared" si="19"/>
        <v>365</v>
      </c>
      <c r="H70" s="22">
        <f t="shared" ref="H70:H75" si="26">E70*(1+D70/(SECONDS_PER_YEAR/F70))^(C70/F70)</f>
        <v>1378061.2339822364</v>
      </c>
    </row>
    <row r="71" spans="2:8" x14ac:dyDescent="0.2">
      <c r="B71" s="2" t="s">
        <v>34</v>
      </c>
      <c r="C71">
        <f t="shared" si="25"/>
        <v>3153600000</v>
      </c>
      <c r="D71" s="21">
        <v>0.1</v>
      </c>
      <c r="E71">
        <v>100</v>
      </c>
      <c r="F71">
        <f>SECONDS_PER_YEAR/2</f>
        <v>15768000</v>
      </c>
      <c r="G71">
        <f t="shared" si="19"/>
        <v>182.5</v>
      </c>
      <c r="H71" s="22">
        <f t="shared" si="26"/>
        <v>1729258.0815160037</v>
      </c>
    </row>
    <row r="72" spans="2:8" x14ac:dyDescent="0.2">
      <c r="B72" s="2" t="s">
        <v>34</v>
      </c>
      <c r="C72">
        <f t="shared" si="25"/>
        <v>3153600000</v>
      </c>
      <c r="D72" s="21">
        <v>0.1</v>
      </c>
      <c r="E72">
        <v>100</v>
      </c>
      <c r="F72">
        <f>SECONDS_PER_YEAR/4</f>
        <v>7884000</v>
      </c>
      <c r="G72">
        <f t="shared" si="19"/>
        <v>91.25</v>
      </c>
      <c r="H72" s="22">
        <f t="shared" si="26"/>
        <v>1947808.0514961616</v>
      </c>
    </row>
    <row r="73" spans="2:8" x14ac:dyDescent="0.2">
      <c r="B73" s="2" t="s">
        <v>34</v>
      </c>
      <c r="C73">
        <f t="shared" si="25"/>
        <v>3153600000</v>
      </c>
      <c r="D73" s="21">
        <v>0.1</v>
      </c>
      <c r="E73">
        <v>100</v>
      </c>
      <c r="F73">
        <f>SECONDS_PER_YEAR/12</f>
        <v>2628000</v>
      </c>
      <c r="G73">
        <f t="shared" si="19"/>
        <v>30.416666666666668</v>
      </c>
      <c r="H73" s="22">
        <f t="shared" si="26"/>
        <v>2113241.4600168322</v>
      </c>
    </row>
    <row r="74" spans="2:8" x14ac:dyDescent="0.2">
      <c r="B74" s="2" t="s">
        <v>34</v>
      </c>
      <c r="C74">
        <f t="shared" si="25"/>
        <v>3153600000</v>
      </c>
      <c r="D74" s="21">
        <v>0.1</v>
      </c>
      <c r="E74">
        <v>100</v>
      </c>
      <c r="F74">
        <f>SECONDS_PER_DAY*7</f>
        <v>604800</v>
      </c>
      <c r="G74">
        <f t="shared" si="19"/>
        <v>7</v>
      </c>
      <c r="H74" s="22">
        <f t="shared" ref="H74" si="27">E74*(1+D74/(SECONDS_PER_YEAR/F74))^(C74/F74)</f>
        <v>2181652.9627617672</v>
      </c>
    </row>
    <row r="75" spans="2:8" x14ac:dyDescent="0.2">
      <c r="B75" s="2" t="s">
        <v>34</v>
      </c>
      <c r="C75">
        <f t="shared" si="25"/>
        <v>3153600000</v>
      </c>
      <c r="D75" s="21">
        <v>0.1</v>
      </c>
      <c r="E75">
        <v>100</v>
      </c>
      <c r="F75">
        <f>SECONDS_PER_DAY</f>
        <v>86400</v>
      </c>
      <c r="G75">
        <f t="shared" si="19"/>
        <v>1</v>
      </c>
      <c r="H75" s="22">
        <f t="shared" si="26"/>
        <v>2199631.8713507117</v>
      </c>
    </row>
    <row r="76" spans="2:8" x14ac:dyDescent="0.2">
      <c r="B76" s="2" t="s">
        <v>35</v>
      </c>
      <c r="C76">
        <f t="shared" ref="C76:C81" si="28">SECONDS_PER_YEAR*1000</f>
        <v>31536000000</v>
      </c>
      <c r="D76" s="21">
        <v>0.01</v>
      </c>
      <c r="E76">
        <v>100</v>
      </c>
      <c r="F76">
        <f>SECONDS_PER_YEAR</f>
        <v>31536000</v>
      </c>
      <c r="G76">
        <f t="shared" si="19"/>
        <v>365</v>
      </c>
      <c r="H76" s="22">
        <f t="shared" ref="H76:H80" si="29">E76*(1+D76/(SECONDS_PER_YEAR/F76))^(C76/F76)</f>
        <v>2095915.5637813902</v>
      </c>
    </row>
    <row r="77" spans="2:8" x14ac:dyDescent="0.2">
      <c r="B77" s="2" t="s">
        <v>35</v>
      </c>
      <c r="C77">
        <f t="shared" si="28"/>
        <v>31536000000</v>
      </c>
      <c r="D77" s="21">
        <v>0.01</v>
      </c>
      <c r="E77">
        <v>100</v>
      </c>
      <c r="F77">
        <f>SECONDS_PER_YEAR/2</f>
        <v>15768000</v>
      </c>
      <c r="G77">
        <f t="shared" si="19"/>
        <v>182.5</v>
      </c>
      <c r="H77" s="22">
        <f t="shared" si="29"/>
        <v>2148441.4023281098</v>
      </c>
    </row>
    <row r="78" spans="2:8" x14ac:dyDescent="0.2">
      <c r="B78" s="2" t="s">
        <v>35</v>
      </c>
      <c r="C78">
        <f t="shared" si="28"/>
        <v>31536000000</v>
      </c>
      <c r="D78" s="21">
        <v>0.01</v>
      </c>
      <c r="E78">
        <v>100</v>
      </c>
      <c r="F78">
        <f>SECONDS_PER_YEAR/4</f>
        <v>7884000</v>
      </c>
      <c r="G78">
        <f t="shared" si="19"/>
        <v>91.25</v>
      </c>
      <c r="H78" s="22">
        <f t="shared" si="29"/>
        <v>2175330.0983310048</v>
      </c>
    </row>
    <row r="79" spans="2:8" x14ac:dyDescent="0.2">
      <c r="B79" s="2" t="s">
        <v>35</v>
      </c>
      <c r="C79">
        <f t="shared" si="28"/>
        <v>31536000000</v>
      </c>
      <c r="D79" s="21">
        <v>0.01</v>
      </c>
      <c r="E79">
        <v>100</v>
      </c>
      <c r="F79">
        <f>SECONDS_PER_YEAR/12</f>
        <v>2628000</v>
      </c>
      <c r="G79">
        <f t="shared" si="19"/>
        <v>30.416666666666668</v>
      </c>
      <c r="H79" s="22">
        <f t="shared" si="29"/>
        <v>2193493.0534173725</v>
      </c>
    </row>
    <row r="80" spans="2:8" x14ac:dyDescent="0.2">
      <c r="B80" s="2" t="s">
        <v>35</v>
      </c>
      <c r="C80">
        <f t="shared" si="28"/>
        <v>31536000000</v>
      </c>
      <c r="D80" s="21">
        <v>0.01</v>
      </c>
      <c r="E80">
        <v>100</v>
      </c>
      <c r="F80">
        <f>SECONDS_PER_DAY*7</f>
        <v>604800</v>
      </c>
      <c r="G80">
        <f t="shared" si="19"/>
        <v>7</v>
      </c>
      <c r="H80" s="22">
        <f t="shared" si="29"/>
        <v>2200535.734713464</v>
      </c>
    </row>
    <row r="81" spans="2:8" x14ac:dyDescent="0.2">
      <c r="B81" s="2" t="s">
        <v>35</v>
      </c>
      <c r="C81">
        <f t="shared" si="28"/>
        <v>31536000000</v>
      </c>
      <c r="D81" s="21">
        <v>0.01</v>
      </c>
      <c r="E81">
        <v>100</v>
      </c>
      <c r="F81">
        <f>SECONDS_PER_DAY</f>
        <v>86400</v>
      </c>
      <c r="G81">
        <f t="shared" si="19"/>
        <v>1</v>
      </c>
      <c r="H81" s="22">
        <f t="shared" ref="H81" si="30">E81*(1+D81/(SECONDS_PER_YEAR/F81))^(C81/F81)</f>
        <v>2202344.8732570675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futureValue</vt:lpstr>
      <vt:lpstr>VotesAndRewards</vt:lpstr>
      <vt:lpstr>NOW</vt:lpstr>
      <vt:lpstr>futureValue!SECONDS_PER_DAY</vt:lpstr>
      <vt:lpstr>SECONDS_PER_DAY</vt:lpstr>
      <vt:lpstr>futureValue!SECONDS_PER_YEAR</vt:lpstr>
      <vt:lpstr>SECONDS_PER_YEAR</vt:lpstr>
      <vt:lpstr>TOTALSUPPLY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2020-10-30T02:35:17Z</dcterms:created>
  <dcterms:modified xsi:type="dcterms:W3CDTF">2020-11-02T08:22:46Z</dcterms:modified>
</cp:coreProperties>
</file>